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83A3" lockStructure="1"/>
  <bookViews>
    <workbookView xWindow="4956" yWindow="-60" windowWidth="15300" windowHeight="7332" tabRatio="903"/>
  </bookViews>
  <sheets>
    <sheet name="Introduction" sheetId="34" r:id="rId1"/>
    <sheet name="Offshore Map" sheetId="33" r:id="rId2"/>
    <sheet name="Guide" sheetId="30" r:id="rId3"/>
    <sheet name="Devel Options" sheetId="32" r:id="rId4"/>
    <sheet name="Drill History" sheetId="35" r:id="rId5"/>
    <sheet name="FAQ" sheetId="36" r:id="rId6"/>
    <sheet name="Input" sheetId="2" r:id="rId7"/>
    <sheet name="Lists" sheetId="27" state="hidden" r:id="rId8"/>
    <sheet name="CashFlow" sheetId="5" r:id="rId9"/>
    <sheet name="Thresholds" sheetId="3" r:id="rId10"/>
    <sheet name="Sensitivities" sheetId="4" r:id="rId11"/>
    <sheet name="Sensitivity Ranges" sheetId="28" state="hidden" r:id="rId12"/>
    <sheet name="Government Take" sheetId="29" r:id="rId13"/>
    <sheet name="Price Charts" sheetId="31" r:id="rId14"/>
    <sheet name="Overrides" sheetId="6" r:id="rId15"/>
    <sheet name="Economic Assumptions" sheetId="20" r:id="rId16"/>
    <sheet name="Cost Assumptions" sheetId="19" r:id="rId17"/>
    <sheet name="Sched &amp; Prod Assumptions" sheetId="18" r:id="rId18"/>
    <sheet name="Exploration" sheetId="7" r:id="rId19"/>
    <sheet name="Development" sheetId="8" r:id="rId20"/>
    <sheet name="Production" sheetId="9" r:id="rId21"/>
    <sheet name="Revenue" sheetId="10" r:id="rId22"/>
    <sheet name="Operations" sheetId="11" r:id="rId23"/>
    <sheet name="Abandonment" sheetId="12" r:id="rId24"/>
    <sheet name="Royalty" sheetId="13" r:id="rId25"/>
    <sheet name="Federal Tax" sheetId="14" r:id="rId26"/>
    <sheet name="Provincial Tax" sheetId="15" r:id="rId27"/>
    <sheet name="Success Cash Flow" sheetId="16" r:id="rId28"/>
    <sheet name="Risked Cash Flow" sheetId="22" r:id="rId29"/>
    <sheet name="Selected Economics" sheetId="17" r:id="rId30"/>
    <sheet name="User1" sheetId="21" r:id="rId31"/>
    <sheet name="User2" sheetId="23" r:id="rId32"/>
    <sheet name="User3" sheetId="24" r:id="rId33"/>
    <sheet name="User4" sheetId="25" r:id="rId34"/>
    <sheet name="User5" sheetId="26" r:id="rId35"/>
  </sheets>
  <definedNames>
    <definedName name="Abandonment">Abandonment!$B$3</definedName>
    <definedName name="Aerial_Extent">Lists!$A$40:$A$42</definedName>
    <definedName name="capcostset">Lists!$A$16:$E$16</definedName>
    <definedName name="Cashflow">CashFlow!$B$3</definedName>
    <definedName name="Costs">'Cost Assumptions'!$C$4:$D$4</definedName>
    <definedName name="costset1">'Cost Assumptions'!$C$4:$L$4</definedName>
    <definedName name="Devellist">Lists!$A$27:$A$30</definedName>
    <definedName name="Development">Development!$B$3</definedName>
    <definedName name="Developments">'Devel Options'!$A$3</definedName>
    <definedName name="Direct_Pipeline_Tie_in">Lists!$Q$33</definedName>
    <definedName name="Discountto">Lists!$A$54:$A$56</definedName>
    <definedName name="drill_centres">'Sched &amp; Prod Assumptions'!$A$38:$B$43</definedName>
    <definedName name="Economics">'Economic Assumptions'!$B$8</definedName>
    <definedName name="Exploration">Exploration!$C$3</definedName>
    <definedName name="Explore">Exploration!$C$3</definedName>
    <definedName name="FacilityType">Lists!$A$73:$A$76</definedName>
    <definedName name="Federal_Tax">'Federal Tax'!$B$10</definedName>
    <definedName name="Fixed_Platform">Lists!$O$33</definedName>
    <definedName name="FPSU">Lists!$O$35</definedName>
    <definedName name="Government_Take">'Government Take'!$A$3</definedName>
    <definedName name="Guide">Guide!$B$1</definedName>
    <definedName name="Infralist">Lists!$A$22:$A$24</definedName>
    <definedName name="Input">Input!$A$1</definedName>
    <definedName name="Interest">Royalty!#REF!</definedName>
    <definedName name="Jack_up">Lists!$O$34</definedName>
    <definedName name="LossRec">Royalty!$AL$4</definedName>
    <definedName name="Manual_override">Lists!$A$36:$A$37</definedName>
    <definedName name="monthtable">Lists!$A$95:$A$106</definedName>
    <definedName name="noteco">Abandonment!$C$4</definedName>
    <definedName name="Operations">Operations!$B$3</definedName>
    <definedName name="Override">Overrides!$B$3</definedName>
    <definedName name="pressure">Lists!$A$87:$A$89</definedName>
    <definedName name="Price_Charts">'Price Charts'!$A$1</definedName>
    <definedName name="_xlnm.Print_Area" localSheetId="23">Abandonment!$A$1:$L$55</definedName>
    <definedName name="_xlnm.Print_Area" localSheetId="8">CashFlow!$A$1:$AZ$35</definedName>
    <definedName name="_xlnm.Print_Area" localSheetId="16">'Cost Assumptions'!$A$1:$O$155</definedName>
    <definedName name="_xlnm.Print_Area" localSheetId="3">'Devel Options'!$A$1:$N$92</definedName>
    <definedName name="_xlnm.Print_Area" localSheetId="4">'Drill History'!$A$1:$S$29</definedName>
    <definedName name="_xlnm.Print_Area" localSheetId="15">'Economic Assumptions'!$A$1:$AX$65</definedName>
    <definedName name="_xlnm.Print_Area" localSheetId="25">'Federal Tax'!$A$1:$X$50</definedName>
    <definedName name="_xlnm.Print_Area" localSheetId="12">'Government Take'!$A$1:$P$34</definedName>
    <definedName name="_xlnm.Print_Area" localSheetId="2">Guide!$A$1:$F$41</definedName>
    <definedName name="_xlnm.Print_Area" localSheetId="6">Input!$A$1:$U$37</definedName>
    <definedName name="_xlnm.Print_Area" localSheetId="0">Introduction!$A$1:$AB$43</definedName>
    <definedName name="_xlnm.Print_Area" localSheetId="1">'Offshore Map'!$A$1:$W$51</definedName>
    <definedName name="_xlnm.Print_Area" localSheetId="22">Operations!$A$1:$U$58</definedName>
    <definedName name="_xlnm.Print_Area" localSheetId="14">Overrides!$A$1:$O$104</definedName>
    <definedName name="_xlnm.Print_Area" localSheetId="13">'Price Charts'!$A$1:$AB$75</definedName>
    <definedName name="_xlnm.Print_Area" localSheetId="20">Production!$A$1:$AO$70</definedName>
    <definedName name="_xlnm.Print_Area" localSheetId="28">'Risked Cash Flow'!$A$1:$P$50</definedName>
    <definedName name="_xlnm.Print_Area" localSheetId="24">Royalty!$A$1:$AV$52</definedName>
    <definedName name="_xlnm.Print_Area" localSheetId="17">'Sched &amp; Prod Assumptions'!$A$1:$J$105</definedName>
    <definedName name="_xlnm.Print_Area" localSheetId="29">'Selected Economics'!$A$1:$K$51</definedName>
    <definedName name="_xlnm.Print_Area" localSheetId="10">Sensitivities!$A$1:$U$43</definedName>
    <definedName name="_xlnm.Print_Area" localSheetId="27">'Success Cash Flow'!$A$1:$T$50</definedName>
    <definedName name="_xlnm.Print_Area" localSheetId="9">Thresholds!$A$1:$P$39</definedName>
    <definedName name="prod_year">Production!$B$3</definedName>
    <definedName name="Product">Lists!$A$59:$A$60</definedName>
    <definedName name="Production">Production!$A$3</definedName>
    <definedName name="Provincial_Tax">'Provincial Tax'!$B$10</definedName>
    <definedName name="PurchaseLease">Lists!$A$32:$A$33</definedName>
    <definedName name="Rented_FPSU">Lists!$O$37</definedName>
    <definedName name="Rescomp">Lists!$A$45:$A$47</definedName>
    <definedName name="Revenue">Revenue!$B$9</definedName>
    <definedName name="Risked_Cash">'Risked Cash Flow'!$B$10</definedName>
    <definedName name="Royalty">Royalty!$B$10</definedName>
    <definedName name="Satellite">Lists!$Q$32</definedName>
    <definedName name="scenarios">Lists!$A$19:$E$19</definedName>
    <definedName name="Schedule">'Sched &amp; Prod Assumptions'!$A$3</definedName>
    <definedName name="Selected_Economics">'Selected Economics'!$B$11</definedName>
    <definedName name="selected_scenario">Lists!$A$20:$E$20</definedName>
    <definedName name="Sensitivities">Sensitivities!$A$3</definedName>
    <definedName name="Shore">Lists!$Q$34</definedName>
    <definedName name="Shuttle_Tanker">Lists!$Q$35</definedName>
    <definedName name="Sour">Lists!$A$64</definedName>
    <definedName name="Stagelist">Lists!$A$8:$A$12</definedName>
    <definedName name="Subsea">Lists!$O$32</definedName>
    <definedName name="Success_Cash">'Success Cash Flow'!$B$10</definedName>
    <definedName name="Sweet">Lists!$A$63</definedName>
    <definedName name="SweetSour">Lists!$A$63:$A$64</definedName>
    <definedName name="Tethered___Semi">Lists!$O$36</definedName>
    <definedName name="Thresholds">Thresholds!$A$7</definedName>
    <definedName name="User_Area">User1!$A$3</definedName>
    <definedName name="YesNo">Lists!$A$50:$A$51</definedName>
  </definedNames>
  <calcPr calcId="145621"/>
</workbook>
</file>

<file path=xl/calcChain.xml><?xml version="1.0" encoding="utf-8"?>
<calcChain xmlns="http://schemas.openxmlformats.org/spreadsheetml/2006/main">
  <c r="E4" i="3" l="1"/>
  <c r="E1" i="3"/>
  <c r="E3" i="3"/>
  <c r="E2" i="3"/>
  <c r="E4" i="5" l="1"/>
  <c r="E5" i="5"/>
  <c r="E7" i="5"/>
  <c r="E6" i="5"/>
  <c r="AR9" i="20"/>
  <c r="AQ9" i="20"/>
  <c r="AP9" i="20"/>
  <c r="AH9" i="20"/>
  <c r="AG9" i="20"/>
  <c r="AF9" i="20"/>
  <c r="X9" i="20"/>
  <c r="W9" i="20"/>
  <c r="V9" i="20"/>
  <c r="N9" i="20"/>
  <c r="M9" i="20"/>
  <c r="L9" i="20"/>
  <c r="C21" i="7" l="1"/>
  <c r="AA84" i="8"/>
  <c r="D7" i="3"/>
  <c r="F153" i="19"/>
  <c r="E153" i="19"/>
  <c r="F152" i="19"/>
  <c r="E152" i="19"/>
  <c r="F151" i="19"/>
  <c r="E151" i="19"/>
  <c r="F148" i="19"/>
  <c r="E148" i="19"/>
  <c r="F147" i="19"/>
  <c r="E147" i="19"/>
  <c r="F144" i="19"/>
  <c r="E144" i="19"/>
  <c r="F143" i="19"/>
  <c r="E143" i="19"/>
  <c r="F142" i="19"/>
  <c r="E142" i="19"/>
  <c r="F141" i="19"/>
  <c r="E141" i="19"/>
  <c r="F140" i="19"/>
  <c r="E140" i="19"/>
  <c r="F139" i="19"/>
  <c r="E139" i="19"/>
  <c r="F136" i="19"/>
  <c r="E136" i="19"/>
  <c r="F135" i="19"/>
  <c r="E135" i="19"/>
  <c r="F134" i="19"/>
  <c r="E134" i="19"/>
  <c r="F133" i="19"/>
  <c r="E133" i="19"/>
  <c r="F132" i="19"/>
  <c r="E132" i="19"/>
  <c r="F130" i="19"/>
  <c r="E130" i="19"/>
  <c r="F129" i="19"/>
  <c r="E129" i="19"/>
  <c r="F128" i="19"/>
  <c r="E128" i="19"/>
  <c r="F127" i="19"/>
  <c r="E127" i="19"/>
  <c r="F125" i="19"/>
  <c r="E125" i="19"/>
  <c r="F124" i="19"/>
  <c r="E124" i="19"/>
  <c r="F123" i="19"/>
  <c r="E123" i="19"/>
  <c r="F122" i="19"/>
  <c r="E122" i="19"/>
  <c r="F120" i="19"/>
  <c r="E120" i="19"/>
  <c r="F119" i="19"/>
  <c r="E119" i="19"/>
  <c r="F118" i="19"/>
  <c r="E118" i="19"/>
  <c r="F117" i="19"/>
  <c r="E117" i="19"/>
  <c r="F112" i="19"/>
  <c r="E112" i="19"/>
  <c r="F111" i="19"/>
  <c r="E111" i="19"/>
  <c r="F110" i="19"/>
  <c r="E110" i="19"/>
  <c r="F109" i="19"/>
  <c r="E109" i="19"/>
  <c r="F108" i="19"/>
  <c r="E108" i="19"/>
  <c r="F107" i="19"/>
  <c r="E107" i="19"/>
  <c r="F106" i="19"/>
  <c r="E106" i="19"/>
  <c r="F105" i="19"/>
  <c r="E105" i="19"/>
  <c r="F104" i="19"/>
  <c r="E104" i="19"/>
  <c r="F103" i="19"/>
  <c r="E103" i="19"/>
  <c r="F100" i="19"/>
  <c r="E100" i="19"/>
  <c r="F99" i="19"/>
  <c r="E99" i="19"/>
  <c r="F97" i="19"/>
  <c r="E97" i="19"/>
  <c r="F96" i="19"/>
  <c r="E96" i="19"/>
  <c r="F95" i="19"/>
  <c r="E95" i="19"/>
  <c r="F94" i="19"/>
  <c r="E94" i="19"/>
  <c r="F93" i="19"/>
  <c r="E93" i="19"/>
  <c r="F92" i="19"/>
  <c r="E92" i="19"/>
  <c r="F91" i="19"/>
  <c r="E91" i="19"/>
  <c r="F90" i="19"/>
  <c r="E90" i="19"/>
  <c r="F89" i="19"/>
  <c r="E89" i="19"/>
  <c r="F88" i="19"/>
  <c r="E88" i="19"/>
  <c r="F87" i="19"/>
  <c r="E87" i="19"/>
  <c r="F84" i="19"/>
  <c r="E84" i="19"/>
  <c r="F83" i="19"/>
  <c r="E83" i="19"/>
  <c r="F82" i="19"/>
  <c r="E82" i="19"/>
  <c r="F81" i="19"/>
  <c r="E81" i="19"/>
  <c r="F80" i="19"/>
  <c r="E80" i="19"/>
  <c r="F79" i="19"/>
  <c r="E79" i="19"/>
  <c r="F78" i="19"/>
  <c r="E78" i="19"/>
  <c r="F77" i="19"/>
  <c r="E77" i="19"/>
  <c r="F74" i="19"/>
  <c r="E74" i="19"/>
  <c r="F73" i="19"/>
  <c r="E73" i="19"/>
  <c r="F72" i="19"/>
  <c r="E72" i="19"/>
  <c r="F71" i="19"/>
  <c r="E71" i="19"/>
  <c r="F70" i="19"/>
  <c r="E70" i="19"/>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F56" i="19"/>
  <c r="E56" i="19"/>
  <c r="F55" i="19"/>
  <c r="E55" i="19"/>
  <c r="F54" i="19"/>
  <c r="E54" i="19"/>
  <c r="F51" i="19"/>
  <c r="E51" i="19"/>
  <c r="F50" i="19"/>
  <c r="E50" i="19"/>
  <c r="F47" i="19"/>
  <c r="E47" i="19"/>
  <c r="F46" i="19"/>
  <c r="E46" i="19"/>
  <c r="F45" i="19"/>
  <c r="E45" i="19"/>
  <c r="F44" i="19"/>
  <c r="E44" i="19"/>
  <c r="F43" i="19"/>
  <c r="E43" i="19"/>
  <c r="F42" i="19"/>
  <c r="E42" i="19"/>
  <c r="F41" i="19"/>
  <c r="E41" i="19"/>
  <c r="F38" i="19"/>
  <c r="E38" i="19"/>
  <c r="F37" i="19"/>
  <c r="E37" i="19"/>
  <c r="F36" i="19"/>
  <c r="E36" i="19"/>
  <c r="F35" i="19"/>
  <c r="E35" i="19"/>
  <c r="F34" i="19"/>
  <c r="E34" i="19"/>
  <c r="F31" i="19"/>
  <c r="E31" i="19"/>
  <c r="F30" i="19"/>
  <c r="E30" i="19"/>
  <c r="F29" i="19"/>
  <c r="E29" i="19"/>
  <c r="F28" i="19"/>
  <c r="E28" i="19"/>
  <c r="F27" i="19"/>
  <c r="E27" i="19"/>
  <c r="F24" i="19"/>
  <c r="E24" i="19"/>
  <c r="F23" i="19"/>
  <c r="E23" i="19"/>
  <c r="F22" i="19"/>
  <c r="E22" i="19"/>
  <c r="F21" i="19"/>
  <c r="E21" i="19"/>
  <c r="F20" i="19"/>
  <c r="E20" i="19"/>
  <c r="F19" i="19"/>
  <c r="E19" i="19"/>
  <c r="F18" i="19"/>
  <c r="E18" i="19"/>
  <c r="F17" i="19"/>
  <c r="E17" i="19"/>
  <c r="F16" i="19"/>
  <c r="E16" i="19"/>
  <c r="F15" i="19"/>
  <c r="E15" i="19"/>
  <c r="F14" i="19"/>
  <c r="E14" i="19"/>
  <c r="F13" i="19"/>
  <c r="E13" i="19"/>
  <c r="F12" i="19"/>
  <c r="E12" i="19"/>
  <c r="F11" i="19"/>
  <c r="E11" i="19"/>
  <c r="F10" i="19"/>
  <c r="E10" i="19"/>
  <c r="C24" i="2"/>
  <c r="O63" i="3"/>
  <c r="C11" i="5"/>
  <c r="B14" i="3" s="1"/>
  <c r="D3" i="17"/>
  <c r="B5" i="29" s="1"/>
  <c r="B33" i="8"/>
  <c r="C16" i="2"/>
  <c r="O24" i="27"/>
  <c r="A24" i="27" s="1"/>
  <c r="O23" i="27"/>
  <c r="A23" i="27" s="1"/>
  <c r="O22" i="27"/>
  <c r="C59" i="19"/>
  <c r="C36" i="19"/>
  <c r="C7" i="11"/>
  <c r="A71" i="18"/>
  <c r="D118" i="19"/>
  <c r="B4" i="11"/>
  <c r="B5" i="11" s="1"/>
  <c r="D128" i="19"/>
  <c r="C128" i="19"/>
  <c r="B6" i="30"/>
  <c r="B5" i="30"/>
  <c r="C12" i="2"/>
  <c r="W30" i="27"/>
  <c r="V31" i="27"/>
  <c r="O30" i="27"/>
  <c r="A30" i="27" s="1"/>
  <c r="AC76" i="8"/>
  <c r="AB77" i="8"/>
  <c r="AD72" i="8"/>
  <c r="AA77" i="8"/>
  <c r="K27" i="9"/>
  <c r="M15" i="8"/>
  <c r="AD76" i="8"/>
  <c r="AD73" i="8"/>
  <c r="AD74" i="8"/>
  <c r="X86" i="8"/>
  <c r="Q29" i="27"/>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J46" i="6"/>
  <c r="I46" i="6"/>
  <c r="B36" i="8"/>
  <c r="B70" i="8"/>
  <c r="D77" i="8"/>
  <c r="O27" i="27"/>
  <c r="A12" i="29"/>
  <c r="A21" i="4"/>
  <c r="A26" i="3"/>
  <c r="A16" i="3"/>
  <c r="W23" i="27"/>
  <c r="W22" i="27"/>
  <c r="Q24" i="27"/>
  <c r="Q23" i="27"/>
  <c r="Q22" i="27"/>
  <c r="AH26" i="34"/>
  <c r="W29" i="27"/>
  <c r="D94" i="19"/>
  <c r="D96" i="19"/>
  <c r="C94" i="19"/>
  <c r="C96" i="19"/>
  <c r="B34" i="18"/>
  <c r="C20" i="5"/>
  <c r="C21" i="5"/>
  <c r="C22" i="5"/>
  <c r="B26" i="3"/>
  <c r="AA73" i="31"/>
  <c r="Z73" i="31"/>
  <c r="Y73" i="31"/>
  <c r="X73" i="31"/>
  <c r="W73" i="31"/>
  <c r="AA72" i="31"/>
  <c r="Z72" i="31"/>
  <c r="Y72" i="31"/>
  <c r="X72" i="31"/>
  <c r="W72" i="31"/>
  <c r="AA71" i="31"/>
  <c r="Z71" i="31"/>
  <c r="Y71" i="31"/>
  <c r="X71" i="31"/>
  <c r="W71" i="31"/>
  <c r="AA70" i="31"/>
  <c r="Z70" i="31"/>
  <c r="Y70" i="31"/>
  <c r="X70" i="31"/>
  <c r="W70" i="31"/>
  <c r="AA69" i="31"/>
  <c r="Z69" i="31"/>
  <c r="Y69" i="31"/>
  <c r="X69" i="31"/>
  <c r="W69" i="31"/>
  <c r="AA68" i="31"/>
  <c r="Z68" i="31"/>
  <c r="Y68" i="31"/>
  <c r="X68" i="31"/>
  <c r="W68" i="31"/>
  <c r="AA67" i="31"/>
  <c r="Z67" i="31"/>
  <c r="Y67" i="31"/>
  <c r="X67" i="31"/>
  <c r="W67" i="31"/>
  <c r="AA66" i="31"/>
  <c r="Z66" i="31"/>
  <c r="Y66" i="31"/>
  <c r="X66" i="31"/>
  <c r="W66" i="31"/>
  <c r="AA65" i="31"/>
  <c r="Z65" i="31"/>
  <c r="Y65" i="31"/>
  <c r="X65" i="31"/>
  <c r="W65" i="31"/>
  <c r="AA64" i="31"/>
  <c r="Z64" i="31"/>
  <c r="Y64" i="31"/>
  <c r="X64" i="31"/>
  <c r="W64" i="31"/>
  <c r="AA63" i="31"/>
  <c r="Z63" i="31"/>
  <c r="Y63" i="31"/>
  <c r="X63" i="31"/>
  <c r="W63" i="31"/>
  <c r="AA62" i="31"/>
  <c r="Z62" i="31"/>
  <c r="Y62" i="31"/>
  <c r="X62" i="31"/>
  <c r="W62" i="31"/>
  <c r="AA61" i="31"/>
  <c r="Z61" i="31"/>
  <c r="Y61" i="31"/>
  <c r="X61" i="31"/>
  <c r="W61" i="31"/>
  <c r="AA60" i="31"/>
  <c r="Z60" i="31"/>
  <c r="Y60" i="31"/>
  <c r="X60" i="31"/>
  <c r="W60" i="31"/>
  <c r="AA59" i="31"/>
  <c r="Z59" i="31"/>
  <c r="Y59" i="31"/>
  <c r="X59" i="31"/>
  <c r="W59" i="31"/>
  <c r="AA58" i="31"/>
  <c r="Z58" i="31"/>
  <c r="Y58" i="31"/>
  <c r="X58" i="31"/>
  <c r="W58" i="31"/>
  <c r="AA57" i="31"/>
  <c r="Z57" i="31"/>
  <c r="Y57" i="31"/>
  <c r="X57" i="31"/>
  <c r="W57" i="31"/>
  <c r="AA56" i="31"/>
  <c r="Z56" i="31"/>
  <c r="Y56" i="31"/>
  <c r="X56" i="31"/>
  <c r="W56" i="31"/>
  <c r="AA55" i="31"/>
  <c r="Z55" i="31"/>
  <c r="Y55" i="31"/>
  <c r="X55" i="31"/>
  <c r="W55" i="31"/>
  <c r="AA54" i="31"/>
  <c r="Z54" i="31"/>
  <c r="Y54" i="31"/>
  <c r="X54" i="31"/>
  <c r="W54" i="31"/>
  <c r="AA53" i="31"/>
  <c r="Z53" i="31"/>
  <c r="Y53" i="31"/>
  <c r="X53" i="31"/>
  <c r="W53" i="31"/>
  <c r="AA52" i="31"/>
  <c r="Z52" i="31"/>
  <c r="Y52" i="31"/>
  <c r="X52" i="31"/>
  <c r="W52" i="31"/>
  <c r="AA51" i="31"/>
  <c r="Z51" i="31"/>
  <c r="Y51" i="31"/>
  <c r="X51" i="31"/>
  <c r="W51" i="31"/>
  <c r="AA50" i="31"/>
  <c r="Z50" i="31"/>
  <c r="Y50" i="31"/>
  <c r="X50" i="31"/>
  <c r="W50" i="31"/>
  <c r="AA49" i="31"/>
  <c r="Z49" i="31"/>
  <c r="Y49" i="31"/>
  <c r="X49" i="31"/>
  <c r="W49" i="31"/>
  <c r="AA48" i="31"/>
  <c r="Z48" i="31"/>
  <c r="Y48" i="31"/>
  <c r="X48" i="31"/>
  <c r="W48" i="31"/>
  <c r="AA47" i="31"/>
  <c r="Z47" i="31"/>
  <c r="Y47" i="31"/>
  <c r="X47" i="31"/>
  <c r="W47" i="31"/>
  <c r="AA46" i="31"/>
  <c r="Z46" i="31"/>
  <c r="Y46" i="31"/>
  <c r="X46" i="31"/>
  <c r="W46" i="31"/>
  <c r="AA45" i="31"/>
  <c r="Z45" i="31"/>
  <c r="Y45" i="31"/>
  <c r="X45" i="31"/>
  <c r="W45" i="31"/>
  <c r="AA44" i="31"/>
  <c r="Z44" i="31"/>
  <c r="Y44" i="31"/>
  <c r="X44" i="31"/>
  <c r="W44" i="31"/>
  <c r="AA43" i="31"/>
  <c r="Z43" i="31"/>
  <c r="Y43" i="31"/>
  <c r="X43" i="31"/>
  <c r="W43" i="31"/>
  <c r="AA42" i="31"/>
  <c r="Z42" i="31"/>
  <c r="Y42" i="31"/>
  <c r="X42" i="31"/>
  <c r="W42" i="31"/>
  <c r="AA41" i="31"/>
  <c r="Z41" i="31"/>
  <c r="Y41" i="31"/>
  <c r="X41" i="31"/>
  <c r="W41" i="31"/>
  <c r="AA40" i="31"/>
  <c r="Z40" i="31"/>
  <c r="Y40" i="31"/>
  <c r="X40" i="31"/>
  <c r="W40" i="31"/>
  <c r="AA39" i="31"/>
  <c r="Z39" i="31"/>
  <c r="Y39" i="31"/>
  <c r="X39" i="31"/>
  <c r="W39" i="31"/>
  <c r="AA38" i="31"/>
  <c r="Z38" i="31"/>
  <c r="Y38" i="31"/>
  <c r="X38" i="31"/>
  <c r="W38" i="31"/>
  <c r="AA37" i="31"/>
  <c r="Z37" i="31"/>
  <c r="Y37" i="31"/>
  <c r="X37" i="31"/>
  <c r="W37" i="31"/>
  <c r="AA36" i="31"/>
  <c r="Z36" i="31"/>
  <c r="Y36" i="31"/>
  <c r="X36" i="31"/>
  <c r="W36" i="31"/>
  <c r="AA35" i="31"/>
  <c r="Z35" i="31"/>
  <c r="Y35" i="31"/>
  <c r="X35" i="31"/>
  <c r="W35" i="31"/>
  <c r="T73" i="31"/>
  <c r="S73" i="31"/>
  <c r="R73" i="31"/>
  <c r="Q73" i="31"/>
  <c r="P73" i="31"/>
  <c r="T72" i="31"/>
  <c r="S72" i="31"/>
  <c r="R72" i="31"/>
  <c r="Q72" i="31"/>
  <c r="P72" i="31"/>
  <c r="T71" i="31"/>
  <c r="S71" i="31"/>
  <c r="R71" i="31"/>
  <c r="Q71" i="31"/>
  <c r="P71" i="31"/>
  <c r="T70" i="31"/>
  <c r="S70" i="31"/>
  <c r="R70" i="31"/>
  <c r="Q70" i="31"/>
  <c r="P70" i="31"/>
  <c r="T69" i="31"/>
  <c r="S69" i="31"/>
  <c r="R69" i="31"/>
  <c r="Q69" i="31"/>
  <c r="P69" i="31"/>
  <c r="T68" i="31"/>
  <c r="S68" i="31"/>
  <c r="R68" i="31"/>
  <c r="Q68" i="31"/>
  <c r="P68" i="31"/>
  <c r="T67" i="31"/>
  <c r="S67" i="31"/>
  <c r="R67" i="31"/>
  <c r="Q67" i="31"/>
  <c r="P67" i="31"/>
  <c r="T66" i="31"/>
  <c r="S66" i="31"/>
  <c r="R66" i="31"/>
  <c r="Q66" i="31"/>
  <c r="P66" i="31"/>
  <c r="T65" i="31"/>
  <c r="S65" i="31"/>
  <c r="R65" i="31"/>
  <c r="Q65" i="31"/>
  <c r="P65" i="31"/>
  <c r="T64" i="31"/>
  <c r="S64" i="31"/>
  <c r="R64" i="31"/>
  <c r="Q64" i="31"/>
  <c r="P64" i="31"/>
  <c r="T63" i="31"/>
  <c r="S63" i="31"/>
  <c r="R63" i="31"/>
  <c r="Q63" i="31"/>
  <c r="P63" i="31"/>
  <c r="T62" i="31"/>
  <c r="S62" i="31"/>
  <c r="R62" i="31"/>
  <c r="Q62" i="31"/>
  <c r="P62" i="31"/>
  <c r="T61" i="31"/>
  <c r="S61" i="31"/>
  <c r="R61" i="31"/>
  <c r="Q61" i="31"/>
  <c r="P61" i="31"/>
  <c r="T60" i="31"/>
  <c r="S60" i="31"/>
  <c r="R60" i="31"/>
  <c r="Q60" i="31"/>
  <c r="P60" i="31"/>
  <c r="T59" i="31"/>
  <c r="S59" i="31"/>
  <c r="R59" i="31"/>
  <c r="Q59" i="31"/>
  <c r="P59" i="31"/>
  <c r="T58" i="31"/>
  <c r="S58" i="31"/>
  <c r="R58" i="31"/>
  <c r="Q58" i="31"/>
  <c r="P58" i="31"/>
  <c r="T57" i="31"/>
  <c r="S57" i="31"/>
  <c r="R57" i="31"/>
  <c r="Q57" i="31"/>
  <c r="P57" i="31"/>
  <c r="T56" i="31"/>
  <c r="S56" i="31"/>
  <c r="R56" i="31"/>
  <c r="Q56" i="31"/>
  <c r="P56" i="31"/>
  <c r="T55" i="31"/>
  <c r="S55" i="31"/>
  <c r="R55" i="31"/>
  <c r="Q55" i="31"/>
  <c r="P55" i="31"/>
  <c r="T54" i="31"/>
  <c r="S54" i="31"/>
  <c r="R54" i="31"/>
  <c r="Q54" i="31"/>
  <c r="P54" i="31"/>
  <c r="T53" i="31"/>
  <c r="S53" i="31"/>
  <c r="R53" i="31"/>
  <c r="Q53" i="31"/>
  <c r="P53" i="31"/>
  <c r="T52" i="31"/>
  <c r="S52" i="31"/>
  <c r="R52" i="31"/>
  <c r="Q52" i="31"/>
  <c r="P52" i="31"/>
  <c r="T51" i="31"/>
  <c r="S51" i="31"/>
  <c r="R51" i="31"/>
  <c r="Q51" i="31"/>
  <c r="P51" i="31"/>
  <c r="T50" i="31"/>
  <c r="S50" i="31"/>
  <c r="R50" i="31"/>
  <c r="Q50" i="31"/>
  <c r="P50" i="31"/>
  <c r="T49" i="31"/>
  <c r="S49" i="31"/>
  <c r="R49" i="31"/>
  <c r="Q49" i="31"/>
  <c r="P49" i="31"/>
  <c r="T48" i="31"/>
  <c r="S48" i="31"/>
  <c r="R48" i="31"/>
  <c r="Q48" i="31"/>
  <c r="P48" i="31"/>
  <c r="T47" i="31"/>
  <c r="S47" i="31"/>
  <c r="R47" i="31"/>
  <c r="Q47" i="31"/>
  <c r="P47" i="31"/>
  <c r="T46" i="31"/>
  <c r="S46" i="31"/>
  <c r="R46" i="31"/>
  <c r="Q46" i="31"/>
  <c r="P46" i="31"/>
  <c r="T45" i="31"/>
  <c r="S45" i="31"/>
  <c r="R45" i="31"/>
  <c r="Q45" i="31"/>
  <c r="P45" i="31"/>
  <c r="T44" i="31"/>
  <c r="S44" i="31"/>
  <c r="R44" i="31"/>
  <c r="Q44" i="31"/>
  <c r="P44" i="31"/>
  <c r="T43" i="31"/>
  <c r="S43" i="31"/>
  <c r="R43" i="31"/>
  <c r="Q43" i="31"/>
  <c r="P43" i="31"/>
  <c r="T42" i="31"/>
  <c r="S42" i="31"/>
  <c r="R42" i="31"/>
  <c r="Q42" i="31"/>
  <c r="P42" i="31"/>
  <c r="T41" i="31"/>
  <c r="S41" i="31"/>
  <c r="R41" i="31"/>
  <c r="Q41" i="31"/>
  <c r="P41" i="31"/>
  <c r="T40" i="31"/>
  <c r="S40" i="31"/>
  <c r="R40" i="31"/>
  <c r="Q40" i="31"/>
  <c r="P40" i="31"/>
  <c r="T39" i="31"/>
  <c r="S39" i="31"/>
  <c r="R39" i="31"/>
  <c r="Q39" i="31"/>
  <c r="P39" i="31"/>
  <c r="T38" i="31"/>
  <c r="S38" i="31"/>
  <c r="R38" i="31"/>
  <c r="Q38" i="31"/>
  <c r="P38" i="31"/>
  <c r="T37" i="31"/>
  <c r="S37" i="31"/>
  <c r="R37" i="31"/>
  <c r="Q37" i="31"/>
  <c r="P37" i="31"/>
  <c r="T36" i="31"/>
  <c r="S36" i="31"/>
  <c r="R36" i="31"/>
  <c r="Q36" i="31"/>
  <c r="P36" i="31"/>
  <c r="T35" i="31"/>
  <c r="S35" i="31"/>
  <c r="R35" i="31"/>
  <c r="Q35" i="31"/>
  <c r="P35" i="31"/>
  <c r="M73" i="31"/>
  <c r="L73" i="31"/>
  <c r="K73" i="31"/>
  <c r="J73" i="31"/>
  <c r="I73" i="31"/>
  <c r="M72" i="31"/>
  <c r="L72" i="31"/>
  <c r="K72" i="31"/>
  <c r="J72" i="31"/>
  <c r="I72" i="31"/>
  <c r="M71" i="31"/>
  <c r="L71" i="31"/>
  <c r="K71" i="31"/>
  <c r="J71" i="31"/>
  <c r="I71" i="31"/>
  <c r="M70" i="31"/>
  <c r="L70" i="31"/>
  <c r="K70" i="31"/>
  <c r="J70" i="31"/>
  <c r="I70" i="31"/>
  <c r="M69" i="31"/>
  <c r="L69" i="31"/>
  <c r="K69" i="31"/>
  <c r="J69" i="31"/>
  <c r="I69" i="31"/>
  <c r="M68" i="31"/>
  <c r="L68" i="31"/>
  <c r="K68" i="31"/>
  <c r="J68" i="31"/>
  <c r="I68" i="31"/>
  <c r="M67" i="31"/>
  <c r="L67" i="31"/>
  <c r="K67" i="31"/>
  <c r="J67" i="31"/>
  <c r="I67" i="31"/>
  <c r="M66" i="31"/>
  <c r="L66" i="31"/>
  <c r="K66" i="31"/>
  <c r="J66" i="31"/>
  <c r="I66" i="31"/>
  <c r="M65" i="31"/>
  <c r="L65" i="31"/>
  <c r="K65" i="31"/>
  <c r="J65" i="31"/>
  <c r="I65" i="31"/>
  <c r="M64" i="31"/>
  <c r="L64" i="31"/>
  <c r="K64" i="31"/>
  <c r="J64" i="31"/>
  <c r="I64" i="31"/>
  <c r="M63" i="31"/>
  <c r="L63" i="31"/>
  <c r="K63" i="31"/>
  <c r="J63" i="31"/>
  <c r="I63" i="31"/>
  <c r="M62" i="31"/>
  <c r="L62" i="31"/>
  <c r="K62" i="31"/>
  <c r="J62" i="31"/>
  <c r="I62" i="31"/>
  <c r="M61" i="31"/>
  <c r="L61" i="31"/>
  <c r="K61" i="31"/>
  <c r="J61" i="31"/>
  <c r="I61" i="31"/>
  <c r="M60" i="31"/>
  <c r="L60" i="31"/>
  <c r="K60" i="31"/>
  <c r="J60" i="31"/>
  <c r="I60" i="31"/>
  <c r="M59" i="31"/>
  <c r="L59" i="31"/>
  <c r="K59" i="31"/>
  <c r="J59" i="31"/>
  <c r="I59" i="31"/>
  <c r="M58" i="31"/>
  <c r="L58" i="31"/>
  <c r="K58" i="31"/>
  <c r="J58" i="31"/>
  <c r="I58" i="31"/>
  <c r="M57" i="31"/>
  <c r="L57" i="31"/>
  <c r="K57" i="31"/>
  <c r="J57" i="31"/>
  <c r="I57" i="31"/>
  <c r="M56" i="31"/>
  <c r="L56" i="31"/>
  <c r="K56" i="31"/>
  <c r="J56" i="31"/>
  <c r="I56" i="31"/>
  <c r="M55" i="31"/>
  <c r="L55" i="31"/>
  <c r="K55" i="31"/>
  <c r="J55" i="31"/>
  <c r="I55" i="31"/>
  <c r="M54" i="31"/>
  <c r="L54" i="31"/>
  <c r="K54" i="31"/>
  <c r="J54" i="31"/>
  <c r="I54" i="31"/>
  <c r="M53" i="31"/>
  <c r="L53" i="31"/>
  <c r="K53" i="31"/>
  <c r="J53" i="31"/>
  <c r="I53" i="31"/>
  <c r="M52" i="31"/>
  <c r="L52" i="31"/>
  <c r="K52" i="31"/>
  <c r="J52" i="31"/>
  <c r="I52" i="31"/>
  <c r="M51" i="31"/>
  <c r="L51" i="31"/>
  <c r="K51" i="31"/>
  <c r="J51" i="31"/>
  <c r="I51" i="31"/>
  <c r="M50" i="31"/>
  <c r="L50" i="31"/>
  <c r="K50" i="31"/>
  <c r="J50" i="31"/>
  <c r="I50" i="31"/>
  <c r="M49" i="31"/>
  <c r="L49" i="31"/>
  <c r="K49" i="31"/>
  <c r="J49" i="31"/>
  <c r="I49" i="31"/>
  <c r="M48" i="31"/>
  <c r="L48" i="31"/>
  <c r="K48" i="31"/>
  <c r="J48" i="31"/>
  <c r="I48" i="31"/>
  <c r="M47" i="31"/>
  <c r="L47" i="31"/>
  <c r="K47" i="31"/>
  <c r="J47" i="31"/>
  <c r="I47" i="31"/>
  <c r="M46" i="31"/>
  <c r="L46" i="31"/>
  <c r="K46" i="31"/>
  <c r="J46" i="31"/>
  <c r="I46" i="31"/>
  <c r="M45" i="31"/>
  <c r="L45" i="31"/>
  <c r="K45" i="31"/>
  <c r="J45" i="31"/>
  <c r="I45" i="31"/>
  <c r="M44" i="31"/>
  <c r="L44" i="31"/>
  <c r="K44" i="31"/>
  <c r="J44" i="31"/>
  <c r="I44" i="31"/>
  <c r="M43" i="31"/>
  <c r="L43" i="31"/>
  <c r="K43" i="31"/>
  <c r="J43" i="31"/>
  <c r="I43" i="31"/>
  <c r="M42" i="31"/>
  <c r="L42" i="31"/>
  <c r="K42" i="31"/>
  <c r="J42" i="31"/>
  <c r="I42" i="31"/>
  <c r="M41" i="31"/>
  <c r="L41" i="31"/>
  <c r="K41" i="31"/>
  <c r="J41" i="31"/>
  <c r="I41" i="31"/>
  <c r="M40" i="31"/>
  <c r="L40" i="31"/>
  <c r="K40" i="31"/>
  <c r="J40" i="31"/>
  <c r="I40" i="31"/>
  <c r="M39" i="31"/>
  <c r="L39" i="31"/>
  <c r="K39" i="31"/>
  <c r="J39" i="31"/>
  <c r="I39" i="31"/>
  <c r="M38" i="31"/>
  <c r="L38" i="31"/>
  <c r="K38" i="31"/>
  <c r="J38" i="31"/>
  <c r="I38" i="31"/>
  <c r="M37" i="31"/>
  <c r="L37" i="31"/>
  <c r="K37" i="31"/>
  <c r="J37" i="31"/>
  <c r="I37" i="31"/>
  <c r="M36" i="31"/>
  <c r="L36" i="31"/>
  <c r="K36" i="31"/>
  <c r="J36" i="31"/>
  <c r="I36" i="31"/>
  <c r="M35" i="31"/>
  <c r="L35" i="31"/>
  <c r="K35" i="31"/>
  <c r="J35" i="31"/>
  <c r="I35" i="31"/>
  <c r="F34" i="31"/>
  <c r="M34" i="31"/>
  <c r="T34" i="31"/>
  <c r="AA34" i="31"/>
  <c r="E34" i="31"/>
  <c r="L34" i="31" s="1"/>
  <c r="S34" i="31" s="1"/>
  <c r="Z34" i="31" s="1"/>
  <c r="D34" i="31"/>
  <c r="K34" i="31" s="1"/>
  <c r="R34" i="31" s="1"/>
  <c r="Y34" i="31" s="1"/>
  <c r="B34" i="31"/>
  <c r="I34" i="31" s="1"/>
  <c r="P34" i="31" s="1"/>
  <c r="W34" i="31" s="1"/>
  <c r="C34" i="31"/>
  <c r="J34" i="31" s="1"/>
  <c r="Q34" i="31" s="1"/>
  <c r="X34" i="31" s="1"/>
  <c r="F73" i="31"/>
  <c r="E73" i="31"/>
  <c r="D73" i="31"/>
  <c r="C73" i="31"/>
  <c r="B73" i="31"/>
  <c r="A73" i="31"/>
  <c r="H73" i="31"/>
  <c r="O73" i="31"/>
  <c r="V73" i="31"/>
  <c r="F72" i="31"/>
  <c r="E72" i="31"/>
  <c r="D72" i="31"/>
  <c r="C72" i="31"/>
  <c r="B72" i="31"/>
  <c r="A72" i="31"/>
  <c r="H72" i="31"/>
  <c r="O72" i="31"/>
  <c r="V72" i="31"/>
  <c r="F71" i="31"/>
  <c r="E71" i="31"/>
  <c r="D71" i="31"/>
  <c r="C71" i="31"/>
  <c r="B71" i="31"/>
  <c r="A71" i="31"/>
  <c r="H71" i="31"/>
  <c r="O71" i="31"/>
  <c r="V71" i="31"/>
  <c r="F70" i="31"/>
  <c r="E70" i="31"/>
  <c r="D70" i="31"/>
  <c r="C70" i="31"/>
  <c r="B70" i="31"/>
  <c r="A70" i="31"/>
  <c r="H70" i="31"/>
  <c r="O70" i="31"/>
  <c r="V70" i="31"/>
  <c r="F69" i="31"/>
  <c r="E69" i="31"/>
  <c r="D69" i="31"/>
  <c r="C69" i="31"/>
  <c r="B69" i="31"/>
  <c r="A69" i="31"/>
  <c r="H69" i="31"/>
  <c r="O69" i="31"/>
  <c r="V69" i="31"/>
  <c r="F68" i="31"/>
  <c r="E68" i="31"/>
  <c r="D68" i="31"/>
  <c r="C68" i="31"/>
  <c r="B68" i="31"/>
  <c r="A68" i="31"/>
  <c r="H68" i="31"/>
  <c r="O68" i="31"/>
  <c r="V68" i="31"/>
  <c r="F67" i="31"/>
  <c r="E67" i="31"/>
  <c r="D67" i="31"/>
  <c r="C67" i="31"/>
  <c r="B67" i="31"/>
  <c r="A67" i="31"/>
  <c r="H67" i="31"/>
  <c r="O67" i="31"/>
  <c r="V67" i="31"/>
  <c r="F66" i="31"/>
  <c r="E66" i="31"/>
  <c r="D66" i="31"/>
  <c r="C66" i="31"/>
  <c r="B66" i="31"/>
  <c r="A66" i="31"/>
  <c r="H66" i="31"/>
  <c r="O66" i="31"/>
  <c r="V66" i="31"/>
  <c r="F65" i="31"/>
  <c r="E65" i="31"/>
  <c r="D65" i="31"/>
  <c r="C65" i="31"/>
  <c r="B65" i="31"/>
  <c r="A65" i="31"/>
  <c r="H65" i="31"/>
  <c r="O65" i="31"/>
  <c r="V65" i="31"/>
  <c r="F64" i="31"/>
  <c r="E64" i="31"/>
  <c r="D64" i="31"/>
  <c r="C64" i="31"/>
  <c r="B64" i="31"/>
  <c r="A64" i="31"/>
  <c r="H64" i="31"/>
  <c r="O64" i="31"/>
  <c r="V64" i="31"/>
  <c r="F63" i="31"/>
  <c r="E63" i="31"/>
  <c r="D63" i="31"/>
  <c r="C63" i="31"/>
  <c r="B63" i="31"/>
  <c r="A63" i="31"/>
  <c r="H63" i="31"/>
  <c r="O63" i="31"/>
  <c r="V63" i="31"/>
  <c r="F62" i="31"/>
  <c r="E62" i="31"/>
  <c r="D62" i="31"/>
  <c r="C62" i="31"/>
  <c r="B62" i="31"/>
  <c r="A62" i="31"/>
  <c r="H62" i="31"/>
  <c r="O62" i="31"/>
  <c r="V62" i="31"/>
  <c r="F61" i="31"/>
  <c r="E61" i="31"/>
  <c r="D61" i="31"/>
  <c r="C61" i="31"/>
  <c r="B61" i="31"/>
  <c r="A61" i="31"/>
  <c r="H61" i="31"/>
  <c r="O61" i="31"/>
  <c r="V61" i="31"/>
  <c r="F60" i="31"/>
  <c r="E60" i="31"/>
  <c r="D60" i="31"/>
  <c r="C60" i="31"/>
  <c r="B60" i="31"/>
  <c r="A60" i="31"/>
  <c r="H60" i="31"/>
  <c r="O60" i="31"/>
  <c r="V60" i="31"/>
  <c r="F59" i="31"/>
  <c r="E59" i="31"/>
  <c r="D59" i="31"/>
  <c r="C59" i="31"/>
  <c r="B59" i="31"/>
  <c r="A59" i="31"/>
  <c r="H59" i="31"/>
  <c r="O59" i="31"/>
  <c r="V59" i="31"/>
  <c r="F58" i="31"/>
  <c r="E58" i="31"/>
  <c r="D58" i="31"/>
  <c r="C58" i="31"/>
  <c r="B58" i="31"/>
  <c r="A58" i="31"/>
  <c r="H58" i="31"/>
  <c r="O58" i="31"/>
  <c r="V58" i="31"/>
  <c r="F57" i="31"/>
  <c r="E57" i="31"/>
  <c r="D57" i="31"/>
  <c r="C57" i="31"/>
  <c r="B57" i="31"/>
  <c r="A57" i="31"/>
  <c r="H57" i="31"/>
  <c r="O57" i="31"/>
  <c r="V57" i="31"/>
  <c r="F56" i="31"/>
  <c r="E56" i="31"/>
  <c r="D56" i="31"/>
  <c r="C56" i="31"/>
  <c r="B56" i="31"/>
  <c r="A56" i="31"/>
  <c r="H56" i="31"/>
  <c r="O56" i="31"/>
  <c r="V56" i="31"/>
  <c r="F55" i="31"/>
  <c r="E55" i="31"/>
  <c r="D55" i="31"/>
  <c r="C55" i="31"/>
  <c r="B55" i="31"/>
  <c r="A55" i="31"/>
  <c r="H55" i="31"/>
  <c r="O55" i="31"/>
  <c r="V55" i="31"/>
  <c r="F54" i="31"/>
  <c r="E54" i="31"/>
  <c r="D54" i="31"/>
  <c r="C54" i="31"/>
  <c r="B54" i="31"/>
  <c r="A54" i="31"/>
  <c r="H54" i="31"/>
  <c r="O54" i="31"/>
  <c r="V54" i="31"/>
  <c r="F53" i="31"/>
  <c r="E53" i="31"/>
  <c r="D53" i="31"/>
  <c r="C53" i="31"/>
  <c r="B53" i="31"/>
  <c r="A53" i="31"/>
  <c r="H53" i="31"/>
  <c r="O53" i="31"/>
  <c r="V53" i="31"/>
  <c r="F52" i="31"/>
  <c r="E52" i="31"/>
  <c r="D52" i="31"/>
  <c r="C52" i="31"/>
  <c r="B52" i="31"/>
  <c r="A52" i="31"/>
  <c r="H52" i="31"/>
  <c r="O52" i="31"/>
  <c r="V52" i="31"/>
  <c r="F51" i="31"/>
  <c r="E51" i="31"/>
  <c r="D51" i="31"/>
  <c r="C51" i="31"/>
  <c r="B51" i="31"/>
  <c r="A51" i="31"/>
  <c r="H51" i="31"/>
  <c r="O51" i="31"/>
  <c r="V51" i="31"/>
  <c r="F50" i="31"/>
  <c r="E50" i="31"/>
  <c r="D50" i="31"/>
  <c r="C50" i="31"/>
  <c r="B50" i="31"/>
  <c r="A50" i="31"/>
  <c r="H50" i="31"/>
  <c r="O50" i="31"/>
  <c r="V50" i="31"/>
  <c r="F49" i="31"/>
  <c r="E49" i="31"/>
  <c r="D49" i="31"/>
  <c r="C49" i="31"/>
  <c r="B49" i="31"/>
  <c r="A49" i="31"/>
  <c r="H49" i="31"/>
  <c r="O49" i="31"/>
  <c r="V49" i="31"/>
  <c r="F48" i="31"/>
  <c r="E48" i="31"/>
  <c r="D48" i="31"/>
  <c r="C48" i="31"/>
  <c r="B48" i="31"/>
  <c r="A48" i="31"/>
  <c r="H48" i="31"/>
  <c r="O48" i="31"/>
  <c r="V48" i="31"/>
  <c r="F47" i="31"/>
  <c r="E47" i="31"/>
  <c r="D47" i="31"/>
  <c r="C47" i="31"/>
  <c r="B47" i="31"/>
  <c r="A47" i="31"/>
  <c r="H47" i="31"/>
  <c r="O47" i="31"/>
  <c r="V47" i="31"/>
  <c r="F46" i="31"/>
  <c r="E46" i="31"/>
  <c r="D46" i="31"/>
  <c r="C46" i="31"/>
  <c r="B46" i="31"/>
  <c r="A46" i="31"/>
  <c r="H46" i="31"/>
  <c r="O46" i="31"/>
  <c r="V46" i="31"/>
  <c r="F45" i="31"/>
  <c r="E45" i="31"/>
  <c r="D45" i="31"/>
  <c r="C45" i="31"/>
  <c r="B45" i="31"/>
  <c r="A45" i="31"/>
  <c r="H45" i="31"/>
  <c r="O45" i="31"/>
  <c r="V45" i="31"/>
  <c r="F44" i="31"/>
  <c r="E44" i="31"/>
  <c r="D44" i="31"/>
  <c r="C44" i="31"/>
  <c r="B44" i="31"/>
  <c r="A44" i="31"/>
  <c r="H44" i="31"/>
  <c r="O44" i="31"/>
  <c r="V44" i="31"/>
  <c r="F43" i="31"/>
  <c r="E43" i="31"/>
  <c r="D43" i="31"/>
  <c r="C43" i="31"/>
  <c r="B43" i="31"/>
  <c r="A43" i="31"/>
  <c r="H43" i="31"/>
  <c r="O43" i="31"/>
  <c r="V43" i="31"/>
  <c r="F42" i="31"/>
  <c r="E42" i="31"/>
  <c r="D42" i="31"/>
  <c r="C42" i="31"/>
  <c r="B42" i="31"/>
  <c r="A42" i="31"/>
  <c r="H42" i="31"/>
  <c r="O42" i="31"/>
  <c r="V42" i="31"/>
  <c r="F41" i="31"/>
  <c r="E41" i="31"/>
  <c r="D41" i="31"/>
  <c r="C41" i="31"/>
  <c r="B41" i="31"/>
  <c r="A41" i="31"/>
  <c r="H41" i="31"/>
  <c r="O41" i="31"/>
  <c r="V41" i="31"/>
  <c r="F40" i="31"/>
  <c r="E40" i="31"/>
  <c r="D40" i="31"/>
  <c r="C40" i="31"/>
  <c r="B40" i="31"/>
  <c r="A40" i="31"/>
  <c r="H40" i="31"/>
  <c r="O40" i="31"/>
  <c r="V40" i="31"/>
  <c r="F39" i="31"/>
  <c r="E39" i="31"/>
  <c r="D39" i="31"/>
  <c r="C39" i="31"/>
  <c r="B39" i="31"/>
  <c r="A39" i="31"/>
  <c r="H39" i="31"/>
  <c r="O39" i="31"/>
  <c r="V39" i="31"/>
  <c r="F38" i="31"/>
  <c r="E38" i="31"/>
  <c r="D38" i="31"/>
  <c r="C38" i="31"/>
  <c r="B38" i="31"/>
  <c r="A38" i="31"/>
  <c r="H38" i="31"/>
  <c r="O38" i="31"/>
  <c r="V38" i="31"/>
  <c r="F37" i="31"/>
  <c r="E37" i="31"/>
  <c r="D37" i="31"/>
  <c r="C37" i="31"/>
  <c r="B37" i="31"/>
  <c r="A37" i="31"/>
  <c r="H37" i="31"/>
  <c r="O37" i="31"/>
  <c r="V37" i="31"/>
  <c r="F36" i="31"/>
  <c r="E36" i="31"/>
  <c r="D36" i="31"/>
  <c r="C36" i="31"/>
  <c r="B36" i="31"/>
  <c r="A36" i="31"/>
  <c r="H36" i="31"/>
  <c r="O36" i="31"/>
  <c r="V36" i="31"/>
  <c r="A35" i="31"/>
  <c r="H35" i="31"/>
  <c r="O35" i="31"/>
  <c r="V35" i="31"/>
  <c r="F35" i="31"/>
  <c r="E35" i="31"/>
  <c r="D35" i="31"/>
  <c r="C35" i="31"/>
  <c r="B35" i="31"/>
  <c r="B7" i="30"/>
  <c r="B8" i="30"/>
  <c r="B9" i="30"/>
  <c r="B10" i="30"/>
  <c r="K83" i="28"/>
  <c r="J83" i="28"/>
  <c r="I83" i="28"/>
  <c r="K72" i="28"/>
  <c r="J72" i="28"/>
  <c r="I72" i="28"/>
  <c r="K62" i="28"/>
  <c r="J62" i="28"/>
  <c r="I62" i="28"/>
  <c r="K52" i="28"/>
  <c r="J52" i="28"/>
  <c r="I33" i="28"/>
  <c r="H33" i="28"/>
  <c r="I28" i="28"/>
  <c r="H28" i="28"/>
  <c r="I23" i="28"/>
  <c r="H23" i="28"/>
  <c r="I18" i="28"/>
  <c r="H18" i="28"/>
  <c r="I13" i="28"/>
  <c r="H13" i="28"/>
  <c r="I8" i="28"/>
  <c r="H8" i="28"/>
  <c r="B31" i="3"/>
  <c r="B35" i="4"/>
  <c r="C21" i="20"/>
  <c r="C22" i="20"/>
  <c r="AV12" i="20"/>
  <c r="AX12" i="20"/>
  <c r="AL12" i="20"/>
  <c r="AN12" i="20"/>
  <c r="AB12" i="20"/>
  <c r="AD12" i="20"/>
  <c r="R13" i="20"/>
  <c r="R14" i="20"/>
  <c r="S12" i="20"/>
  <c r="R12" i="20"/>
  <c r="T12" i="20"/>
  <c r="V12" i="20"/>
  <c r="V13" i="20"/>
  <c r="V14" i="20"/>
  <c r="V15" i="20"/>
  <c r="V16" i="20"/>
  <c r="V17" i="20"/>
  <c r="V18" i="20"/>
  <c r="V19" i="20"/>
  <c r="V20"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I21" i="20"/>
  <c r="I20" i="20"/>
  <c r="I19" i="20"/>
  <c r="I18" i="20"/>
  <c r="I17" i="20"/>
  <c r="I16" i="20"/>
  <c r="I15" i="20"/>
  <c r="I14" i="20"/>
  <c r="I13" i="20"/>
  <c r="I12"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13" i="20"/>
  <c r="H12" i="20"/>
  <c r="B33" i="3"/>
  <c r="B37" i="4" s="1"/>
  <c r="B13" i="3"/>
  <c r="B18" i="4" s="1"/>
  <c r="E62" i="3"/>
  <c r="L63" i="3"/>
  <c r="AQ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14" i="20"/>
  <c r="AQ14" i="20"/>
  <c r="AQ15" i="20"/>
  <c r="AQ16" i="20"/>
  <c r="AQ17" i="20"/>
  <c r="AQ18" i="20"/>
  <c r="AQ19" i="20"/>
  <c r="AQ20" i="20"/>
  <c r="AQ21" i="20"/>
  <c r="AQ22" i="20"/>
  <c r="AQ23" i="20"/>
  <c r="AQ24" i="20"/>
  <c r="AQ25" i="20"/>
  <c r="AQ26" i="20"/>
  <c r="AQ27" i="20"/>
  <c r="AQ28" i="20"/>
  <c r="AQ29" i="20"/>
  <c r="AQ30" i="20"/>
  <c r="AQ31" i="20"/>
  <c r="AQ32" i="20"/>
  <c r="AQ33" i="20"/>
  <c r="AQ34" i="20"/>
  <c r="AQ35" i="20"/>
  <c r="AQ36" i="20"/>
  <c r="AQ37" i="20"/>
  <c r="AQ38" i="20"/>
  <c r="AQ39" i="20"/>
  <c r="AQ40" i="20"/>
  <c r="AQ41" i="20"/>
  <c r="AQ42" i="20"/>
  <c r="AQ43" i="20"/>
  <c r="AQ44" i="20"/>
  <c r="AQ45" i="20"/>
  <c r="AQ46" i="20"/>
  <c r="AQ47" i="20"/>
  <c r="AQ48" i="20"/>
  <c r="AQ49" i="20"/>
  <c r="AQ50" i="20"/>
  <c r="AQ51" i="20"/>
  <c r="AQ52" i="20"/>
  <c r="AQ53" i="20"/>
  <c r="AQ54" i="20"/>
  <c r="AQ55" i="20"/>
  <c r="AQ56" i="20"/>
  <c r="AQ57" i="20"/>
  <c r="AQ58" i="20"/>
  <c r="AQ59" i="20"/>
  <c r="AQ60" i="20"/>
  <c r="AP14" i="20"/>
  <c r="AP15" i="20"/>
  <c r="AP16" i="20"/>
  <c r="AP17" i="20"/>
  <c r="AP18" i="20"/>
  <c r="AP19" i="20"/>
  <c r="AP20" i="20"/>
  <c r="AP21" i="20"/>
  <c r="AP22" i="20"/>
  <c r="AP23" i="20"/>
  <c r="AP24" i="20"/>
  <c r="AP25" i="20"/>
  <c r="AP26" i="20"/>
  <c r="AP27" i="20"/>
  <c r="AP28" i="20"/>
  <c r="AP29" i="20"/>
  <c r="AP30" i="20"/>
  <c r="AP31" i="20"/>
  <c r="AP32" i="20"/>
  <c r="AP33" i="20"/>
  <c r="AP34" i="20"/>
  <c r="AP35" i="20"/>
  <c r="AP36" i="20"/>
  <c r="AP37" i="20"/>
  <c r="AP38" i="20"/>
  <c r="AP39" i="20"/>
  <c r="AP40" i="20"/>
  <c r="AP41" i="20"/>
  <c r="AP42" i="20"/>
  <c r="AP43" i="20"/>
  <c r="AP44" i="20"/>
  <c r="AP45" i="20"/>
  <c r="AP46" i="20"/>
  <c r="AP47" i="20"/>
  <c r="AP48" i="20"/>
  <c r="AP49" i="20"/>
  <c r="AP50" i="20"/>
  <c r="AP51" i="20"/>
  <c r="AP52" i="20"/>
  <c r="AP53" i="20"/>
  <c r="AP54" i="20"/>
  <c r="AP55" i="20"/>
  <c r="AP56" i="20"/>
  <c r="AP57" i="20"/>
  <c r="AP58" i="20"/>
  <c r="AP59" i="20"/>
  <c r="AP60" i="20"/>
  <c r="AR13" i="20"/>
  <c r="AP13" i="20"/>
  <c r="AQ13" i="20"/>
  <c r="AP12" i="20"/>
  <c r="AR12" i="20"/>
  <c r="AQ12" i="20"/>
  <c r="AH12" i="20"/>
  <c r="AH13" i="20"/>
  <c r="AH14" i="20"/>
  <c r="AH15" i="20"/>
  <c r="AH16" i="20"/>
  <c r="AH17" i="20"/>
  <c r="AH18" i="20"/>
  <c r="AH19" i="20"/>
  <c r="AH20" i="20"/>
  <c r="AH21" i="20"/>
  <c r="AH22" i="20"/>
  <c r="AH23" i="20"/>
  <c r="AH24" i="20"/>
  <c r="AH25" i="20"/>
  <c r="AH26" i="20"/>
  <c r="AH27" i="20"/>
  <c r="AH28" i="20"/>
  <c r="AH29" i="20"/>
  <c r="AH30" i="20"/>
  <c r="AH31" i="20"/>
  <c r="AH32" i="20"/>
  <c r="AH33" i="20"/>
  <c r="AH34" i="20"/>
  <c r="AH35" i="20"/>
  <c r="AH36" i="20"/>
  <c r="AH37" i="20"/>
  <c r="AH38" i="20"/>
  <c r="AH39" i="20"/>
  <c r="AH40" i="20"/>
  <c r="AH41" i="20"/>
  <c r="AH42" i="20"/>
  <c r="AH43" i="20"/>
  <c r="AH44" i="20"/>
  <c r="AH45" i="20"/>
  <c r="AH46" i="20"/>
  <c r="AH47" i="20"/>
  <c r="AH48" i="20"/>
  <c r="AH49" i="20"/>
  <c r="AH50" i="20"/>
  <c r="AH51" i="20"/>
  <c r="AH52" i="20"/>
  <c r="AH53" i="20"/>
  <c r="AH54" i="20"/>
  <c r="AH55" i="20"/>
  <c r="AH56" i="20"/>
  <c r="AH57" i="20"/>
  <c r="AH58" i="20"/>
  <c r="AH59" i="20"/>
  <c r="AH60" i="20"/>
  <c r="AG12" i="20"/>
  <c r="AG13" i="20"/>
  <c r="AG14" i="20"/>
  <c r="AG15" i="20"/>
  <c r="AG16" i="20"/>
  <c r="AG17" i="20"/>
  <c r="AG18" i="20"/>
  <c r="AG19" i="20"/>
  <c r="AG20" i="20"/>
  <c r="AG21" i="20"/>
  <c r="AG4" i="20"/>
  <c r="AU13" i="20"/>
  <c r="AU14" i="20"/>
  <c r="AK13" i="20"/>
  <c r="AK14" i="20"/>
  <c r="AA13" i="20"/>
  <c r="AA14" i="20"/>
  <c r="B21" i="20"/>
  <c r="B20" i="20"/>
  <c r="B19" i="20"/>
  <c r="B18" i="20"/>
  <c r="B17" i="20"/>
  <c r="B16" i="20"/>
  <c r="B15" i="20"/>
  <c r="B14" i="20"/>
  <c r="B13" i="20"/>
  <c r="B12" i="20"/>
  <c r="L20" i="20"/>
  <c r="L19" i="20"/>
  <c r="L18" i="20"/>
  <c r="L17" i="20"/>
  <c r="L16" i="20"/>
  <c r="L15" i="20"/>
  <c r="L14" i="20"/>
  <c r="L13" i="20"/>
  <c r="L12" i="20"/>
  <c r="X14" i="20"/>
  <c r="X15" i="20"/>
  <c r="X16" i="20"/>
  <c r="X17" i="20"/>
  <c r="X18" i="20"/>
  <c r="X19" i="20"/>
  <c r="X20" i="20"/>
  <c r="X21" i="20"/>
  <c r="X22" i="20"/>
  <c r="X23" i="20"/>
  <c r="X24" i="20"/>
  <c r="X25" i="20"/>
  <c r="X26" i="20"/>
  <c r="X27" i="20"/>
  <c r="X28" i="20"/>
  <c r="X29" i="20"/>
  <c r="X30" i="20"/>
  <c r="X31" i="20"/>
  <c r="X32" i="20"/>
  <c r="X33" i="20"/>
  <c r="X34" i="20"/>
  <c r="X35" i="20"/>
  <c r="X36" i="20"/>
  <c r="X37" i="20"/>
  <c r="X38" i="20"/>
  <c r="X39" i="20"/>
  <c r="X40" i="20"/>
  <c r="X41" i="20"/>
  <c r="X42" i="20"/>
  <c r="X43" i="20"/>
  <c r="X44" i="20"/>
  <c r="X45" i="20"/>
  <c r="X46" i="20"/>
  <c r="X47" i="20"/>
  <c r="X48" i="20"/>
  <c r="X49" i="20"/>
  <c r="X50" i="20"/>
  <c r="X51" i="20"/>
  <c r="X52" i="20"/>
  <c r="X53" i="20"/>
  <c r="X54" i="20"/>
  <c r="X55" i="20"/>
  <c r="X56" i="20"/>
  <c r="X57" i="20"/>
  <c r="X58" i="20"/>
  <c r="X59" i="20"/>
  <c r="X60" i="20"/>
  <c r="W14" i="20"/>
  <c r="W15" i="20"/>
  <c r="W16" i="20"/>
  <c r="W17" i="20"/>
  <c r="W18" i="20"/>
  <c r="W19" i="20"/>
  <c r="W20" i="20"/>
  <c r="W21" i="20"/>
  <c r="W13" i="20"/>
  <c r="X13" i="20"/>
  <c r="X12" i="20"/>
  <c r="W12" i="20"/>
  <c r="N12" i="20"/>
  <c r="N13" i="20"/>
  <c r="N14" i="20"/>
  <c r="N15" i="20"/>
  <c r="N16" i="20"/>
  <c r="N17" i="20"/>
  <c r="N18" i="20"/>
  <c r="N19" i="20"/>
  <c r="N20" i="20"/>
  <c r="M13" i="20"/>
  <c r="M12" i="20"/>
  <c r="W4" i="20"/>
  <c r="Q14" i="20"/>
  <c r="Q13"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21" i="20"/>
  <c r="G14" i="20"/>
  <c r="G15" i="20"/>
  <c r="M14" i="20"/>
  <c r="M15" i="20"/>
  <c r="M16" i="20"/>
  <c r="M17" i="20"/>
  <c r="M18" i="20"/>
  <c r="M19" i="20"/>
  <c r="M20" i="20"/>
  <c r="M21" i="20"/>
  <c r="L21" i="20"/>
  <c r="M4" i="20"/>
  <c r="B4" i="30"/>
  <c r="A36" i="4"/>
  <c r="D50" i="22"/>
  <c r="N50" i="16"/>
  <c r="M50" i="16"/>
  <c r="L50" i="16"/>
  <c r="O50" i="16"/>
  <c r="I50" i="16"/>
  <c r="H50" i="16"/>
  <c r="G50" i="16"/>
  <c r="F50" i="16"/>
  <c r="D50" i="16"/>
  <c r="C50" i="16"/>
  <c r="B50" i="16"/>
  <c r="AM27" i="9"/>
  <c r="AD27" i="9"/>
  <c r="N46" i="6"/>
  <c r="J24" i="9"/>
  <c r="C29" i="2"/>
  <c r="C28" i="2"/>
  <c r="G37" i="8"/>
  <c r="B27" i="8"/>
  <c r="C65" i="8"/>
  <c r="C64" i="8"/>
  <c r="B65" i="8"/>
  <c r="B64" i="8"/>
  <c r="A16" i="27"/>
  <c r="O7" i="19" s="1"/>
  <c r="B16" i="27"/>
  <c r="C16" i="27"/>
  <c r="D16" i="27"/>
  <c r="E16" i="27"/>
  <c r="A19" i="27"/>
  <c r="B19" i="27"/>
  <c r="C19" i="27"/>
  <c r="D19" i="27"/>
  <c r="E19" i="27"/>
  <c r="A20" i="27"/>
  <c r="B20" i="27"/>
  <c r="C20" i="27"/>
  <c r="D20" i="27"/>
  <c r="E20" i="27"/>
  <c r="A22" i="27"/>
  <c r="C15" i="2" s="1"/>
  <c r="V28" i="27"/>
  <c r="W28" i="27"/>
  <c r="X28" i="27"/>
  <c r="AA28" i="27"/>
  <c r="AB28" i="27"/>
  <c r="Q27" i="27"/>
  <c r="V29" i="27"/>
  <c r="X29" i="27"/>
  <c r="AA29" i="27"/>
  <c r="AB29" i="27"/>
  <c r="V30" i="27"/>
  <c r="O29" i="27"/>
  <c r="A29" i="27"/>
  <c r="A13" i="20"/>
  <c r="A14" i="20"/>
  <c r="G13" i="20"/>
  <c r="O3" i="19"/>
  <c r="R40" i="19"/>
  <c r="S40" i="19"/>
  <c r="T40" i="19"/>
  <c r="U40" i="19"/>
  <c r="V40" i="19"/>
  <c r="W40" i="19"/>
  <c r="X40" i="19"/>
  <c r="Y40" i="19"/>
  <c r="D92" i="19"/>
  <c r="A63" i="18"/>
  <c r="A69" i="18"/>
  <c r="A70" i="18"/>
  <c r="A1" i="17"/>
  <c r="B6" i="17"/>
  <c r="C6" i="17"/>
  <c r="D6" i="17"/>
  <c r="E6" i="17"/>
  <c r="F6" i="17"/>
  <c r="G6" i="17"/>
  <c r="M11" i="17"/>
  <c r="M12" i="17"/>
  <c r="A1" i="22"/>
  <c r="B1" i="22"/>
  <c r="AG6" i="22"/>
  <c r="AJ6" i="22"/>
  <c r="AK6" i="22"/>
  <c r="AL6" i="22"/>
  <c r="AM6" i="22"/>
  <c r="AN6" i="22"/>
  <c r="AO6" i="22"/>
  <c r="AP6" i="22"/>
  <c r="AQ6" i="22"/>
  <c r="AR6" i="22"/>
  <c r="AS6" i="22"/>
  <c r="AT6" i="22"/>
  <c r="AU6" i="22"/>
  <c r="AV6" i="22"/>
  <c r="AW6" i="22"/>
  <c r="AX6" i="22"/>
  <c r="AY6" i="22"/>
  <c r="AZ6" i="22"/>
  <c r="BA6" i="22"/>
  <c r="BB6" i="22"/>
  <c r="BC6" i="22"/>
  <c r="BD6" i="22"/>
  <c r="BE6" i="22"/>
  <c r="BF6" i="22"/>
  <c r="BG6" i="22"/>
  <c r="BH6" i="22"/>
  <c r="BI6" i="22"/>
  <c r="BJ6" i="22"/>
  <c r="BK6" i="22"/>
  <c r="BL6" i="22"/>
  <c r="BM6" i="22"/>
  <c r="BN6" i="22"/>
  <c r="BO6" i="22"/>
  <c r="BP6" i="22"/>
  <c r="BQ6" i="22"/>
  <c r="BR6" i="22"/>
  <c r="BS6" i="22"/>
  <c r="BT6" i="22"/>
  <c r="BU6" i="22"/>
  <c r="BV6" i="22"/>
  <c r="BW6" i="22"/>
  <c r="BX6" i="22"/>
  <c r="BY6" i="22"/>
  <c r="BZ6" i="22"/>
  <c r="CA6" i="22"/>
  <c r="CB6" i="22"/>
  <c r="CC6" i="22"/>
  <c r="CD6" i="22"/>
  <c r="CE6" i="22"/>
  <c r="CF6" i="22"/>
  <c r="CG6" i="22"/>
  <c r="CH6" i="22"/>
  <c r="A8" i="22"/>
  <c r="AH9" i="22"/>
  <c r="A1" i="16"/>
  <c r="B1" i="16"/>
  <c r="A2" i="16"/>
  <c r="A10" i="16" s="1"/>
  <c r="A8" i="16"/>
  <c r="A1" i="15"/>
  <c r="G5" i="15"/>
  <c r="P5" i="15"/>
  <c r="A1" i="14"/>
  <c r="A1" i="13"/>
  <c r="B3" i="13"/>
  <c r="C3" i="13"/>
  <c r="D3" i="13"/>
  <c r="E3" i="13"/>
  <c r="F3" i="13"/>
  <c r="G3" i="13"/>
  <c r="H3" i="13"/>
  <c r="I3" i="13"/>
  <c r="J3" i="13"/>
  <c r="K3" i="13"/>
  <c r="L3" i="13"/>
  <c r="M3" i="13"/>
  <c r="N3" i="13"/>
  <c r="O3" i="13"/>
  <c r="P3" i="13"/>
  <c r="Q3" i="13"/>
  <c r="R3" i="13"/>
  <c r="S3" i="13"/>
  <c r="T3" i="13"/>
  <c r="U3" i="13"/>
  <c r="V3" i="13"/>
  <c r="W3" i="13"/>
  <c r="X3" i="13"/>
  <c r="Y3" i="13"/>
  <c r="Z3" i="13"/>
  <c r="AA3" i="13"/>
  <c r="AB3" i="13"/>
  <c r="AC3" i="13"/>
  <c r="AD3" i="13"/>
  <c r="AE3" i="13"/>
  <c r="AF3" i="13"/>
  <c r="AG3" i="13"/>
  <c r="AH3" i="13"/>
  <c r="AI3" i="13"/>
  <c r="AJ3" i="13"/>
  <c r="AA7" i="13"/>
  <c r="AE7" i="13"/>
  <c r="A1" i="12"/>
  <c r="A1" i="11"/>
  <c r="B12" i="11"/>
  <c r="B1" i="10"/>
  <c r="G8" i="10"/>
  <c r="A1" i="9"/>
  <c r="C6" i="9"/>
  <c r="C19" i="9" s="1"/>
  <c r="C27" i="9" s="1"/>
  <c r="D27" i="9" s="1"/>
  <c r="C9" i="9"/>
  <c r="C10" i="9" s="1"/>
  <c r="C14" i="9"/>
  <c r="H27" i="9" s="1"/>
  <c r="T20" i="9"/>
  <c r="J27" i="9"/>
  <c r="T27" i="9"/>
  <c r="U27" i="9"/>
  <c r="X27" i="9"/>
  <c r="Y27" i="9"/>
  <c r="AC27" i="9"/>
  <c r="AL27" i="9"/>
  <c r="A1" i="8"/>
  <c r="B4" i="8"/>
  <c r="B34" i="8"/>
  <c r="B62" i="8"/>
  <c r="C62" i="8"/>
  <c r="B63" i="8"/>
  <c r="D74" i="8"/>
  <c r="I74" i="8" s="1"/>
  <c r="C63" i="8"/>
  <c r="B66" i="8"/>
  <c r="C66" i="8"/>
  <c r="C67" i="8"/>
  <c r="C68" i="8"/>
  <c r="B1" i="7"/>
  <c r="C12" i="7"/>
  <c r="K19" i="7" s="1"/>
  <c r="C13" i="7"/>
  <c r="C14" i="7"/>
  <c r="K21" i="7"/>
  <c r="A24" i="7"/>
  <c r="A25" i="7"/>
  <c r="B1" i="6"/>
  <c r="C46" i="6"/>
  <c r="D46" i="6"/>
  <c r="E46" i="6"/>
  <c r="F46" i="6"/>
  <c r="G46" i="6"/>
  <c r="H46" i="6"/>
  <c r="L46" i="6"/>
  <c r="M46" i="6"/>
  <c r="O46"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1" i="5"/>
  <c r="H2" i="5"/>
  <c r="K2" i="5"/>
  <c r="C3" i="5"/>
  <c r="C5" i="5"/>
  <c r="C6" i="5"/>
  <c r="C8" i="5"/>
  <c r="C9" i="5"/>
  <c r="C10" i="5"/>
  <c r="C12" i="5" s="1"/>
  <c r="B15" i="3" s="1"/>
  <c r="C15" i="5"/>
  <c r="C16" i="5"/>
  <c r="C17" i="5"/>
  <c r="C18" i="5"/>
  <c r="B20" i="5"/>
  <c r="C23" i="5"/>
  <c r="C24" i="5"/>
  <c r="C25" i="5"/>
  <c r="T24" i="5"/>
  <c r="C26" i="5"/>
  <c r="T25" i="5"/>
  <c r="C27" i="5"/>
  <c r="T26" i="5"/>
  <c r="C28" i="5"/>
  <c r="T27" i="5"/>
  <c r="C29" i="5"/>
  <c r="T28" i="5"/>
  <c r="T29" i="5"/>
  <c r="C31" i="5"/>
  <c r="T30" i="5"/>
  <c r="C32" i="5"/>
  <c r="T31" i="5"/>
  <c r="C33" i="5"/>
  <c r="T32" i="5"/>
  <c r="T33" i="5"/>
  <c r="T34" i="5"/>
  <c r="T35" i="5"/>
  <c r="T36" i="5"/>
  <c r="T37" i="5"/>
  <c r="T38" i="5"/>
  <c r="T39" i="5"/>
  <c r="T40" i="5"/>
  <c r="T41" i="5"/>
  <c r="F101" i="5"/>
  <c r="F102" i="5"/>
  <c r="F103" i="5"/>
  <c r="A1" i="29"/>
  <c r="B3" i="29"/>
  <c r="B8" i="29"/>
  <c r="B9" i="29"/>
  <c r="B14" i="29"/>
  <c r="B15" i="29"/>
  <c r="B16" i="29"/>
  <c r="B17" i="29"/>
  <c r="A19" i="29"/>
  <c r="B20" i="29"/>
  <c r="B21" i="29"/>
  <c r="B22" i="29"/>
  <c r="B23" i="29"/>
  <c r="B24" i="29"/>
  <c r="B25" i="29"/>
  <c r="B26" i="29"/>
  <c r="B27" i="29"/>
  <c r="B28" i="29"/>
  <c r="B30" i="29"/>
  <c r="B31" i="29"/>
  <c r="B32" i="29"/>
  <c r="A11" i="4"/>
  <c r="A12" i="4"/>
  <c r="A13" i="4"/>
  <c r="A14" i="4"/>
  <c r="A15" i="4"/>
  <c r="A16" i="4"/>
  <c r="B17" i="4"/>
  <c r="A18" i="4"/>
  <c r="A19" i="4"/>
  <c r="A20" i="4"/>
  <c r="A22" i="4"/>
  <c r="A23" i="4"/>
  <c r="A24" i="4"/>
  <c r="A25" i="4"/>
  <c r="A26" i="4"/>
  <c r="A27" i="4"/>
  <c r="A28" i="4"/>
  <c r="A30" i="4"/>
  <c r="A31" i="4"/>
  <c r="A32" i="4"/>
  <c r="A33" i="4"/>
  <c r="A34" i="4"/>
  <c r="A35" i="4"/>
  <c r="A37" i="4"/>
  <c r="B39" i="4"/>
  <c r="B40" i="4"/>
  <c r="B41" i="4"/>
  <c r="H3" i="28"/>
  <c r="I3" i="28"/>
  <c r="J51" i="28"/>
  <c r="K51" i="28"/>
  <c r="J53" i="28"/>
  <c r="K53" i="28"/>
  <c r="J54" i="28"/>
  <c r="K54" i="28"/>
  <c r="J55" i="28"/>
  <c r="K55" i="28"/>
  <c r="J56" i="28"/>
  <c r="K56" i="28"/>
  <c r="J57" i="28"/>
  <c r="K57" i="28"/>
  <c r="J61" i="28"/>
  <c r="K61" i="28"/>
  <c r="I63" i="28"/>
  <c r="J63" i="28"/>
  <c r="K63" i="28"/>
  <c r="J64" i="28"/>
  <c r="K64" i="28"/>
  <c r="J65" i="28"/>
  <c r="K65" i="28"/>
  <c r="J66" i="28"/>
  <c r="K66" i="28"/>
  <c r="J67" i="28"/>
  <c r="K67" i="28"/>
  <c r="H71" i="28"/>
  <c r="H73" i="28"/>
  <c r="J71" i="28"/>
  <c r="K71" i="28"/>
  <c r="I73" i="28"/>
  <c r="J73" i="28"/>
  <c r="K73" i="28"/>
  <c r="J74" i="28"/>
  <c r="K74" i="28"/>
  <c r="J75" i="28"/>
  <c r="K75" i="28"/>
  <c r="J76" i="28"/>
  <c r="K76" i="28"/>
  <c r="J77" i="28"/>
  <c r="K77" i="28"/>
  <c r="H82" i="28"/>
  <c r="J82" i="28"/>
  <c r="K82" i="28"/>
  <c r="I84" i="28"/>
  <c r="J84" i="28"/>
  <c r="K84" i="28"/>
  <c r="J85" i="28"/>
  <c r="K85" i="28"/>
  <c r="J86" i="28"/>
  <c r="K86" i="28"/>
  <c r="J87" i="28"/>
  <c r="K87" i="28"/>
  <c r="J88" i="28"/>
  <c r="K88" i="28"/>
  <c r="A5" i="3"/>
  <c r="A1" i="4"/>
  <c r="D5" i="3"/>
  <c r="B7" i="3"/>
  <c r="B11" i="4"/>
  <c r="D9" i="3"/>
  <c r="D17" i="3"/>
  <c r="D26" i="3"/>
  <c r="D10" i="3"/>
  <c r="D18" i="3"/>
  <c r="D27" i="3"/>
  <c r="D11" i="3"/>
  <c r="D19" i="3"/>
  <c r="D28" i="3"/>
  <c r="B12" i="3"/>
  <c r="B16" i="4" s="1"/>
  <c r="D12" i="3"/>
  <c r="D20" i="3"/>
  <c r="D29" i="3"/>
  <c r="D13" i="3"/>
  <c r="B18" i="3"/>
  <c r="B23" i="4"/>
  <c r="B19" i="3"/>
  <c r="B24" i="4"/>
  <c r="B20" i="3"/>
  <c r="B25" i="4"/>
  <c r="B21" i="3"/>
  <c r="B26" i="4"/>
  <c r="D21" i="3"/>
  <c r="D30" i="3"/>
  <c r="B23" i="3"/>
  <c r="B19" i="29" s="1"/>
  <c r="F19" i="29" s="1"/>
  <c r="B24" i="3"/>
  <c r="B25" i="3"/>
  <c r="B30" i="4" s="1"/>
  <c r="H62" i="3"/>
  <c r="I62" i="3"/>
  <c r="P63" i="3" s="1"/>
  <c r="B27" i="3"/>
  <c r="B31" i="4"/>
  <c r="B28" i="3"/>
  <c r="B32" i="4"/>
  <c r="B29" i="3"/>
  <c r="B33" i="4"/>
  <c r="B30" i="3"/>
  <c r="B34" i="4"/>
  <c r="B32" i="3"/>
  <c r="B36" i="4"/>
  <c r="B35" i="3"/>
  <c r="B36" i="3"/>
  <c r="B37" i="3"/>
  <c r="S61" i="3"/>
  <c r="T61" i="3"/>
  <c r="U61" i="3"/>
  <c r="V61" i="3"/>
  <c r="W61" i="3"/>
  <c r="G62" i="3"/>
  <c r="N63" i="3" s="1"/>
  <c r="E68" i="3"/>
  <c r="L64" i="3" s="1"/>
  <c r="F68" i="3"/>
  <c r="M67" i="3" s="1"/>
  <c r="G68" i="3"/>
  <c r="N64" i="3" s="1"/>
  <c r="H68" i="3"/>
  <c r="O67" i="3" s="1"/>
  <c r="I68" i="3"/>
  <c r="P64" i="3" s="1"/>
  <c r="E75" i="3"/>
  <c r="S71" i="3" s="1"/>
  <c r="F75" i="3"/>
  <c r="T72" i="3" s="1"/>
  <c r="G75" i="3"/>
  <c r="U71" i="3" s="1"/>
  <c r="H75" i="3"/>
  <c r="V72" i="3" s="1"/>
  <c r="I75" i="3"/>
  <c r="W71" i="3" s="1"/>
  <c r="J75" i="3"/>
  <c r="X72" i="3" s="1"/>
  <c r="A1" i="2"/>
  <c r="D1" i="2"/>
  <c r="D8" i="2"/>
  <c r="J8" i="2"/>
  <c r="A12" i="2"/>
  <c r="A20" i="29" s="1"/>
  <c r="H13" i="2"/>
  <c r="H1" i="2" s="1"/>
  <c r="D15" i="2"/>
  <c r="D16" i="2"/>
  <c r="D17" i="2"/>
  <c r="D18" i="2"/>
  <c r="D19" i="2"/>
  <c r="D20" i="2"/>
  <c r="D21" i="2"/>
  <c r="D22" i="2"/>
  <c r="D23" i="2"/>
  <c r="D24" i="2"/>
  <c r="D25" i="2"/>
  <c r="D26" i="2"/>
  <c r="D27" i="2"/>
  <c r="D28" i="2"/>
  <c r="A29" i="2"/>
  <c r="D30" i="2"/>
  <c r="A26" i="7"/>
  <c r="A27" i="7"/>
  <c r="G75" i="8"/>
  <c r="E50" i="16"/>
  <c r="G74" i="8"/>
  <c r="H84" i="28"/>
  <c r="H74" i="28"/>
  <c r="H75" i="28"/>
  <c r="H86" i="28"/>
  <c r="H85" i="28"/>
  <c r="H76" i="28"/>
  <c r="H77" i="28"/>
  <c r="H88" i="28"/>
  <c r="M13" i="17"/>
  <c r="A15" i="20"/>
  <c r="M14" i="17"/>
  <c r="A16" i="20"/>
  <c r="A17" i="20"/>
  <c r="M15" i="17"/>
  <c r="A18" i="20"/>
  <c r="M16" i="17"/>
  <c r="A19" i="20"/>
  <c r="M17" i="17"/>
  <c r="M18" i="17"/>
  <c r="A20" i="20"/>
  <c r="M19" i="17"/>
  <c r="A21" i="20"/>
  <c r="M20" i="17"/>
  <c r="A22" i="20"/>
  <c r="M21" i="17"/>
  <c r="A23" i="20"/>
  <c r="M22" i="17"/>
  <c r="A24" i="20"/>
  <c r="M23" i="17"/>
  <c r="A25" i="20"/>
  <c r="M24" i="17"/>
  <c r="A26" i="20"/>
  <c r="A27" i="20"/>
  <c r="M25" i="17"/>
  <c r="A28" i="20"/>
  <c r="M26" i="17"/>
  <c r="A29" i="20"/>
  <c r="M27" i="17"/>
  <c r="A30" i="20"/>
  <c r="M28" i="17"/>
  <c r="A31" i="20"/>
  <c r="M29" i="17"/>
  <c r="A32" i="20"/>
  <c r="M30" i="17"/>
  <c r="M31" i="17"/>
  <c r="A33" i="20"/>
  <c r="M32" i="17"/>
  <c r="A34" i="20"/>
  <c r="M33" i="17"/>
  <c r="A35" i="20"/>
  <c r="M34" i="17"/>
  <c r="A36" i="20"/>
  <c r="M35" i="17"/>
  <c r="A37" i="20"/>
  <c r="M36" i="17"/>
  <c r="A38" i="20"/>
  <c r="M37" i="17"/>
  <c r="A39" i="20"/>
  <c r="M38" i="17"/>
  <c r="A40" i="20"/>
  <c r="M39" i="17"/>
  <c r="A41" i="20"/>
  <c r="M40" i="17"/>
  <c r="A42" i="20"/>
  <c r="A43" i="20"/>
  <c r="M41" i="17"/>
  <c r="M42" i="17"/>
  <c r="A44" i="20"/>
  <c r="A45" i="20"/>
  <c r="M43" i="17"/>
  <c r="A46" i="20"/>
  <c r="M44" i="17"/>
  <c r="M45" i="17"/>
  <c r="A47" i="20"/>
  <c r="M46" i="17"/>
  <c r="A48" i="20"/>
  <c r="A49" i="20"/>
  <c r="M47" i="17"/>
  <c r="M48" i="17"/>
  <c r="A50" i="20"/>
  <c r="A51" i="20"/>
  <c r="M49" i="17"/>
  <c r="A52" i="20"/>
  <c r="M50" i="17"/>
  <c r="M51" i="17"/>
  <c r="A53" i="20"/>
  <c r="A54" i="20"/>
  <c r="M52" i="17"/>
  <c r="M53" i="17"/>
  <c r="A55" i="20"/>
  <c r="A56" i="20"/>
  <c r="A57" i="20"/>
  <c r="A58" i="20"/>
  <c r="A59" i="20"/>
  <c r="A60" i="20"/>
  <c r="M54" i="17"/>
  <c r="H87" i="28"/>
  <c r="C23" i="20"/>
  <c r="B22" i="20"/>
  <c r="I22" i="20"/>
  <c r="W22" i="20"/>
  <c r="AG22" i="20"/>
  <c r="AG23" i="20"/>
  <c r="M22" i="20"/>
  <c r="V21" i="20"/>
  <c r="AV13" i="20"/>
  <c r="AW12" i="20"/>
  <c r="AL13" i="20"/>
  <c r="AM12" i="20"/>
  <c r="AB13" i="20"/>
  <c r="AC12" i="20"/>
  <c r="R15" i="20"/>
  <c r="T14" i="20"/>
  <c r="S14" i="20"/>
  <c r="S13" i="20"/>
  <c r="T13" i="20"/>
  <c r="H25" i="3"/>
  <c r="H63" i="3" s="1"/>
  <c r="I25" i="3"/>
  <c r="I63" i="3" s="1"/>
  <c r="F25" i="3"/>
  <c r="F63" i="3" s="1"/>
  <c r="G25" i="3"/>
  <c r="G63" i="3" s="1"/>
  <c r="F62" i="3"/>
  <c r="M63" i="3" s="1"/>
  <c r="AF13" i="20"/>
  <c r="AF12" i="20"/>
  <c r="AU15" i="20"/>
  <c r="AK15" i="20"/>
  <c r="AA15" i="20"/>
  <c r="Q15" i="20"/>
  <c r="N21" i="20"/>
  <c r="N22" i="20"/>
  <c r="N23" i="20"/>
  <c r="G16" i="20"/>
  <c r="W23" i="20"/>
  <c r="V22" i="20"/>
  <c r="M23" i="20"/>
  <c r="L22" i="20"/>
  <c r="C24" i="20"/>
  <c r="B23" i="20"/>
  <c r="I23" i="20"/>
  <c r="AV14" i="20"/>
  <c r="AX13" i="20"/>
  <c r="AW13" i="20"/>
  <c r="AL14" i="20"/>
  <c r="AN13" i="20"/>
  <c r="AM13" i="20"/>
  <c r="AB14" i="20"/>
  <c r="AD13" i="20"/>
  <c r="AC13" i="20"/>
  <c r="S15" i="20"/>
  <c r="R16" i="20"/>
  <c r="T15" i="20"/>
  <c r="AF14" i="20"/>
  <c r="AU16" i="20"/>
  <c r="AK16" i="20"/>
  <c r="AA16" i="20"/>
  <c r="Q16" i="20"/>
  <c r="N24" i="20"/>
  <c r="G17" i="20"/>
  <c r="I24" i="20"/>
  <c r="C25" i="20"/>
  <c r="B24" i="20"/>
  <c r="M24" i="20"/>
  <c r="L23" i="20"/>
  <c r="AG24" i="20"/>
  <c r="AG25" i="20"/>
  <c r="W24" i="20"/>
  <c r="V23" i="20"/>
  <c r="AV15" i="20"/>
  <c r="AX14" i="20"/>
  <c r="AW14" i="20"/>
  <c r="AL15" i="20"/>
  <c r="AN14" i="20"/>
  <c r="AM14" i="20"/>
  <c r="AB15" i="20"/>
  <c r="AD14" i="20"/>
  <c r="AC14" i="20"/>
  <c r="T16" i="20"/>
  <c r="S16" i="20"/>
  <c r="R17" i="20"/>
  <c r="AF15" i="20"/>
  <c r="AU17" i="20"/>
  <c r="AK17" i="20"/>
  <c r="AA17" i="20"/>
  <c r="Q17" i="20"/>
  <c r="N25" i="20"/>
  <c r="N26" i="20"/>
  <c r="G18" i="20"/>
  <c r="M25" i="20"/>
  <c r="L24" i="20"/>
  <c r="W25" i="20"/>
  <c r="V24" i="20"/>
  <c r="I25" i="20"/>
  <c r="C26" i="20"/>
  <c r="B25" i="20"/>
  <c r="AW15" i="20"/>
  <c r="AV16" i="20"/>
  <c r="AX15" i="20"/>
  <c r="AM15" i="20"/>
  <c r="AL16" i="20"/>
  <c r="AN15" i="20"/>
  <c r="AC15" i="20"/>
  <c r="AB16" i="20"/>
  <c r="AD15" i="20"/>
  <c r="R18" i="20"/>
  <c r="T17" i="20"/>
  <c r="S17" i="20"/>
  <c r="AF16" i="20"/>
  <c r="AU18" i="20"/>
  <c r="AK18" i="20"/>
  <c r="AA18" i="20"/>
  <c r="Q18" i="20"/>
  <c r="G19" i="20"/>
  <c r="C27" i="20"/>
  <c r="B26" i="20"/>
  <c r="I26" i="20"/>
  <c r="W26" i="20"/>
  <c r="V25" i="20"/>
  <c r="AG26" i="20"/>
  <c r="AG27" i="20"/>
  <c r="M26" i="20"/>
  <c r="L25" i="20"/>
  <c r="AX16" i="20"/>
  <c r="AW16" i="20"/>
  <c r="AV17" i="20"/>
  <c r="AN16" i="20"/>
  <c r="AM16" i="20"/>
  <c r="AL17" i="20"/>
  <c r="AD16" i="20"/>
  <c r="AC16" i="20"/>
  <c r="AB17" i="20"/>
  <c r="R19" i="20"/>
  <c r="T18" i="20"/>
  <c r="S18" i="20"/>
  <c r="AF17" i="20"/>
  <c r="AU19" i="20"/>
  <c r="AK19" i="20"/>
  <c r="AA19" i="20"/>
  <c r="Q19" i="20"/>
  <c r="N27" i="20"/>
  <c r="G20" i="20"/>
  <c r="W27" i="20"/>
  <c r="V26" i="20"/>
  <c r="M27" i="20"/>
  <c r="L26" i="20"/>
  <c r="C28" i="20"/>
  <c r="B27" i="20"/>
  <c r="I27" i="20"/>
  <c r="AV18" i="20"/>
  <c r="AX17" i="20"/>
  <c r="AW17" i="20"/>
  <c r="AL18" i="20"/>
  <c r="AN17" i="20"/>
  <c r="AM17" i="20"/>
  <c r="AB18" i="20"/>
  <c r="AD17" i="20"/>
  <c r="AC17" i="20"/>
  <c r="S19" i="20"/>
  <c r="R20" i="20"/>
  <c r="T19" i="20"/>
  <c r="AF18" i="20"/>
  <c r="AU20" i="20"/>
  <c r="AK20" i="20"/>
  <c r="AA20" i="20"/>
  <c r="Q20" i="20"/>
  <c r="N28" i="20"/>
  <c r="G21" i="20"/>
  <c r="M28" i="20"/>
  <c r="L27" i="20"/>
  <c r="I28" i="20"/>
  <c r="C29" i="20"/>
  <c r="B28" i="20"/>
  <c r="AG28" i="20"/>
  <c r="W28" i="20"/>
  <c r="V27" i="20"/>
  <c r="AV19" i="20"/>
  <c r="AX18" i="20"/>
  <c r="AW18" i="20"/>
  <c r="AL19" i="20"/>
  <c r="AN18" i="20"/>
  <c r="AM18" i="20"/>
  <c r="AB19" i="20"/>
  <c r="AD18" i="20"/>
  <c r="AC18" i="20"/>
  <c r="T20" i="20"/>
  <c r="S20" i="20"/>
  <c r="R21" i="20"/>
  <c r="AF19" i="20"/>
  <c r="AU21" i="20"/>
  <c r="AK21" i="20"/>
  <c r="AA21" i="20"/>
  <c r="Q21" i="20"/>
  <c r="N29" i="20"/>
  <c r="N30" i="20"/>
  <c r="G22" i="20"/>
  <c r="I29" i="20"/>
  <c r="C30" i="20"/>
  <c r="B29" i="20"/>
  <c r="W29" i="20"/>
  <c r="V28" i="20"/>
  <c r="AG29" i="20"/>
  <c r="AG30" i="20"/>
  <c r="M29" i="20"/>
  <c r="L28" i="20"/>
  <c r="AW19" i="20"/>
  <c r="AV20" i="20"/>
  <c r="AX19" i="20"/>
  <c r="AM19" i="20"/>
  <c r="AL20" i="20"/>
  <c r="AN19" i="20"/>
  <c r="AC19" i="20"/>
  <c r="AB20" i="20"/>
  <c r="AD19" i="20"/>
  <c r="R22" i="20"/>
  <c r="T21" i="20"/>
  <c r="S21" i="20"/>
  <c r="AF20" i="20"/>
  <c r="AU22" i="20"/>
  <c r="AK22" i="20"/>
  <c r="AA22" i="20"/>
  <c r="Q22" i="20"/>
  <c r="N31" i="20"/>
  <c r="G23" i="20"/>
  <c r="W30" i="20"/>
  <c r="V29" i="20"/>
  <c r="M30" i="20"/>
  <c r="L29" i="20"/>
  <c r="C31" i="20"/>
  <c r="B30" i="20"/>
  <c r="I30" i="20"/>
  <c r="AX20" i="20"/>
  <c r="AW20" i="20"/>
  <c r="AV21" i="20"/>
  <c r="AN20" i="20"/>
  <c r="AM20" i="20"/>
  <c r="AL21" i="20"/>
  <c r="AD20" i="20"/>
  <c r="AC20" i="20"/>
  <c r="AB21" i="20"/>
  <c r="R23" i="20"/>
  <c r="T22" i="20"/>
  <c r="S22" i="20"/>
  <c r="AF21" i="20"/>
  <c r="AU23" i="20"/>
  <c r="AK23" i="20"/>
  <c r="AA23" i="20"/>
  <c r="Q23" i="20"/>
  <c r="G24" i="20"/>
  <c r="M31" i="20"/>
  <c r="L30" i="20"/>
  <c r="C32" i="20"/>
  <c r="B31" i="20"/>
  <c r="I31" i="20"/>
  <c r="AG31" i="20"/>
  <c r="W31" i="20"/>
  <c r="V30" i="20"/>
  <c r="AV22" i="20"/>
  <c r="AX21" i="20"/>
  <c r="AW21" i="20"/>
  <c r="AL22" i="20"/>
  <c r="AN21" i="20"/>
  <c r="AM21" i="20"/>
  <c r="AB22" i="20"/>
  <c r="AD21" i="20"/>
  <c r="AC21" i="20"/>
  <c r="S23" i="20"/>
  <c r="R24" i="20"/>
  <c r="T23" i="20"/>
  <c r="AF22" i="20"/>
  <c r="AU24" i="20"/>
  <c r="AK24" i="20"/>
  <c r="AA24" i="20"/>
  <c r="Q24" i="20"/>
  <c r="N32" i="20"/>
  <c r="G25" i="20"/>
  <c r="W32" i="20"/>
  <c r="V31" i="20"/>
  <c r="I32" i="20"/>
  <c r="C33" i="20"/>
  <c r="B32" i="20"/>
  <c r="AG32" i="20"/>
  <c r="M32" i="20"/>
  <c r="L31" i="20"/>
  <c r="AV23" i="20"/>
  <c r="AX22" i="20"/>
  <c r="AW22" i="20"/>
  <c r="AL23" i="20"/>
  <c r="AN22" i="20"/>
  <c r="AM22" i="20"/>
  <c r="AB23" i="20"/>
  <c r="AD22" i="20"/>
  <c r="AC22" i="20"/>
  <c r="T24" i="20"/>
  <c r="S24" i="20"/>
  <c r="R25" i="20"/>
  <c r="AF23" i="20"/>
  <c r="AU25" i="20"/>
  <c r="AK25" i="20"/>
  <c r="AA25" i="20"/>
  <c r="Q25" i="20"/>
  <c r="N33" i="20"/>
  <c r="G26" i="20"/>
  <c r="I33" i="20"/>
  <c r="C34" i="20"/>
  <c r="B33" i="20"/>
  <c r="M33" i="20"/>
  <c r="L32" i="20"/>
  <c r="AG33" i="20"/>
  <c r="AG34" i="20"/>
  <c r="W33" i="20"/>
  <c r="V32" i="20"/>
  <c r="AW23" i="20"/>
  <c r="AV24" i="20"/>
  <c r="AX23" i="20"/>
  <c r="AM23" i="20"/>
  <c r="AL24" i="20"/>
  <c r="AN23" i="20"/>
  <c r="AC23" i="20"/>
  <c r="AB24" i="20"/>
  <c r="AD23" i="20"/>
  <c r="R26" i="20"/>
  <c r="T25" i="20"/>
  <c r="S25" i="20"/>
  <c r="AF24" i="20"/>
  <c r="AU26" i="20"/>
  <c r="AK26" i="20"/>
  <c r="AA26" i="20"/>
  <c r="Q26" i="20"/>
  <c r="N34" i="20"/>
  <c r="N35" i="20"/>
  <c r="G27" i="20"/>
  <c r="M34" i="20"/>
  <c r="L33" i="20"/>
  <c r="W34" i="20"/>
  <c r="V33" i="20"/>
  <c r="C35" i="20"/>
  <c r="B34" i="20"/>
  <c r="I34" i="20"/>
  <c r="AX24" i="20"/>
  <c r="AW24" i="20"/>
  <c r="AV25" i="20"/>
  <c r="AN24" i="20"/>
  <c r="AM24" i="20"/>
  <c r="AL25" i="20"/>
  <c r="AD24" i="20"/>
  <c r="AC24" i="20"/>
  <c r="AB25" i="20"/>
  <c r="R27" i="20"/>
  <c r="T26" i="20"/>
  <c r="S26" i="20"/>
  <c r="AF25" i="20"/>
  <c r="AU27" i="20"/>
  <c r="AK27" i="20"/>
  <c r="AA27" i="20"/>
  <c r="Q27" i="20"/>
  <c r="N36" i="20"/>
  <c r="G28" i="20"/>
  <c r="W35" i="20"/>
  <c r="V34" i="20"/>
  <c r="C36" i="20"/>
  <c r="B35" i="20"/>
  <c r="I35" i="20"/>
  <c r="AG35" i="20"/>
  <c r="AG36" i="20"/>
  <c r="M35" i="20"/>
  <c r="L34" i="20"/>
  <c r="AV26" i="20"/>
  <c r="AX25" i="20"/>
  <c r="AW25" i="20"/>
  <c r="AL26" i="20"/>
  <c r="AN25" i="20"/>
  <c r="AM25" i="20"/>
  <c r="AB26" i="20"/>
  <c r="AD25" i="20"/>
  <c r="AC25" i="20"/>
  <c r="S27" i="20"/>
  <c r="R28" i="20"/>
  <c r="T27" i="20"/>
  <c r="AF26" i="20"/>
  <c r="AU28" i="20"/>
  <c r="AK28" i="20"/>
  <c r="AA28" i="20"/>
  <c r="Q28" i="20"/>
  <c r="G29" i="20"/>
  <c r="M36" i="20"/>
  <c r="L35" i="20"/>
  <c r="I36" i="20"/>
  <c r="C37" i="20"/>
  <c r="B36" i="20"/>
  <c r="AG37" i="20"/>
  <c r="W36" i="20"/>
  <c r="V35" i="20"/>
  <c r="AV27" i="20"/>
  <c r="AX26" i="20"/>
  <c r="AW26" i="20"/>
  <c r="AL27" i="20"/>
  <c r="AN26" i="20"/>
  <c r="AM26" i="20"/>
  <c r="AB27" i="20"/>
  <c r="AD26" i="20"/>
  <c r="AC26" i="20"/>
  <c r="T28" i="20"/>
  <c r="S28" i="20"/>
  <c r="R29" i="20"/>
  <c r="AF27" i="20"/>
  <c r="AU29" i="20"/>
  <c r="AK29" i="20"/>
  <c r="AA29" i="20"/>
  <c r="Q29" i="20"/>
  <c r="N37" i="20"/>
  <c r="G30" i="20"/>
  <c r="I37" i="20"/>
  <c r="C38" i="20"/>
  <c r="B37" i="20"/>
  <c r="W37" i="20"/>
  <c r="V36" i="20"/>
  <c r="AG38" i="20"/>
  <c r="M37" i="20"/>
  <c r="L36" i="20"/>
  <c r="AW27" i="20"/>
  <c r="AV28" i="20"/>
  <c r="AX27" i="20"/>
  <c r="AM27" i="20"/>
  <c r="AL28" i="20"/>
  <c r="AN27" i="20"/>
  <c r="AC27" i="20"/>
  <c r="AB28" i="20"/>
  <c r="AD27" i="20"/>
  <c r="R30" i="20"/>
  <c r="T29" i="20"/>
  <c r="S29" i="20"/>
  <c r="AF28" i="20"/>
  <c r="AU30" i="20"/>
  <c r="AK30" i="20"/>
  <c r="AA30" i="20"/>
  <c r="Q30" i="20"/>
  <c r="N38" i="20"/>
  <c r="G31" i="20"/>
  <c r="W38" i="20"/>
  <c r="V37" i="20"/>
  <c r="M38" i="20"/>
  <c r="L37" i="20"/>
  <c r="C39" i="20"/>
  <c r="B38" i="20"/>
  <c r="I38" i="20"/>
  <c r="AX28" i="20"/>
  <c r="AW28" i="20"/>
  <c r="AV29" i="20"/>
  <c r="AN28" i="20"/>
  <c r="AM28" i="20"/>
  <c r="AL29" i="20"/>
  <c r="AD28" i="20"/>
  <c r="AC28" i="20"/>
  <c r="AB29" i="20"/>
  <c r="R31" i="20"/>
  <c r="T30" i="20"/>
  <c r="S30" i="20"/>
  <c r="AF29" i="20"/>
  <c r="AU31" i="20"/>
  <c r="AK31" i="20"/>
  <c r="AA31" i="20"/>
  <c r="Q31" i="20"/>
  <c r="N39" i="20"/>
  <c r="G32" i="20"/>
  <c r="M39" i="20"/>
  <c r="L38" i="20"/>
  <c r="C40" i="20"/>
  <c r="B39" i="20"/>
  <c r="I39" i="20"/>
  <c r="AG39" i="20"/>
  <c r="W39" i="20"/>
  <c r="V38" i="20"/>
  <c r="AV30" i="20"/>
  <c r="AX29" i="20"/>
  <c r="AW29" i="20"/>
  <c r="AL30" i="20"/>
  <c r="AN29" i="20"/>
  <c r="AM29" i="20"/>
  <c r="AB30" i="20"/>
  <c r="AD29" i="20"/>
  <c r="AC29" i="20"/>
  <c r="S31" i="20"/>
  <c r="R32" i="20"/>
  <c r="T31" i="20"/>
  <c r="AF30" i="20"/>
  <c r="AU32" i="20"/>
  <c r="AK32" i="20"/>
  <c r="AA32" i="20"/>
  <c r="Q32" i="20"/>
  <c r="N40" i="20"/>
  <c r="G33" i="20"/>
  <c r="W40" i="20"/>
  <c r="V39" i="20"/>
  <c r="I40" i="20"/>
  <c r="C41" i="20"/>
  <c r="B40" i="20"/>
  <c r="AG40" i="20"/>
  <c r="AG41" i="20"/>
  <c r="M40" i="20"/>
  <c r="L39" i="20"/>
  <c r="AV31" i="20"/>
  <c r="AX30" i="20"/>
  <c r="AW30" i="20"/>
  <c r="AL31" i="20"/>
  <c r="AN30" i="20"/>
  <c r="AM30" i="20"/>
  <c r="AB31" i="20"/>
  <c r="AD30" i="20"/>
  <c r="AC30" i="20"/>
  <c r="T32" i="20"/>
  <c r="S32" i="20"/>
  <c r="R33" i="20"/>
  <c r="AF31" i="20"/>
  <c r="AU33" i="20"/>
  <c r="AK33" i="20"/>
  <c r="AA33" i="20"/>
  <c r="Q33" i="20"/>
  <c r="N41" i="20"/>
  <c r="N42" i="20"/>
  <c r="G34" i="20"/>
  <c r="I41" i="20"/>
  <c r="C42" i="20"/>
  <c r="B41" i="20"/>
  <c r="M41" i="20"/>
  <c r="L40" i="20"/>
  <c r="AG42" i="20"/>
  <c r="W41" i="20"/>
  <c r="V40" i="20"/>
  <c r="AW31" i="20"/>
  <c r="AV32" i="20"/>
  <c r="AX31" i="20"/>
  <c r="AM31" i="20"/>
  <c r="AL32" i="20"/>
  <c r="AN31" i="20"/>
  <c r="AC31" i="20"/>
  <c r="AB32" i="20"/>
  <c r="AD31" i="20"/>
  <c r="R34" i="20"/>
  <c r="T33" i="20"/>
  <c r="S33" i="20"/>
  <c r="AF32" i="20"/>
  <c r="AU34" i="20"/>
  <c r="AK34" i="20"/>
  <c r="AA34" i="20"/>
  <c r="Q34" i="20"/>
  <c r="G35" i="20"/>
  <c r="M42" i="20"/>
  <c r="L41" i="20"/>
  <c r="W42" i="20"/>
  <c r="V41" i="20"/>
  <c r="C43" i="20"/>
  <c r="B42" i="20"/>
  <c r="I42" i="20"/>
  <c r="AX32" i="20"/>
  <c r="AW32" i="20"/>
  <c r="AV33" i="20"/>
  <c r="AN32" i="20"/>
  <c r="AM32" i="20"/>
  <c r="AL33" i="20"/>
  <c r="AD32" i="20"/>
  <c r="AC32" i="20"/>
  <c r="AB33" i="20"/>
  <c r="R35" i="20"/>
  <c r="T34" i="20"/>
  <c r="S34" i="20"/>
  <c r="AF33" i="20"/>
  <c r="AU35" i="20"/>
  <c r="AK35" i="20"/>
  <c r="AA35" i="20"/>
  <c r="Q35" i="20"/>
  <c r="N43" i="20"/>
  <c r="N44" i="20"/>
  <c r="G36" i="20"/>
  <c r="W43" i="20"/>
  <c r="V42" i="20"/>
  <c r="C44" i="20"/>
  <c r="B43" i="20"/>
  <c r="I43" i="20"/>
  <c r="AG43" i="20"/>
  <c r="M43" i="20"/>
  <c r="L42" i="20"/>
  <c r="AV34" i="20"/>
  <c r="AX33" i="20"/>
  <c r="AW33" i="20"/>
  <c r="AL34" i="20"/>
  <c r="AN33" i="20"/>
  <c r="AM33" i="20"/>
  <c r="AB34" i="20"/>
  <c r="AD33" i="20"/>
  <c r="AC33" i="20"/>
  <c r="S35" i="20"/>
  <c r="R36" i="20"/>
  <c r="T35" i="20"/>
  <c r="AF34" i="20"/>
  <c r="AU36" i="20"/>
  <c r="AK36" i="20"/>
  <c r="AA36" i="20"/>
  <c r="Q36" i="20"/>
  <c r="G37" i="20"/>
  <c r="M44" i="20"/>
  <c r="L43" i="20"/>
  <c r="I44" i="20"/>
  <c r="C45" i="20"/>
  <c r="B44" i="20"/>
  <c r="AG44" i="20"/>
  <c r="AG45" i="20"/>
  <c r="W44" i="20"/>
  <c r="V43" i="20"/>
  <c r="AV35" i="20"/>
  <c r="AX34" i="20"/>
  <c r="AW34" i="20"/>
  <c r="AL35" i="20"/>
  <c r="AN34" i="20"/>
  <c r="AM34" i="20"/>
  <c r="AB35" i="20"/>
  <c r="AD34" i="20"/>
  <c r="AC34" i="20"/>
  <c r="T36" i="20"/>
  <c r="S36" i="20"/>
  <c r="R37" i="20"/>
  <c r="AF35" i="20"/>
  <c r="AU37" i="20"/>
  <c r="AK37" i="20"/>
  <c r="AA37" i="20"/>
  <c r="Q37" i="20"/>
  <c r="N45" i="20"/>
  <c r="N46" i="20"/>
  <c r="G38" i="20"/>
  <c r="I45" i="20"/>
  <c r="C46" i="20"/>
  <c r="B45" i="20"/>
  <c r="W45" i="20"/>
  <c r="V44" i="20"/>
  <c r="AG46" i="20"/>
  <c r="M45" i="20"/>
  <c r="L44" i="20"/>
  <c r="AW35" i="20"/>
  <c r="AV36" i="20"/>
  <c r="AX35" i="20"/>
  <c r="AM35" i="20"/>
  <c r="AL36" i="20"/>
  <c r="AN35" i="20"/>
  <c r="AC35" i="20"/>
  <c r="AB36" i="20"/>
  <c r="AD35" i="20"/>
  <c r="R38" i="20"/>
  <c r="T37" i="20"/>
  <c r="S37" i="20"/>
  <c r="AF36" i="20"/>
  <c r="AU38" i="20"/>
  <c r="AK38" i="20"/>
  <c r="AA38" i="20"/>
  <c r="Q38" i="20"/>
  <c r="G39" i="20"/>
  <c r="W46" i="20"/>
  <c r="V45" i="20"/>
  <c r="M46" i="20"/>
  <c r="L45" i="20"/>
  <c r="C47" i="20"/>
  <c r="B46" i="20"/>
  <c r="I46" i="20"/>
  <c r="AX36" i="20"/>
  <c r="AW36" i="20"/>
  <c r="AV37" i="20"/>
  <c r="AN36" i="20"/>
  <c r="AM36" i="20"/>
  <c r="AL37" i="20"/>
  <c r="AD36" i="20"/>
  <c r="AC36" i="20"/>
  <c r="AB37" i="20"/>
  <c r="R39" i="20"/>
  <c r="T38" i="20"/>
  <c r="S38" i="20"/>
  <c r="AF37" i="20"/>
  <c r="AU39" i="20"/>
  <c r="AK39" i="20"/>
  <c r="AA39" i="20"/>
  <c r="Q39" i="20"/>
  <c r="N47" i="20"/>
  <c r="N48" i="20"/>
  <c r="G40" i="20"/>
  <c r="M47" i="20"/>
  <c r="L46" i="20"/>
  <c r="C48" i="20"/>
  <c r="B47" i="20"/>
  <c r="I47" i="20"/>
  <c r="AG47" i="20"/>
  <c r="AG48" i="20"/>
  <c r="W47" i="20"/>
  <c r="V46" i="20"/>
  <c r="AV38" i="20"/>
  <c r="AX37" i="20"/>
  <c r="AW37" i="20"/>
  <c r="AL38" i="20"/>
  <c r="AN37" i="20"/>
  <c r="AM37" i="20"/>
  <c r="AB38" i="20"/>
  <c r="AD37" i="20"/>
  <c r="AC37" i="20"/>
  <c r="S39" i="20"/>
  <c r="R40" i="20"/>
  <c r="T39" i="20"/>
  <c r="AF38" i="20"/>
  <c r="AU40" i="20"/>
  <c r="AK40" i="20"/>
  <c r="AA40" i="20"/>
  <c r="Q40" i="20"/>
  <c r="G41" i="20"/>
  <c r="W48" i="20"/>
  <c r="V47" i="20"/>
  <c r="I48" i="20"/>
  <c r="C49" i="20"/>
  <c r="B48" i="20"/>
  <c r="AG49" i="20"/>
  <c r="M48" i="20"/>
  <c r="L47" i="20"/>
  <c r="AV39" i="20"/>
  <c r="AX38" i="20"/>
  <c r="AW38" i="20"/>
  <c r="AL39" i="20"/>
  <c r="AN38" i="20"/>
  <c r="AM38" i="20"/>
  <c r="AB39" i="20"/>
  <c r="AD38" i="20"/>
  <c r="AC38" i="20"/>
  <c r="T40" i="20"/>
  <c r="S40" i="20"/>
  <c r="R41" i="20"/>
  <c r="AF39" i="20"/>
  <c r="AU41" i="20"/>
  <c r="AK41" i="20"/>
  <c r="AA41" i="20"/>
  <c r="Q41" i="20"/>
  <c r="N49" i="20"/>
  <c r="N50" i="20"/>
  <c r="G42" i="20"/>
  <c r="I49" i="20"/>
  <c r="C50" i="20"/>
  <c r="B49" i="20"/>
  <c r="M49" i="20"/>
  <c r="L48" i="20"/>
  <c r="AG50" i="20"/>
  <c r="W49" i="20"/>
  <c r="V48" i="20"/>
  <c r="AW39" i="20"/>
  <c r="AV40" i="20"/>
  <c r="AX39" i="20"/>
  <c r="AM39" i="20"/>
  <c r="AL40" i="20"/>
  <c r="AN39" i="20"/>
  <c r="AC39" i="20"/>
  <c r="AB40" i="20"/>
  <c r="AD39" i="20"/>
  <c r="R42" i="20"/>
  <c r="T41" i="20"/>
  <c r="S41" i="20"/>
  <c r="AF40" i="20"/>
  <c r="AU42" i="20"/>
  <c r="AK42" i="20"/>
  <c r="AA42" i="20"/>
  <c r="Q42" i="20"/>
  <c r="G43" i="20"/>
  <c r="M50" i="20"/>
  <c r="L49" i="20"/>
  <c r="W50" i="20"/>
  <c r="V49" i="20"/>
  <c r="C51" i="20"/>
  <c r="B50" i="20"/>
  <c r="I50" i="20"/>
  <c r="AX40" i="20"/>
  <c r="AW40" i="20"/>
  <c r="AV41" i="20"/>
  <c r="AN40" i="20"/>
  <c r="AM40" i="20"/>
  <c r="AL41" i="20"/>
  <c r="AD40" i="20"/>
  <c r="AC40" i="20"/>
  <c r="AB41" i="20"/>
  <c r="R43" i="20"/>
  <c r="T42" i="20"/>
  <c r="S42" i="20"/>
  <c r="AF41" i="20"/>
  <c r="AU43" i="20"/>
  <c r="AK43" i="20"/>
  <c r="AA43" i="20"/>
  <c r="Q43" i="20"/>
  <c r="N51" i="20"/>
  <c r="N52" i="20"/>
  <c r="G44" i="20"/>
  <c r="W51" i="20"/>
  <c r="V50" i="20"/>
  <c r="C52" i="20"/>
  <c r="B51" i="20"/>
  <c r="I51" i="20"/>
  <c r="AG51" i="20"/>
  <c r="M51" i="20"/>
  <c r="L50" i="20"/>
  <c r="AV42" i="20"/>
  <c r="AX41" i="20"/>
  <c r="AW41" i="20"/>
  <c r="AL42" i="20"/>
  <c r="AN41" i="20"/>
  <c r="AM41" i="20"/>
  <c r="AB42" i="20"/>
  <c r="AD41" i="20"/>
  <c r="AC41" i="20"/>
  <c r="S43" i="20"/>
  <c r="R44" i="20"/>
  <c r="T43" i="20"/>
  <c r="AF42" i="20"/>
  <c r="AU44" i="20"/>
  <c r="AK44" i="20"/>
  <c r="AA44" i="20"/>
  <c r="Q44" i="20"/>
  <c r="G45" i="20"/>
  <c r="M52" i="20"/>
  <c r="L51" i="20"/>
  <c r="I52" i="20"/>
  <c r="C53" i="20"/>
  <c r="B52" i="20"/>
  <c r="AG52" i="20"/>
  <c r="AG53" i="20"/>
  <c r="W52" i="20"/>
  <c r="V51" i="20"/>
  <c r="AV43" i="20"/>
  <c r="AX42" i="20"/>
  <c r="AW42" i="20"/>
  <c r="AL43" i="20"/>
  <c r="AN42" i="20"/>
  <c r="AM42" i="20"/>
  <c r="AB43" i="20"/>
  <c r="AD42" i="20"/>
  <c r="AC42" i="20"/>
  <c r="T44" i="20"/>
  <c r="S44" i="20"/>
  <c r="R45" i="20"/>
  <c r="AF43" i="20"/>
  <c r="AU45" i="20"/>
  <c r="AK45" i="20"/>
  <c r="AA45" i="20"/>
  <c r="Q45" i="20"/>
  <c r="N53" i="20"/>
  <c r="N54" i="20"/>
  <c r="G46" i="20"/>
  <c r="I53" i="20"/>
  <c r="C54" i="20"/>
  <c r="B53" i="20"/>
  <c r="W53" i="20"/>
  <c r="V52" i="20"/>
  <c r="AG54" i="20"/>
  <c r="M53" i="20"/>
  <c r="L52" i="20"/>
  <c r="AW43" i="20"/>
  <c r="AV44" i="20"/>
  <c r="AX43" i="20"/>
  <c r="AM43" i="20"/>
  <c r="AL44" i="20"/>
  <c r="AN43" i="20"/>
  <c r="AC43" i="20"/>
  <c r="AB44" i="20"/>
  <c r="AD43" i="20"/>
  <c r="R46" i="20"/>
  <c r="T45" i="20"/>
  <c r="S45" i="20"/>
  <c r="AF44" i="20"/>
  <c r="AU46" i="20"/>
  <c r="AK46" i="20"/>
  <c r="AA46" i="20"/>
  <c r="Q46" i="20"/>
  <c r="G47" i="20"/>
  <c r="W54" i="20"/>
  <c r="V53" i="20"/>
  <c r="M54" i="20"/>
  <c r="L53" i="20"/>
  <c r="C55" i="20"/>
  <c r="B54" i="20"/>
  <c r="I54" i="20"/>
  <c r="AX44" i="20"/>
  <c r="AW44" i="20"/>
  <c r="AV45" i="20"/>
  <c r="AN44" i="20"/>
  <c r="AM44" i="20"/>
  <c r="AL45" i="20"/>
  <c r="AD44" i="20"/>
  <c r="AC44" i="20"/>
  <c r="AB45" i="20"/>
  <c r="R47" i="20"/>
  <c r="T46" i="20"/>
  <c r="S46" i="20"/>
  <c r="AF45" i="20"/>
  <c r="AU47" i="20"/>
  <c r="AK47" i="20"/>
  <c r="AA47" i="20"/>
  <c r="Q47" i="20"/>
  <c r="N55" i="20"/>
  <c r="N56" i="20"/>
  <c r="G48" i="20"/>
  <c r="M55" i="20"/>
  <c r="L54" i="20"/>
  <c r="C56" i="20"/>
  <c r="B55" i="20"/>
  <c r="I55" i="20"/>
  <c r="AG55" i="20"/>
  <c r="W55" i="20"/>
  <c r="V54" i="20"/>
  <c r="AV46" i="20"/>
  <c r="AX45" i="20"/>
  <c r="AW45" i="20"/>
  <c r="AL46" i="20"/>
  <c r="AN45" i="20"/>
  <c r="AM45" i="20"/>
  <c r="AB46" i="20"/>
  <c r="AD45" i="20"/>
  <c r="AC45" i="20"/>
  <c r="S47" i="20"/>
  <c r="R48" i="20"/>
  <c r="T47" i="20"/>
  <c r="AF46" i="20"/>
  <c r="AU48" i="20"/>
  <c r="AK48" i="20"/>
  <c r="AA48" i="20"/>
  <c r="Q48" i="20"/>
  <c r="G49" i="20"/>
  <c r="W56" i="20"/>
  <c r="V55" i="20"/>
  <c r="I56" i="20"/>
  <c r="C57" i="20"/>
  <c r="B56" i="20"/>
  <c r="AG56" i="20"/>
  <c r="AG57" i="20"/>
  <c r="M56" i="20"/>
  <c r="L55" i="20"/>
  <c r="AV47" i="20"/>
  <c r="AX46" i="20"/>
  <c r="AW46" i="20"/>
  <c r="AL47" i="20"/>
  <c r="AN46" i="20"/>
  <c r="AM46" i="20"/>
  <c r="AB47" i="20"/>
  <c r="AD46" i="20"/>
  <c r="AC46" i="20"/>
  <c r="T48" i="20"/>
  <c r="S48" i="20"/>
  <c r="R49" i="20"/>
  <c r="AF47" i="20"/>
  <c r="AU49" i="20"/>
  <c r="AK49" i="20"/>
  <c r="AA49" i="20"/>
  <c r="Q49" i="20"/>
  <c r="N57" i="20"/>
  <c r="G50" i="20"/>
  <c r="I57" i="20"/>
  <c r="C58" i="20"/>
  <c r="B57" i="20"/>
  <c r="M57" i="20"/>
  <c r="L56" i="20"/>
  <c r="AG58" i="20"/>
  <c r="W57" i="20"/>
  <c r="V56" i="20"/>
  <c r="AW47" i="20"/>
  <c r="AV48" i="20"/>
  <c r="AX47" i="20"/>
  <c r="AM47" i="20"/>
  <c r="AL48" i="20"/>
  <c r="AN47" i="20"/>
  <c r="AC47" i="20"/>
  <c r="AB48" i="20"/>
  <c r="AD47" i="20"/>
  <c r="R50" i="20"/>
  <c r="T49" i="20"/>
  <c r="S49" i="20"/>
  <c r="AF48" i="20"/>
  <c r="AU50" i="20"/>
  <c r="AK50" i="20"/>
  <c r="AA50" i="20"/>
  <c r="Q50" i="20"/>
  <c r="N58" i="20"/>
  <c r="G51" i="20"/>
  <c r="C59" i="20"/>
  <c r="B58" i="20"/>
  <c r="I58" i="20"/>
  <c r="M58" i="20"/>
  <c r="L57" i="20"/>
  <c r="W58" i="20"/>
  <c r="V57" i="20"/>
  <c r="AX48" i="20"/>
  <c r="AW48" i="20"/>
  <c r="AV49" i="20"/>
  <c r="AN48" i="20"/>
  <c r="AM48" i="20"/>
  <c r="AL49" i="20"/>
  <c r="AD48" i="20"/>
  <c r="AC48" i="20"/>
  <c r="AB49" i="20"/>
  <c r="R51" i="20"/>
  <c r="T50" i="20"/>
  <c r="S50" i="20"/>
  <c r="AF49" i="20"/>
  <c r="AU51" i="20"/>
  <c r="AK51" i="20"/>
  <c r="AA51" i="20"/>
  <c r="Q51" i="20"/>
  <c r="N59" i="20"/>
  <c r="N60" i="20"/>
  <c r="G52" i="20"/>
  <c r="C60" i="20"/>
  <c r="B59" i="20"/>
  <c r="I59" i="20"/>
  <c r="W59" i="20"/>
  <c r="V58" i="20"/>
  <c r="M59" i="20"/>
  <c r="L58" i="20"/>
  <c r="AG59" i="20"/>
  <c r="AV50" i="20"/>
  <c r="AX49" i="20"/>
  <c r="AW49" i="20"/>
  <c r="AL50" i="20"/>
  <c r="AN49" i="20"/>
  <c r="AM49" i="20"/>
  <c r="AB50" i="20"/>
  <c r="AD49" i="20"/>
  <c r="AC49" i="20"/>
  <c r="S51" i="20"/>
  <c r="R52" i="20"/>
  <c r="T51" i="20"/>
  <c r="AF50" i="20"/>
  <c r="AU52" i="20"/>
  <c r="AK52" i="20"/>
  <c r="AA52" i="20"/>
  <c r="Q52" i="20"/>
  <c r="G53" i="20"/>
  <c r="AG60" i="20"/>
  <c r="W60" i="20"/>
  <c r="V60" i="20"/>
  <c r="V59" i="20"/>
  <c r="M60" i="20"/>
  <c r="L60" i="20"/>
  <c r="L59" i="20"/>
  <c r="I60" i="20"/>
  <c r="AV51" i="20"/>
  <c r="AX50" i="20"/>
  <c r="AW50" i="20"/>
  <c r="AL51" i="20"/>
  <c r="AN50" i="20"/>
  <c r="AM50" i="20"/>
  <c r="AB51" i="20"/>
  <c r="AD50" i="20"/>
  <c r="AC50" i="20"/>
  <c r="T52" i="20"/>
  <c r="S52" i="20"/>
  <c r="R53" i="20"/>
  <c r="AF51" i="20"/>
  <c r="AU53" i="20"/>
  <c r="AK53" i="20"/>
  <c r="AA53" i="20"/>
  <c r="Q53" i="20"/>
  <c r="G54" i="20"/>
  <c r="AW51" i="20"/>
  <c r="AV52" i="20"/>
  <c r="AX51" i="20"/>
  <c r="AM51" i="20"/>
  <c r="AL52" i="20"/>
  <c r="AN51" i="20"/>
  <c r="AC51" i="20"/>
  <c r="AB52" i="20"/>
  <c r="AD51" i="20"/>
  <c r="R54" i="20"/>
  <c r="T53" i="20"/>
  <c r="S53" i="20"/>
  <c r="AF52" i="20"/>
  <c r="AU54" i="20"/>
  <c r="AK54" i="20"/>
  <c r="AA54" i="20"/>
  <c r="Q54" i="20"/>
  <c r="G55" i="20"/>
  <c r="AX52" i="20"/>
  <c r="AW52" i="20"/>
  <c r="AV53" i="20"/>
  <c r="AN52" i="20"/>
  <c r="AM52" i="20"/>
  <c r="AL53" i="20"/>
  <c r="AD52" i="20"/>
  <c r="AC52" i="20"/>
  <c r="AB53" i="20"/>
  <c r="R55" i="20"/>
  <c r="T54" i="20"/>
  <c r="S54" i="20"/>
  <c r="AF53" i="20"/>
  <c r="AU55" i="20"/>
  <c r="AK55" i="20"/>
  <c r="AA55" i="20"/>
  <c r="Q55" i="20"/>
  <c r="G56" i="20"/>
  <c r="AV54" i="20"/>
  <c r="AX53" i="20"/>
  <c r="AW53" i="20"/>
  <c r="AL54" i="20"/>
  <c r="AN53" i="20"/>
  <c r="AM53" i="20"/>
  <c r="AB54" i="20"/>
  <c r="AD53" i="20"/>
  <c r="AC53" i="20"/>
  <c r="S55" i="20"/>
  <c r="R56" i="20"/>
  <c r="T55" i="20"/>
  <c r="AF54" i="20"/>
  <c r="AU56" i="20"/>
  <c r="AK56" i="20"/>
  <c r="AA56" i="20"/>
  <c r="Q56" i="20"/>
  <c r="G57" i="20"/>
  <c r="AV55" i="20"/>
  <c r="AX54" i="20"/>
  <c r="AW54" i="20"/>
  <c r="AL55" i="20"/>
  <c r="AN54" i="20"/>
  <c r="AM54" i="20"/>
  <c r="AB55" i="20"/>
  <c r="AD54" i="20"/>
  <c r="AC54" i="20"/>
  <c r="T56" i="20"/>
  <c r="S56" i="20"/>
  <c r="R57" i="20"/>
  <c r="AF55" i="20"/>
  <c r="AU57" i="20"/>
  <c r="AK57" i="20"/>
  <c r="AA57" i="20"/>
  <c r="Q57" i="20"/>
  <c r="G58" i="20"/>
  <c r="AW55" i="20"/>
  <c r="AV56" i="20"/>
  <c r="AX55" i="20"/>
  <c r="AM55" i="20"/>
  <c r="AL56" i="20"/>
  <c r="AN55" i="20"/>
  <c r="AC55" i="20"/>
  <c r="AB56" i="20"/>
  <c r="AD55" i="20"/>
  <c r="R58" i="20"/>
  <c r="T57" i="20"/>
  <c r="S57" i="20"/>
  <c r="AF56" i="20"/>
  <c r="AU58" i="20"/>
  <c r="AK58" i="20"/>
  <c r="AA58" i="20"/>
  <c r="Q58" i="20"/>
  <c r="G59" i="20"/>
  <c r="AX56" i="20"/>
  <c r="AW56" i="20"/>
  <c r="AV57" i="20"/>
  <c r="AN56" i="20"/>
  <c r="AM56" i="20"/>
  <c r="AL57" i="20"/>
  <c r="AD56" i="20"/>
  <c r="AC56" i="20"/>
  <c r="AB57" i="20"/>
  <c r="R59" i="20"/>
  <c r="T58" i="20"/>
  <c r="S58" i="20"/>
  <c r="AF57" i="20"/>
  <c r="AU59" i="20"/>
  <c r="AK59" i="20"/>
  <c r="AA59" i="20"/>
  <c r="Q59" i="20"/>
  <c r="G60" i="20"/>
  <c r="AV58" i="20"/>
  <c r="AX57" i="20"/>
  <c r="AW57" i="20"/>
  <c r="AL58" i="20"/>
  <c r="AN57" i="20"/>
  <c r="AM57" i="20"/>
  <c r="AB58" i="20"/>
  <c r="AD57" i="20"/>
  <c r="AC57" i="20"/>
  <c r="S59" i="20"/>
  <c r="R60" i="20"/>
  <c r="T59" i="20"/>
  <c r="AF58" i="20"/>
  <c r="AU60" i="20"/>
  <c r="AK60" i="20"/>
  <c r="AA60" i="20"/>
  <c r="Q60" i="20"/>
  <c r="AV59" i="20"/>
  <c r="AX58" i="20"/>
  <c r="AW58" i="20"/>
  <c r="AL59" i="20"/>
  <c r="AN58" i="20"/>
  <c r="AM58" i="20"/>
  <c r="AB59" i="20"/>
  <c r="AD58" i="20"/>
  <c r="AC58" i="20"/>
  <c r="T60" i="20"/>
  <c r="S60" i="20"/>
  <c r="AF60" i="20"/>
  <c r="AF59" i="20"/>
  <c r="AW59" i="20"/>
  <c r="AV60" i="20"/>
  <c r="AX59" i="20"/>
  <c r="AM59" i="20"/>
  <c r="AL60" i="20"/>
  <c r="AN59" i="20"/>
  <c r="AC59" i="20"/>
  <c r="AB60" i="20"/>
  <c r="AD59" i="20"/>
  <c r="AX60" i="20"/>
  <c r="AW60" i="20"/>
  <c r="AN60" i="20"/>
  <c r="AM60" i="20"/>
  <c r="AD60" i="20"/>
  <c r="AC60" i="20"/>
  <c r="B28" i="4"/>
  <c r="O6" i="19"/>
  <c r="B11" i="30"/>
  <c r="B13" i="30"/>
  <c r="B14" i="30"/>
  <c r="B15" i="30"/>
  <c r="B16" i="30"/>
  <c r="B17" i="30"/>
  <c r="B19" i="30"/>
  <c r="B20" i="30"/>
  <c r="B21" i="30"/>
  <c r="B22" i="30"/>
  <c r="B23" i="30"/>
  <c r="B24" i="30"/>
  <c r="B25" i="30"/>
  <c r="B26" i="30"/>
  <c r="B27" i="30"/>
  <c r="B28" i="30"/>
  <c r="B29" i="30"/>
  <c r="B30" i="30"/>
  <c r="B32" i="30"/>
  <c r="O4" i="19"/>
  <c r="B10" i="3" s="1"/>
  <c r="B14" i="4" s="1"/>
  <c r="O28" i="27"/>
  <c r="J50" i="16"/>
  <c r="K50" i="16"/>
  <c r="P50" i="16"/>
  <c r="B32" i="8"/>
  <c r="C70" i="8"/>
  <c r="G77" i="8"/>
  <c r="I77" i="8"/>
  <c r="B3" i="17"/>
  <c r="B4" i="17" s="1"/>
  <c r="B11" i="11"/>
  <c r="K46" i="6"/>
  <c r="B15" i="8"/>
  <c r="B6" i="9"/>
  <c r="B12" i="9" s="1"/>
  <c r="C22" i="9" s="1"/>
  <c r="C12" i="9"/>
  <c r="H19" i="7"/>
  <c r="F9" i="5" s="1"/>
  <c r="C5" i="7"/>
  <c r="U33" i="7" s="1"/>
  <c r="I9" i="5" s="1"/>
  <c r="E7" i="3"/>
  <c r="H16" i="3"/>
  <c r="Q28" i="27"/>
  <c r="A28" i="27"/>
  <c r="B29" i="4"/>
  <c r="J8" i="3"/>
  <c r="O64" i="3"/>
  <c r="J68" i="8"/>
  <c r="C15" i="7"/>
  <c r="O8" i="19"/>
  <c r="O34" i="19" s="1"/>
  <c r="K8" i="3"/>
  <c r="L8" i="3"/>
  <c r="M8" i="3"/>
  <c r="N8" i="3"/>
  <c r="O8" i="3"/>
  <c r="O80" i="19"/>
  <c r="O16" i="19"/>
  <c r="F22" i="7" s="1"/>
  <c r="L22" i="7" s="1"/>
  <c r="O20" i="19"/>
  <c r="O43" i="19"/>
  <c r="O100" i="19"/>
  <c r="BI116" i="8" s="1"/>
  <c r="H36" i="14" s="1"/>
  <c r="O153" i="19"/>
  <c r="O124" i="19"/>
  <c r="O15" i="19"/>
  <c r="D22" i="7" s="1"/>
  <c r="I22" i="7" s="1"/>
  <c r="I8" i="3"/>
  <c r="H70" i="3"/>
  <c r="V70" i="3"/>
  <c r="J62" i="8"/>
  <c r="J70" i="3"/>
  <c r="X70" i="3"/>
  <c r="I70" i="3"/>
  <c r="W70" i="3"/>
  <c r="H8" i="3"/>
  <c r="G8" i="3"/>
  <c r="G70" i="3"/>
  <c r="U70" i="3"/>
  <c r="F8" i="3"/>
  <c r="E8" i="3"/>
  <c r="E70" i="3"/>
  <c r="S70" i="3"/>
  <c r="F70" i="3"/>
  <c r="T70" i="3"/>
  <c r="A11" i="10" l="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31" i="9"/>
  <c r="A10" i="15"/>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10" i="22"/>
  <c r="A19" i="1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16" i="12"/>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11" i="17"/>
  <c r="A91" i="8"/>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B35" i="7"/>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A11" i="14"/>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12" i="13"/>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12" i="17"/>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K11" i="17"/>
  <c r="K12" i="17" s="1"/>
  <c r="K13" i="17" s="1"/>
  <c r="K14" i="17" s="1"/>
  <c r="K15" i="17" s="1"/>
  <c r="K16" i="17" s="1"/>
  <c r="K17" i="17" s="1"/>
  <c r="K18" i="17" s="1"/>
  <c r="K19" i="17" s="1"/>
  <c r="K20" i="17" s="1"/>
  <c r="K21" i="17" s="1"/>
  <c r="K22" i="17" s="1"/>
  <c r="K23" i="17" s="1"/>
  <c r="K24" i="17" s="1"/>
  <c r="K25" i="17" s="1"/>
  <c r="K26" i="17" s="1"/>
  <c r="K27" i="17" s="1"/>
  <c r="K28" i="17" s="1"/>
  <c r="K29" i="17" s="1"/>
  <c r="K30" i="17" s="1"/>
  <c r="K31" i="17" s="1"/>
  <c r="K32" i="17" s="1"/>
  <c r="K33" i="17" s="1"/>
  <c r="K34" i="17" s="1"/>
  <c r="K35" i="17" s="1"/>
  <c r="K36" i="17" s="1"/>
  <c r="K37" i="17" s="1"/>
  <c r="K38" i="17" s="1"/>
  <c r="K39" i="17" s="1"/>
  <c r="K40" i="17" s="1"/>
  <c r="K41" i="17" s="1"/>
  <c r="K42" i="17" s="1"/>
  <c r="K43" i="17" s="1"/>
  <c r="K44" i="17" s="1"/>
  <c r="K45" i="17" s="1"/>
  <c r="K46" i="17" s="1"/>
  <c r="K47" i="17" s="1"/>
  <c r="K48" i="17" s="1"/>
  <c r="K49" i="17" s="1"/>
  <c r="K50" i="17" s="1"/>
  <c r="U74" i="3"/>
  <c r="U72" i="3"/>
  <c r="U73" i="3"/>
  <c r="L67" i="3"/>
  <c r="L66" i="3"/>
  <c r="P67" i="3"/>
  <c r="L65" i="3"/>
  <c r="P66" i="3"/>
  <c r="P65" i="3"/>
  <c r="BI118" i="8"/>
  <c r="H37" i="15" s="1"/>
  <c r="A27" i="27"/>
  <c r="B10" i="29"/>
  <c r="B19" i="4"/>
  <c r="C13" i="5"/>
  <c r="B16" i="3" s="1"/>
  <c r="B20" i="4"/>
  <c r="B11" i="29"/>
  <c r="BI93" i="8"/>
  <c r="H13" i="14" s="1"/>
  <c r="O123" i="19"/>
  <c r="O72" i="19"/>
  <c r="O23" i="8" s="1"/>
  <c r="O106" i="19"/>
  <c r="O109" i="19"/>
  <c r="O94" i="19"/>
  <c r="BI128" i="8"/>
  <c r="H47" i="15" s="1"/>
  <c r="O44" i="19"/>
  <c r="O60" i="19"/>
  <c r="O136" i="19"/>
  <c r="O147" i="19"/>
  <c r="C15" i="3"/>
  <c r="C16" i="3" s="1"/>
  <c r="C14" i="2"/>
  <c r="C37" i="2" s="1"/>
  <c r="C6" i="7" s="1"/>
  <c r="A24" i="3"/>
  <c r="A29" i="4" s="1"/>
  <c r="B21" i="5"/>
  <c r="G27" i="9"/>
  <c r="F27" i="9"/>
  <c r="N67" i="3"/>
  <c r="N66" i="3"/>
  <c r="S73" i="3"/>
  <c r="E25" i="3"/>
  <c r="E63" i="3" s="1"/>
  <c r="V71" i="3"/>
  <c r="M64" i="3"/>
  <c r="M62" i="3" s="1"/>
  <c r="O65" i="3"/>
  <c r="O66" i="3"/>
  <c r="V73" i="3"/>
  <c r="V74" i="3"/>
  <c r="BI91" i="8"/>
  <c r="H10" i="15" s="1"/>
  <c r="BI109" i="8"/>
  <c r="H29" i="14" s="1"/>
  <c r="BI107" i="8"/>
  <c r="H26" i="15" s="1"/>
  <c r="BI115" i="8"/>
  <c r="H34" i="15" s="1"/>
  <c r="BI130" i="8"/>
  <c r="H50" i="14" s="1"/>
  <c r="BI92" i="8"/>
  <c r="H11" i="15" s="1"/>
  <c r="BI106" i="8"/>
  <c r="H26" i="14" s="1"/>
  <c r="BI117" i="8"/>
  <c r="H36" i="15" s="1"/>
  <c r="BI120" i="8"/>
  <c r="H39" i="15" s="1"/>
  <c r="BI110" i="8"/>
  <c r="H30" i="14" s="1"/>
  <c r="BI100" i="8"/>
  <c r="H20" i="14" s="1"/>
  <c r="BI112" i="8"/>
  <c r="H32" i="14" s="1"/>
  <c r="P8" i="19"/>
  <c r="O29" i="19"/>
  <c r="O142" i="19"/>
  <c r="B3" i="11" s="1"/>
  <c r="O19" i="19"/>
  <c r="O105" i="19"/>
  <c r="O54" i="19"/>
  <c r="O122" i="19"/>
  <c r="O95" i="19"/>
  <c r="O62" i="19"/>
  <c r="O55" i="19"/>
  <c r="O144" i="19"/>
  <c r="BI96" i="8"/>
  <c r="H15" i="15" s="1"/>
  <c r="BI126" i="8"/>
  <c r="H45" i="15" s="1"/>
  <c r="BI125" i="8"/>
  <c r="H45" i="14" s="1"/>
  <c r="BI95" i="8"/>
  <c r="H14" i="15" s="1"/>
  <c r="BI129" i="8"/>
  <c r="H49" i="14" s="1"/>
  <c r="O79" i="19"/>
  <c r="J61" i="8" s="1"/>
  <c r="O70" i="19"/>
  <c r="O24" i="19"/>
  <c r="O68" i="19"/>
  <c r="O37" i="19"/>
  <c r="O141" i="19"/>
  <c r="O97" i="19"/>
  <c r="O127" i="19"/>
  <c r="O132" i="19"/>
  <c r="O91" i="19"/>
  <c r="O117" i="19"/>
  <c r="O99" i="19"/>
  <c r="O128" i="19"/>
  <c r="O59" i="19"/>
  <c r="O22" i="19"/>
  <c r="O151" i="19"/>
  <c r="B9" i="11" s="1"/>
  <c r="B21" i="4"/>
  <c r="B12" i="29"/>
  <c r="BI113" i="8"/>
  <c r="H32" i="15" s="1"/>
  <c r="BI122" i="8"/>
  <c r="H41" i="15" s="1"/>
  <c r="BI97" i="8"/>
  <c r="H17" i="14" s="1"/>
  <c r="BI124" i="8"/>
  <c r="H43" i="15" s="1"/>
  <c r="BI127" i="8"/>
  <c r="H46" i="15" s="1"/>
  <c r="BI102" i="8"/>
  <c r="H22" i="14" s="1"/>
  <c r="BI111" i="8"/>
  <c r="H30" i="15" s="1"/>
  <c r="BI103" i="8"/>
  <c r="H23" i="14" s="1"/>
  <c r="BI123" i="8"/>
  <c r="H42" i="15" s="1"/>
  <c r="BI104" i="8"/>
  <c r="H24" i="14" s="1"/>
  <c r="O47" i="19"/>
  <c r="O87" i="19"/>
  <c r="O46" i="19"/>
  <c r="O23" i="19"/>
  <c r="O119" i="19"/>
  <c r="O13" i="19"/>
  <c r="F20" i="7" s="1"/>
  <c r="L20" i="7" s="1"/>
  <c r="O42" i="19"/>
  <c r="O140" i="19"/>
  <c r="O71" i="19"/>
  <c r="O110" i="19"/>
  <c r="O103" i="19"/>
  <c r="O77" i="19"/>
  <c r="J59" i="8" s="1"/>
  <c r="O92" i="19"/>
  <c r="O66" i="19"/>
  <c r="O61" i="19"/>
  <c r="O21" i="19"/>
  <c r="O111" i="19"/>
  <c r="O130" i="19"/>
  <c r="O83" i="19"/>
  <c r="O74" i="19"/>
  <c r="O38" i="19"/>
  <c r="M23" i="8" s="1"/>
  <c r="O73" i="19"/>
  <c r="O56" i="19"/>
  <c r="O64" i="19"/>
  <c r="O84" i="19"/>
  <c r="O88" i="19"/>
  <c r="O58" i="19"/>
  <c r="BI99" i="8"/>
  <c r="H18" i="15" s="1"/>
  <c r="BI98" i="8"/>
  <c r="H17" i="15" s="1"/>
  <c r="BI105" i="8"/>
  <c r="H25" i="14" s="1"/>
  <c r="BI94" i="8"/>
  <c r="H14" i="14" s="1"/>
  <c r="BI108" i="8"/>
  <c r="H27" i="15" s="1"/>
  <c r="BI121" i="8"/>
  <c r="H41" i="14" s="1"/>
  <c r="BI119" i="8"/>
  <c r="H38" i="15" s="1"/>
  <c r="BI114" i="8"/>
  <c r="H33" i="15" s="1"/>
  <c r="BI101" i="8"/>
  <c r="H21" i="14" s="1"/>
  <c r="O69" i="19"/>
  <c r="O143" i="19"/>
  <c r="O17" i="19"/>
  <c r="E22" i="7" s="1"/>
  <c r="K22" i="7" s="1"/>
  <c r="O18" i="19"/>
  <c r="O81" i="19"/>
  <c r="J63" i="8" s="1"/>
  <c r="O31" i="19"/>
  <c r="O10" i="19"/>
  <c r="D19" i="7" s="1"/>
  <c r="I19" i="7" s="1"/>
  <c r="O35" i="19"/>
  <c r="O27" i="19"/>
  <c r="O120" i="19"/>
  <c r="O78" i="19"/>
  <c r="J60" i="8" s="1"/>
  <c r="O50" i="19"/>
  <c r="O104" i="19"/>
  <c r="O133" i="19"/>
  <c r="O139" i="19"/>
  <c r="O57" i="19"/>
  <c r="O108" i="19"/>
  <c r="O36" i="19"/>
  <c r="O11" i="19"/>
  <c r="F19" i="7" s="1"/>
  <c r="L19" i="7" s="1"/>
  <c r="O89" i="19"/>
  <c r="O12" i="19"/>
  <c r="D20" i="7" s="1"/>
  <c r="I20" i="7" s="1"/>
  <c r="O41" i="19"/>
  <c r="O14" i="19"/>
  <c r="E20" i="7" s="1"/>
  <c r="K20" i="7" s="1"/>
  <c r="O28" i="19"/>
  <c r="O135" i="19"/>
  <c r="B7" i="11" s="1"/>
  <c r="O67" i="19"/>
  <c r="O152" i="19"/>
  <c r="B10" i="11" s="1"/>
  <c r="O129" i="19"/>
  <c r="O134" i="19"/>
  <c r="O93" i="19"/>
  <c r="O125" i="19"/>
  <c r="O45" i="19"/>
  <c r="E20" i="8" s="1"/>
  <c r="F20" i="8" s="1"/>
  <c r="O96" i="19"/>
  <c r="O63" i="19"/>
  <c r="O107" i="19"/>
  <c r="L1" i="12" s="1"/>
  <c r="O148" i="19"/>
  <c r="B8" i="11" s="1"/>
  <c r="O90" i="19"/>
  <c r="O82" i="19"/>
  <c r="B79" i="8" s="1"/>
  <c r="O30" i="19"/>
  <c r="D21" i="7" s="1"/>
  <c r="O118" i="19"/>
  <c r="O51" i="19"/>
  <c r="O112" i="19"/>
  <c r="O65" i="19"/>
  <c r="B6" i="29"/>
  <c r="O5" i="19"/>
  <c r="B5" i="17" s="1"/>
  <c r="B9" i="3"/>
  <c r="B13" i="4" s="1"/>
  <c r="N65" i="3"/>
  <c r="M66" i="3"/>
  <c r="M65" i="3"/>
  <c r="T73" i="3"/>
  <c r="X73" i="3"/>
  <c r="S74" i="3"/>
  <c r="W73" i="3"/>
  <c r="W72" i="3"/>
  <c r="S72" i="3"/>
  <c r="W74" i="3"/>
  <c r="M24" i="8"/>
  <c r="T74" i="3"/>
  <c r="T71" i="3"/>
  <c r="X74" i="3"/>
  <c r="X71" i="3"/>
  <c r="B8" i="3"/>
  <c r="B12" i="4" s="1"/>
  <c r="B4" i="29"/>
  <c r="C20" i="8"/>
  <c r="J19" i="7"/>
  <c r="H20" i="7" s="1"/>
  <c r="F13" i="17"/>
  <c r="E50" i="17"/>
  <c r="G28" i="17"/>
  <c r="F18" i="17"/>
  <c r="E40" i="17"/>
  <c r="F42" i="17"/>
  <c r="F38" i="17"/>
  <c r="F28" i="17"/>
  <c r="E32" i="17"/>
  <c r="E42" i="17"/>
  <c r="G30" i="17"/>
  <c r="G17" i="17"/>
  <c r="G22" i="17"/>
  <c r="F11" i="17"/>
  <c r="F49" i="17"/>
  <c r="G34" i="17"/>
  <c r="F26" i="17"/>
  <c r="F19" i="17"/>
  <c r="E13" i="17"/>
  <c r="F50" i="17"/>
  <c r="F23" i="17"/>
  <c r="B10" i="9"/>
  <c r="B67" i="8" s="1"/>
  <c r="F73" i="2"/>
  <c r="O19" i="7"/>
  <c r="F24" i="17"/>
  <c r="G23" i="17"/>
  <c r="G15" i="17"/>
  <c r="G24" i="17"/>
  <c r="E45" i="17"/>
  <c r="G41" i="17"/>
  <c r="F17" i="17"/>
  <c r="G11" i="17"/>
  <c r="F43" i="17"/>
  <c r="E41" i="17"/>
  <c r="E17" i="17"/>
  <c r="F21" i="17"/>
  <c r="F36" i="17"/>
  <c r="G18" i="17"/>
  <c r="E43" i="17"/>
  <c r="E26" i="17"/>
  <c r="F29" i="17"/>
  <c r="G47" i="17"/>
  <c r="F45" i="17"/>
  <c r="E47" i="17"/>
  <c r="E44" i="17"/>
  <c r="F37" i="17"/>
  <c r="G21" i="17"/>
  <c r="G44" i="17"/>
  <c r="G49" i="17"/>
  <c r="E30" i="17"/>
  <c r="E25" i="17"/>
  <c r="E21" i="17"/>
  <c r="E31" i="17"/>
  <c r="E20" i="17"/>
  <c r="G27" i="17"/>
  <c r="G32" i="17"/>
  <c r="F47" i="17"/>
  <c r="G26" i="17"/>
  <c r="G20" i="17"/>
  <c r="G35" i="17"/>
  <c r="E34" i="17"/>
  <c r="E12" i="17"/>
  <c r="F30" i="17"/>
  <c r="F15" i="17"/>
  <c r="G29" i="17"/>
  <c r="F16" i="17"/>
  <c r="E14" i="17"/>
  <c r="E18" i="17"/>
  <c r="E24" i="17"/>
  <c r="G13" i="17"/>
  <c r="G45" i="17"/>
  <c r="E19" i="17"/>
  <c r="E29" i="17"/>
  <c r="F33" i="17"/>
  <c r="G38" i="17"/>
  <c r="G39" i="17"/>
  <c r="E37" i="17"/>
  <c r="G12" i="17"/>
  <c r="G46" i="17"/>
  <c r="E22" i="17"/>
  <c r="G37" i="17"/>
  <c r="F27" i="17"/>
  <c r="G33" i="17"/>
  <c r="F35" i="17"/>
  <c r="E39" i="17"/>
  <c r="G19" i="17"/>
  <c r="E46" i="17"/>
  <c r="G40" i="17"/>
  <c r="F34" i="17"/>
  <c r="F25" i="17"/>
  <c r="E36" i="17"/>
  <c r="E23" i="17"/>
  <c r="G14" i="17"/>
  <c r="F32" i="17"/>
  <c r="E15" i="17"/>
  <c r="G48" i="17"/>
  <c r="E27" i="17"/>
  <c r="E33" i="17"/>
  <c r="G42" i="17"/>
  <c r="F20" i="17"/>
  <c r="F44" i="17"/>
  <c r="F12" i="17"/>
  <c r="E16" i="17"/>
  <c r="E11" i="17"/>
  <c r="G36" i="17"/>
  <c r="F14" i="17"/>
  <c r="G50" i="17"/>
  <c r="E38" i="17"/>
  <c r="F46" i="17"/>
  <c r="F41" i="17"/>
  <c r="G25" i="17"/>
  <c r="F40" i="17"/>
  <c r="F39" i="17"/>
  <c r="F22" i="17"/>
  <c r="E48" i="17"/>
  <c r="F48" i="17"/>
  <c r="E49" i="17"/>
  <c r="G31" i="17"/>
  <c r="G16" i="17"/>
  <c r="E28" i="17"/>
  <c r="E35" i="17"/>
  <c r="F31" i="17"/>
  <c r="G43" i="17"/>
  <c r="B26" i="8"/>
  <c r="H35" i="15"/>
  <c r="AG2" i="22"/>
  <c r="AK1" i="22" s="1"/>
  <c r="C4" i="5"/>
  <c r="A32" i="9" l="1"/>
  <c r="B31" i="9"/>
  <c r="H38" i="14"/>
  <c r="L5" i="12"/>
  <c r="H12" i="15"/>
  <c r="P62" i="3"/>
  <c r="B17" i="8"/>
  <c r="B42" i="8" s="1"/>
  <c r="N62" i="3"/>
  <c r="L62" i="3"/>
  <c r="O62" i="3"/>
  <c r="H48" i="14"/>
  <c r="H15" i="14"/>
  <c r="I73" i="2"/>
  <c r="I4" i="2" s="1"/>
  <c r="C7" i="7"/>
  <c r="G16" i="3"/>
  <c r="F16" i="3" s="1"/>
  <c r="E16" i="3" s="1"/>
  <c r="I16" i="3"/>
  <c r="J16" i="3" s="1"/>
  <c r="K16" i="3" s="1"/>
  <c r="C21" i="8"/>
  <c r="D21" i="8" s="1"/>
  <c r="E22" i="8"/>
  <c r="F22" i="8" s="1"/>
  <c r="E21" i="8"/>
  <c r="V33" i="7"/>
  <c r="I10" i="5" s="1"/>
  <c r="H27" i="14"/>
  <c r="H11" i="14"/>
  <c r="H49" i="15"/>
  <c r="H25" i="15"/>
  <c r="H12" i="14"/>
  <c r="H28" i="15"/>
  <c r="H37" i="14"/>
  <c r="H48" i="15"/>
  <c r="H42" i="14"/>
  <c r="H31" i="15"/>
  <c r="H35" i="14"/>
  <c r="H16" i="14"/>
  <c r="E17" i="8"/>
  <c r="F17" i="8" s="1"/>
  <c r="B10" i="8"/>
  <c r="J20" i="7"/>
  <c r="F21" i="7"/>
  <c r="L21" i="7" s="1"/>
  <c r="H40" i="14"/>
  <c r="H16" i="15"/>
  <c r="H46" i="14"/>
  <c r="H31" i="14"/>
  <c r="H43" i="14"/>
  <c r="H19" i="15"/>
  <c r="H24" i="15"/>
  <c r="H47" i="14"/>
  <c r="H39" i="14"/>
  <c r="H33" i="14"/>
  <c r="H19" i="14"/>
  <c r="H20" i="15"/>
  <c r="H21" i="15"/>
  <c r="H28" i="14"/>
  <c r="H40" i="15"/>
  <c r="H18" i="14"/>
  <c r="H44" i="14"/>
  <c r="H44" i="15"/>
  <c r="H22" i="15"/>
  <c r="H29" i="15"/>
  <c r="BI90" i="8"/>
  <c r="D20" i="8"/>
  <c r="N23" i="8"/>
  <c r="P23" i="8" s="1"/>
  <c r="P93" i="19"/>
  <c r="P94" i="19"/>
  <c r="P89" i="19"/>
  <c r="P87" i="19"/>
  <c r="P91" i="19"/>
  <c r="P92" i="19"/>
  <c r="P90" i="19"/>
  <c r="P95" i="19"/>
  <c r="P96" i="19"/>
  <c r="P88" i="19"/>
  <c r="P97" i="19"/>
  <c r="V19" i="7"/>
  <c r="L9" i="5" s="1"/>
  <c r="E18" i="8"/>
  <c r="F18" i="8" s="1"/>
  <c r="H34" i="14"/>
  <c r="H13" i="15"/>
  <c r="H23" i="15"/>
  <c r="I21" i="7"/>
  <c r="S42" i="19"/>
  <c r="S43" i="19" s="1"/>
  <c r="R42" i="19"/>
  <c r="R43" i="19" s="1"/>
  <c r="W42" i="19"/>
  <c r="W43" i="19" s="1"/>
  <c r="T42" i="19"/>
  <c r="T43" i="19" s="1"/>
  <c r="V42" i="19"/>
  <c r="V43" i="19" s="1"/>
  <c r="U42" i="19"/>
  <c r="U43" i="19" s="1"/>
  <c r="Y42" i="19"/>
  <c r="Y43" i="19" s="1"/>
  <c r="X42" i="19"/>
  <c r="X43" i="19" s="1"/>
  <c r="B74" i="8"/>
  <c r="N11" i="17"/>
  <c r="N12" i="17" s="1"/>
  <c r="C12" i="17" s="1"/>
  <c r="F12" i="10" s="1"/>
  <c r="F2" i="6"/>
  <c r="W41" i="19"/>
  <c r="Y41" i="19"/>
  <c r="U41" i="19"/>
  <c r="S41" i="19"/>
  <c r="X41" i="19"/>
  <c r="V41" i="19"/>
  <c r="T41" i="19"/>
  <c r="R41" i="19"/>
  <c r="Q19" i="7"/>
  <c r="R19" i="7" s="1"/>
  <c r="S19" i="7" s="1"/>
  <c r="O20" i="7"/>
  <c r="P19" i="7"/>
  <c r="C53" i="7" s="1"/>
  <c r="N24" i="8"/>
  <c r="C22" i="8"/>
  <c r="B75" i="8"/>
  <c r="N75" i="8" s="1"/>
  <c r="G71" i="2"/>
  <c r="F4" i="2"/>
  <c r="D3" i="2"/>
  <c r="D71" i="2"/>
  <c r="D72" i="2" s="1"/>
  <c r="B68" i="8"/>
  <c r="D75" i="8" s="1"/>
  <c r="I75" i="8" s="1"/>
  <c r="B6" i="11"/>
  <c r="J66" i="8"/>
  <c r="AH1" i="22"/>
  <c r="AG1" i="22"/>
  <c r="B32" i="9" l="1"/>
  <c r="A33" i="9"/>
  <c r="S62" i="3"/>
  <c r="S65" i="3" s="1"/>
  <c r="P20" i="7"/>
  <c r="D49" i="7" s="1"/>
  <c r="H21" i="7"/>
  <c r="J21" i="7" s="1"/>
  <c r="T62" i="3"/>
  <c r="T67" i="3" s="1"/>
  <c r="U62" i="3"/>
  <c r="U67" i="3" s="1"/>
  <c r="V62" i="3"/>
  <c r="V64" i="3" s="1"/>
  <c r="D42" i="8"/>
  <c r="W62" i="3"/>
  <c r="W66" i="3" s="1"/>
  <c r="C8" i="7"/>
  <c r="O73" i="2" s="1"/>
  <c r="L73" i="2"/>
  <c r="L4" i="2" s="1"/>
  <c r="F21" i="8"/>
  <c r="J71" i="2"/>
  <c r="C42" i="8"/>
  <c r="Q20" i="7"/>
  <c r="R20" i="7" s="1"/>
  <c r="S20" i="7" s="1"/>
  <c r="C61" i="7"/>
  <c r="H6" i="14"/>
  <c r="H6" i="15"/>
  <c r="B12" i="17"/>
  <c r="J12" i="10" s="1"/>
  <c r="N13" i="17"/>
  <c r="I11" i="17" s="1"/>
  <c r="D12" i="17"/>
  <c r="C12" i="10" s="1"/>
  <c r="Y44" i="19"/>
  <c r="W44" i="19"/>
  <c r="U44" i="19"/>
  <c r="R44" i="19"/>
  <c r="D11" i="17"/>
  <c r="C11" i="10" s="1"/>
  <c r="C11" i="17"/>
  <c r="F11" i="10" s="1"/>
  <c r="B11" i="17"/>
  <c r="J11" i="10" s="1"/>
  <c r="V44" i="19"/>
  <c r="S44" i="19"/>
  <c r="O74" i="8"/>
  <c r="P74" i="8"/>
  <c r="N74" i="8"/>
  <c r="X44" i="19"/>
  <c r="T44" i="19"/>
  <c r="O75" i="8"/>
  <c r="C56" i="7"/>
  <c r="C38" i="7"/>
  <c r="C63" i="7"/>
  <c r="C46" i="7"/>
  <c r="C44" i="7"/>
  <c r="C69" i="7"/>
  <c r="C73" i="7"/>
  <c r="C48" i="7"/>
  <c r="C62" i="7"/>
  <c r="C37" i="7"/>
  <c r="C59" i="7"/>
  <c r="C43" i="7"/>
  <c r="C57" i="7"/>
  <c r="C39" i="7"/>
  <c r="C51" i="7"/>
  <c r="C36" i="7"/>
  <c r="C55" i="7"/>
  <c r="C74" i="7"/>
  <c r="C72" i="7"/>
  <c r="C67" i="7"/>
  <c r="C47" i="7"/>
  <c r="C54" i="7"/>
  <c r="C41" i="7"/>
  <c r="C65" i="7"/>
  <c r="C70" i="7"/>
  <c r="C71" i="7"/>
  <c r="C60" i="7"/>
  <c r="C68" i="7"/>
  <c r="C58" i="7"/>
  <c r="C45" i="7"/>
  <c r="C49" i="7"/>
  <c r="C35" i="7"/>
  <c r="C66" i="7"/>
  <c r="C40" i="7"/>
  <c r="C42" i="7"/>
  <c r="C50" i="7"/>
  <c r="C52" i="7"/>
  <c r="C64" i="7"/>
  <c r="P75" i="8"/>
  <c r="D22" i="8"/>
  <c r="P24" i="8"/>
  <c r="G72" i="2"/>
  <c r="AI1" i="22"/>
  <c r="BS7" i="22" s="1"/>
  <c r="BD7" i="22" l="1"/>
  <c r="BD10" i="22" s="1"/>
  <c r="AY7" i="22"/>
  <c r="AY10" i="22" s="1"/>
  <c r="AI7" i="22"/>
  <c r="AI10" i="22" s="1"/>
  <c r="AJ7" i="22"/>
  <c r="AJ10" i="22" s="1"/>
  <c r="AL7" i="22"/>
  <c r="AL10" i="22" s="1"/>
  <c r="AT7" i="22"/>
  <c r="AT10" i="22" s="1"/>
  <c r="AV7" i="22"/>
  <c r="AV10" i="22" s="1"/>
  <c r="AO7" i="22"/>
  <c r="AO10" i="22" s="1"/>
  <c r="CG7" i="22"/>
  <c r="CG10" i="22" s="1"/>
  <c r="AS7" i="22"/>
  <c r="AS10" i="22" s="1"/>
  <c r="BQ7" i="22"/>
  <c r="BQ10" i="22" s="1"/>
  <c r="CA7" i="22"/>
  <c r="CA10" i="22" s="1"/>
  <c r="BX7" i="22"/>
  <c r="BX10" i="22" s="1"/>
  <c r="CF7" i="22"/>
  <c r="CF10" i="22" s="1"/>
  <c r="BI7" i="22"/>
  <c r="BI10" i="22" s="1"/>
  <c r="BB7" i="22"/>
  <c r="BB10" i="22" s="1"/>
  <c r="CD7" i="22"/>
  <c r="CD10" i="22" s="1"/>
  <c r="BC7" i="22"/>
  <c r="BC10" i="22" s="1"/>
  <c r="BP7" i="22"/>
  <c r="BP10" i="22" s="1"/>
  <c r="BE7" i="22"/>
  <c r="BE10" i="22" s="1"/>
  <c r="AK7" i="22"/>
  <c r="AK10" i="22" s="1"/>
  <c r="AG7" i="22"/>
  <c r="AG10" i="22" s="1"/>
  <c r="BU7" i="22"/>
  <c r="AP7" i="22"/>
  <c r="AP10" i="22" s="1"/>
  <c r="AX7" i="22"/>
  <c r="AX10" i="22" s="1"/>
  <c r="AR7" i="22"/>
  <c r="AR10" i="22" s="1"/>
  <c r="BR7" i="22"/>
  <c r="BR10" i="22" s="1"/>
  <c r="BN7" i="22"/>
  <c r="BN10" i="22" s="1"/>
  <c r="BZ7" i="22"/>
  <c r="BZ10" i="22" s="1"/>
  <c r="BF7" i="22"/>
  <c r="BF10" i="22" s="1"/>
  <c r="BL7" i="22"/>
  <c r="BL10" i="22" s="1"/>
  <c r="AW7" i="22"/>
  <c r="AW10" i="22" s="1"/>
  <c r="BA7" i="22"/>
  <c r="BA10" i="22" s="1"/>
  <c r="CH7" i="22"/>
  <c r="CH10" i="22" s="1"/>
  <c r="BV7" i="22"/>
  <c r="BV10" i="22" s="1"/>
  <c r="CE7" i="22"/>
  <c r="CE10" i="22" s="1"/>
  <c r="AU7" i="22"/>
  <c r="AU10" i="22" s="1"/>
  <c r="BO7" i="22"/>
  <c r="BO10" i="22" s="1"/>
  <c r="AH7" i="22"/>
  <c r="AH10" i="22" s="1"/>
  <c r="BW7" i="22"/>
  <c r="BW10" i="22" s="1"/>
  <c r="CB7" i="22"/>
  <c r="CB10" i="22" s="1"/>
  <c r="BM7" i="22"/>
  <c r="BM10" i="22" s="1"/>
  <c r="BG7" i="22"/>
  <c r="BG10" i="22" s="1"/>
  <c r="AZ7" i="22"/>
  <c r="AZ10" i="22" s="1"/>
  <c r="BT7" i="22"/>
  <c r="BT10" i="22" s="1"/>
  <c r="BK7" i="22"/>
  <c r="BK10" i="22" s="1"/>
  <c r="BY7" i="22"/>
  <c r="BY10" i="22" s="1"/>
  <c r="CC7" i="22"/>
  <c r="CC10" i="22" s="1"/>
  <c r="AM7" i="22"/>
  <c r="AM10" i="22" s="1"/>
  <c r="BH7" i="22"/>
  <c r="BH10" i="22" s="1"/>
  <c r="BJ7" i="22"/>
  <c r="BJ10" i="22" s="1"/>
  <c r="AQ7" i="22"/>
  <c r="AQ10" i="22" s="1"/>
  <c r="AN7" i="22"/>
  <c r="AN10" i="22" s="1"/>
  <c r="T64" i="3"/>
  <c r="S63" i="3"/>
  <c r="S66" i="3"/>
  <c r="S67" i="3"/>
  <c r="S64" i="3"/>
  <c r="W67" i="3"/>
  <c r="T66" i="3"/>
  <c r="D73" i="7"/>
  <c r="E73" i="7" s="1"/>
  <c r="D70" i="7"/>
  <c r="E70" i="7" s="1"/>
  <c r="D46" i="7"/>
  <c r="E46" i="7" s="1"/>
  <c r="D68" i="7"/>
  <c r="E68" i="7" s="1"/>
  <c r="D38" i="7"/>
  <c r="E38" i="7" s="1"/>
  <c r="D57" i="7"/>
  <c r="E57" i="7" s="1"/>
  <c r="D40" i="7"/>
  <c r="E40" i="7" s="1"/>
  <c r="D64" i="7"/>
  <c r="E64" i="7" s="1"/>
  <c r="D43" i="7"/>
  <c r="E43" i="7" s="1"/>
  <c r="D61" i="7"/>
  <c r="E61" i="7" s="1"/>
  <c r="D59" i="7"/>
  <c r="E59" i="7" s="1"/>
  <c r="D72" i="7"/>
  <c r="E72" i="7" s="1"/>
  <c r="D52" i="7"/>
  <c r="E52" i="7" s="1"/>
  <c r="D51" i="7"/>
  <c r="E51" i="7" s="1"/>
  <c r="D69" i="7"/>
  <c r="E69" i="7" s="1"/>
  <c r="D66" i="7"/>
  <c r="E66" i="7" s="1"/>
  <c r="D54" i="7"/>
  <c r="E54" i="7" s="1"/>
  <c r="D67" i="7"/>
  <c r="E67" i="7" s="1"/>
  <c r="D35" i="7"/>
  <c r="E35" i="7" s="1"/>
  <c r="P35" i="7" s="1"/>
  <c r="D55" i="7"/>
  <c r="E55" i="7" s="1"/>
  <c r="D50" i="7"/>
  <c r="E50" i="7" s="1"/>
  <c r="D48" i="7"/>
  <c r="E48" i="7" s="1"/>
  <c r="D71" i="7"/>
  <c r="E71" i="7" s="1"/>
  <c r="D60" i="7"/>
  <c r="E60" i="7" s="1"/>
  <c r="D37" i="7"/>
  <c r="E37" i="7" s="1"/>
  <c r="D41" i="7"/>
  <c r="E41" i="7" s="1"/>
  <c r="A34" i="9"/>
  <c r="B33" i="9"/>
  <c r="D44" i="7"/>
  <c r="E44" i="7" s="1"/>
  <c r="D39" i="7"/>
  <c r="E39" i="7" s="1"/>
  <c r="D47" i="7"/>
  <c r="E47" i="7" s="1"/>
  <c r="D45" i="7"/>
  <c r="E45" i="7" s="1"/>
  <c r="D56" i="7"/>
  <c r="E56" i="7" s="1"/>
  <c r="D53" i="7"/>
  <c r="E53" i="7" s="1"/>
  <c r="D63" i="7"/>
  <c r="E63" i="7" s="1"/>
  <c r="D36" i="7"/>
  <c r="E36" i="7" s="1"/>
  <c r="D65" i="7"/>
  <c r="E65" i="7" s="1"/>
  <c r="D74" i="7"/>
  <c r="E74" i="7" s="1"/>
  <c r="D62" i="7"/>
  <c r="E62" i="7" s="1"/>
  <c r="D42" i="7"/>
  <c r="E42" i="7" s="1"/>
  <c r="D58" i="7"/>
  <c r="E58" i="7" s="1"/>
  <c r="E49" i="7"/>
  <c r="P21" i="7"/>
  <c r="H22" i="7"/>
  <c r="J22" i="7" s="1"/>
  <c r="O21" i="7"/>
  <c r="Q21" i="7" s="1"/>
  <c r="R21" i="7" s="1"/>
  <c r="F10" i="5"/>
  <c r="G3" i="2" s="1"/>
  <c r="BU10" i="22"/>
  <c r="BS10" i="22"/>
  <c r="W65" i="3"/>
  <c r="T63" i="3"/>
  <c r="W64" i="3"/>
  <c r="W63" i="3"/>
  <c r="T65" i="3"/>
  <c r="U64" i="3"/>
  <c r="U65" i="3"/>
  <c r="U63" i="3"/>
  <c r="V63" i="3"/>
  <c r="V65" i="3"/>
  <c r="M71" i="2"/>
  <c r="BO88" i="8"/>
  <c r="I12" i="5" s="1"/>
  <c r="V66" i="3"/>
  <c r="U66" i="3"/>
  <c r="V67" i="3"/>
  <c r="C9" i="7"/>
  <c r="AG28" i="9" s="1"/>
  <c r="AH28" i="9" s="1"/>
  <c r="AI28" i="9" s="1"/>
  <c r="J72" i="2"/>
  <c r="C27" i="8"/>
  <c r="B28" i="8"/>
  <c r="B13" i="17"/>
  <c r="J13" i="10" s="1"/>
  <c r="C13" i="17"/>
  <c r="F13" i="10" s="1"/>
  <c r="D13" i="17"/>
  <c r="C13" i="10" s="1"/>
  <c r="N14" i="17"/>
  <c r="I12" i="17" s="1"/>
  <c r="C34" i="7"/>
  <c r="O4" i="2"/>
  <c r="P71" i="2"/>
  <c r="F48" i="7" l="1"/>
  <c r="F69" i="7"/>
  <c r="F49" i="7"/>
  <c r="F67" i="7"/>
  <c r="F46" i="7"/>
  <c r="F47" i="7"/>
  <c r="F38" i="7"/>
  <c r="F64" i="7"/>
  <c r="F41" i="7"/>
  <c r="F70" i="7"/>
  <c r="A35" i="9"/>
  <c r="B34" i="9"/>
  <c r="O22" i="7"/>
  <c r="F40" i="7"/>
  <c r="F63" i="7"/>
  <c r="F72" i="7"/>
  <c r="F53" i="7"/>
  <c r="F66" i="7"/>
  <c r="F51" i="7"/>
  <c r="F50" i="7"/>
  <c r="F42" i="7"/>
  <c r="F55" i="7"/>
  <c r="F43" i="7"/>
  <c r="F54" i="7"/>
  <c r="F68" i="7"/>
  <c r="F74" i="7"/>
  <c r="F57" i="7"/>
  <c r="F37" i="7"/>
  <c r="F59" i="7"/>
  <c r="F58" i="7"/>
  <c r="F60" i="7"/>
  <c r="F71" i="7"/>
  <c r="F44" i="7"/>
  <c r="F39" i="7"/>
  <c r="F45" i="7"/>
  <c r="F52" i="7"/>
  <c r="F36" i="7"/>
  <c r="Q36" i="7" s="1"/>
  <c r="V36" i="7" s="1"/>
  <c r="F65" i="7"/>
  <c r="F73" i="7"/>
  <c r="F56" i="7"/>
  <c r="F62" i="7"/>
  <c r="F61" i="7"/>
  <c r="D34" i="7"/>
  <c r="F35" i="7"/>
  <c r="Q35" i="7" s="1"/>
  <c r="V35" i="7" s="1"/>
  <c r="S21" i="7"/>
  <c r="P36" i="7"/>
  <c r="U36" i="7" s="1"/>
  <c r="M72" i="2"/>
  <c r="P72" i="2" s="1"/>
  <c r="H10" i="2"/>
  <c r="BP88" i="8"/>
  <c r="BQ88" i="8" s="1"/>
  <c r="BR88" i="8" s="1"/>
  <c r="BS88" i="8" s="1"/>
  <c r="BT88" i="8" s="1"/>
  <c r="BU88" i="8" s="1"/>
  <c r="L2" i="12"/>
  <c r="C28" i="8"/>
  <c r="E34" i="7"/>
  <c r="D14" i="17"/>
  <c r="C14" i="10" s="1"/>
  <c r="B14" i="17"/>
  <c r="J14" i="10" s="1"/>
  <c r="C14" i="17"/>
  <c r="F14" i="10" s="1"/>
  <c r="N15" i="17"/>
  <c r="I13" i="17" s="1"/>
  <c r="P37" i="7" s="1"/>
  <c r="U37" i="7" s="1"/>
  <c r="Q22" i="7"/>
  <c r="R22" i="7" s="1"/>
  <c r="S22" i="7" s="1"/>
  <c r="H23" i="7"/>
  <c r="V20" i="7"/>
  <c r="P22" i="7"/>
  <c r="U35" i="7"/>
  <c r="G49" i="7" l="1"/>
  <c r="H49" i="7" s="1"/>
  <c r="A36" i="9"/>
  <c r="B35" i="9"/>
  <c r="F34" i="7"/>
  <c r="Z35" i="7"/>
  <c r="Q10" i="15" s="1"/>
  <c r="Z36" i="7"/>
  <c r="Q11" i="15" s="1"/>
  <c r="Q37" i="7"/>
  <c r="V37" i="7" s="1"/>
  <c r="K13" i="12"/>
  <c r="I13" i="5"/>
  <c r="I4" i="5" s="1"/>
  <c r="I5" i="5" s="1"/>
  <c r="I6" i="5" s="1"/>
  <c r="I7" i="5" s="1"/>
  <c r="S7" i="10"/>
  <c r="T7" i="10" s="1"/>
  <c r="U7" i="10" s="1"/>
  <c r="P16" i="11"/>
  <c r="D28" i="8"/>
  <c r="E28" i="8" s="1"/>
  <c r="N16" i="17"/>
  <c r="I14" i="17" s="1"/>
  <c r="P38" i="7" s="1"/>
  <c r="U38" i="7" s="1"/>
  <c r="B15" i="17"/>
  <c r="J15" i="10" s="1"/>
  <c r="C15" i="17"/>
  <c r="F15" i="10" s="1"/>
  <c r="D15" i="17"/>
  <c r="C15" i="10" s="1"/>
  <c r="BW88" i="8"/>
  <c r="BV88" i="8"/>
  <c r="O23" i="7"/>
  <c r="F11" i="5"/>
  <c r="J3" i="2" s="1"/>
  <c r="G61" i="7"/>
  <c r="H61" i="7" s="1"/>
  <c r="G60" i="7"/>
  <c r="H60" i="7" s="1"/>
  <c r="G65" i="7"/>
  <c r="H65" i="7" s="1"/>
  <c r="G35" i="7"/>
  <c r="G71" i="7"/>
  <c r="H71" i="7" s="1"/>
  <c r="G64" i="7"/>
  <c r="H64" i="7" s="1"/>
  <c r="G51" i="7"/>
  <c r="H51" i="7" s="1"/>
  <c r="G73" i="7"/>
  <c r="H73" i="7" s="1"/>
  <c r="G62" i="7"/>
  <c r="H62" i="7" s="1"/>
  <c r="G45" i="7"/>
  <c r="H45" i="7" s="1"/>
  <c r="G44" i="7"/>
  <c r="H44" i="7" s="1"/>
  <c r="G57" i="7"/>
  <c r="H57" i="7" s="1"/>
  <c r="G46" i="7"/>
  <c r="H46" i="7" s="1"/>
  <c r="G37" i="7"/>
  <c r="H37" i="7" s="1"/>
  <c r="G52" i="7"/>
  <c r="H52" i="7" s="1"/>
  <c r="G40" i="7"/>
  <c r="H40" i="7" s="1"/>
  <c r="G68" i="7"/>
  <c r="H68" i="7" s="1"/>
  <c r="G70" i="7"/>
  <c r="H70" i="7" s="1"/>
  <c r="G67" i="7"/>
  <c r="H67" i="7" s="1"/>
  <c r="G59" i="7"/>
  <c r="H59" i="7" s="1"/>
  <c r="G72" i="7"/>
  <c r="H72" i="7" s="1"/>
  <c r="G63" i="7"/>
  <c r="H63" i="7" s="1"/>
  <c r="G66" i="7"/>
  <c r="H66" i="7" s="1"/>
  <c r="G42" i="7"/>
  <c r="H42" i="7" s="1"/>
  <c r="G43" i="7"/>
  <c r="H43" i="7" s="1"/>
  <c r="G38" i="7"/>
  <c r="H38" i="7" s="1"/>
  <c r="G53" i="7"/>
  <c r="H53" i="7" s="1"/>
  <c r="G74" i="7"/>
  <c r="H74" i="7" s="1"/>
  <c r="G41" i="7"/>
  <c r="H41" i="7" s="1"/>
  <c r="L10" i="5"/>
  <c r="V25" i="7"/>
  <c r="G58" i="7"/>
  <c r="H58" i="7" s="1"/>
  <c r="G47" i="7"/>
  <c r="H47" i="7" s="1"/>
  <c r="G50" i="7"/>
  <c r="H50" i="7" s="1"/>
  <c r="G36" i="7"/>
  <c r="H36" i="7" s="1"/>
  <c r="G48" i="7"/>
  <c r="H48" i="7" s="1"/>
  <c r="G55" i="7"/>
  <c r="H55" i="7" s="1"/>
  <c r="G39" i="7"/>
  <c r="H39" i="7" s="1"/>
  <c r="G69" i="7"/>
  <c r="H69" i="7" s="1"/>
  <c r="G54" i="7"/>
  <c r="H54" i="7" s="1"/>
  <c r="G56" i="7"/>
  <c r="H56" i="7" s="1"/>
  <c r="B36" i="9" l="1"/>
  <c r="A37" i="9"/>
  <c r="Q11" i="14"/>
  <c r="Q12" i="14"/>
  <c r="Z37" i="7"/>
  <c r="Q13" i="14" s="1"/>
  <c r="I14" i="5"/>
  <c r="I15" i="5" s="1"/>
  <c r="I16" i="5" s="1"/>
  <c r="I17" i="5" s="1"/>
  <c r="I18" i="5" s="1"/>
  <c r="I19" i="5" s="1"/>
  <c r="Q38" i="7"/>
  <c r="Z38" i="7" s="1"/>
  <c r="F28" i="8"/>
  <c r="G28" i="8" s="1"/>
  <c r="B16" i="17"/>
  <c r="J16" i="10" s="1"/>
  <c r="N17" i="17"/>
  <c r="I15" i="17" s="1"/>
  <c r="P39" i="7" s="1"/>
  <c r="C16" i="17"/>
  <c r="F16" i="10" s="1"/>
  <c r="D16" i="17"/>
  <c r="C16" i="10" s="1"/>
  <c r="Q9" i="14"/>
  <c r="R9" i="14" s="1"/>
  <c r="U9" i="14" s="1"/>
  <c r="Q9" i="15"/>
  <c r="R9" i="15" s="1"/>
  <c r="U9" i="15" s="1"/>
  <c r="G34" i="7"/>
  <c r="H35" i="7"/>
  <c r="H34" i="7" s="1"/>
  <c r="B37" i="9" l="1"/>
  <c r="A38" i="9"/>
  <c r="Q12" i="15"/>
  <c r="Q39" i="7"/>
  <c r="V39" i="7" s="1"/>
  <c r="V38" i="7"/>
  <c r="B54" i="8"/>
  <c r="U39" i="7"/>
  <c r="B17" i="17"/>
  <c r="J17" i="10" s="1"/>
  <c r="C17" i="17"/>
  <c r="F17" i="10" s="1"/>
  <c r="N18" i="17"/>
  <c r="I16" i="17" s="1"/>
  <c r="P40" i="7" s="1"/>
  <c r="D17" i="17"/>
  <c r="C17" i="10" s="1"/>
  <c r="Q13" i="15"/>
  <c r="Q14" i="14"/>
  <c r="A39" i="9" l="1"/>
  <c r="B38" i="9"/>
  <c r="Z39" i="7"/>
  <c r="Q14" i="15" s="1"/>
  <c r="Q40" i="7"/>
  <c r="V40" i="7" s="1"/>
  <c r="D54" i="8"/>
  <c r="C54" i="8"/>
  <c r="U40" i="7"/>
  <c r="B18" i="17"/>
  <c r="J18" i="10" s="1"/>
  <c r="D18" i="17"/>
  <c r="C18" i="10" s="1"/>
  <c r="N19" i="17"/>
  <c r="I17" i="17" s="1"/>
  <c r="Q41" i="7" s="1"/>
  <c r="V41" i="7" s="1"/>
  <c r="C18" i="17"/>
  <c r="F18" i="10" s="1"/>
  <c r="B39" i="9" l="1"/>
  <c r="A40" i="9"/>
  <c r="Q15" i="14"/>
  <c r="Z40" i="7"/>
  <c r="Q15" i="15" s="1"/>
  <c r="P41" i="7"/>
  <c r="U41" i="7" s="1"/>
  <c r="B20" i="8"/>
  <c r="B43" i="8" s="1"/>
  <c r="D19" i="17"/>
  <c r="C19" i="10" s="1"/>
  <c r="C19" i="17"/>
  <c r="F19" i="10" s="1"/>
  <c r="N20" i="17"/>
  <c r="I18" i="17" s="1"/>
  <c r="Q42" i="7" s="1"/>
  <c r="V42" i="7" s="1"/>
  <c r="B19" i="17"/>
  <c r="J19" i="10" s="1"/>
  <c r="B40" i="9" l="1"/>
  <c r="A41" i="9"/>
  <c r="Q16" i="14"/>
  <c r="Z41" i="7"/>
  <c r="Q17" i="14" s="1"/>
  <c r="P42" i="7"/>
  <c r="Z42" i="7" s="1"/>
  <c r="C43" i="8"/>
  <c r="D43" i="8"/>
  <c r="C20" i="17"/>
  <c r="F20" i="10" s="1"/>
  <c r="D20" i="17"/>
  <c r="C20" i="10" s="1"/>
  <c r="N21" i="17"/>
  <c r="I19" i="17" s="1"/>
  <c r="P43" i="7" s="1"/>
  <c r="B20" i="17"/>
  <c r="J20" i="10" s="1"/>
  <c r="A42" i="9" l="1"/>
  <c r="B41" i="9"/>
  <c r="Q16" i="15"/>
  <c r="U42" i="7"/>
  <c r="Q43" i="7"/>
  <c r="V43" i="7" s="1"/>
  <c r="Q17" i="15"/>
  <c r="Q18" i="14"/>
  <c r="B21" i="17"/>
  <c r="J21" i="10" s="1"/>
  <c r="N22" i="17"/>
  <c r="I20" i="17" s="1"/>
  <c r="Q44" i="7" s="1"/>
  <c r="V44" i="7" s="1"/>
  <c r="C21" i="17"/>
  <c r="F21" i="10" s="1"/>
  <c r="D21" i="17"/>
  <c r="C21" i="10" s="1"/>
  <c r="U43" i="7"/>
  <c r="B42" i="9" l="1"/>
  <c r="A43" i="9"/>
  <c r="Z43" i="7"/>
  <c r="Q19" i="14" s="1"/>
  <c r="P44" i="7"/>
  <c r="U44" i="7" s="1"/>
  <c r="C22" i="17"/>
  <c r="F22" i="10" s="1"/>
  <c r="D22" i="17"/>
  <c r="C22" i="10" s="1"/>
  <c r="N23" i="17"/>
  <c r="I21" i="17" s="1"/>
  <c r="Q45" i="7" s="1"/>
  <c r="V45" i="7" s="1"/>
  <c r="B22" i="17"/>
  <c r="J22" i="10" s="1"/>
  <c r="Q18" i="15" l="1"/>
  <c r="B43" i="9"/>
  <c r="A44" i="9"/>
  <c r="Z44" i="7"/>
  <c r="Q19" i="15" s="1"/>
  <c r="P45" i="7"/>
  <c r="U45" i="7" s="1"/>
  <c r="B23" i="17"/>
  <c r="J23" i="10" s="1"/>
  <c r="D23" i="17"/>
  <c r="C23" i="10" s="1"/>
  <c r="C23" i="17"/>
  <c r="F23" i="10" s="1"/>
  <c r="N24" i="17"/>
  <c r="I22" i="17" s="1"/>
  <c r="P46" i="7" s="1"/>
  <c r="Q20" i="14" l="1"/>
  <c r="A45" i="9"/>
  <c r="B44" i="9"/>
  <c r="Z45" i="7"/>
  <c r="Q20" i="15" s="1"/>
  <c r="Q46" i="7"/>
  <c r="V46" i="7" s="1"/>
  <c r="U46" i="7"/>
  <c r="B24" i="17"/>
  <c r="J24" i="10" s="1"/>
  <c r="D24" i="17"/>
  <c r="C24" i="10" s="1"/>
  <c r="C24" i="17"/>
  <c r="F24" i="10" s="1"/>
  <c r="N25" i="17"/>
  <c r="I23" i="17" s="1"/>
  <c r="P47" i="7" s="1"/>
  <c r="A46" i="9" l="1"/>
  <c r="B45" i="9"/>
  <c r="Q21" i="14"/>
  <c r="Z46" i="7"/>
  <c r="Q22" i="14" s="1"/>
  <c r="Q47" i="7"/>
  <c r="V47" i="7" s="1"/>
  <c r="U47" i="7"/>
  <c r="N26" i="17"/>
  <c r="I24" i="17" s="1"/>
  <c r="Q48" i="7" s="1"/>
  <c r="V48" i="7" s="1"/>
  <c r="B25" i="17"/>
  <c r="J25" i="10" s="1"/>
  <c r="C25" i="17"/>
  <c r="F25" i="10" s="1"/>
  <c r="D25" i="17"/>
  <c r="C25" i="10" s="1"/>
  <c r="Q21" i="15" l="1"/>
  <c r="A47" i="9"/>
  <c r="B46" i="9"/>
  <c r="P48" i="7"/>
  <c r="U48" i="7" s="1"/>
  <c r="Z47" i="7"/>
  <c r="Q23" i="14" s="1"/>
  <c r="N27" i="17"/>
  <c r="I25" i="17" s="1"/>
  <c r="P49" i="7" s="1"/>
  <c r="C26" i="17"/>
  <c r="F26" i="10" s="1"/>
  <c r="B26" i="17"/>
  <c r="J26" i="10" s="1"/>
  <c r="D26" i="17"/>
  <c r="C26" i="10" s="1"/>
  <c r="A48" i="9" l="1"/>
  <c r="B47" i="9"/>
  <c r="Q22" i="15"/>
  <c r="Z48" i="7"/>
  <c r="Q24" i="14" s="1"/>
  <c r="Q49" i="7"/>
  <c r="V49" i="7" s="1"/>
  <c r="B27" i="17"/>
  <c r="J27" i="10" s="1"/>
  <c r="C27" i="17"/>
  <c r="F27" i="10" s="1"/>
  <c r="N28" i="17"/>
  <c r="I26" i="17" s="1"/>
  <c r="D27" i="17"/>
  <c r="C27" i="10" s="1"/>
  <c r="U49" i="7"/>
  <c r="Q23" i="15" l="1"/>
  <c r="B48" i="9"/>
  <c r="A49" i="9"/>
  <c r="Z49" i="7"/>
  <c r="Q25" i="14" s="1"/>
  <c r="Q50" i="7"/>
  <c r="V50" i="7" s="1"/>
  <c r="P50" i="7"/>
  <c r="U50" i="7" s="1"/>
  <c r="D28" i="17"/>
  <c r="C28" i="10" s="1"/>
  <c r="B28" i="17"/>
  <c r="J28" i="10" s="1"/>
  <c r="N29" i="17"/>
  <c r="I27" i="17" s="1"/>
  <c r="C28" i="17"/>
  <c r="F28" i="10" s="1"/>
  <c r="A50" i="9" l="1"/>
  <c r="B49" i="9"/>
  <c r="Q24" i="15"/>
  <c r="P51" i="7"/>
  <c r="U51" i="7" s="1"/>
  <c r="Z50" i="7"/>
  <c r="Q25" i="15" s="1"/>
  <c r="Q51" i="7"/>
  <c r="V51" i="7" s="1"/>
  <c r="D29" i="17"/>
  <c r="C29" i="10" s="1"/>
  <c r="N30" i="17"/>
  <c r="I28" i="17" s="1"/>
  <c r="B29" i="17"/>
  <c r="J29" i="10" s="1"/>
  <c r="C29" i="17"/>
  <c r="F29" i="10" s="1"/>
  <c r="B50" i="9" l="1"/>
  <c r="A51" i="9"/>
  <c r="Q26" i="14"/>
  <c r="Q52" i="7"/>
  <c r="V52" i="7" s="1"/>
  <c r="P52" i="7"/>
  <c r="Z51" i="7"/>
  <c r="Q27" i="14" s="1"/>
  <c r="B30" i="17"/>
  <c r="J30" i="10" s="1"/>
  <c r="N31" i="17"/>
  <c r="I29" i="17" s="1"/>
  <c r="C30" i="17"/>
  <c r="F30" i="10" s="1"/>
  <c r="D30" i="17"/>
  <c r="C30" i="10" s="1"/>
  <c r="B51" i="9" l="1"/>
  <c r="A52" i="9"/>
  <c r="Z52" i="7"/>
  <c r="Q27" i="15" s="1"/>
  <c r="U52" i="7"/>
  <c r="Q26" i="15"/>
  <c r="Q53" i="7"/>
  <c r="V53" i="7" s="1"/>
  <c r="P53" i="7"/>
  <c r="D31" i="17"/>
  <c r="C31" i="10" s="1"/>
  <c r="B31" i="17"/>
  <c r="J31" i="10" s="1"/>
  <c r="C31" i="17"/>
  <c r="F31" i="10" s="1"/>
  <c r="N32" i="17"/>
  <c r="I30" i="17" s="1"/>
  <c r="P54" i="7" s="1"/>
  <c r="B52" i="9" l="1"/>
  <c r="A53" i="9"/>
  <c r="Q28" i="14"/>
  <c r="U53" i="7"/>
  <c r="Z53" i="7"/>
  <c r="Q28" i="15" s="1"/>
  <c r="Q54" i="7"/>
  <c r="V54" i="7" s="1"/>
  <c r="N33" i="17"/>
  <c r="I31" i="17" s="1"/>
  <c r="Q55" i="7" s="1"/>
  <c r="V55" i="7" s="1"/>
  <c r="D32" i="17"/>
  <c r="C32" i="10" s="1"/>
  <c r="C32" i="17"/>
  <c r="F32" i="10" s="1"/>
  <c r="B32" i="17"/>
  <c r="J32" i="10" s="1"/>
  <c r="U54" i="7"/>
  <c r="B53" i="9" l="1"/>
  <c r="A54" i="9"/>
  <c r="Q29" i="14"/>
  <c r="Z54" i="7"/>
  <c r="Q30" i="14" s="1"/>
  <c r="P55" i="7"/>
  <c r="U55" i="7" s="1"/>
  <c r="B33" i="17"/>
  <c r="J33" i="10" s="1"/>
  <c r="N34" i="17"/>
  <c r="I32" i="17" s="1"/>
  <c r="D33" i="17"/>
  <c r="C33" i="10" s="1"/>
  <c r="C33" i="17"/>
  <c r="F33" i="10" s="1"/>
  <c r="A55" i="9" l="1"/>
  <c r="B54" i="9"/>
  <c r="Q29" i="15"/>
  <c r="Z55" i="7"/>
  <c r="Q30" i="15" s="1"/>
  <c r="Q56" i="7"/>
  <c r="V56" i="7" s="1"/>
  <c r="P56" i="7"/>
  <c r="U56" i="7" s="1"/>
  <c r="N35" i="17"/>
  <c r="I33" i="17" s="1"/>
  <c r="D34" i="17"/>
  <c r="C34" i="10" s="1"/>
  <c r="C34" i="17"/>
  <c r="F34" i="10" s="1"/>
  <c r="B34" i="17"/>
  <c r="J34" i="10" s="1"/>
  <c r="A56" i="9" l="1"/>
  <c r="B55" i="9"/>
  <c r="Q31" i="14"/>
  <c r="Z56" i="7"/>
  <c r="Q32" i="14" s="1"/>
  <c r="Q57" i="7"/>
  <c r="V57" i="7" s="1"/>
  <c r="P57" i="7"/>
  <c r="U57" i="7" s="1"/>
  <c r="B35" i="17"/>
  <c r="J35" i="10" s="1"/>
  <c r="C35" i="17"/>
  <c r="F35" i="10" s="1"/>
  <c r="D35" i="17"/>
  <c r="C35" i="10" s="1"/>
  <c r="N36" i="17"/>
  <c r="I34" i="17" s="1"/>
  <c r="A57" i="9" l="1"/>
  <c r="B56" i="9"/>
  <c r="Q31" i="15"/>
  <c r="Z57" i="7"/>
  <c r="Q32" i="15" s="1"/>
  <c r="P58" i="7"/>
  <c r="Q58" i="7"/>
  <c r="V58" i="7" s="1"/>
  <c r="B36" i="17"/>
  <c r="J36" i="10" s="1"/>
  <c r="C36" i="17"/>
  <c r="F36" i="10" s="1"/>
  <c r="D36" i="17"/>
  <c r="C36" i="10" s="1"/>
  <c r="N37" i="17"/>
  <c r="I35" i="17" s="1"/>
  <c r="Q59" i="7" s="1"/>
  <c r="V59" i="7" s="1"/>
  <c r="A58" i="9" l="1"/>
  <c r="B57" i="9"/>
  <c r="Q33" i="14"/>
  <c r="Z58" i="7"/>
  <c r="Q34" i="14" s="1"/>
  <c r="U58" i="7"/>
  <c r="P59" i="7"/>
  <c r="U59" i="7" s="1"/>
  <c r="B37" i="17"/>
  <c r="J37" i="10" s="1"/>
  <c r="N38" i="17"/>
  <c r="I36" i="17" s="1"/>
  <c r="C37" i="17"/>
  <c r="F37" i="10" s="1"/>
  <c r="D37" i="17"/>
  <c r="C37" i="10" s="1"/>
  <c r="A59" i="9" l="1"/>
  <c r="B58" i="9"/>
  <c r="Z59" i="7"/>
  <c r="Q34" i="15" s="1"/>
  <c r="Q60" i="7"/>
  <c r="V60" i="7" s="1"/>
  <c r="Q33" i="15"/>
  <c r="P60" i="7"/>
  <c r="C38" i="17"/>
  <c r="F38" i="10" s="1"/>
  <c r="B38" i="17"/>
  <c r="J38" i="10" s="1"/>
  <c r="D38" i="17"/>
  <c r="C38" i="10" s="1"/>
  <c r="N39" i="17"/>
  <c r="I37" i="17" s="1"/>
  <c r="B59" i="9" l="1"/>
  <c r="A60" i="9"/>
  <c r="Q35" i="14"/>
  <c r="Z60" i="7"/>
  <c r="Q36" i="14" s="1"/>
  <c r="U60" i="7"/>
  <c r="Q61" i="7"/>
  <c r="V61" i="7" s="1"/>
  <c r="P61" i="7"/>
  <c r="U61" i="7" s="1"/>
  <c r="N40" i="17"/>
  <c r="I38" i="17" s="1"/>
  <c r="P62" i="7" s="1"/>
  <c r="D39" i="17"/>
  <c r="C39" i="10" s="1"/>
  <c r="B39" i="17"/>
  <c r="J39" i="10" s="1"/>
  <c r="C39" i="17"/>
  <c r="F39" i="10" s="1"/>
  <c r="A61" i="9" l="1"/>
  <c r="B60" i="9"/>
  <c r="Q35" i="15"/>
  <c r="Z61" i="7"/>
  <c r="Q37" i="14" s="1"/>
  <c r="Q62" i="7"/>
  <c r="V62" i="7" s="1"/>
  <c r="U62" i="7"/>
  <c r="D40" i="17"/>
  <c r="C40" i="10" s="1"/>
  <c r="B40" i="17"/>
  <c r="J40" i="10" s="1"/>
  <c r="C40" i="17"/>
  <c r="F40" i="10" s="1"/>
  <c r="N41" i="17"/>
  <c r="I39" i="17" s="1"/>
  <c r="B61" i="9" l="1"/>
  <c r="A62" i="9"/>
  <c r="Q36" i="15"/>
  <c r="Z62" i="7"/>
  <c r="Q38" i="14" s="1"/>
  <c r="P63" i="7"/>
  <c r="U63" i="7" s="1"/>
  <c r="Q63" i="7"/>
  <c r="V63" i="7" s="1"/>
  <c r="C41" i="17"/>
  <c r="F41" i="10" s="1"/>
  <c r="D41" i="17"/>
  <c r="C41" i="10" s="1"/>
  <c r="B41" i="17"/>
  <c r="J41" i="10" s="1"/>
  <c r="N42" i="17"/>
  <c r="I40" i="17" s="1"/>
  <c r="P64" i="7" s="1"/>
  <c r="B62" i="9" l="1"/>
  <c r="A63" i="9"/>
  <c r="Q37" i="15"/>
  <c r="Z63" i="7"/>
  <c r="Q39" i="14" s="1"/>
  <c r="Q64" i="7"/>
  <c r="V64" i="7" s="1"/>
  <c r="U64" i="7"/>
  <c r="B42" i="17"/>
  <c r="J42" i="10" s="1"/>
  <c r="C42" i="17"/>
  <c r="F42" i="10" s="1"/>
  <c r="D42" i="17"/>
  <c r="C42" i="10" s="1"/>
  <c r="N43" i="17"/>
  <c r="I41" i="17" s="1"/>
  <c r="A64" i="9" l="1"/>
  <c r="B63" i="9"/>
  <c r="Z64" i="7"/>
  <c r="Q39" i="15" s="1"/>
  <c r="Q38" i="15"/>
  <c r="Q65" i="7"/>
  <c r="V65" i="7" s="1"/>
  <c r="P65" i="7"/>
  <c r="D43" i="17"/>
  <c r="C43" i="10" s="1"/>
  <c r="C43" i="17"/>
  <c r="F43" i="10" s="1"/>
  <c r="B43" i="17"/>
  <c r="J43" i="10" s="1"/>
  <c r="N44" i="17"/>
  <c r="I42" i="17" s="1"/>
  <c r="P66" i="7" s="1"/>
  <c r="A65" i="9" l="1"/>
  <c r="B64" i="9"/>
  <c r="Q40" i="14"/>
  <c r="Z65" i="7"/>
  <c r="Q41" i="14" s="1"/>
  <c r="U65" i="7"/>
  <c r="Q66" i="7"/>
  <c r="V66" i="7" s="1"/>
  <c r="U66" i="7"/>
  <c r="D44" i="17"/>
  <c r="C44" i="10" s="1"/>
  <c r="C44" i="17"/>
  <c r="F44" i="10" s="1"/>
  <c r="B44" i="17"/>
  <c r="J44" i="10" s="1"/>
  <c r="N45" i="17"/>
  <c r="I43" i="17" s="1"/>
  <c r="Q67" i="7" s="1"/>
  <c r="V67" i="7" s="1"/>
  <c r="B65" i="9" l="1"/>
  <c r="A66" i="9"/>
  <c r="Q40" i="15"/>
  <c r="Z66" i="7"/>
  <c r="Q41" i="15" s="1"/>
  <c r="P67" i="7"/>
  <c r="U67" i="7" s="1"/>
  <c r="D45" i="17"/>
  <c r="C45" i="10" s="1"/>
  <c r="B45" i="17"/>
  <c r="J45" i="10" s="1"/>
  <c r="C45" i="17"/>
  <c r="F45" i="10" s="1"/>
  <c r="N46" i="17"/>
  <c r="I44" i="17" s="1"/>
  <c r="Q68" i="7" s="1"/>
  <c r="V68" i="7" s="1"/>
  <c r="A67" i="9" l="1"/>
  <c r="B66" i="9"/>
  <c r="Q42" i="14"/>
  <c r="Z67" i="7"/>
  <c r="Q43" i="14" s="1"/>
  <c r="P68" i="7"/>
  <c r="U68" i="7" s="1"/>
  <c r="C46" i="17"/>
  <c r="F46" i="10" s="1"/>
  <c r="D46" i="17"/>
  <c r="C46" i="10" s="1"/>
  <c r="B46" i="17"/>
  <c r="J46" i="10" s="1"/>
  <c r="N47" i="17"/>
  <c r="I45" i="17" s="1"/>
  <c r="Q42" i="15" l="1"/>
  <c r="B67" i="9"/>
  <c r="A68" i="9"/>
  <c r="Z68" i="7"/>
  <c r="Q44" i="14" s="1"/>
  <c r="P69" i="7"/>
  <c r="U69" i="7" s="1"/>
  <c r="Q69" i="7"/>
  <c r="V69" i="7" s="1"/>
  <c r="C47" i="17"/>
  <c r="F47" i="10" s="1"/>
  <c r="B47" i="17"/>
  <c r="J47" i="10" s="1"/>
  <c r="D47" i="17"/>
  <c r="C47" i="10" s="1"/>
  <c r="N48" i="17"/>
  <c r="I46" i="17" s="1"/>
  <c r="B68" i="9" l="1"/>
  <c r="A69" i="9"/>
  <c r="Q43" i="15"/>
  <c r="Z69" i="7"/>
  <c r="Q45" i="14" s="1"/>
  <c r="Q70" i="7"/>
  <c r="V70" i="7" s="1"/>
  <c r="P70" i="7"/>
  <c r="U70" i="7" s="1"/>
  <c r="D48" i="17"/>
  <c r="C48" i="10" s="1"/>
  <c r="C48" i="17"/>
  <c r="F48" i="10" s="1"/>
  <c r="B48" i="17"/>
  <c r="J48" i="10" s="1"/>
  <c r="N49" i="17"/>
  <c r="I47" i="17" s="1"/>
  <c r="B69" i="9" l="1"/>
  <c r="A70" i="9"/>
  <c r="B70" i="9" s="1"/>
  <c r="Q44" i="15"/>
  <c r="Z70" i="7"/>
  <c r="Q46" i="14" s="1"/>
  <c r="Q71" i="7"/>
  <c r="V71" i="7" s="1"/>
  <c r="P71" i="7"/>
  <c r="U71" i="7" s="1"/>
  <c r="N50" i="17"/>
  <c r="I48" i="17" s="1"/>
  <c r="C49" i="17"/>
  <c r="F49" i="10" s="1"/>
  <c r="B49" i="17"/>
  <c r="J49" i="10" s="1"/>
  <c r="D49" i="17"/>
  <c r="C49" i="10" s="1"/>
  <c r="Q45" i="15" l="1"/>
  <c r="Q72" i="7"/>
  <c r="V72" i="7" s="1"/>
  <c r="P72" i="7"/>
  <c r="Z71" i="7"/>
  <c r="Q46" i="15" s="1"/>
  <c r="B50" i="17"/>
  <c r="J50" i="10" s="1"/>
  <c r="C50" i="17"/>
  <c r="F50" i="10" s="1"/>
  <c r="N51" i="17"/>
  <c r="D50" i="17"/>
  <c r="C50" i="10" s="1"/>
  <c r="C8" i="10" s="1"/>
  <c r="Z72" i="7" l="1"/>
  <c r="Q47" i="15" s="1"/>
  <c r="U72" i="7"/>
  <c r="Q47" i="14"/>
  <c r="N52" i="17"/>
  <c r="I49" i="17"/>
  <c r="Q48" i="14" l="1"/>
  <c r="P73" i="7"/>
  <c r="Q73" i="7"/>
  <c r="N53" i="17"/>
  <c r="N54" i="17" s="1"/>
  <c r="I50" i="17"/>
  <c r="P74" i="7" l="1"/>
  <c r="Q74" i="7"/>
  <c r="Q34" i="7" s="1"/>
  <c r="V73" i="7"/>
  <c r="U73" i="7"/>
  <c r="Z73" i="7"/>
  <c r="Q48" i="15" l="1"/>
  <c r="Q6" i="15" s="1"/>
  <c r="Q49" i="14"/>
  <c r="Q6" i="14" s="1"/>
  <c r="U74" i="7"/>
  <c r="Z74" i="7"/>
  <c r="P34" i="7"/>
  <c r="M9" i="5" a="1"/>
  <c r="V74" i="7"/>
  <c r="M10" i="5" a="1"/>
  <c r="V34" i="7" l="1"/>
  <c r="Y10" i="5"/>
  <c r="AP10" i="5"/>
  <c r="AS10" i="5"/>
  <c r="W10" i="5"/>
  <c r="AG10" i="5"/>
  <c r="AT10" i="5"/>
  <c r="V10" i="5"/>
  <c r="AE10" i="5"/>
  <c r="AQ10" i="5"/>
  <c r="X10" i="5"/>
  <c r="AV10" i="5"/>
  <c r="M10" i="5"/>
  <c r="Z10" i="5"/>
  <c r="AM10" i="5"/>
  <c r="AK10" i="5"/>
  <c r="AW10" i="5"/>
  <c r="U10" i="5"/>
  <c r="R10" i="5"/>
  <c r="AN10" i="5"/>
  <c r="Q10" i="5"/>
  <c r="AB10" i="5"/>
  <c r="AJ10" i="5"/>
  <c r="AR10" i="5"/>
  <c r="S10" i="5"/>
  <c r="AH10" i="5"/>
  <c r="T10" i="5"/>
  <c r="AF10" i="5"/>
  <c r="AZ10" i="5"/>
  <c r="AC10" i="5"/>
  <c r="AA10" i="5"/>
  <c r="AL10" i="5"/>
  <c r="N10" i="5"/>
  <c r="AI10" i="5"/>
  <c r="AX10" i="5"/>
  <c r="AY10" i="5"/>
  <c r="AD10" i="5"/>
  <c r="AU10" i="5"/>
  <c r="P10" i="5"/>
  <c r="AO10" i="5"/>
  <c r="O10" i="5"/>
  <c r="Z34" i="7"/>
  <c r="Q50" i="14"/>
  <c r="Q49" i="15"/>
  <c r="AJ9" i="5"/>
  <c r="S9" i="5"/>
  <c r="AL9" i="5"/>
  <c r="V9" i="5"/>
  <c r="AK9" i="5"/>
  <c r="AN9" i="5"/>
  <c r="AR9" i="5"/>
  <c r="P9" i="5"/>
  <c r="AY9" i="5"/>
  <c r="AE9" i="5"/>
  <c r="U9" i="5"/>
  <c r="AP9" i="5"/>
  <c r="AZ9" i="5"/>
  <c r="AS9" i="5"/>
  <c r="AF9" i="5"/>
  <c r="Y9" i="5"/>
  <c r="AO9" i="5"/>
  <c r="Z9" i="5"/>
  <c r="AT9" i="5"/>
  <c r="X9" i="5"/>
  <c r="AG9" i="5"/>
  <c r="O9" i="5"/>
  <c r="Q9" i="5"/>
  <c r="AX9" i="5"/>
  <c r="AC9" i="5"/>
  <c r="AU9" i="5"/>
  <c r="AV9" i="5"/>
  <c r="N9" i="5"/>
  <c r="AM9" i="5"/>
  <c r="T9" i="5"/>
  <c r="M9" i="5"/>
  <c r="R9" i="5"/>
  <c r="AQ9" i="5"/>
  <c r="AD9" i="5"/>
  <c r="W9" i="5"/>
  <c r="AA9" i="5"/>
  <c r="AB9" i="5"/>
  <c r="AI9" i="5"/>
  <c r="AW9" i="5"/>
  <c r="AH9" i="5"/>
  <c r="U34" i="7"/>
  <c r="G10" i="5" l="1"/>
  <c r="J10" i="5" s="1"/>
  <c r="G9" i="5"/>
  <c r="J9" i="5" s="1"/>
  <c r="B21" i="8" l="1"/>
  <c r="C44" i="8" s="1"/>
  <c r="G74" i="2" a="1"/>
  <c r="B41" i="8" l="1"/>
  <c r="B44" i="8"/>
  <c r="D41" i="8"/>
  <c r="D44" i="8"/>
  <c r="C41" i="8"/>
  <c r="Z31" i="9" l="1"/>
  <c r="I11" i="10" l="1"/>
  <c r="K11" i="10" s="1"/>
  <c r="C11" i="7" l="1"/>
  <c r="B16" i="8" s="1"/>
  <c r="F26" i="7" l="1"/>
  <c r="L26" i="7" s="1"/>
  <c r="E25" i="7"/>
  <c r="K25" i="7" s="1"/>
  <c r="F27" i="7"/>
  <c r="L27" i="7" s="1"/>
  <c r="E27" i="7"/>
  <c r="K27" i="7" s="1"/>
  <c r="C23" i="7"/>
  <c r="D23" i="7" s="1"/>
  <c r="D26" i="7"/>
  <c r="I26" i="7" s="1"/>
  <c r="E26" i="7"/>
  <c r="K26" i="7" s="1"/>
  <c r="C24" i="7"/>
  <c r="D24" i="7" s="1"/>
  <c r="E23" i="7"/>
  <c r="K23" i="7" s="1"/>
  <c r="C25" i="7"/>
  <c r="D25" i="7" s="1"/>
  <c r="E24" i="7"/>
  <c r="K24" i="7" s="1"/>
  <c r="D27" i="7"/>
  <c r="I27" i="7" s="1"/>
  <c r="C26" i="7"/>
  <c r="AB17" i="7"/>
  <c r="W33" i="7" s="1"/>
  <c r="I11" i="5" s="1"/>
  <c r="C27" i="7"/>
  <c r="B18" i="8"/>
  <c r="B19" i="8"/>
  <c r="I25" i="7" l="1"/>
  <c r="F25" i="7"/>
  <c r="L25" i="7" s="1"/>
  <c r="I24" i="7"/>
  <c r="F24" i="7"/>
  <c r="L24" i="7" s="1"/>
  <c r="F23" i="7"/>
  <c r="L23" i="7" s="1"/>
  <c r="I23" i="7"/>
  <c r="M27" i="7"/>
  <c r="Q27" i="7"/>
  <c r="R27" i="7" s="1"/>
  <c r="S27" i="7" s="1"/>
  <c r="M26" i="7"/>
  <c r="Q26" i="7"/>
  <c r="R26" i="7" s="1"/>
  <c r="S26" i="7" s="1"/>
  <c r="B22" i="8"/>
  <c r="B23" i="8" s="1"/>
  <c r="C29" i="8"/>
  <c r="M23" i="7" l="1"/>
  <c r="J23" i="7"/>
  <c r="Q23" i="7" s="1"/>
  <c r="R23" i="7" s="1"/>
  <c r="S23" i="7" s="1"/>
  <c r="M24" i="7"/>
  <c r="M25" i="7"/>
  <c r="B45" i="8"/>
  <c r="B46" i="8"/>
  <c r="D29" i="8"/>
  <c r="J65" i="8"/>
  <c r="J64" i="8"/>
  <c r="C69" i="8"/>
  <c r="G76" i="8" s="1"/>
  <c r="L3" i="12"/>
  <c r="B69" i="8"/>
  <c r="D76" i="8" s="1"/>
  <c r="L4" i="12"/>
  <c r="P23" i="7" l="1"/>
  <c r="H24" i="7"/>
  <c r="L6" i="12"/>
  <c r="B5" i="12" s="1"/>
  <c r="I76" i="8"/>
  <c r="I78" i="8" s="1"/>
  <c r="B76" i="8"/>
  <c r="N76" i="8" s="1"/>
  <c r="B47" i="8"/>
  <c r="B48" i="8"/>
  <c r="E29" i="8"/>
  <c r="C46" i="8"/>
  <c r="D46" i="8"/>
  <c r="C45" i="8"/>
  <c r="D45" i="8"/>
  <c r="O76" i="8" l="1"/>
  <c r="J24" i="7"/>
  <c r="O24" i="7"/>
  <c r="I46" i="7"/>
  <c r="I45" i="7"/>
  <c r="I68" i="7"/>
  <c r="I42" i="7"/>
  <c r="I53" i="7"/>
  <c r="I70" i="7"/>
  <c r="I37" i="7"/>
  <c r="I65" i="7"/>
  <c r="I43" i="7"/>
  <c r="I62" i="7"/>
  <c r="I51" i="7"/>
  <c r="I39" i="7"/>
  <c r="I49" i="7"/>
  <c r="I57" i="7"/>
  <c r="I38" i="7"/>
  <c r="I52" i="7"/>
  <c r="I66" i="7"/>
  <c r="I44" i="7"/>
  <c r="I58" i="7"/>
  <c r="I63" i="7"/>
  <c r="I50" i="7"/>
  <c r="I72" i="7"/>
  <c r="I41" i="7"/>
  <c r="I61" i="7"/>
  <c r="I71" i="7"/>
  <c r="I64" i="7"/>
  <c r="I69" i="7"/>
  <c r="I67" i="7"/>
  <c r="I40" i="7"/>
  <c r="I56" i="7"/>
  <c r="I59" i="7"/>
  <c r="I47" i="7"/>
  <c r="I60" i="7"/>
  <c r="I73" i="7"/>
  <c r="I54" i="7"/>
  <c r="I74" i="7"/>
  <c r="I35" i="7"/>
  <c r="I36" i="7"/>
  <c r="I48" i="7"/>
  <c r="I55" i="7"/>
  <c r="P76" i="8"/>
  <c r="B50" i="8"/>
  <c r="B49" i="8"/>
  <c r="F29" i="8"/>
  <c r="G29" i="8" s="1"/>
  <c r="B53" i="8" s="1"/>
  <c r="C48" i="8"/>
  <c r="D48" i="8"/>
  <c r="C47" i="8"/>
  <c r="D47" i="8"/>
  <c r="I34" i="7" l="1"/>
  <c r="Q24" i="7"/>
  <c r="R24" i="7" s="1"/>
  <c r="S24" i="7" s="1"/>
  <c r="P24" i="7"/>
  <c r="J40" i="7" s="1"/>
  <c r="H25" i="7"/>
  <c r="B52" i="8"/>
  <c r="B51" i="8"/>
  <c r="C49" i="8"/>
  <c r="D49" i="8"/>
  <c r="C53" i="8"/>
  <c r="D53" i="8"/>
  <c r="C50" i="8"/>
  <c r="D50" i="8"/>
  <c r="J60" i="7" l="1"/>
  <c r="J72" i="7"/>
  <c r="J48" i="7"/>
  <c r="J66" i="7"/>
  <c r="J46" i="7"/>
  <c r="J68" i="7"/>
  <c r="J65" i="7"/>
  <c r="J49" i="7"/>
  <c r="J61" i="7"/>
  <c r="J54" i="7"/>
  <c r="J50" i="7"/>
  <c r="J25" i="7"/>
  <c r="O25" i="7"/>
  <c r="J41" i="7"/>
  <c r="J58" i="7"/>
  <c r="J39" i="7"/>
  <c r="J67" i="7"/>
  <c r="J57" i="7"/>
  <c r="J52" i="7"/>
  <c r="J74" i="7"/>
  <c r="J62" i="7"/>
  <c r="J42" i="7"/>
  <c r="J53" i="7"/>
  <c r="J35" i="7"/>
  <c r="J51" i="7"/>
  <c r="J36" i="7"/>
  <c r="J59" i="7"/>
  <c r="J64" i="7"/>
  <c r="J44" i="7"/>
  <c r="J71" i="7"/>
  <c r="J55" i="7"/>
  <c r="J38" i="7"/>
  <c r="J45" i="7"/>
  <c r="J70" i="7"/>
  <c r="J43" i="7"/>
  <c r="J69" i="7"/>
  <c r="J73" i="7"/>
  <c r="J56" i="7"/>
  <c r="J37" i="7"/>
  <c r="J63" i="7"/>
  <c r="J47" i="7"/>
  <c r="C51" i="8"/>
  <c r="D51" i="8"/>
  <c r="C52" i="8"/>
  <c r="D52" i="8"/>
  <c r="Q25" i="7" l="1"/>
  <c r="R25" i="7" s="1"/>
  <c r="S25" i="7" s="1"/>
  <c r="J34" i="7"/>
  <c r="P25" i="7"/>
  <c r="K38" i="7" s="1"/>
  <c r="H26" i="7"/>
  <c r="D55" i="8"/>
  <c r="C55" i="8"/>
  <c r="K57" i="7" l="1"/>
  <c r="K62" i="7"/>
  <c r="K72" i="7"/>
  <c r="K45" i="7"/>
  <c r="K37" i="7"/>
  <c r="K44" i="7"/>
  <c r="K54" i="7"/>
  <c r="K53" i="7"/>
  <c r="K71" i="7"/>
  <c r="K52" i="7"/>
  <c r="K69" i="7"/>
  <c r="K50" i="7"/>
  <c r="K68" i="7"/>
  <c r="O26" i="7"/>
  <c r="J26" i="7"/>
  <c r="K70" i="7"/>
  <c r="K65" i="7"/>
  <c r="K47" i="7"/>
  <c r="K40" i="7"/>
  <c r="K42" i="7"/>
  <c r="K60" i="7"/>
  <c r="K64" i="7"/>
  <c r="K58" i="7"/>
  <c r="K46" i="7"/>
  <c r="K43" i="7"/>
  <c r="K55" i="7"/>
  <c r="K36" i="7"/>
  <c r="K66" i="7"/>
  <c r="K41" i="7"/>
  <c r="K63" i="7"/>
  <c r="K39" i="7"/>
  <c r="K48" i="7"/>
  <c r="K35" i="7"/>
  <c r="K67" i="7"/>
  <c r="K51" i="7"/>
  <c r="K74" i="7"/>
  <c r="K61" i="7"/>
  <c r="K73" i="7"/>
  <c r="K59" i="7"/>
  <c r="K56" i="7"/>
  <c r="K49" i="7"/>
  <c r="H27" i="7" l="1"/>
  <c r="P26" i="7"/>
  <c r="L39" i="7" s="1"/>
  <c r="K34" i="7"/>
  <c r="L67" i="7" l="1"/>
  <c r="L44" i="7"/>
  <c r="L40" i="7"/>
  <c r="L58" i="7"/>
  <c r="L36" i="7"/>
  <c r="L53" i="7"/>
  <c r="L71" i="7"/>
  <c r="L64" i="7"/>
  <c r="L43" i="7"/>
  <c r="L41" i="7"/>
  <c r="L63" i="7"/>
  <c r="L51" i="7"/>
  <c r="L66" i="7"/>
  <c r="L55" i="7"/>
  <c r="L57" i="7"/>
  <c r="L46" i="7"/>
  <c r="L65" i="7"/>
  <c r="L42" i="7"/>
  <c r="L61" i="7"/>
  <c r="L73" i="7"/>
  <c r="L56" i="7"/>
  <c r="L47" i="7"/>
  <c r="L48" i="7"/>
  <c r="L74" i="7"/>
  <c r="L62" i="7"/>
  <c r="L35" i="7"/>
  <c r="L69" i="7"/>
  <c r="L72" i="7"/>
  <c r="L59" i="7"/>
  <c r="L50" i="7"/>
  <c r="L49" i="7"/>
  <c r="L38" i="7"/>
  <c r="L60" i="7"/>
  <c r="L45" i="7"/>
  <c r="L54" i="7"/>
  <c r="L70" i="7"/>
  <c r="L52" i="7"/>
  <c r="L68" i="7"/>
  <c r="L37" i="7"/>
  <c r="J27" i="7"/>
  <c r="B5" i="8" s="1"/>
  <c r="O27" i="7"/>
  <c r="B6" i="8" l="1"/>
  <c r="D10" i="8"/>
  <c r="V22" i="7"/>
  <c r="V27" i="7" s="1"/>
  <c r="F12" i="5"/>
  <c r="L34" i="7"/>
  <c r="V21" i="7"/>
  <c r="L11" i="5" s="1"/>
  <c r="P27" i="7"/>
  <c r="M37" i="7" s="1"/>
  <c r="N37" i="7" s="1"/>
  <c r="R37" i="7" s="1"/>
  <c r="M3" i="2" l="1"/>
  <c r="L12" i="5"/>
  <c r="L20" i="5" s="1"/>
  <c r="L21" i="5" s="1"/>
  <c r="L22" i="5" s="1"/>
  <c r="D9" i="14"/>
  <c r="D9" i="15"/>
  <c r="E10" i="8"/>
  <c r="F10" i="8" s="1"/>
  <c r="G10" i="8" s="1"/>
  <c r="B7" i="8"/>
  <c r="M40" i="7"/>
  <c r="N40" i="7" s="1"/>
  <c r="R40" i="7" s="1"/>
  <c r="W40" i="7" s="1"/>
  <c r="X40" i="7" s="1"/>
  <c r="F15" i="22" s="1"/>
  <c r="V23" i="7"/>
  <c r="S9" i="16" s="1"/>
  <c r="V26" i="7"/>
  <c r="M61" i="7"/>
  <c r="N61" i="7" s="1"/>
  <c r="R61" i="7" s="1"/>
  <c r="M35" i="7"/>
  <c r="M60" i="7"/>
  <c r="N60" i="7" s="1"/>
  <c r="R60" i="7" s="1"/>
  <c r="M67" i="7"/>
  <c r="N67" i="7" s="1"/>
  <c r="R67" i="7" s="1"/>
  <c r="M47" i="7"/>
  <c r="N47" i="7" s="1"/>
  <c r="R47" i="7" s="1"/>
  <c r="M69" i="7"/>
  <c r="N69" i="7" s="1"/>
  <c r="R69" i="7" s="1"/>
  <c r="M57" i="7"/>
  <c r="N57" i="7" s="1"/>
  <c r="R57" i="7" s="1"/>
  <c r="M39" i="7"/>
  <c r="N39" i="7" s="1"/>
  <c r="R39" i="7" s="1"/>
  <c r="M66" i="7"/>
  <c r="N66" i="7" s="1"/>
  <c r="R66" i="7" s="1"/>
  <c r="M71" i="7"/>
  <c r="N71" i="7" s="1"/>
  <c r="R71" i="7" s="1"/>
  <c r="M50" i="7"/>
  <c r="N50" i="7" s="1"/>
  <c r="R50" i="7" s="1"/>
  <c r="M72" i="7"/>
  <c r="N72" i="7" s="1"/>
  <c r="R72" i="7" s="1"/>
  <c r="M41" i="7"/>
  <c r="N41" i="7" s="1"/>
  <c r="R41" i="7" s="1"/>
  <c r="M53" i="7"/>
  <c r="N53" i="7" s="1"/>
  <c r="R53" i="7" s="1"/>
  <c r="M36" i="7"/>
  <c r="N36" i="7" s="1"/>
  <c r="R36" i="7" s="1"/>
  <c r="M65" i="7"/>
  <c r="N65" i="7" s="1"/>
  <c r="R65" i="7" s="1"/>
  <c r="M56" i="7"/>
  <c r="N56" i="7" s="1"/>
  <c r="R56" i="7" s="1"/>
  <c r="M44" i="7"/>
  <c r="N44" i="7" s="1"/>
  <c r="R44" i="7" s="1"/>
  <c r="M74" i="7"/>
  <c r="N74" i="7" s="1"/>
  <c r="R74" i="7" s="1"/>
  <c r="M51" i="7"/>
  <c r="N51" i="7" s="1"/>
  <c r="R51" i="7" s="1"/>
  <c r="M55" i="7"/>
  <c r="N55" i="7" s="1"/>
  <c r="R55" i="7" s="1"/>
  <c r="M46" i="7"/>
  <c r="N46" i="7" s="1"/>
  <c r="R46" i="7" s="1"/>
  <c r="M58" i="7"/>
  <c r="N58" i="7" s="1"/>
  <c r="R58" i="7" s="1"/>
  <c r="M62" i="7"/>
  <c r="N62" i="7" s="1"/>
  <c r="R62" i="7" s="1"/>
  <c r="M52" i="7"/>
  <c r="N52" i="7" s="1"/>
  <c r="R52" i="7" s="1"/>
  <c r="M54" i="7"/>
  <c r="N54" i="7" s="1"/>
  <c r="R54" i="7" s="1"/>
  <c r="M70" i="7"/>
  <c r="N70" i="7" s="1"/>
  <c r="R70" i="7" s="1"/>
  <c r="M63" i="7"/>
  <c r="N63" i="7" s="1"/>
  <c r="R63" i="7" s="1"/>
  <c r="W37" i="7"/>
  <c r="X37" i="7" s="1"/>
  <c r="F12" i="22" s="1"/>
  <c r="S37" i="7"/>
  <c r="M64" i="7"/>
  <c r="N64" i="7" s="1"/>
  <c r="R64" i="7" s="1"/>
  <c r="M59" i="7"/>
  <c r="N59" i="7" s="1"/>
  <c r="R59" i="7" s="1"/>
  <c r="M38" i="7"/>
  <c r="N38" i="7" s="1"/>
  <c r="R38" i="7" s="1"/>
  <c r="M48" i="7"/>
  <c r="N48" i="7" s="1"/>
  <c r="R48" i="7" s="1"/>
  <c r="M68" i="7"/>
  <c r="N68" i="7" s="1"/>
  <c r="R68" i="7" s="1"/>
  <c r="M43" i="7"/>
  <c r="N43" i="7" s="1"/>
  <c r="R43" i="7" s="1"/>
  <c r="M49" i="7"/>
  <c r="N49" i="7" s="1"/>
  <c r="R49" i="7" s="1"/>
  <c r="M73" i="7"/>
  <c r="N73" i="7" s="1"/>
  <c r="R73" i="7" s="1"/>
  <c r="M45" i="7"/>
  <c r="N45" i="7" s="1"/>
  <c r="R45" i="7" s="1"/>
  <c r="M42" i="7"/>
  <c r="N42" i="7" s="1"/>
  <c r="R42" i="7" s="1"/>
  <c r="B96" i="8" l="1"/>
  <c r="AK96" i="8" s="1"/>
  <c r="AV96" i="8" s="1"/>
  <c r="B113" i="8"/>
  <c r="AK113" i="8" s="1"/>
  <c r="AV113" i="8" s="1"/>
  <c r="B119" i="8"/>
  <c r="AK119" i="8" s="1"/>
  <c r="AV119" i="8" s="1"/>
  <c r="B129" i="8"/>
  <c r="AK129" i="8" s="1"/>
  <c r="AV129" i="8" s="1"/>
  <c r="B92" i="8"/>
  <c r="AK92" i="8" s="1"/>
  <c r="AV92" i="8" s="1"/>
  <c r="B117" i="8"/>
  <c r="AK117" i="8" s="1"/>
  <c r="AV117" i="8" s="1"/>
  <c r="B111" i="8"/>
  <c r="AK111" i="8" s="1"/>
  <c r="AV111" i="8" s="1"/>
  <c r="B103" i="8"/>
  <c r="AK103" i="8" s="1"/>
  <c r="AV103" i="8" s="1"/>
  <c r="B98" i="8"/>
  <c r="AK98" i="8" s="1"/>
  <c r="AV98" i="8" s="1"/>
  <c r="B115" i="8"/>
  <c r="AK115" i="8" s="1"/>
  <c r="AV115" i="8" s="1"/>
  <c r="B123" i="8"/>
  <c r="AK123" i="8" s="1"/>
  <c r="AV123" i="8" s="1"/>
  <c r="B8" i="8"/>
  <c r="C6" i="8"/>
  <c r="D6" i="8"/>
  <c r="B127" i="8"/>
  <c r="AK127" i="8" s="1"/>
  <c r="AV127" i="8" s="1"/>
  <c r="B118" i="8"/>
  <c r="AK118" i="8" s="1"/>
  <c r="AV118" i="8" s="1"/>
  <c r="B91" i="8"/>
  <c r="B106" i="8"/>
  <c r="AK106" i="8" s="1"/>
  <c r="AV106" i="8" s="1"/>
  <c r="B114" i="8"/>
  <c r="AK114" i="8" s="1"/>
  <c r="AV114" i="8" s="1"/>
  <c r="B99" i="8"/>
  <c r="AK99" i="8" s="1"/>
  <c r="AV99" i="8" s="1"/>
  <c r="B124" i="8"/>
  <c r="AK124" i="8" s="1"/>
  <c r="AV124" i="8" s="1"/>
  <c r="B102" i="8"/>
  <c r="AK102" i="8" s="1"/>
  <c r="AV102" i="8" s="1"/>
  <c r="B120" i="8"/>
  <c r="AK120" i="8" s="1"/>
  <c r="AV120" i="8" s="1"/>
  <c r="B112" i="8"/>
  <c r="AK112" i="8" s="1"/>
  <c r="AV112" i="8" s="1"/>
  <c r="B97" i="8"/>
  <c r="AK97" i="8" s="1"/>
  <c r="AV97" i="8" s="1"/>
  <c r="B101" i="8"/>
  <c r="AK101" i="8" s="1"/>
  <c r="AV101" i="8" s="1"/>
  <c r="B109" i="8"/>
  <c r="AK109" i="8" s="1"/>
  <c r="AV109" i="8" s="1"/>
  <c r="B107" i="8"/>
  <c r="AK107" i="8" s="1"/>
  <c r="AV107" i="8" s="1"/>
  <c r="B121" i="8"/>
  <c r="AK121" i="8" s="1"/>
  <c r="AV121" i="8" s="1"/>
  <c r="B95" i="8"/>
  <c r="AK95" i="8" s="1"/>
  <c r="AV95" i="8" s="1"/>
  <c r="B104" i="8"/>
  <c r="AK104" i="8" s="1"/>
  <c r="AV104" i="8" s="1"/>
  <c r="B108" i="8"/>
  <c r="AK108" i="8" s="1"/>
  <c r="AV108" i="8" s="1"/>
  <c r="B100" i="8"/>
  <c r="AK100" i="8" s="1"/>
  <c r="AV100" i="8" s="1"/>
  <c r="B122" i="8"/>
  <c r="AK122" i="8" s="1"/>
  <c r="AV122" i="8" s="1"/>
  <c r="B105" i="8"/>
  <c r="AK105" i="8" s="1"/>
  <c r="AV105" i="8" s="1"/>
  <c r="B130" i="8"/>
  <c r="AK130" i="8" s="1"/>
  <c r="AV130" i="8" s="1"/>
  <c r="B126" i="8"/>
  <c r="AK126" i="8" s="1"/>
  <c r="AV126" i="8" s="1"/>
  <c r="B116" i="8"/>
  <c r="AK116" i="8" s="1"/>
  <c r="AV116" i="8" s="1"/>
  <c r="B93" i="8"/>
  <c r="AK93" i="8" s="1"/>
  <c r="AV93" i="8" s="1"/>
  <c r="B128" i="8"/>
  <c r="AK128" i="8" s="1"/>
  <c r="AV128" i="8" s="1"/>
  <c r="B110" i="8"/>
  <c r="AK110" i="8" s="1"/>
  <c r="AV110" i="8" s="1"/>
  <c r="B94" i="8"/>
  <c r="AK94" i="8" s="1"/>
  <c r="AV94" i="8" s="1"/>
  <c r="B125" i="8"/>
  <c r="AK125" i="8" s="1"/>
  <c r="AV125" i="8" s="1"/>
  <c r="O9" i="15"/>
  <c r="O9" i="14"/>
  <c r="S40" i="7"/>
  <c r="AB40" i="7" s="1"/>
  <c r="S73" i="7"/>
  <c r="W73" i="7"/>
  <c r="X73" i="7" s="1"/>
  <c r="F48" i="22" s="1"/>
  <c r="W48" i="7"/>
  <c r="X48" i="7" s="1"/>
  <c r="F23" i="22" s="1"/>
  <c r="S48" i="7"/>
  <c r="W70" i="7"/>
  <c r="X70" i="7" s="1"/>
  <c r="F45" i="22" s="1"/>
  <c r="S70" i="7"/>
  <c r="S58" i="7"/>
  <c r="W58" i="7"/>
  <c r="X58" i="7" s="1"/>
  <c r="F33" i="22" s="1"/>
  <c r="W74" i="7"/>
  <c r="X74" i="7" s="1"/>
  <c r="F49" i="22" s="1"/>
  <c r="S74" i="7"/>
  <c r="S36" i="7"/>
  <c r="W36" i="7"/>
  <c r="X36" i="7" s="1"/>
  <c r="F11" i="22" s="1"/>
  <c r="W50" i="7"/>
  <c r="X50" i="7" s="1"/>
  <c r="F25" i="22" s="1"/>
  <c r="S50" i="7"/>
  <c r="S69" i="7"/>
  <c r="W69" i="7"/>
  <c r="X69" i="7" s="1"/>
  <c r="F44" i="22" s="1"/>
  <c r="M34" i="7"/>
  <c r="N35" i="7"/>
  <c r="W49" i="7"/>
  <c r="X49" i="7" s="1"/>
  <c r="F24" i="22" s="1"/>
  <c r="S49" i="7"/>
  <c r="W38" i="7"/>
  <c r="X38" i="7" s="1"/>
  <c r="F13" i="22" s="1"/>
  <c r="S38" i="7"/>
  <c r="F12" i="16"/>
  <c r="AB37" i="7"/>
  <c r="S54" i="7"/>
  <c r="W54" i="7"/>
  <c r="X54" i="7" s="1"/>
  <c r="F29" i="22" s="1"/>
  <c r="W46" i="7"/>
  <c r="X46" i="7" s="1"/>
  <c r="F21" i="22" s="1"/>
  <c r="S46" i="7"/>
  <c r="W44" i="7"/>
  <c r="X44" i="7" s="1"/>
  <c r="F19" i="22" s="1"/>
  <c r="S44" i="7"/>
  <c r="W53" i="7"/>
  <c r="X53" i="7" s="1"/>
  <c r="F28" i="22" s="1"/>
  <c r="S53" i="7"/>
  <c r="S71" i="7"/>
  <c r="W71" i="7"/>
  <c r="X71" i="7" s="1"/>
  <c r="F46" i="22" s="1"/>
  <c r="W66" i="7"/>
  <c r="X66" i="7" s="1"/>
  <c r="F41" i="22" s="1"/>
  <c r="S66" i="7"/>
  <c r="S47" i="7"/>
  <c r="W47" i="7"/>
  <c r="X47" i="7" s="1"/>
  <c r="F22" i="22" s="1"/>
  <c r="W61" i="7"/>
  <c r="X61" i="7" s="1"/>
  <c r="F36" i="22" s="1"/>
  <c r="S61" i="7"/>
  <c r="W42" i="7"/>
  <c r="X42" i="7" s="1"/>
  <c r="F17" i="22" s="1"/>
  <c r="S42" i="7"/>
  <c r="W43" i="7"/>
  <c r="X43" i="7" s="1"/>
  <c r="F18" i="22" s="1"/>
  <c r="S43" i="7"/>
  <c r="S59" i="7"/>
  <c r="W59" i="7"/>
  <c r="X59" i="7" s="1"/>
  <c r="F34" i="22" s="1"/>
  <c r="W52" i="7"/>
  <c r="X52" i="7" s="1"/>
  <c r="F27" i="22" s="1"/>
  <c r="S52" i="7"/>
  <c r="S55" i="7"/>
  <c r="W55" i="7"/>
  <c r="X55" i="7" s="1"/>
  <c r="F30" i="22" s="1"/>
  <c r="W56" i="7"/>
  <c r="X56" i="7" s="1"/>
  <c r="F31" i="22" s="1"/>
  <c r="S56" i="7"/>
  <c r="W41" i="7"/>
  <c r="X41" i="7" s="1"/>
  <c r="F16" i="22" s="1"/>
  <c r="S41" i="7"/>
  <c r="S39" i="7"/>
  <c r="W39" i="7"/>
  <c r="X39" i="7" s="1"/>
  <c r="F14" i="22" s="1"/>
  <c r="S67" i="7"/>
  <c r="W67" i="7"/>
  <c r="X67" i="7" s="1"/>
  <c r="F42" i="22" s="1"/>
  <c r="W45" i="7"/>
  <c r="X45" i="7" s="1"/>
  <c r="F20" i="22" s="1"/>
  <c r="S45" i="7"/>
  <c r="W68" i="7"/>
  <c r="X68" i="7" s="1"/>
  <c r="F43" i="22" s="1"/>
  <c r="S68" i="7"/>
  <c r="S64" i="7"/>
  <c r="W64" i="7"/>
  <c r="X64" i="7" s="1"/>
  <c r="F39" i="22" s="1"/>
  <c r="W63" i="7"/>
  <c r="X63" i="7" s="1"/>
  <c r="F38" i="22" s="1"/>
  <c r="S63" i="7"/>
  <c r="S62" i="7"/>
  <c r="W62" i="7"/>
  <c r="X62" i="7" s="1"/>
  <c r="F37" i="22" s="1"/>
  <c r="W51" i="7"/>
  <c r="X51" i="7" s="1"/>
  <c r="F26" i="22" s="1"/>
  <c r="S51" i="7"/>
  <c r="W65" i="7"/>
  <c r="X65" i="7" s="1"/>
  <c r="F40" i="22" s="1"/>
  <c r="S65" i="7"/>
  <c r="S72" i="7"/>
  <c r="W72" i="7"/>
  <c r="X72" i="7" s="1"/>
  <c r="F47" i="22" s="1"/>
  <c r="S57" i="7"/>
  <c r="W57" i="7"/>
  <c r="X57" i="7" s="1"/>
  <c r="F32" i="22" s="1"/>
  <c r="S60" i="7"/>
  <c r="W60" i="7"/>
  <c r="X60" i="7" s="1"/>
  <c r="F35" i="22" s="1"/>
  <c r="BO128" i="8" l="1"/>
  <c r="AC47" i="22"/>
  <c r="BO130" i="8"/>
  <c r="AC49" i="22"/>
  <c r="BO108" i="8"/>
  <c r="AC27" i="22"/>
  <c r="BO107" i="8"/>
  <c r="AC26" i="22"/>
  <c r="BO112" i="8"/>
  <c r="AC31" i="22"/>
  <c r="BO99" i="8"/>
  <c r="AC18" i="22"/>
  <c r="BO118" i="8"/>
  <c r="AC37" i="22"/>
  <c r="BO103" i="8"/>
  <c r="AC22" i="22"/>
  <c r="BO129" i="8"/>
  <c r="AC48" i="22"/>
  <c r="BO125" i="8"/>
  <c r="AC44" i="22"/>
  <c r="BO93" i="8"/>
  <c r="AC12" i="22"/>
  <c r="BO105" i="8"/>
  <c r="AC24" i="22"/>
  <c r="BO104" i="8"/>
  <c r="AC23" i="22"/>
  <c r="BO109" i="8"/>
  <c r="AC28" i="22"/>
  <c r="BO120" i="8"/>
  <c r="AC39" i="22"/>
  <c r="BO114" i="8"/>
  <c r="AC33" i="22"/>
  <c r="BO127" i="8"/>
  <c r="AC46" i="22"/>
  <c r="BO123" i="8"/>
  <c r="AC42" i="22"/>
  <c r="BO111" i="8"/>
  <c r="AC30" i="22"/>
  <c r="BO119" i="8"/>
  <c r="AC38" i="22"/>
  <c r="BO94" i="8"/>
  <c r="AC13" i="22"/>
  <c r="BO116" i="8"/>
  <c r="AC35" i="22"/>
  <c r="BO122" i="8"/>
  <c r="AC41" i="22"/>
  <c r="BO95" i="8"/>
  <c r="AC14" i="22"/>
  <c r="BO101" i="8"/>
  <c r="AC20" i="22"/>
  <c r="BO102" i="8"/>
  <c r="AC21" i="22"/>
  <c r="BO106" i="8"/>
  <c r="AC25" i="22"/>
  <c r="BO115" i="8"/>
  <c r="AC34" i="22"/>
  <c r="BO117" i="8"/>
  <c r="AC36" i="22"/>
  <c r="BO113" i="8"/>
  <c r="AC32" i="22"/>
  <c r="BO110" i="8"/>
  <c r="AC29" i="22"/>
  <c r="BO126" i="8"/>
  <c r="AC45" i="22"/>
  <c r="BO100" i="8"/>
  <c r="AC19" i="22"/>
  <c r="BO121" i="8"/>
  <c r="AC40" i="22"/>
  <c r="BO97" i="8"/>
  <c r="AC16" i="22"/>
  <c r="BO124" i="8"/>
  <c r="AC43" i="22"/>
  <c r="BO98" i="8"/>
  <c r="AC17" i="22"/>
  <c r="BO92" i="8"/>
  <c r="AC11" i="22"/>
  <c r="BO96" i="8"/>
  <c r="AC15" i="22"/>
  <c r="AA91" i="8"/>
  <c r="E74" i="8"/>
  <c r="T23" i="9"/>
  <c r="AA92" i="8"/>
  <c r="AA93" i="8"/>
  <c r="AA94" i="8" s="1"/>
  <c r="AA95" i="8" s="1"/>
  <c r="AA96" i="8" s="1"/>
  <c r="F74" i="8"/>
  <c r="AK91" i="8"/>
  <c r="B90" i="8"/>
  <c r="B3" i="12"/>
  <c r="J12" i="13"/>
  <c r="J13" i="13"/>
  <c r="F15" i="16"/>
  <c r="AB65" i="7"/>
  <c r="F40" i="16"/>
  <c r="F26" i="16"/>
  <c r="AB51" i="7"/>
  <c r="F42" i="16"/>
  <c r="AB67" i="7"/>
  <c r="F18" i="16"/>
  <c r="AB43" i="7"/>
  <c r="F46" i="16"/>
  <c r="AB71" i="7"/>
  <c r="AB44" i="7"/>
  <c r="F19" i="16"/>
  <c r="F29" i="16"/>
  <c r="AB54" i="7"/>
  <c r="F44" i="16"/>
  <c r="AB69" i="7"/>
  <c r="F25" i="16"/>
  <c r="AB50" i="7"/>
  <c r="F11" i="16"/>
  <c r="AB36" i="7"/>
  <c r="AB41" i="7"/>
  <c r="F16" i="16"/>
  <c r="F38" i="16"/>
  <c r="AB63" i="7"/>
  <c r="F39" i="16"/>
  <c r="AB64" i="7"/>
  <c r="F31" i="16"/>
  <c r="AB56" i="7"/>
  <c r="F30" i="16"/>
  <c r="AB55" i="7"/>
  <c r="AB61" i="7"/>
  <c r="F36" i="16"/>
  <c r="AB53" i="7"/>
  <c r="F28" i="16"/>
  <c r="R35" i="7"/>
  <c r="N34" i="7"/>
  <c r="F45" i="16"/>
  <c r="AB70" i="7"/>
  <c r="F23" i="16"/>
  <c r="AB48" i="7"/>
  <c r="F48" i="16"/>
  <c r="AB73" i="7"/>
  <c r="F32" i="16"/>
  <c r="AB57" i="7"/>
  <c r="F34" i="16"/>
  <c r="AB59" i="7"/>
  <c r="F22" i="16"/>
  <c r="AB47" i="7"/>
  <c r="F49" i="16"/>
  <c r="AB74" i="7"/>
  <c r="F33" i="16"/>
  <c r="AB58" i="7"/>
  <c r="F35" i="16"/>
  <c r="AB60" i="7"/>
  <c r="F20" i="16"/>
  <c r="AB45" i="7"/>
  <c r="F14" i="16"/>
  <c r="AB39" i="7"/>
  <c r="F17" i="16"/>
  <c r="AB42" i="7"/>
  <c r="AB72" i="7"/>
  <c r="F47" i="16"/>
  <c r="F37" i="16"/>
  <c r="AB62" i="7"/>
  <c r="F43" i="16"/>
  <c r="AB68" i="7"/>
  <c r="AB52" i="7"/>
  <c r="F27" i="16"/>
  <c r="AB66" i="7"/>
  <c r="F41" i="16"/>
  <c r="F21" i="16"/>
  <c r="AB46" i="7"/>
  <c r="F13" i="16"/>
  <c r="AB38" i="7"/>
  <c r="F24" i="16"/>
  <c r="AB49" i="7"/>
  <c r="AV91" i="8" l="1"/>
  <c r="AC10" i="22" s="1"/>
  <c r="AC7" i="22" s="1"/>
  <c r="AK90" i="8"/>
  <c r="AC92" i="8"/>
  <c r="AI92" i="8"/>
  <c r="AE92" i="8"/>
  <c r="AG92" i="8"/>
  <c r="AH92" i="8"/>
  <c r="AD92" i="8"/>
  <c r="AF92" i="8"/>
  <c r="AB92" i="8"/>
  <c r="E44" i="8"/>
  <c r="H74" i="8"/>
  <c r="F75" i="8" s="1"/>
  <c r="H77" i="8"/>
  <c r="F77" i="8" s="1"/>
  <c r="E77" i="8" s="1"/>
  <c r="H76" i="8"/>
  <c r="F76" i="8" s="1"/>
  <c r="E76" i="8" s="1"/>
  <c r="S31" i="9"/>
  <c r="S32" i="9"/>
  <c r="S33" i="9"/>
  <c r="S34" i="9" s="1"/>
  <c r="S35" i="9" s="1"/>
  <c r="S36" i="9" s="1"/>
  <c r="M74" i="8"/>
  <c r="K74" i="8"/>
  <c r="L74" i="8" s="1"/>
  <c r="R74" i="8"/>
  <c r="AA97" i="8"/>
  <c r="AD91" i="8"/>
  <c r="AC91" i="8"/>
  <c r="AF91" i="8"/>
  <c r="AI91" i="8"/>
  <c r="AB91" i="8"/>
  <c r="AG91" i="8"/>
  <c r="AE91" i="8"/>
  <c r="AH91" i="8"/>
  <c r="AA85" i="8"/>
  <c r="S35" i="7"/>
  <c r="W35" i="7"/>
  <c r="M11" i="5" a="1"/>
  <c r="R34" i="7"/>
  <c r="V74" i="8" l="1"/>
  <c r="S37" i="9"/>
  <c r="U32" i="9"/>
  <c r="I20" i="11"/>
  <c r="V32" i="9"/>
  <c r="Z32" i="9" s="1"/>
  <c r="T32" i="9"/>
  <c r="E75" i="8"/>
  <c r="H75" i="8"/>
  <c r="E41" i="8" s="1"/>
  <c r="T21" i="9"/>
  <c r="T22" i="9" s="1"/>
  <c r="I21" i="11" s="1"/>
  <c r="AB86" i="8"/>
  <c r="AF93" i="8" s="1"/>
  <c r="AA98" i="8"/>
  <c r="U31" i="9"/>
  <c r="V31" i="9"/>
  <c r="I19" i="11"/>
  <c r="T31" i="9"/>
  <c r="H44" i="8"/>
  <c r="F44" i="8"/>
  <c r="G44" i="8" s="1"/>
  <c r="K76" i="8"/>
  <c r="L76" i="8" s="1"/>
  <c r="R76" i="8"/>
  <c r="M76" i="8"/>
  <c r="S74" i="8"/>
  <c r="R77" i="8"/>
  <c r="K77" i="8"/>
  <c r="L77" i="8" s="1"/>
  <c r="M77" i="8"/>
  <c r="M12" i="5" a="1"/>
  <c r="BO91" i="8"/>
  <c r="BO90" i="8" s="1"/>
  <c r="AV90" i="8"/>
  <c r="W11" i="5"/>
  <c r="AM11" i="5"/>
  <c r="P11" i="5"/>
  <c r="AF11" i="5"/>
  <c r="AV11" i="5"/>
  <c r="U11" i="5"/>
  <c r="AK11" i="5"/>
  <c r="N11" i="5"/>
  <c r="AD11" i="5"/>
  <c r="AT11" i="5"/>
  <c r="AA11" i="5"/>
  <c r="AQ11" i="5"/>
  <c r="T11" i="5"/>
  <c r="AJ11" i="5"/>
  <c r="AZ11" i="5"/>
  <c r="Y11" i="5"/>
  <c r="AO11" i="5"/>
  <c r="R11" i="5"/>
  <c r="AH11" i="5"/>
  <c r="AX11" i="5"/>
  <c r="AG11" i="5"/>
  <c r="Z11" i="5"/>
  <c r="O11" i="5"/>
  <c r="AE11" i="5"/>
  <c r="AU11" i="5"/>
  <c r="X11" i="5"/>
  <c r="AN11" i="5"/>
  <c r="M11" i="5"/>
  <c r="AC11" i="5"/>
  <c r="AS11" i="5"/>
  <c r="V11" i="5"/>
  <c r="AL11" i="5"/>
  <c r="S11" i="5"/>
  <c r="AI11" i="5"/>
  <c r="AY11" i="5"/>
  <c r="AB11" i="5"/>
  <c r="AR11" i="5"/>
  <c r="Q11" i="5"/>
  <c r="AW11" i="5"/>
  <c r="AP11" i="5"/>
  <c r="X35" i="7"/>
  <c r="W34" i="7"/>
  <c r="S34" i="7"/>
  <c r="AB35" i="7"/>
  <c r="AB34" i="7" s="1"/>
  <c r="F10" i="16"/>
  <c r="AE95" i="8" l="1"/>
  <c r="AC96" i="8"/>
  <c r="V35" i="9"/>
  <c r="Z35" i="9" s="1"/>
  <c r="I15" i="10" s="1"/>
  <c r="K15" i="10" s="1"/>
  <c r="AE96" i="8"/>
  <c r="AI96" i="8"/>
  <c r="AG96" i="8"/>
  <c r="AC95" i="8"/>
  <c r="AG97" i="8"/>
  <c r="AH96" i="8"/>
  <c r="AD96" i="8"/>
  <c r="AB95" i="8"/>
  <c r="AG95" i="8"/>
  <c r="AF97" i="8"/>
  <c r="AE97" i="8"/>
  <c r="AB97" i="8"/>
  <c r="AH95" i="8"/>
  <c r="AF95" i="8"/>
  <c r="AC97" i="8"/>
  <c r="T33" i="9"/>
  <c r="V34" i="9"/>
  <c r="Z34" i="9" s="1"/>
  <c r="I14" i="10" s="1"/>
  <c r="K14" i="10" s="1"/>
  <c r="V33" i="9"/>
  <c r="Z33" i="9" s="1"/>
  <c r="I13" i="10" s="1"/>
  <c r="K13" i="10" s="1"/>
  <c r="U33" i="9"/>
  <c r="AG94" i="8"/>
  <c r="AC94" i="8"/>
  <c r="AI94" i="8"/>
  <c r="U34" i="9"/>
  <c r="AF94" i="8"/>
  <c r="AB94" i="8"/>
  <c r="AD94" i="8"/>
  <c r="AB93" i="8"/>
  <c r="T34" i="9"/>
  <c r="AE93" i="8"/>
  <c r="AI93" i="8"/>
  <c r="AD93" i="8"/>
  <c r="AG93" i="8"/>
  <c r="I22" i="11"/>
  <c r="AH93" i="8"/>
  <c r="AC93" i="8"/>
  <c r="AH94" i="8"/>
  <c r="AE94" i="8"/>
  <c r="O44" i="8"/>
  <c r="V76" i="8"/>
  <c r="I23" i="11"/>
  <c r="T35" i="9"/>
  <c r="U35" i="9"/>
  <c r="AD97" i="8"/>
  <c r="AI97" i="8"/>
  <c r="AH97" i="8"/>
  <c r="M75" i="8"/>
  <c r="R75" i="8"/>
  <c r="K75" i="8"/>
  <c r="L75" i="8" s="1"/>
  <c r="F13" i="5"/>
  <c r="P3" i="2" s="1"/>
  <c r="I12" i="10"/>
  <c r="K12" i="10" s="1"/>
  <c r="U36" i="9"/>
  <c r="S77" i="8"/>
  <c r="T77" i="8" s="1"/>
  <c r="AG98" i="8"/>
  <c r="AI98" i="8"/>
  <c r="AH98" i="8"/>
  <c r="AF98" i="8"/>
  <c r="AD98" i="8"/>
  <c r="AB98" i="8"/>
  <c r="AE98" i="8"/>
  <c r="AC98" i="8"/>
  <c r="AA99" i="8"/>
  <c r="AI95" i="8"/>
  <c r="T36" i="9"/>
  <c r="S76" i="8"/>
  <c r="I44" i="8"/>
  <c r="AB96" i="8"/>
  <c r="AD95" i="8"/>
  <c r="V37" i="9"/>
  <c r="Z37" i="9" s="1"/>
  <c r="I17" i="10" s="1"/>
  <c r="K17" i="10" s="1"/>
  <c r="I25" i="11"/>
  <c r="U37" i="9"/>
  <c r="T37" i="9"/>
  <c r="S38" i="9"/>
  <c r="V36" i="9"/>
  <c r="Z36" i="9" s="1"/>
  <c r="I16" i="10" s="1"/>
  <c r="K16" i="10" s="1"/>
  <c r="AF12" i="5"/>
  <c r="AP12" i="5"/>
  <c r="V12" i="5"/>
  <c r="AT12" i="5"/>
  <c r="AO12" i="5"/>
  <c r="AD12" i="5"/>
  <c r="Q12" i="5"/>
  <c r="AX12" i="5"/>
  <c r="X12" i="5"/>
  <c r="AK12" i="5"/>
  <c r="N12" i="5"/>
  <c r="AN12" i="5"/>
  <c r="AE12" i="5"/>
  <c r="AU12" i="5"/>
  <c r="P12" i="5"/>
  <c r="W12" i="5"/>
  <c r="AJ12" i="5"/>
  <c r="AV12" i="5"/>
  <c r="U12" i="5"/>
  <c r="R12" i="5"/>
  <c r="AI12" i="5"/>
  <c r="T12" i="5"/>
  <c r="Y12" i="5"/>
  <c r="AB12" i="5"/>
  <c r="O12" i="5"/>
  <c r="AA12" i="5"/>
  <c r="AM12" i="5"/>
  <c r="AG12" i="5"/>
  <c r="AS12" i="5"/>
  <c r="AZ12" i="5"/>
  <c r="Z12" i="5"/>
  <c r="AC12" i="5"/>
  <c r="AR12" i="5"/>
  <c r="M12" i="5"/>
  <c r="AW12" i="5"/>
  <c r="AQ12" i="5"/>
  <c r="AH12" i="5"/>
  <c r="S12" i="5"/>
  <c r="AY12" i="5"/>
  <c r="AL12" i="5"/>
  <c r="T74" i="8"/>
  <c r="W74" i="8"/>
  <c r="F41" i="8"/>
  <c r="H41" i="8"/>
  <c r="I24" i="11"/>
  <c r="AF96" i="8"/>
  <c r="F10" i="22"/>
  <c r="X34" i="7"/>
  <c r="F8" i="16"/>
  <c r="F7" i="16"/>
  <c r="G11" i="5"/>
  <c r="J11" i="5" s="1"/>
  <c r="O41" i="8" l="1"/>
  <c r="I41" i="8"/>
  <c r="T38" i="9"/>
  <c r="I26" i="11"/>
  <c r="U38" i="9"/>
  <c r="V38" i="9"/>
  <c r="Z38" i="9" s="1"/>
  <c r="I18" i="10" s="1"/>
  <c r="K18" i="10" s="1"/>
  <c r="S39" i="9"/>
  <c r="T76" i="8"/>
  <c r="W76" i="8"/>
  <c r="S75" i="8"/>
  <c r="G41" i="8"/>
  <c r="E42" i="8"/>
  <c r="G12" i="5"/>
  <c r="J12" i="5" s="1"/>
  <c r="U74" i="8"/>
  <c r="R111" i="8" s="1"/>
  <c r="X74" i="8"/>
  <c r="R95" i="8" s="1"/>
  <c r="AM95" i="8" s="1"/>
  <c r="P44" i="8"/>
  <c r="J44" i="8"/>
  <c r="U77" i="8"/>
  <c r="X77" i="8"/>
  <c r="V75" i="8"/>
  <c r="AI99" i="8"/>
  <c r="AD99" i="8"/>
  <c r="AB99" i="8"/>
  <c r="AC99" i="8"/>
  <c r="AE99" i="8"/>
  <c r="AH99" i="8"/>
  <c r="AG99" i="8"/>
  <c r="AF99" i="8"/>
  <c r="AA100" i="8"/>
  <c r="F7" i="22"/>
  <c r="R114" i="8" l="1"/>
  <c r="R101" i="8"/>
  <c r="R103" i="8"/>
  <c r="R122" i="8"/>
  <c r="R108" i="8"/>
  <c r="R125" i="8"/>
  <c r="R100" i="8"/>
  <c r="R94" i="8"/>
  <c r="AM94" i="8" s="1"/>
  <c r="R130" i="8"/>
  <c r="R116" i="8"/>
  <c r="R104" i="8"/>
  <c r="R119" i="8"/>
  <c r="R117" i="8"/>
  <c r="R123" i="8"/>
  <c r="R112" i="8"/>
  <c r="R99" i="8"/>
  <c r="AM99" i="8" s="1"/>
  <c r="R120" i="8"/>
  <c r="R102" i="8"/>
  <c r="R91" i="8"/>
  <c r="AM91" i="8" s="1"/>
  <c r="R118" i="8"/>
  <c r="R126" i="8"/>
  <c r="R92" i="8"/>
  <c r="AM92" i="8" s="1"/>
  <c r="R109" i="8"/>
  <c r="R127" i="8"/>
  <c r="R105" i="8"/>
  <c r="R113" i="8"/>
  <c r="R129" i="8"/>
  <c r="R124" i="8"/>
  <c r="R106" i="8"/>
  <c r="R107" i="8"/>
  <c r="R115" i="8"/>
  <c r="R128" i="8"/>
  <c r="R121" i="8"/>
  <c r="R97" i="8"/>
  <c r="AM97" i="8" s="1"/>
  <c r="R110" i="8"/>
  <c r="Y74" i="8"/>
  <c r="R96" i="8" s="1"/>
  <c r="AM96" i="8" s="1"/>
  <c r="R93" i="8"/>
  <c r="AB100" i="8"/>
  <c r="AC100" i="8"/>
  <c r="AM100" i="8" s="1"/>
  <c r="AG100" i="8"/>
  <c r="AD100" i="8"/>
  <c r="AI100" i="8"/>
  <c r="AE100" i="8"/>
  <c r="AF100" i="8"/>
  <c r="AH100" i="8"/>
  <c r="AA101" i="8"/>
  <c r="Y77" i="8"/>
  <c r="U98" i="8" s="1"/>
  <c r="AP98" i="8" s="1"/>
  <c r="U104" i="8"/>
  <c r="AP104" i="8" s="1"/>
  <c r="U124" i="8"/>
  <c r="AP124" i="8" s="1"/>
  <c r="U128" i="8"/>
  <c r="AP128" i="8" s="1"/>
  <c r="U101" i="8"/>
  <c r="AP101" i="8" s="1"/>
  <c r="U108" i="8"/>
  <c r="AP108" i="8" s="1"/>
  <c r="U122" i="8"/>
  <c r="AP122" i="8" s="1"/>
  <c r="U110" i="8"/>
  <c r="AP110" i="8" s="1"/>
  <c r="U118" i="8"/>
  <c r="AP118" i="8" s="1"/>
  <c r="U119" i="8"/>
  <c r="AP119" i="8" s="1"/>
  <c r="U125" i="8"/>
  <c r="AP125" i="8" s="1"/>
  <c r="U100" i="8"/>
  <c r="AP100" i="8" s="1"/>
  <c r="U103" i="8"/>
  <c r="AP103" i="8" s="1"/>
  <c r="U129" i="8"/>
  <c r="AP129" i="8" s="1"/>
  <c r="U120" i="8"/>
  <c r="AP120" i="8" s="1"/>
  <c r="U113" i="8"/>
  <c r="AP113" i="8" s="1"/>
  <c r="U115" i="8"/>
  <c r="AP115" i="8" s="1"/>
  <c r="U114" i="8"/>
  <c r="AP114" i="8" s="1"/>
  <c r="U126" i="8"/>
  <c r="AP126" i="8" s="1"/>
  <c r="U121" i="8"/>
  <c r="AP121" i="8" s="1"/>
  <c r="U127" i="8"/>
  <c r="AP127" i="8" s="1"/>
  <c r="U112" i="8"/>
  <c r="AP112" i="8" s="1"/>
  <c r="U123" i="8"/>
  <c r="AP123" i="8" s="1"/>
  <c r="U117" i="8"/>
  <c r="AP117" i="8" s="1"/>
  <c r="U106" i="8"/>
  <c r="AP106" i="8" s="1"/>
  <c r="U109" i="8"/>
  <c r="AP109" i="8" s="1"/>
  <c r="U111" i="8"/>
  <c r="AP111" i="8" s="1"/>
  <c r="U105" i="8"/>
  <c r="AP105" i="8" s="1"/>
  <c r="U99" i="8"/>
  <c r="AP99" i="8" s="1"/>
  <c r="U130" i="8"/>
  <c r="AP130" i="8" s="1"/>
  <c r="U107" i="8"/>
  <c r="AP107" i="8" s="1"/>
  <c r="U116" i="8"/>
  <c r="AP116" i="8" s="1"/>
  <c r="U102" i="8"/>
  <c r="AP102" i="8" s="1"/>
  <c r="U91" i="8"/>
  <c r="AP91" i="8" s="1"/>
  <c r="U92" i="8"/>
  <c r="AP92" i="8" s="1"/>
  <c r="U93" i="8"/>
  <c r="AP93" i="8" s="1"/>
  <c r="V39" i="9"/>
  <c r="U39" i="9"/>
  <c r="T39" i="9"/>
  <c r="I27" i="11"/>
  <c r="S40" i="9"/>
  <c r="J41" i="8"/>
  <c r="P41" i="8"/>
  <c r="T75" i="8"/>
  <c r="W75" i="8"/>
  <c r="U76" i="8"/>
  <c r="T112" i="8" s="1"/>
  <c r="AO112" i="8" s="1"/>
  <c r="X76" i="8"/>
  <c r="T96" i="8" s="1"/>
  <c r="AO96" i="8" s="1"/>
  <c r="K44" i="8"/>
  <c r="Q44" i="8"/>
  <c r="F97" i="8" s="1"/>
  <c r="H42" i="8"/>
  <c r="F42" i="8"/>
  <c r="T116" i="8" l="1"/>
  <c r="AO116" i="8" s="1"/>
  <c r="T119" i="8"/>
  <c r="AO119" i="8" s="1"/>
  <c r="T108" i="8"/>
  <c r="AO108" i="8" s="1"/>
  <c r="T117" i="8"/>
  <c r="AO117" i="8" s="1"/>
  <c r="O42" i="8"/>
  <c r="T93" i="8"/>
  <c r="AO93" i="8" s="1"/>
  <c r="T113" i="8"/>
  <c r="AO113" i="8" s="1"/>
  <c r="T107" i="8"/>
  <c r="AO107" i="8" s="1"/>
  <c r="T104" i="8"/>
  <c r="AO104" i="8" s="1"/>
  <c r="T110" i="8"/>
  <c r="AO110" i="8" s="1"/>
  <c r="T105" i="8"/>
  <c r="AO105" i="8" s="1"/>
  <c r="T114" i="8"/>
  <c r="AO114" i="8" s="1"/>
  <c r="T103" i="8"/>
  <c r="AO103" i="8" s="1"/>
  <c r="T101" i="8"/>
  <c r="AO101" i="8" s="1"/>
  <c r="T109" i="8"/>
  <c r="AO109" i="8" s="1"/>
  <c r="T95" i="8"/>
  <c r="AO95" i="8" s="1"/>
  <c r="K41" i="8"/>
  <c r="Q41" i="8"/>
  <c r="C97" i="8" s="1"/>
  <c r="AM93" i="8"/>
  <c r="T98" i="8"/>
  <c r="AO98" i="8" s="1"/>
  <c r="Z74" i="8"/>
  <c r="R98" i="8"/>
  <c r="R90" i="8" s="1"/>
  <c r="T125" i="8"/>
  <c r="AO125" i="8" s="1"/>
  <c r="Y76" i="8"/>
  <c r="T99" i="8" s="1"/>
  <c r="AO99" i="8" s="1"/>
  <c r="T94" i="8"/>
  <c r="AO94" i="8" s="1"/>
  <c r="T40" i="9"/>
  <c r="U40" i="9"/>
  <c r="I28" i="11"/>
  <c r="V40" i="9"/>
  <c r="Z40" i="9" s="1"/>
  <c r="I20" i="10" s="1"/>
  <c r="K20" i="10" s="1"/>
  <c r="S41" i="9"/>
  <c r="Z39" i="9"/>
  <c r="G42" i="8"/>
  <c r="B57" i="8"/>
  <c r="E43" i="8"/>
  <c r="L44" i="8"/>
  <c r="R44" i="8"/>
  <c r="F98" i="8" s="1"/>
  <c r="T126" i="8"/>
  <c r="AO126" i="8" s="1"/>
  <c r="T121" i="8"/>
  <c r="AO121" i="8" s="1"/>
  <c r="T129" i="8"/>
  <c r="AO129" i="8" s="1"/>
  <c r="T123" i="8"/>
  <c r="AO123" i="8" s="1"/>
  <c r="T91" i="8"/>
  <c r="T106" i="8"/>
  <c r="AO106" i="8" s="1"/>
  <c r="T122" i="8"/>
  <c r="AO122" i="8" s="1"/>
  <c r="T127" i="8"/>
  <c r="AO127" i="8" s="1"/>
  <c r="T102" i="8"/>
  <c r="AO102" i="8" s="1"/>
  <c r="AE101" i="8"/>
  <c r="AB101" i="8"/>
  <c r="AG101" i="8"/>
  <c r="AF101" i="8"/>
  <c r="AC101" i="8"/>
  <c r="AD101" i="8"/>
  <c r="AI101" i="8"/>
  <c r="AH101" i="8"/>
  <c r="AA102" i="8"/>
  <c r="I42" i="8"/>
  <c r="T124" i="8"/>
  <c r="AO124" i="8" s="1"/>
  <c r="T111" i="8"/>
  <c r="AO111" i="8" s="1"/>
  <c r="T100" i="8"/>
  <c r="AO100" i="8" s="1"/>
  <c r="T118" i="8"/>
  <c r="AO118" i="8" s="1"/>
  <c r="T92" i="8"/>
  <c r="AO92" i="8" s="1"/>
  <c r="T130" i="8"/>
  <c r="AO130" i="8" s="1"/>
  <c r="T128" i="8"/>
  <c r="AO128" i="8" s="1"/>
  <c r="T120" i="8"/>
  <c r="AO120" i="8" s="1"/>
  <c r="T115" i="8"/>
  <c r="AO115" i="8" s="1"/>
  <c r="U75" i="8"/>
  <c r="S115" i="8" s="1"/>
  <c r="X75" i="8"/>
  <c r="S108" i="8" l="1"/>
  <c r="AN108" i="8" s="1"/>
  <c r="S107" i="8"/>
  <c r="AN107" i="8" s="1"/>
  <c r="S111" i="8"/>
  <c r="AN111" i="8" s="1"/>
  <c r="S126" i="8"/>
  <c r="AN126" i="8" s="1"/>
  <c r="S128" i="8"/>
  <c r="AN128" i="8" s="1"/>
  <c r="S130" i="8"/>
  <c r="V130" i="8" s="1"/>
  <c r="AQ130" i="8" s="1"/>
  <c r="S102" i="8"/>
  <c r="AN102" i="8" s="1"/>
  <c r="S129" i="8"/>
  <c r="AN129" i="8" s="1"/>
  <c r="S103" i="8"/>
  <c r="AN103" i="8" s="1"/>
  <c r="S109" i="8"/>
  <c r="AN109" i="8" s="1"/>
  <c r="S101" i="8"/>
  <c r="V101" i="8" s="1"/>
  <c r="AQ101" i="8" s="1"/>
  <c r="S121" i="8"/>
  <c r="AN121" i="8" s="1"/>
  <c r="S114" i="8"/>
  <c r="V114" i="8" s="1"/>
  <c r="AQ114" i="8" s="1"/>
  <c r="S113" i="8"/>
  <c r="AN113" i="8" s="1"/>
  <c r="S100" i="8"/>
  <c r="AN100" i="8" s="1"/>
  <c r="S116" i="8"/>
  <c r="AN116" i="8" s="1"/>
  <c r="S125" i="8"/>
  <c r="AN125" i="8" s="1"/>
  <c r="S91" i="8"/>
  <c r="AN91" i="8" s="1"/>
  <c r="S92" i="8"/>
  <c r="V92" i="8" s="1"/>
  <c r="AQ92" i="8" s="1"/>
  <c r="S112" i="8"/>
  <c r="AN112" i="8" s="1"/>
  <c r="S117" i="8"/>
  <c r="AN117" i="8" s="1"/>
  <c r="S104" i="8"/>
  <c r="AN104" i="8" s="1"/>
  <c r="S118" i="8"/>
  <c r="V118" i="8" s="1"/>
  <c r="AQ118" i="8" s="1"/>
  <c r="S124" i="8"/>
  <c r="V124" i="8" s="1"/>
  <c r="AQ124" i="8" s="1"/>
  <c r="S119" i="8"/>
  <c r="AN119" i="8" s="1"/>
  <c r="S98" i="8"/>
  <c r="AN98" i="8" s="1"/>
  <c r="S105" i="8"/>
  <c r="AN105" i="8" s="1"/>
  <c r="S120" i="8"/>
  <c r="V120" i="8" s="1"/>
  <c r="AQ120" i="8" s="1"/>
  <c r="S110" i="8"/>
  <c r="AN110" i="8" s="1"/>
  <c r="Z76" i="8"/>
  <c r="S93" i="8"/>
  <c r="AN93" i="8" s="1"/>
  <c r="T97" i="8"/>
  <c r="AO97" i="8" s="1"/>
  <c r="V103" i="8"/>
  <c r="AQ103" i="8" s="1"/>
  <c r="AN115" i="8"/>
  <c r="V115" i="8"/>
  <c r="AQ115" i="8" s="1"/>
  <c r="AO91" i="8"/>
  <c r="AM98" i="8"/>
  <c r="F43" i="8"/>
  <c r="H43" i="8"/>
  <c r="I19" i="10"/>
  <c r="K19" i="10" s="1"/>
  <c r="AN114" i="8"/>
  <c r="S106" i="8"/>
  <c r="Y75" i="8"/>
  <c r="S99" i="8" s="1"/>
  <c r="S127" i="8"/>
  <c r="S94" i="8"/>
  <c r="AN94" i="8" s="1"/>
  <c r="J42" i="8"/>
  <c r="P42" i="8"/>
  <c r="W109" i="8"/>
  <c r="AR109" i="8" s="1"/>
  <c r="W99" i="8"/>
  <c r="AR99" i="8" s="1"/>
  <c r="W130" i="8"/>
  <c r="AR130" i="8" s="1"/>
  <c r="W103" i="8"/>
  <c r="AR103" i="8" s="1"/>
  <c r="W94" i="8"/>
  <c r="AR94" i="8" s="1"/>
  <c r="E53" i="8"/>
  <c r="W121" i="8"/>
  <c r="AR121" i="8" s="1"/>
  <c r="W110" i="8"/>
  <c r="AR110" i="8" s="1"/>
  <c r="W92" i="8"/>
  <c r="AR92" i="8" s="1"/>
  <c r="W128" i="8"/>
  <c r="AR128" i="8" s="1"/>
  <c r="W107" i="8"/>
  <c r="AR107" i="8" s="1"/>
  <c r="E47" i="8"/>
  <c r="W117" i="8"/>
  <c r="AR117" i="8" s="1"/>
  <c r="W106" i="8"/>
  <c r="AR106" i="8" s="1"/>
  <c r="W124" i="8"/>
  <c r="AR124" i="8" s="1"/>
  <c r="W111" i="8"/>
  <c r="AR111" i="8" s="1"/>
  <c r="W100" i="8"/>
  <c r="AR100" i="8" s="1"/>
  <c r="W91" i="8"/>
  <c r="W129" i="8"/>
  <c r="AR129" i="8" s="1"/>
  <c r="W118" i="8"/>
  <c r="AR118" i="8" s="1"/>
  <c r="W98" i="8"/>
  <c r="AR98" i="8" s="1"/>
  <c r="E45" i="8"/>
  <c r="W123" i="8"/>
  <c r="AR123" i="8" s="1"/>
  <c r="E51" i="8"/>
  <c r="W125" i="8"/>
  <c r="AR125" i="8" s="1"/>
  <c r="W114" i="8"/>
  <c r="AR114" i="8" s="1"/>
  <c r="E49" i="8"/>
  <c r="W119" i="8"/>
  <c r="AR119" i="8" s="1"/>
  <c r="W108" i="8"/>
  <c r="AR108" i="8" s="1"/>
  <c r="W105" i="8"/>
  <c r="AR105" i="8" s="1"/>
  <c r="W97" i="8"/>
  <c r="AR97" i="8" s="1"/>
  <c r="W126" i="8"/>
  <c r="AR126" i="8" s="1"/>
  <c r="W104" i="8"/>
  <c r="AR104" i="8" s="1"/>
  <c r="B3" i="9"/>
  <c r="W112" i="8"/>
  <c r="AR112" i="8" s="1"/>
  <c r="W101" i="8"/>
  <c r="AR101" i="8" s="1"/>
  <c r="W93" i="8"/>
  <c r="AR93" i="8" s="1"/>
  <c r="W122" i="8"/>
  <c r="AR122" i="8" s="1"/>
  <c r="W96" i="8"/>
  <c r="AR96" i="8" s="1"/>
  <c r="W127" i="8"/>
  <c r="AR127" i="8" s="1"/>
  <c r="W116" i="8"/>
  <c r="AR116" i="8" s="1"/>
  <c r="W113" i="8"/>
  <c r="AR113" i="8" s="1"/>
  <c r="W102" i="8"/>
  <c r="AR102" i="8" s="1"/>
  <c r="W115" i="8"/>
  <c r="AR115" i="8" s="1"/>
  <c r="W120" i="8"/>
  <c r="AR120" i="8" s="1"/>
  <c r="W95" i="8"/>
  <c r="AR95" i="8" s="1"/>
  <c r="T41" i="9"/>
  <c r="V41" i="9"/>
  <c r="I29" i="11"/>
  <c r="U41" i="9"/>
  <c r="S42" i="9"/>
  <c r="L41" i="8"/>
  <c r="R41" i="8"/>
  <c r="C98" i="8" s="1"/>
  <c r="S96" i="8"/>
  <c r="S122" i="8"/>
  <c r="AI102" i="8"/>
  <c r="AG102" i="8"/>
  <c r="AC102" i="8"/>
  <c r="AM102" i="8" s="1"/>
  <c r="AE102" i="8"/>
  <c r="AB102" i="8"/>
  <c r="AH102" i="8"/>
  <c r="AD102" i="8"/>
  <c r="AF102" i="8"/>
  <c r="AA103" i="8"/>
  <c r="AM101" i="8"/>
  <c r="S95" i="8"/>
  <c r="AN95" i="8" s="1"/>
  <c r="M44" i="8"/>
  <c r="S44" i="8"/>
  <c r="F99" i="8" s="1"/>
  <c r="S123" i="8"/>
  <c r="V128" i="8" l="1"/>
  <c r="AQ128" i="8" s="1"/>
  <c r="V108" i="8"/>
  <c r="AQ108" i="8" s="1"/>
  <c r="AN101" i="8"/>
  <c r="V107" i="8"/>
  <c r="AQ107" i="8" s="1"/>
  <c r="AN92" i="8"/>
  <c r="AN118" i="8"/>
  <c r="V111" i="8"/>
  <c r="AQ111" i="8" s="1"/>
  <c r="V125" i="8"/>
  <c r="AQ125" i="8" s="1"/>
  <c r="V117" i="8"/>
  <c r="AQ117" i="8" s="1"/>
  <c r="AN130" i="8"/>
  <c r="V102" i="8"/>
  <c r="AQ102" i="8" s="1"/>
  <c r="V105" i="8"/>
  <c r="AQ105" i="8" s="1"/>
  <c r="V100" i="8"/>
  <c r="AQ100" i="8" s="1"/>
  <c r="V126" i="8"/>
  <c r="AQ126" i="8" s="1"/>
  <c r="V116" i="8"/>
  <c r="AQ116" i="8" s="1"/>
  <c r="AN120" i="8"/>
  <c r="AN124" i="8"/>
  <c r="V121" i="8"/>
  <c r="AQ121" i="8" s="1"/>
  <c r="T90" i="8"/>
  <c r="V129" i="8"/>
  <c r="AQ129" i="8" s="1"/>
  <c r="V112" i="8"/>
  <c r="AQ112" i="8" s="1"/>
  <c r="V109" i="8"/>
  <c r="AQ109" i="8" s="1"/>
  <c r="V91" i="8"/>
  <c r="AQ91" i="8" s="1"/>
  <c r="V113" i="8"/>
  <c r="AQ113" i="8" s="1"/>
  <c r="V104" i="8"/>
  <c r="AQ104" i="8" s="1"/>
  <c r="V98" i="8"/>
  <c r="AQ98" i="8" s="1"/>
  <c r="V119" i="8"/>
  <c r="AQ119" i="8" s="1"/>
  <c r="V110" i="8"/>
  <c r="AQ110" i="8" s="1"/>
  <c r="AO90" i="8"/>
  <c r="O43" i="8"/>
  <c r="Z75" i="8"/>
  <c r="V93" i="8"/>
  <c r="AQ93" i="8" s="1"/>
  <c r="S97" i="8"/>
  <c r="AN97" i="8" s="1"/>
  <c r="X103" i="8"/>
  <c r="AS103" i="8" s="1"/>
  <c r="X101" i="8"/>
  <c r="AS101" i="8" s="1"/>
  <c r="X130" i="8"/>
  <c r="AS130" i="8" s="1"/>
  <c r="X114" i="8"/>
  <c r="AS114" i="8" s="1"/>
  <c r="X115" i="8"/>
  <c r="AS115" i="8" s="1"/>
  <c r="X92" i="8"/>
  <c r="AS92" i="8" s="1"/>
  <c r="X118" i="8"/>
  <c r="AS118" i="8" s="1"/>
  <c r="X120" i="8"/>
  <c r="AS120" i="8" s="1"/>
  <c r="I30" i="11"/>
  <c r="V42" i="9"/>
  <c r="Z42" i="9" s="1"/>
  <c r="I22" i="10" s="1"/>
  <c r="K22" i="10" s="1"/>
  <c r="T42" i="9"/>
  <c r="U42" i="9"/>
  <c r="S43" i="9"/>
  <c r="H49" i="8"/>
  <c r="F49" i="8"/>
  <c r="AN122" i="8"/>
  <c r="V122" i="8"/>
  <c r="AQ122" i="8" s="1"/>
  <c r="X124" i="8"/>
  <c r="AS124" i="8" s="1"/>
  <c r="B5" i="9"/>
  <c r="B20" i="9"/>
  <c r="F4" i="5"/>
  <c r="F5" i="5" s="1"/>
  <c r="F15" i="5" s="1"/>
  <c r="B4" i="9"/>
  <c r="H11" i="2"/>
  <c r="F45" i="8"/>
  <c r="H45" i="8"/>
  <c r="AR91" i="8"/>
  <c r="AR90" i="8" s="1"/>
  <c r="W90" i="8"/>
  <c r="H53" i="8"/>
  <c r="F53" i="8"/>
  <c r="AN127" i="8"/>
  <c r="V127" i="8"/>
  <c r="AQ127" i="8" s="1"/>
  <c r="I43" i="8"/>
  <c r="AN96" i="8"/>
  <c r="M41" i="8"/>
  <c r="S41" i="8"/>
  <c r="C99" i="8" s="1"/>
  <c r="AN99" i="8"/>
  <c r="V99" i="8"/>
  <c r="AQ99" i="8" s="1"/>
  <c r="G43" i="8"/>
  <c r="AN123" i="8"/>
  <c r="V123" i="8"/>
  <c r="AQ123" i="8" s="1"/>
  <c r="N44" i="8"/>
  <c r="F116" i="8" s="1"/>
  <c r="T44" i="8"/>
  <c r="AC103" i="8"/>
  <c r="AM103" i="8" s="1"/>
  <c r="AI103" i="8"/>
  <c r="AG103" i="8"/>
  <c r="AF103" i="8"/>
  <c r="AB103" i="8"/>
  <c r="AE103" i="8"/>
  <c r="AH103" i="8"/>
  <c r="AD103" i="8"/>
  <c r="AA104" i="8"/>
  <c r="Z41" i="9"/>
  <c r="H51" i="8"/>
  <c r="F51" i="8"/>
  <c r="F47" i="8"/>
  <c r="H47" i="8"/>
  <c r="K42" i="8"/>
  <c r="Q42" i="8"/>
  <c r="D97" i="8" s="1"/>
  <c r="AN106" i="8"/>
  <c r="V106" i="8"/>
  <c r="AQ106" i="8" s="1"/>
  <c r="X108" i="8" l="1"/>
  <c r="AS108" i="8" s="1"/>
  <c r="X128" i="8"/>
  <c r="AS128" i="8" s="1"/>
  <c r="X107" i="8"/>
  <c r="AS107" i="8" s="1"/>
  <c r="X126" i="8"/>
  <c r="AS126" i="8" s="1"/>
  <c r="X117" i="8"/>
  <c r="AS117" i="8" s="1"/>
  <c r="X111" i="8"/>
  <c r="AS111" i="8" s="1"/>
  <c r="X105" i="8"/>
  <c r="AS105" i="8" s="1"/>
  <c r="X125" i="8"/>
  <c r="AS125" i="8" s="1"/>
  <c r="X129" i="8"/>
  <c r="AS129" i="8" s="1"/>
  <c r="X116" i="8"/>
  <c r="AS116" i="8" s="1"/>
  <c r="X102" i="8"/>
  <c r="AS102" i="8" s="1"/>
  <c r="X121" i="8"/>
  <c r="AS121" i="8" s="1"/>
  <c r="X98" i="8"/>
  <c r="AS98" i="8" s="1"/>
  <c r="X91" i="8"/>
  <c r="AS91" i="8" s="1"/>
  <c r="X100" i="8"/>
  <c r="AS100" i="8" s="1"/>
  <c r="X104" i="8"/>
  <c r="AS104" i="8" s="1"/>
  <c r="X113" i="8"/>
  <c r="AS113" i="8" s="1"/>
  <c r="X110" i="8"/>
  <c r="AS110" i="8" s="1"/>
  <c r="X112" i="8"/>
  <c r="AS112" i="8" s="1"/>
  <c r="X109" i="8"/>
  <c r="AS109" i="8" s="1"/>
  <c r="X119" i="8"/>
  <c r="AS119" i="8" s="1"/>
  <c r="S90" i="8"/>
  <c r="X93" i="8"/>
  <c r="AS93" i="8" s="1"/>
  <c r="O49" i="8"/>
  <c r="O45" i="8"/>
  <c r="X106" i="8"/>
  <c r="AS106" i="8" s="1"/>
  <c r="O47" i="8"/>
  <c r="X127" i="8"/>
  <c r="AS127" i="8" s="1"/>
  <c r="O53" i="8"/>
  <c r="O51" i="8"/>
  <c r="AN90" i="8"/>
  <c r="I51" i="8"/>
  <c r="AC104" i="8"/>
  <c r="AM104" i="8" s="1"/>
  <c r="AF104" i="8"/>
  <c r="AG104" i="8"/>
  <c r="AE104" i="8"/>
  <c r="AH104" i="8"/>
  <c r="AB104" i="8"/>
  <c r="AD104" i="8"/>
  <c r="AI104" i="8"/>
  <c r="AA105" i="8"/>
  <c r="E10" i="15"/>
  <c r="F10" i="15" s="1"/>
  <c r="I14" i="15"/>
  <c r="I23" i="14"/>
  <c r="I25" i="15"/>
  <c r="I39" i="15"/>
  <c r="I45" i="14"/>
  <c r="I10" i="15"/>
  <c r="I15" i="14"/>
  <c r="I24" i="15"/>
  <c r="I30" i="14"/>
  <c r="I32" i="15"/>
  <c r="I49" i="14"/>
  <c r="I11" i="14"/>
  <c r="I12" i="15"/>
  <c r="I21" i="14"/>
  <c r="I27" i="15"/>
  <c r="I41" i="15"/>
  <c r="I29" i="14"/>
  <c r="R12" i="13"/>
  <c r="E14" i="14"/>
  <c r="I15" i="15"/>
  <c r="I20" i="14"/>
  <c r="I34" i="14"/>
  <c r="I38" i="15"/>
  <c r="I44" i="14"/>
  <c r="E11" i="14"/>
  <c r="I12" i="14"/>
  <c r="I27" i="14"/>
  <c r="I29" i="15"/>
  <c r="I35" i="14"/>
  <c r="I48" i="15"/>
  <c r="M33" i="9"/>
  <c r="I13" i="15"/>
  <c r="I18" i="14"/>
  <c r="I32" i="14"/>
  <c r="I36" i="15"/>
  <c r="I46" i="14"/>
  <c r="M35" i="9"/>
  <c r="E12" i="15"/>
  <c r="I25" i="14"/>
  <c r="I30" i="15"/>
  <c r="I33" i="14"/>
  <c r="I46" i="15"/>
  <c r="M32" i="9"/>
  <c r="I13" i="14"/>
  <c r="I18" i="15"/>
  <c r="I24" i="14"/>
  <c r="I38" i="14"/>
  <c r="I42" i="15"/>
  <c r="I48" i="14"/>
  <c r="R16" i="13"/>
  <c r="R17" i="13" s="1"/>
  <c r="R18" i="13" s="1"/>
  <c r="R19" i="13" s="1"/>
  <c r="I34" i="15"/>
  <c r="M31" i="9"/>
  <c r="I16" i="14"/>
  <c r="I17" i="15"/>
  <c r="I31" i="15"/>
  <c r="I39" i="14"/>
  <c r="I45" i="15"/>
  <c r="R14" i="13"/>
  <c r="I16" i="15"/>
  <c r="I22" i="14"/>
  <c r="I36" i="14"/>
  <c r="I40" i="15"/>
  <c r="I50" i="14"/>
  <c r="R15" i="13"/>
  <c r="I14" i="14"/>
  <c r="I19" i="15"/>
  <c r="I33" i="15"/>
  <c r="I37" i="14"/>
  <c r="I43" i="15"/>
  <c r="M34" i="9"/>
  <c r="E13" i="14"/>
  <c r="I22" i="15"/>
  <c r="I28" i="14"/>
  <c r="I42" i="14"/>
  <c r="I44" i="15"/>
  <c r="I11" i="15"/>
  <c r="I31" i="14"/>
  <c r="I47" i="14"/>
  <c r="E11" i="15"/>
  <c r="I19" i="14"/>
  <c r="I21" i="15"/>
  <c r="I35" i="15"/>
  <c r="I43" i="14"/>
  <c r="I49" i="15"/>
  <c r="E12" i="14"/>
  <c r="I20" i="15"/>
  <c r="I26" i="14"/>
  <c r="I40" i="14"/>
  <c r="I28" i="15"/>
  <c r="R13" i="13"/>
  <c r="E13" i="15"/>
  <c r="I17" i="14"/>
  <c r="I23" i="15"/>
  <c r="I37" i="15"/>
  <c r="I41" i="14"/>
  <c r="I47" i="15"/>
  <c r="I26" i="15"/>
  <c r="R20" i="13"/>
  <c r="R21" i="13" s="1"/>
  <c r="R22" i="13" s="1"/>
  <c r="R23" i="13" s="1"/>
  <c r="R24" i="13" s="1"/>
  <c r="R25" i="13" s="1"/>
  <c r="R26" i="13" s="1"/>
  <c r="R27" i="13" s="1"/>
  <c r="R28" i="13" s="1"/>
  <c r="R29" i="13" s="1"/>
  <c r="R30" i="13" s="1"/>
  <c r="F118" i="8"/>
  <c r="F92" i="8"/>
  <c r="X123" i="8"/>
  <c r="AS123" i="8" s="1"/>
  <c r="J43" i="8"/>
  <c r="P43" i="8"/>
  <c r="I45" i="8"/>
  <c r="E50" i="8"/>
  <c r="G49" i="8"/>
  <c r="F91" i="8"/>
  <c r="L42" i="8"/>
  <c r="R42" i="8"/>
  <c r="D98" i="8" s="1"/>
  <c r="I47" i="8"/>
  <c r="I21" i="10"/>
  <c r="K21" i="10" s="1"/>
  <c r="F100" i="8"/>
  <c r="F102" i="8"/>
  <c r="X99" i="8"/>
  <c r="AS99" i="8" s="1"/>
  <c r="G53" i="8"/>
  <c r="E54" i="8"/>
  <c r="G45" i="8"/>
  <c r="E46" i="8"/>
  <c r="D20" i="9"/>
  <c r="X122" i="8"/>
  <c r="AS122" i="8" s="1"/>
  <c r="I49" i="8"/>
  <c r="F124" i="8"/>
  <c r="E48" i="8"/>
  <c r="G47" i="8"/>
  <c r="E52" i="8"/>
  <c r="G51" i="8"/>
  <c r="F121" i="8"/>
  <c r="U44" i="8"/>
  <c r="F105" i="8"/>
  <c r="F126" i="8"/>
  <c r="F119" i="8"/>
  <c r="F104" i="8"/>
  <c r="F128" i="8"/>
  <c r="F117" i="8"/>
  <c r="F114" i="8"/>
  <c r="F120" i="8"/>
  <c r="F93" i="8"/>
  <c r="F107" i="8"/>
  <c r="F113" i="8"/>
  <c r="F103" i="8"/>
  <c r="F122" i="8"/>
  <c r="F106" i="8"/>
  <c r="F123" i="8"/>
  <c r="F108" i="8"/>
  <c r="F115" i="8"/>
  <c r="F111" i="8"/>
  <c r="F109" i="8"/>
  <c r="F96" i="8"/>
  <c r="F129" i="8"/>
  <c r="F130" i="8"/>
  <c r="F125" i="8"/>
  <c r="N41" i="8"/>
  <c r="C129" i="8" s="1"/>
  <c r="T41" i="8"/>
  <c r="C100" i="8" s="1"/>
  <c r="I53" i="8"/>
  <c r="U43" i="9"/>
  <c r="V43" i="9"/>
  <c r="Z43" i="9" s="1"/>
  <c r="I23" i="10" s="1"/>
  <c r="K23" i="10" s="1"/>
  <c r="I31" i="11"/>
  <c r="T43" i="9"/>
  <c r="S44" i="9"/>
  <c r="F112" i="8"/>
  <c r="F127" i="8"/>
  <c r="V44" i="8" l="1"/>
  <c r="F101" i="8"/>
  <c r="H52" i="8"/>
  <c r="F52" i="8"/>
  <c r="G52" i="8" s="1"/>
  <c r="J45" i="8"/>
  <c r="P45" i="8"/>
  <c r="AC15" i="13"/>
  <c r="AD15" i="13"/>
  <c r="AB15" i="13"/>
  <c r="AE15" i="13"/>
  <c r="D19" i="11"/>
  <c r="H31" i="9"/>
  <c r="K31" i="9"/>
  <c r="F19" i="11" s="1"/>
  <c r="N31" i="9"/>
  <c r="J11" i="14"/>
  <c r="I6" i="14"/>
  <c r="C111" i="8"/>
  <c r="C116" i="8"/>
  <c r="U41" i="8"/>
  <c r="V41" i="8" s="1"/>
  <c r="C112" i="8"/>
  <c r="C125" i="8"/>
  <c r="C124" i="8"/>
  <c r="C118" i="8"/>
  <c r="C122" i="8"/>
  <c r="C114" i="8"/>
  <c r="C91" i="8"/>
  <c r="C110" i="8"/>
  <c r="C96" i="8"/>
  <c r="C92" i="8"/>
  <c r="C128" i="8"/>
  <c r="C93" i="8"/>
  <c r="C127" i="8"/>
  <c r="C94" i="8"/>
  <c r="C107" i="8"/>
  <c r="C108" i="8"/>
  <c r="C106" i="8"/>
  <c r="C117" i="8"/>
  <c r="C115" i="8"/>
  <c r="C95" i="8"/>
  <c r="C130" i="8"/>
  <c r="C123" i="8"/>
  <c r="C113" i="8"/>
  <c r="C105" i="8"/>
  <c r="H54" i="8"/>
  <c r="F54" i="8"/>
  <c r="G54" i="8" s="1"/>
  <c r="K32" i="9"/>
  <c r="F20" i="11" s="1"/>
  <c r="H32" i="9"/>
  <c r="D20" i="11"/>
  <c r="N32" i="9"/>
  <c r="H33" i="9"/>
  <c r="K33" i="9"/>
  <c r="F21" i="11" s="1"/>
  <c r="D21" i="11"/>
  <c r="N33" i="9"/>
  <c r="C119" i="8"/>
  <c r="C126" i="8"/>
  <c r="T44" i="9"/>
  <c r="I32" i="11"/>
  <c r="V44" i="9"/>
  <c r="Z44" i="9" s="1"/>
  <c r="I24" i="10" s="1"/>
  <c r="K24" i="10" s="1"/>
  <c r="U44" i="9"/>
  <c r="S45" i="9"/>
  <c r="F48" i="8"/>
  <c r="G48" i="8" s="1"/>
  <c r="H48" i="8"/>
  <c r="C31" i="9"/>
  <c r="C32" i="9"/>
  <c r="C34" i="9"/>
  <c r="C33" i="9"/>
  <c r="H50" i="8"/>
  <c r="F50" i="8"/>
  <c r="G50" i="8" s="1"/>
  <c r="K43" i="8"/>
  <c r="Q43" i="8"/>
  <c r="E97" i="8" s="1"/>
  <c r="AB13" i="13"/>
  <c r="AC13" i="13"/>
  <c r="AE13" i="13"/>
  <c r="AD13" i="13"/>
  <c r="D22" i="11"/>
  <c r="K34" i="9"/>
  <c r="F22" i="11" s="1"/>
  <c r="N34" i="9"/>
  <c r="H34" i="9"/>
  <c r="AD14" i="13"/>
  <c r="AC14" i="13"/>
  <c r="AE14" i="13"/>
  <c r="AB14" i="13"/>
  <c r="AD12" i="13"/>
  <c r="AE12" i="13"/>
  <c r="AB12" i="13"/>
  <c r="AC12" i="13"/>
  <c r="I6" i="15"/>
  <c r="J10" i="15"/>
  <c r="C109" i="8"/>
  <c r="AC105" i="8"/>
  <c r="AM105" i="8" s="1"/>
  <c r="AH105" i="8"/>
  <c r="AE105" i="8"/>
  <c r="AB105" i="8"/>
  <c r="AG105" i="8"/>
  <c r="AD105" i="8"/>
  <c r="AI105" i="8"/>
  <c r="AF105" i="8"/>
  <c r="AA106" i="8"/>
  <c r="J53" i="8"/>
  <c r="P53" i="8"/>
  <c r="J49" i="8"/>
  <c r="P49" i="8"/>
  <c r="F46" i="8"/>
  <c r="H46" i="8"/>
  <c r="F14" i="5"/>
  <c r="J47" i="8"/>
  <c r="P47" i="8"/>
  <c r="M42" i="8"/>
  <c r="S42" i="8"/>
  <c r="D99" i="8" s="1"/>
  <c r="C120" i="8"/>
  <c r="D23" i="11"/>
  <c r="N35" i="9"/>
  <c r="F12" i="14"/>
  <c r="F11" i="14"/>
  <c r="C104" i="8"/>
  <c r="C121" i="8"/>
  <c r="J51" i="8"/>
  <c r="P51" i="8"/>
  <c r="R31" i="13"/>
  <c r="C101" i="8" l="1"/>
  <c r="C102" i="8"/>
  <c r="O52" i="8"/>
  <c r="O54" i="8"/>
  <c r="O46" i="8"/>
  <c r="O48" i="8"/>
  <c r="O50" i="8"/>
  <c r="AF14" i="13"/>
  <c r="K51" i="8"/>
  <c r="Q51" i="8"/>
  <c r="M97" i="8" s="1"/>
  <c r="C23" i="11"/>
  <c r="E23" i="11"/>
  <c r="I46" i="8"/>
  <c r="AI106" i="8"/>
  <c r="AB106" i="8"/>
  <c r="AC106" i="8"/>
  <c r="AM106" i="8" s="1"/>
  <c r="AG106" i="8"/>
  <c r="AF106" i="8"/>
  <c r="AE106" i="8"/>
  <c r="AH106" i="8"/>
  <c r="AD106" i="8"/>
  <c r="AA107" i="8"/>
  <c r="C21" i="11"/>
  <c r="E21" i="11"/>
  <c r="E20" i="11"/>
  <c r="C20" i="11"/>
  <c r="E19" i="11"/>
  <c r="C19" i="11"/>
  <c r="C103" i="8"/>
  <c r="I52" i="8"/>
  <c r="N42" i="8"/>
  <c r="D128" i="8" s="1"/>
  <c r="T42" i="8"/>
  <c r="G46" i="8"/>
  <c r="G55" i="8" s="1"/>
  <c r="B58" i="8" s="1"/>
  <c r="B9" i="9" s="1"/>
  <c r="B59" i="8"/>
  <c r="B7" i="9" s="1"/>
  <c r="K53" i="8"/>
  <c r="Q53" i="8"/>
  <c r="O97" i="8" s="1"/>
  <c r="AF13" i="13"/>
  <c r="L43" i="8"/>
  <c r="R43" i="8"/>
  <c r="E98" i="8" s="1"/>
  <c r="I33" i="11"/>
  <c r="U45" i="9"/>
  <c r="T45" i="9"/>
  <c r="V45" i="9"/>
  <c r="Z45" i="9" s="1"/>
  <c r="I25" i="10" s="1"/>
  <c r="K25" i="10" s="1"/>
  <c r="S46" i="9"/>
  <c r="AF15" i="13"/>
  <c r="I50" i="8"/>
  <c r="K45" i="8"/>
  <c r="Q45" i="8"/>
  <c r="K47" i="8"/>
  <c r="Q47" i="8"/>
  <c r="K49" i="8"/>
  <c r="Q49" i="8"/>
  <c r="AF12" i="13"/>
  <c r="E22" i="11"/>
  <c r="C22" i="11"/>
  <c r="I48" i="8"/>
  <c r="I54" i="8"/>
  <c r="R32" i="13"/>
  <c r="C90" i="8" l="1"/>
  <c r="D129" i="8"/>
  <c r="D115" i="8"/>
  <c r="D95" i="8"/>
  <c r="C21" i="9"/>
  <c r="J54" i="8"/>
  <c r="P54" i="8"/>
  <c r="L49" i="8"/>
  <c r="R49" i="8"/>
  <c r="K97" i="8" s="1"/>
  <c r="J50" i="8"/>
  <c r="P50" i="8"/>
  <c r="D96" i="8"/>
  <c r="J48" i="8"/>
  <c r="P48" i="8"/>
  <c r="L47" i="8"/>
  <c r="R47" i="8"/>
  <c r="I97" i="8" s="1"/>
  <c r="M43" i="8"/>
  <c r="S43" i="8"/>
  <c r="L53" i="8"/>
  <c r="R53" i="8"/>
  <c r="O98" i="8" s="1"/>
  <c r="J46" i="8"/>
  <c r="P46" i="8"/>
  <c r="I34" i="11"/>
  <c r="U46" i="9"/>
  <c r="T46" i="9"/>
  <c r="V46" i="9"/>
  <c r="Z46" i="9" s="1"/>
  <c r="I26" i="10" s="1"/>
  <c r="K26" i="10" s="1"/>
  <c r="S47" i="9"/>
  <c r="B14" i="9"/>
  <c r="B8" i="9" s="1"/>
  <c r="D100" i="8"/>
  <c r="AF107" i="8"/>
  <c r="AD107" i="8"/>
  <c r="AG107" i="8"/>
  <c r="AH107" i="8"/>
  <c r="AI107" i="8"/>
  <c r="AE107" i="8"/>
  <c r="AB107" i="8"/>
  <c r="AC107" i="8"/>
  <c r="AM107" i="8" s="1"/>
  <c r="AA108" i="8"/>
  <c r="L45" i="8"/>
  <c r="R45" i="8"/>
  <c r="G97" i="8" s="1"/>
  <c r="D126" i="8"/>
  <c r="U42" i="8"/>
  <c r="V42" i="8" s="1"/>
  <c r="D108" i="8"/>
  <c r="D116" i="8"/>
  <c r="D113" i="8"/>
  <c r="D94" i="8"/>
  <c r="D92" i="8"/>
  <c r="D106" i="8"/>
  <c r="D91" i="8"/>
  <c r="D112" i="8"/>
  <c r="D119" i="8"/>
  <c r="D123" i="8"/>
  <c r="D104" i="8"/>
  <c r="D109" i="8"/>
  <c r="D121" i="8"/>
  <c r="D114" i="8"/>
  <c r="D120" i="8"/>
  <c r="D117" i="8"/>
  <c r="D118" i="8"/>
  <c r="D105" i="8"/>
  <c r="D122" i="8"/>
  <c r="D93" i="8"/>
  <c r="D130" i="8"/>
  <c r="D127" i="8"/>
  <c r="D111" i="8"/>
  <c r="D110" i="8"/>
  <c r="J52" i="8"/>
  <c r="P52" i="8"/>
  <c r="L51" i="8"/>
  <c r="R51" i="8"/>
  <c r="M98" i="8" s="1"/>
  <c r="R33" i="13"/>
  <c r="D101" i="8" l="1"/>
  <c r="D102" i="8"/>
  <c r="M51" i="8"/>
  <c r="S51" i="8"/>
  <c r="M99" i="8" s="1"/>
  <c r="K52" i="8"/>
  <c r="Q52" i="8"/>
  <c r="N97" i="8" s="1"/>
  <c r="B11" i="9"/>
  <c r="M53" i="8"/>
  <c r="S53" i="8"/>
  <c r="O99" i="8" s="1"/>
  <c r="K48" i="8"/>
  <c r="Q48" i="8"/>
  <c r="M45" i="8"/>
  <c r="S45" i="8"/>
  <c r="G98" i="8" s="1"/>
  <c r="U47" i="9"/>
  <c r="V47" i="9"/>
  <c r="Z47" i="9" s="1"/>
  <c r="I27" i="10" s="1"/>
  <c r="K27" i="10" s="1"/>
  <c r="I35" i="11"/>
  <c r="T47" i="9"/>
  <c r="S48" i="9"/>
  <c r="K46" i="8"/>
  <c r="Q46" i="8"/>
  <c r="E99" i="8"/>
  <c r="M49" i="8"/>
  <c r="S49" i="8"/>
  <c r="D103" i="8"/>
  <c r="AH108" i="8"/>
  <c r="AF108" i="8"/>
  <c r="AE108" i="8"/>
  <c r="AI108" i="8"/>
  <c r="AC108" i="8"/>
  <c r="AM108" i="8" s="1"/>
  <c r="AD108" i="8"/>
  <c r="AB108" i="8"/>
  <c r="AG108" i="8"/>
  <c r="AA109" i="8"/>
  <c r="B21" i="9"/>
  <c r="N43" i="8"/>
  <c r="E95" i="8" s="1"/>
  <c r="T43" i="8"/>
  <c r="M47" i="8"/>
  <c r="S47" i="8"/>
  <c r="I98" i="8" s="1"/>
  <c r="K50" i="8"/>
  <c r="Q50" i="8"/>
  <c r="K54" i="8"/>
  <c r="Q54" i="8"/>
  <c r="P97" i="8" s="1"/>
  <c r="R34" i="13"/>
  <c r="E96" i="8" l="1"/>
  <c r="E115" i="8"/>
  <c r="B13" i="9"/>
  <c r="B15" i="9" s="1"/>
  <c r="L52" i="8"/>
  <c r="R52" i="8"/>
  <c r="N98" i="8" s="1"/>
  <c r="AF109" i="8"/>
  <c r="AB109" i="8"/>
  <c r="AC109" i="8"/>
  <c r="AM109" i="8" s="1"/>
  <c r="AG109" i="8"/>
  <c r="AD109" i="8"/>
  <c r="AI109" i="8"/>
  <c r="AH109" i="8"/>
  <c r="AE109" i="8"/>
  <c r="AA110" i="8"/>
  <c r="K98" i="8"/>
  <c r="B22" i="9"/>
  <c r="D22" i="9" s="1"/>
  <c r="D21" i="9"/>
  <c r="N49" i="8"/>
  <c r="K104" i="8" s="1"/>
  <c r="T49" i="8"/>
  <c r="K99" i="8" s="1"/>
  <c r="L48" i="8"/>
  <c r="R48" i="8"/>
  <c r="J97" i="8" s="1"/>
  <c r="N53" i="8"/>
  <c r="O104" i="8" s="1"/>
  <c r="T53" i="8"/>
  <c r="L50" i="8"/>
  <c r="R50" i="8"/>
  <c r="L97" i="8" s="1"/>
  <c r="E100" i="8"/>
  <c r="V48" i="9"/>
  <c r="Z48" i="9" s="1"/>
  <c r="I28" i="10" s="1"/>
  <c r="K28" i="10" s="1"/>
  <c r="U48" i="9"/>
  <c r="T48" i="9"/>
  <c r="I36" i="11"/>
  <c r="S49" i="9"/>
  <c r="L54" i="8"/>
  <c r="R54" i="8"/>
  <c r="P98" i="8" s="1"/>
  <c r="N47" i="8"/>
  <c r="I93" i="8" s="1"/>
  <c r="T47" i="8"/>
  <c r="E107" i="8"/>
  <c r="U43" i="8"/>
  <c r="E103" i="8" s="1"/>
  <c r="E121" i="8"/>
  <c r="E93" i="8"/>
  <c r="E130" i="8"/>
  <c r="E108" i="8"/>
  <c r="E111" i="8"/>
  <c r="E109" i="8"/>
  <c r="E92" i="8"/>
  <c r="E122" i="8"/>
  <c r="E119" i="8"/>
  <c r="E123" i="8"/>
  <c r="E94" i="8"/>
  <c r="E120" i="8"/>
  <c r="E113" i="8"/>
  <c r="E104" i="8"/>
  <c r="E126" i="8"/>
  <c r="E117" i="8"/>
  <c r="E129" i="8"/>
  <c r="E91" i="8"/>
  <c r="E118" i="8"/>
  <c r="E106" i="8"/>
  <c r="E114" i="8"/>
  <c r="E110" i="8"/>
  <c r="E105" i="8"/>
  <c r="E127" i="8"/>
  <c r="E116" i="8"/>
  <c r="E125" i="8"/>
  <c r="L46" i="8"/>
  <c r="R46" i="8"/>
  <c r="H97" i="8" s="1"/>
  <c r="N45" i="8"/>
  <c r="G108" i="8" s="1"/>
  <c r="T45" i="8"/>
  <c r="N51" i="8"/>
  <c r="M95" i="8" s="1"/>
  <c r="T51" i="8"/>
  <c r="R35" i="13"/>
  <c r="C36" i="9" l="1"/>
  <c r="C35" i="9"/>
  <c r="E101" i="8"/>
  <c r="K95" i="8"/>
  <c r="K96" i="8"/>
  <c r="O96" i="8"/>
  <c r="G96" i="8"/>
  <c r="G95" i="8"/>
  <c r="K118" i="8"/>
  <c r="O116" i="8"/>
  <c r="K126" i="8"/>
  <c r="K125" i="8"/>
  <c r="K120" i="8"/>
  <c r="K111" i="8"/>
  <c r="K105" i="8"/>
  <c r="K117" i="8"/>
  <c r="K107" i="8"/>
  <c r="K113" i="8"/>
  <c r="K128" i="8"/>
  <c r="K106" i="8"/>
  <c r="O125" i="8"/>
  <c r="K119" i="8"/>
  <c r="K109" i="8"/>
  <c r="K108" i="8"/>
  <c r="K112" i="8"/>
  <c r="K94" i="8"/>
  <c r="K123" i="8"/>
  <c r="K124" i="8"/>
  <c r="K129" i="8"/>
  <c r="K102" i="8"/>
  <c r="G126" i="8"/>
  <c r="Q97" i="8"/>
  <c r="AL97" i="8" s="1"/>
  <c r="G127" i="8"/>
  <c r="I121" i="8"/>
  <c r="E102" i="8"/>
  <c r="I112" i="8"/>
  <c r="I130" i="8"/>
  <c r="I95" i="8"/>
  <c r="I107" i="8"/>
  <c r="M116" i="8"/>
  <c r="U51" i="8"/>
  <c r="M101" i="8" s="1"/>
  <c r="M130" i="8"/>
  <c r="M117" i="8"/>
  <c r="M110" i="8"/>
  <c r="M126" i="8"/>
  <c r="M111" i="8"/>
  <c r="M122" i="8"/>
  <c r="M113" i="8"/>
  <c r="M129" i="8"/>
  <c r="M128" i="8"/>
  <c r="M120" i="8"/>
  <c r="M92" i="8"/>
  <c r="M112" i="8"/>
  <c r="M121" i="8"/>
  <c r="M107" i="8"/>
  <c r="M106" i="8"/>
  <c r="M105" i="8"/>
  <c r="M94" i="8"/>
  <c r="M119" i="8"/>
  <c r="M127" i="8"/>
  <c r="M93" i="8"/>
  <c r="M104" i="8"/>
  <c r="M96" i="8"/>
  <c r="M118" i="8"/>
  <c r="M125" i="8"/>
  <c r="M91" i="8"/>
  <c r="M123" i="8"/>
  <c r="M108" i="8"/>
  <c r="M114" i="8"/>
  <c r="M109" i="8"/>
  <c r="G99" i="8"/>
  <c r="G102" i="8"/>
  <c r="I99" i="8"/>
  <c r="I102" i="8"/>
  <c r="V43" i="8"/>
  <c r="M50" i="8"/>
  <c r="S50" i="8"/>
  <c r="L98" i="8" s="1"/>
  <c r="C51" i="9"/>
  <c r="C46" i="9"/>
  <c r="C68" i="9"/>
  <c r="C41" i="9"/>
  <c r="C38" i="9"/>
  <c r="C40" i="9"/>
  <c r="C59" i="9"/>
  <c r="C64" i="9"/>
  <c r="C49" i="9"/>
  <c r="C45" i="9"/>
  <c r="C42" i="9"/>
  <c r="C60" i="9"/>
  <c r="C65" i="9"/>
  <c r="C63" i="9"/>
  <c r="C47" i="9"/>
  <c r="C53" i="9"/>
  <c r="C67" i="9"/>
  <c r="C66" i="9"/>
  <c r="C61" i="9"/>
  <c r="C52" i="9"/>
  <c r="C54" i="9"/>
  <c r="C69" i="9"/>
  <c r="C39" i="9"/>
  <c r="C56" i="9"/>
  <c r="C43" i="9"/>
  <c r="C55" i="9"/>
  <c r="C70" i="9"/>
  <c r="C57" i="9"/>
  <c r="C44" i="9"/>
  <c r="C48" i="9"/>
  <c r="C37" i="9"/>
  <c r="C50" i="9"/>
  <c r="C58" i="9"/>
  <c r="C62" i="9"/>
  <c r="D63" i="9"/>
  <c r="D65" i="9"/>
  <c r="D62" i="9"/>
  <c r="D70" i="9"/>
  <c r="D61" i="9"/>
  <c r="D53" i="9"/>
  <c r="D60" i="9"/>
  <c r="D69" i="9"/>
  <c r="D64" i="9"/>
  <c r="D59" i="9"/>
  <c r="D35" i="9"/>
  <c r="D46" i="9"/>
  <c r="D34" i="9"/>
  <c r="D45" i="9"/>
  <c r="D38" i="9"/>
  <c r="D43" i="9"/>
  <c r="D33" i="9"/>
  <c r="D67" i="9"/>
  <c r="D52" i="9"/>
  <c r="D37" i="9"/>
  <c r="D66" i="9"/>
  <c r="D58" i="9"/>
  <c r="D50" i="9"/>
  <c r="D57" i="9"/>
  <c r="D68" i="9"/>
  <c r="D44" i="9"/>
  <c r="D47" i="9"/>
  <c r="D31" i="9"/>
  <c r="D49" i="9"/>
  <c r="D32" i="9"/>
  <c r="D39" i="9"/>
  <c r="D40" i="9"/>
  <c r="D56" i="9"/>
  <c r="D51" i="9"/>
  <c r="D42" i="9"/>
  <c r="D54" i="9"/>
  <c r="D41" i="9"/>
  <c r="D48" i="9"/>
  <c r="D55" i="9"/>
  <c r="D36" i="9"/>
  <c r="AB110" i="8"/>
  <c r="AG110" i="8"/>
  <c r="AF110" i="8"/>
  <c r="AC110" i="8"/>
  <c r="AM110" i="8" s="1"/>
  <c r="AE110" i="8"/>
  <c r="AD110" i="8"/>
  <c r="AH110" i="8"/>
  <c r="AI110" i="8"/>
  <c r="AA111" i="8"/>
  <c r="B16" i="9"/>
  <c r="G123" i="8"/>
  <c r="U45" i="8"/>
  <c r="G100" i="8" s="1"/>
  <c r="G113" i="8"/>
  <c r="G91" i="8"/>
  <c r="G107" i="8"/>
  <c r="G117" i="8"/>
  <c r="G110" i="8"/>
  <c r="G129" i="8"/>
  <c r="G93" i="8"/>
  <c r="G109" i="8"/>
  <c r="G124" i="8"/>
  <c r="G94" i="8"/>
  <c r="G128" i="8"/>
  <c r="G114" i="8"/>
  <c r="G120" i="8"/>
  <c r="G118" i="8"/>
  <c r="G111" i="8"/>
  <c r="G106" i="8"/>
  <c r="G115" i="8"/>
  <c r="G92" i="8"/>
  <c r="I125" i="8"/>
  <c r="U47" i="8"/>
  <c r="I100" i="8" s="1"/>
  <c r="I108" i="8"/>
  <c r="I116" i="8"/>
  <c r="I105" i="8"/>
  <c r="I106" i="8"/>
  <c r="I127" i="8"/>
  <c r="I114" i="8"/>
  <c r="I126" i="8"/>
  <c r="I113" i="8"/>
  <c r="I109" i="8"/>
  <c r="I128" i="8"/>
  <c r="I118" i="8"/>
  <c r="I129" i="8"/>
  <c r="I122" i="8"/>
  <c r="I124" i="8"/>
  <c r="I104" i="8"/>
  <c r="I120" i="8"/>
  <c r="M54" i="8"/>
  <c r="S54" i="8"/>
  <c r="P99" i="8" s="1"/>
  <c r="M48" i="8"/>
  <c r="S48" i="8"/>
  <c r="E33" i="9"/>
  <c r="E35" i="9"/>
  <c r="E31" i="9"/>
  <c r="F31" i="9" s="1"/>
  <c r="E32" i="9"/>
  <c r="E36" i="9"/>
  <c r="E34" i="9"/>
  <c r="E38" i="9"/>
  <c r="E37" i="9"/>
  <c r="I110" i="8"/>
  <c r="U49" i="9"/>
  <c r="T49" i="9"/>
  <c r="I37" i="11"/>
  <c r="V49" i="9"/>
  <c r="Z49" i="9" s="1"/>
  <c r="I29" i="10" s="1"/>
  <c r="K29" i="10" s="1"/>
  <c r="S50" i="9"/>
  <c r="O100" i="8"/>
  <c r="I96" i="8"/>
  <c r="K121" i="8"/>
  <c r="U49" i="8"/>
  <c r="K100" i="8" s="1"/>
  <c r="K127" i="8"/>
  <c r="K91" i="8"/>
  <c r="K122" i="8"/>
  <c r="K114" i="8"/>
  <c r="I115" i="8"/>
  <c r="M100" i="8"/>
  <c r="M46" i="8"/>
  <c r="S46" i="8"/>
  <c r="H98" i="8" s="1"/>
  <c r="M124" i="8"/>
  <c r="O110" i="8"/>
  <c r="U53" i="8"/>
  <c r="O101" i="8" s="1"/>
  <c r="O127" i="8"/>
  <c r="O119" i="8"/>
  <c r="O120" i="8"/>
  <c r="O121" i="8"/>
  <c r="O114" i="8"/>
  <c r="O105" i="8"/>
  <c r="O94" i="8"/>
  <c r="O93" i="8"/>
  <c r="O124" i="8"/>
  <c r="O108" i="8"/>
  <c r="O106" i="8"/>
  <c r="O128" i="8"/>
  <c r="O126" i="8"/>
  <c r="O113" i="8"/>
  <c r="O91" i="8"/>
  <c r="O107" i="8"/>
  <c r="O122" i="8"/>
  <c r="O118" i="8"/>
  <c r="O109" i="8"/>
  <c r="O111" i="8"/>
  <c r="O115" i="8"/>
  <c r="O123" i="8"/>
  <c r="O112" i="8"/>
  <c r="O129" i="8"/>
  <c r="O92" i="8"/>
  <c r="O117" i="8"/>
  <c r="G121" i="8"/>
  <c r="K115" i="8"/>
  <c r="I92" i="8"/>
  <c r="M52" i="8"/>
  <c r="S52" i="8"/>
  <c r="N99" i="8" s="1"/>
  <c r="R36" i="13"/>
  <c r="M36" i="9" l="1"/>
  <c r="N36" i="9" s="1"/>
  <c r="F38" i="9"/>
  <c r="G38" i="9" s="1"/>
  <c r="E39" i="9"/>
  <c r="E40" i="9" s="1"/>
  <c r="F40" i="9" s="1"/>
  <c r="G40" i="9" s="1"/>
  <c r="J40" i="9" s="1"/>
  <c r="P40" i="9" s="1"/>
  <c r="Q40" i="9" s="1"/>
  <c r="Y40" i="9" s="1"/>
  <c r="E20" i="10" s="1"/>
  <c r="H20" i="10" s="1"/>
  <c r="O103" i="8"/>
  <c r="M103" i="8"/>
  <c r="M102" i="8"/>
  <c r="F37" i="9"/>
  <c r="G37" i="9" s="1"/>
  <c r="J37" i="9" s="1"/>
  <c r="P37" i="9" s="1"/>
  <c r="Q37" i="9" s="1"/>
  <c r="Y37" i="9" s="1"/>
  <c r="E17" i="10" s="1"/>
  <c r="H17" i="10" s="1"/>
  <c r="F34" i="9"/>
  <c r="G34" i="9" s="1"/>
  <c r="B22" i="11" s="1"/>
  <c r="G22" i="11" s="1"/>
  <c r="O102" i="8"/>
  <c r="I101" i="8"/>
  <c r="F35" i="9"/>
  <c r="G35" i="9" s="1"/>
  <c r="H35" i="9" s="1"/>
  <c r="M37" i="9"/>
  <c r="G101" i="8"/>
  <c r="M38" i="9"/>
  <c r="H38" i="9" s="1"/>
  <c r="K101" i="8"/>
  <c r="F32" i="9"/>
  <c r="G32" i="9" s="1"/>
  <c r="F33" i="9"/>
  <c r="G33" i="9" s="1"/>
  <c r="B21" i="11" s="1"/>
  <c r="G21" i="11" s="1"/>
  <c r="I103" i="8"/>
  <c r="N52" i="8"/>
  <c r="N119" i="8" s="1"/>
  <c r="T52" i="8"/>
  <c r="I38" i="11"/>
  <c r="U50" i="9"/>
  <c r="T50" i="9"/>
  <c r="V50" i="9"/>
  <c r="Z50" i="9" s="1"/>
  <c r="I30" i="10" s="1"/>
  <c r="K30" i="10" s="1"/>
  <c r="S51" i="9"/>
  <c r="F36" i="9"/>
  <c r="G36" i="9" s="1"/>
  <c r="F39" i="9"/>
  <c r="G39" i="9" s="1"/>
  <c r="J98" i="8"/>
  <c r="Q98" i="8" s="1"/>
  <c r="C29" i="9"/>
  <c r="N46" i="8"/>
  <c r="H116" i="8" s="1"/>
  <c r="T46" i="8"/>
  <c r="N48" i="8"/>
  <c r="T48" i="8"/>
  <c r="N54" i="8"/>
  <c r="P109" i="8" s="1"/>
  <c r="T54" i="8"/>
  <c r="D29" i="9"/>
  <c r="G31" i="9"/>
  <c r="J38" i="9"/>
  <c r="AG111" i="8"/>
  <c r="AH111" i="8"/>
  <c r="AI111" i="8"/>
  <c r="AC111" i="8"/>
  <c r="AM111" i="8" s="1"/>
  <c r="AD111" i="8"/>
  <c r="AE111" i="8"/>
  <c r="AF111" i="8"/>
  <c r="AB111" i="8"/>
  <c r="AA112" i="8"/>
  <c r="N50" i="8"/>
  <c r="L121" i="8" s="1"/>
  <c r="T50" i="8"/>
  <c r="R37" i="13"/>
  <c r="D24" i="11" l="1"/>
  <c r="J33" i="9"/>
  <c r="P33" i="9" s="1"/>
  <c r="Q33" i="9" s="1"/>
  <c r="Y33" i="9" s="1"/>
  <c r="E13" i="10" s="1"/>
  <c r="H13" i="10" s="1"/>
  <c r="H36" i="9"/>
  <c r="M39" i="9"/>
  <c r="N39" i="9" s="1"/>
  <c r="M40" i="9"/>
  <c r="N40" i="9" s="1"/>
  <c r="K38" i="9"/>
  <c r="F26" i="11" s="1"/>
  <c r="E41" i="9"/>
  <c r="M41" i="9" s="1"/>
  <c r="N41" i="9" s="1"/>
  <c r="E29" i="11" s="1"/>
  <c r="B23" i="11"/>
  <c r="J35" i="9"/>
  <c r="K35" i="9" s="1"/>
  <c r="F23" i="11" s="1"/>
  <c r="D26" i="11"/>
  <c r="N38" i="9"/>
  <c r="C26" i="11" s="1"/>
  <c r="L115" i="8"/>
  <c r="H119" i="8"/>
  <c r="H37" i="9"/>
  <c r="N114" i="8"/>
  <c r="J34" i="9"/>
  <c r="P34" i="9" s="1"/>
  <c r="Q34" i="9" s="1"/>
  <c r="Y34" i="9" s="1"/>
  <c r="E14" i="10" s="1"/>
  <c r="H14" i="10" s="1"/>
  <c r="N109" i="8"/>
  <c r="N106" i="8"/>
  <c r="N128" i="8"/>
  <c r="N94" i="8"/>
  <c r="N127" i="8"/>
  <c r="N107" i="8"/>
  <c r="P116" i="8"/>
  <c r="N108" i="8"/>
  <c r="N120" i="8"/>
  <c r="N123" i="8"/>
  <c r="N95" i="8"/>
  <c r="N125" i="8"/>
  <c r="N113" i="8"/>
  <c r="P108" i="8"/>
  <c r="P123" i="8"/>
  <c r="P91" i="8"/>
  <c r="P125" i="8"/>
  <c r="H93" i="8"/>
  <c r="N37" i="9"/>
  <c r="D25" i="11"/>
  <c r="P113" i="8"/>
  <c r="P126" i="8"/>
  <c r="P130" i="8"/>
  <c r="P95" i="8"/>
  <c r="P112" i="8"/>
  <c r="P110" i="8"/>
  <c r="L107" i="8"/>
  <c r="P38" i="9"/>
  <c r="Q38" i="9" s="1"/>
  <c r="Y38" i="9" s="1"/>
  <c r="E18" i="10" s="1"/>
  <c r="H18" i="10" s="1"/>
  <c r="P104" i="8"/>
  <c r="Y98" i="8"/>
  <c r="AL98" i="8"/>
  <c r="AT98" i="8" s="1"/>
  <c r="C23" i="12" s="1"/>
  <c r="AD112" i="8"/>
  <c r="AC112" i="8"/>
  <c r="AM112" i="8" s="1"/>
  <c r="AH112" i="8"/>
  <c r="AE112" i="8"/>
  <c r="AI112" i="8"/>
  <c r="AB112" i="8"/>
  <c r="AG112" i="8"/>
  <c r="AF112" i="8"/>
  <c r="AA113" i="8"/>
  <c r="P100" i="8"/>
  <c r="H99" i="8"/>
  <c r="H102" i="8"/>
  <c r="J36" i="9"/>
  <c r="S22" i="11"/>
  <c r="E15" i="13" s="1"/>
  <c r="K22" i="11"/>
  <c r="D19" i="12" s="1"/>
  <c r="N100" i="8"/>
  <c r="L99" i="8"/>
  <c r="L102" i="8"/>
  <c r="J31" i="9"/>
  <c r="P31" i="9" s="1"/>
  <c r="Q31" i="9" s="1"/>
  <c r="Y31" i="9" s="1"/>
  <c r="E11" i="10" s="1"/>
  <c r="H11" i="10" s="1"/>
  <c r="B19" i="11"/>
  <c r="G19" i="11" s="1"/>
  <c r="F110" i="8"/>
  <c r="F95" i="8"/>
  <c r="F94" i="8"/>
  <c r="U54" i="8"/>
  <c r="P102" i="8" s="1"/>
  <c r="D125" i="8"/>
  <c r="D124" i="8"/>
  <c r="D107" i="8"/>
  <c r="E128" i="8"/>
  <c r="O95" i="8"/>
  <c r="K110" i="8"/>
  <c r="K92" i="8"/>
  <c r="E112" i="8"/>
  <c r="I117" i="8"/>
  <c r="I111" i="8"/>
  <c r="E124" i="8"/>
  <c r="K103" i="8"/>
  <c r="G105" i="8"/>
  <c r="K130" i="8"/>
  <c r="I91" i="8"/>
  <c r="K93" i="8"/>
  <c r="I119" i="8"/>
  <c r="O130" i="8"/>
  <c r="I94" i="8"/>
  <c r="G119" i="8"/>
  <c r="I123" i="8"/>
  <c r="K116" i="8"/>
  <c r="N110" i="8"/>
  <c r="H124" i="8"/>
  <c r="G104" i="8"/>
  <c r="G125" i="8"/>
  <c r="G122" i="8"/>
  <c r="P129" i="8"/>
  <c r="G103" i="8"/>
  <c r="P121" i="8"/>
  <c r="M115" i="8"/>
  <c r="M90" i="8" s="1"/>
  <c r="G112" i="8"/>
  <c r="G116" i="8"/>
  <c r="G130" i="8"/>
  <c r="P120" i="8"/>
  <c r="P94" i="8"/>
  <c r="H120" i="8"/>
  <c r="J125" i="8"/>
  <c r="H94" i="8"/>
  <c r="P107" i="8"/>
  <c r="P119" i="8"/>
  <c r="P92" i="8"/>
  <c r="P114" i="8"/>
  <c r="H130" i="8"/>
  <c r="H123" i="8"/>
  <c r="P122" i="8"/>
  <c r="H92" i="8"/>
  <c r="H104" i="8"/>
  <c r="P105" i="8"/>
  <c r="P106" i="8"/>
  <c r="P124" i="8"/>
  <c r="P117" i="8"/>
  <c r="P93" i="8"/>
  <c r="P96" i="8"/>
  <c r="P127" i="8"/>
  <c r="P111" i="8"/>
  <c r="L104" i="8"/>
  <c r="P115" i="8"/>
  <c r="P128" i="8"/>
  <c r="P118" i="8"/>
  <c r="S21" i="11"/>
  <c r="E14" i="13" s="1"/>
  <c r="K21" i="11"/>
  <c r="D18" i="12" s="1"/>
  <c r="H111" i="8"/>
  <c r="U46" i="8"/>
  <c r="H100" i="8" s="1"/>
  <c r="H112" i="8"/>
  <c r="H126" i="8"/>
  <c r="H114" i="8"/>
  <c r="H103" i="8"/>
  <c r="H115" i="8"/>
  <c r="H128" i="8"/>
  <c r="H117" i="8"/>
  <c r="H95" i="8"/>
  <c r="H113" i="8"/>
  <c r="H108" i="8"/>
  <c r="H129" i="8"/>
  <c r="H105" i="8"/>
  <c r="H122" i="8"/>
  <c r="H96" i="8"/>
  <c r="H110" i="8"/>
  <c r="H109" i="8"/>
  <c r="H121" i="8"/>
  <c r="H107" i="8"/>
  <c r="H125" i="8"/>
  <c r="H118" i="8"/>
  <c r="B24" i="11"/>
  <c r="C24" i="11"/>
  <c r="E24" i="11"/>
  <c r="H106" i="8"/>
  <c r="N111" i="8"/>
  <c r="U52" i="8"/>
  <c r="N102" i="8" s="1"/>
  <c r="N115" i="8"/>
  <c r="N124" i="8"/>
  <c r="N130" i="8"/>
  <c r="N126" i="8"/>
  <c r="N104" i="8"/>
  <c r="N121" i="8"/>
  <c r="N122" i="8"/>
  <c r="N129" i="8"/>
  <c r="N96" i="8"/>
  <c r="N118" i="8"/>
  <c r="N93" i="8"/>
  <c r="N117" i="8"/>
  <c r="N92" i="8"/>
  <c r="N112" i="8"/>
  <c r="N105" i="8"/>
  <c r="N91" i="8"/>
  <c r="N116" i="8"/>
  <c r="J99" i="8"/>
  <c r="J102" i="8"/>
  <c r="J32" i="9"/>
  <c r="P32" i="9" s="1"/>
  <c r="Q32" i="9" s="1"/>
  <c r="Y32" i="9" s="1"/>
  <c r="E12" i="10" s="1"/>
  <c r="H12" i="10" s="1"/>
  <c r="B20" i="11"/>
  <c r="G20" i="11" s="1"/>
  <c r="H40" i="9"/>
  <c r="H91" i="8"/>
  <c r="L112" i="8"/>
  <c r="U50" i="8"/>
  <c r="L100" i="8" s="1"/>
  <c r="L105" i="8"/>
  <c r="L127" i="8"/>
  <c r="L120" i="8"/>
  <c r="L110" i="8"/>
  <c r="L129" i="8"/>
  <c r="L111" i="8"/>
  <c r="L128" i="8"/>
  <c r="L92" i="8"/>
  <c r="L108" i="8"/>
  <c r="L93" i="8"/>
  <c r="L117" i="8"/>
  <c r="L106" i="8"/>
  <c r="L125" i="8"/>
  <c r="L118" i="8"/>
  <c r="L114" i="8"/>
  <c r="L130" i="8"/>
  <c r="L123" i="8"/>
  <c r="L91" i="8"/>
  <c r="L119" i="8"/>
  <c r="L103" i="8"/>
  <c r="L113" i="8"/>
  <c r="L122" i="8"/>
  <c r="L126" i="8"/>
  <c r="L124" i="8"/>
  <c r="L94" i="8"/>
  <c r="L95" i="8"/>
  <c r="L116" i="8"/>
  <c r="L109" i="8"/>
  <c r="L96" i="8"/>
  <c r="X40" i="9"/>
  <c r="B20" i="10" s="1"/>
  <c r="D20" i="10" s="1"/>
  <c r="L20" i="10" s="1"/>
  <c r="B25" i="12" s="1"/>
  <c r="X37" i="9"/>
  <c r="B17" i="10" s="1"/>
  <c r="D17" i="10" s="1"/>
  <c r="L17" i="10" s="1"/>
  <c r="B22" i="12" s="1"/>
  <c r="K37" i="9"/>
  <c r="F25" i="11" s="1"/>
  <c r="J111" i="8"/>
  <c r="U48" i="8"/>
  <c r="J100" i="8" s="1"/>
  <c r="J124" i="8"/>
  <c r="J123" i="8"/>
  <c r="J122" i="8"/>
  <c r="J109" i="8"/>
  <c r="J106" i="8"/>
  <c r="J120" i="8"/>
  <c r="J130" i="8"/>
  <c r="J103" i="8"/>
  <c r="J128" i="8"/>
  <c r="J108" i="8"/>
  <c r="J91" i="8"/>
  <c r="J116" i="8"/>
  <c r="J112" i="8"/>
  <c r="J107" i="8"/>
  <c r="J126" i="8"/>
  <c r="J96" i="8"/>
  <c r="J105" i="8"/>
  <c r="J127" i="8"/>
  <c r="J93" i="8"/>
  <c r="J110" i="8"/>
  <c r="J92" i="8"/>
  <c r="J119" i="8"/>
  <c r="J129" i="8"/>
  <c r="J104" i="8"/>
  <c r="J113" i="8"/>
  <c r="J118" i="8"/>
  <c r="J94" i="8"/>
  <c r="J115" i="8"/>
  <c r="J114" i="8"/>
  <c r="J121" i="8"/>
  <c r="J95" i="8"/>
  <c r="J117" i="8"/>
  <c r="X33" i="9"/>
  <c r="B13" i="10" s="1"/>
  <c r="D13" i="10" s="1"/>
  <c r="L13" i="10" s="1"/>
  <c r="B18" i="12" s="1"/>
  <c r="J39" i="9"/>
  <c r="P39" i="9" s="1"/>
  <c r="Q39" i="9" s="1"/>
  <c r="Y39" i="9" s="1"/>
  <c r="E19" i="10" s="1"/>
  <c r="H19" i="10" s="1"/>
  <c r="V51" i="9"/>
  <c r="Z51" i="9" s="1"/>
  <c r="I31" i="10" s="1"/>
  <c r="K31" i="10" s="1"/>
  <c r="T51" i="9"/>
  <c r="I39" i="11"/>
  <c r="U51" i="9"/>
  <c r="S52" i="9"/>
  <c r="H127" i="8"/>
  <c r="R38" i="13"/>
  <c r="D28" i="11" l="1"/>
  <c r="K40" i="9"/>
  <c r="F28" i="11" s="1"/>
  <c r="F41" i="9"/>
  <c r="G41" i="9" s="1"/>
  <c r="H41" i="9" s="1"/>
  <c r="D27" i="11"/>
  <c r="C29" i="11"/>
  <c r="H39" i="9"/>
  <c r="G23" i="11"/>
  <c r="K23" i="11" s="1"/>
  <c r="D20" i="12" s="1"/>
  <c r="E42" i="9"/>
  <c r="M42" i="9" s="1"/>
  <c r="N42" i="9" s="1"/>
  <c r="D29" i="11"/>
  <c r="P35" i="9"/>
  <c r="X34" i="9"/>
  <c r="B14" i="10" s="1"/>
  <c r="D14" i="10" s="1"/>
  <c r="L14" i="10" s="1"/>
  <c r="B19" i="12" s="1"/>
  <c r="E43" i="9"/>
  <c r="F43" i="9" s="1"/>
  <c r="G43" i="9" s="1"/>
  <c r="J43" i="9" s="1"/>
  <c r="P43" i="9" s="1"/>
  <c r="Q43" i="9" s="1"/>
  <c r="Y43" i="9" s="1"/>
  <c r="E23" i="10" s="1"/>
  <c r="H23" i="10" s="1"/>
  <c r="E26" i="11"/>
  <c r="B26" i="11"/>
  <c r="B29" i="11"/>
  <c r="Q113" i="8"/>
  <c r="Y113" i="8" s="1"/>
  <c r="Q109" i="8"/>
  <c r="AL109" i="8" s="1"/>
  <c r="AT109" i="8" s="1"/>
  <c r="C34" i="12" s="1"/>
  <c r="X38" i="9"/>
  <c r="B18" i="10" s="1"/>
  <c r="D18" i="10" s="1"/>
  <c r="L18" i="10" s="1"/>
  <c r="B23" i="12" s="1"/>
  <c r="C25" i="11"/>
  <c r="E25" i="11"/>
  <c r="B25" i="11"/>
  <c r="H101" i="8"/>
  <c r="H90" i="8" s="1"/>
  <c r="P36" i="9"/>
  <c r="Q36" i="9" s="1"/>
  <c r="Y36" i="9" s="1"/>
  <c r="E16" i="10" s="1"/>
  <c r="H16" i="10" s="1"/>
  <c r="K36" i="9"/>
  <c r="F24" i="11" s="1"/>
  <c r="G24" i="11" s="1"/>
  <c r="K24" i="11" s="1"/>
  <c r="D21" i="12" s="1"/>
  <c r="L101" i="8"/>
  <c r="L90" i="8" s="1"/>
  <c r="J101" i="8"/>
  <c r="J90" i="8" s="1"/>
  <c r="Q95" i="8"/>
  <c r="AL95" i="8" s="1"/>
  <c r="Q108" i="8"/>
  <c r="AL108" i="8" s="1"/>
  <c r="AT108" i="8" s="1"/>
  <c r="C33" i="12" s="1"/>
  <c r="Q126" i="8"/>
  <c r="Y126" i="8" s="1"/>
  <c r="Q130" i="8"/>
  <c r="AL130" i="8" s="1"/>
  <c r="Q123" i="8"/>
  <c r="AL123" i="8" s="1"/>
  <c r="Q116" i="8"/>
  <c r="AL116" i="8" s="1"/>
  <c r="Q104" i="8"/>
  <c r="Y104" i="8" s="1"/>
  <c r="Q110" i="8"/>
  <c r="Y110" i="8" s="1"/>
  <c r="U52" i="9"/>
  <c r="V52" i="9"/>
  <c r="Z52" i="9" s="1"/>
  <c r="I32" i="10" s="1"/>
  <c r="K32" i="10" s="1"/>
  <c r="I40" i="11"/>
  <c r="T52" i="9"/>
  <c r="S53" i="9"/>
  <c r="X39" i="9"/>
  <c r="B19" i="10" s="1"/>
  <c r="D19" i="10" s="1"/>
  <c r="L19" i="10" s="1"/>
  <c r="B24" i="12" s="1"/>
  <c r="N101" i="8"/>
  <c r="N103" i="8"/>
  <c r="Q118" i="8"/>
  <c r="Q117" i="8"/>
  <c r="Q94" i="8"/>
  <c r="AL94" i="8" s="1"/>
  <c r="Q129" i="8"/>
  <c r="Q112" i="8"/>
  <c r="E90" i="8"/>
  <c r="Q128" i="8"/>
  <c r="P101" i="8"/>
  <c r="P103" i="8"/>
  <c r="AE113" i="8"/>
  <c r="AD113" i="8"/>
  <c r="AC113" i="8"/>
  <c r="AM113" i="8" s="1"/>
  <c r="AH113" i="8"/>
  <c r="AG113" i="8"/>
  <c r="AF113" i="8"/>
  <c r="AI113" i="8"/>
  <c r="AB113" i="8"/>
  <c r="AA114" i="8"/>
  <c r="K20" i="11"/>
  <c r="D17" i="12" s="1"/>
  <c r="S20" i="11"/>
  <c r="E13" i="13" s="1"/>
  <c r="K39" i="9"/>
  <c r="F27" i="11" s="1"/>
  <c r="Q127" i="8"/>
  <c r="Q114" i="8"/>
  <c r="Q120" i="8"/>
  <c r="I90" i="8"/>
  <c r="K90" i="8"/>
  <c r="Q107" i="8"/>
  <c r="D90" i="8"/>
  <c r="F90" i="8"/>
  <c r="X31" i="9"/>
  <c r="B11" i="10" s="1"/>
  <c r="D11" i="10" s="1"/>
  <c r="L11" i="10" s="1"/>
  <c r="B16" i="12" s="1"/>
  <c r="Q99" i="8"/>
  <c r="Q115" i="8"/>
  <c r="Q96" i="8"/>
  <c r="Q106" i="8"/>
  <c r="Q122" i="8"/>
  <c r="Q92" i="8"/>
  <c r="Q121" i="8"/>
  <c r="Q124" i="8"/>
  <c r="Q102" i="8"/>
  <c r="Q111" i="8"/>
  <c r="Q91" i="8"/>
  <c r="C28" i="11"/>
  <c r="E28" i="11"/>
  <c r="B28" i="11"/>
  <c r="X32" i="9"/>
  <c r="B12" i="10" s="1"/>
  <c r="D12" i="10" s="1"/>
  <c r="L12" i="10" s="1"/>
  <c r="B17" i="12" s="1"/>
  <c r="C27" i="11"/>
  <c r="B27" i="11"/>
  <c r="E27" i="11"/>
  <c r="Q93" i="8"/>
  <c r="Q105" i="8"/>
  <c r="Q119" i="8"/>
  <c r="G90" i="8"/>
  <c r="O90" i="8"/>
  <c r="Q125" i="8"/>
  <c r="S19" i="11"/>
  <c r="E12" i="13" s="1"/>
  <c r="K19" i="11"/>
  <c r="D16" i="12" s="1"/>
  <c r="Q100" i="8"/>
  <c r="R39" i="13"/>
  <c r="J41" i="9" l="1"/>
  <c r="D30" i="11"/>
  <c r="F42" i="9"/>
  <c r="G42" i="9" s="1"/>
  <c r="H42" i="9" s="1"/>
  <c r="M43" i="9"/>
  <c r="H43" i="9" s="1"/>
  <c r="AL113" i="8"/>
  <c r="AT113" i="8" s="1"/>
  <c r="C38" i="12" s="1"/>
  <c r="E44" i="9"/>
  <c r="F44" i="9" s="1"/>
  <c r="G44" i="9" s="1"/>
  <c r="J44" i="9" s="1"/>
  <c r="P44" i="9" s="1"/>
  <c r="Q44" i="9" s="1"/>
  <c r="Y44" i="9" s="1"/>
  <c r="E24" i="10" s="1"/>
  <c r="H24" i="10" s="1"/>
  <c r="K41" i="9"/>
  <c r="F29" i="11" s="1"/>
  <c r="G29" i="11" s="1"/>
  <c r="K29" i="11" s="1"/>
  <c r="D26" i="12" s="1"/>
  <c r="G26" i="11"/>
  <c r="K26" i="11" s="1"/>
  <c r="D23" i="12" s="1"/>
  <c r="E23" i="12" s="1"/>
  <c r="Q35" i="9"/>
  <c r="Y35" i="9" s="1"/>
  <c r="E15" i="10" s="1"/>
  <c r="H15" i="10" s="1"/>
  <c r="X35" i="9"/>
  <c r="B15" i="10" s="1"/>
  <c r="D15" i="10" s="1"/>
  <c r="AL126" i="8"/>
  <c r="Y109" i="8"/>
  <c r="X36" i="9"/>
  <c r="B16" i="10" s="1"/>
  <c r="D16" i="10" s="1"/>
  <c r="L16" i="10" s="1"/>
  <c r="B21" i="12" s="1"/>
  <c r="Y123" i="8"/>
  <c r="Q103" i="8"/>
  <c r="Y103" i="8" s="1"/>
  <c r="AL104" i="8"/>
  <c r="AT104" i="8" s="1"/>
  <c r="C29" i="12" s="1"/>
  <c r="Y130" i="8"/>
  <c r="G25" i="11"/>
  <c r="K25" i="11" s="1"/>
  <c r="D22" i="12" s="1"/>
  <c r="Y108" i="8"/>
  <c r="Y116" i="8"/>
  <c r="AL110" i="8"/>
  <c r="AT110" i="8" s="1"/>
  <c r="C35" i="12" s="1"/>
  <c r="N90" i="8"/>
  <c r="Y100" i="8"/>
  <c r="AL100" i="8"/>
  <c r="AT100" i="8" s="1"/>
  <c r="C25" i="12" s="1"/>
  <c r="Y93" i="8"/>
  <c r="AL93" i="8"/>
  <c r="AT93" i="8" s="1"/>
  <c r="C18" i="12" s="1"/>
  <c r="E18" i="12" s="1"/>
  <c r="G27" i="11"/>
  <c r="K27" i="11" s="1"/>
  <c r="D24" i="12" s="1"/>
  <c r="Y111" i="8"/>
  <c r="AL111" i="8"/>
  <c r="AT111" i="8" s="1"/>
  <c r="C36" i="12" s="1"/>
  <c r="Y121" i="8"/>
  <c r="AL121" i="8"/>
  <c r="AL96" i="8"/>
  <c r="AB114" i="8"/>
  <c r="AC114" i="8"/>
  <c r="AM114" i="8" s="1"/>
  <c r="AF114" i="8"/>
  <c r="AD114" i="8"/>
  <c r="AI114" i="8"/>
  <c r="AE114" i="8"/>
  <c r="AH114" i="8"/>
  <c r="AG114" i="8"/>
  <c r="AA115" i="8"/>
  <c r="Y112" i="8"/>
  <c r="AL112" i="8"/>
  <c r="AT112" i="8" s="1"/>
  <c r="C37" i="12" s="1"/>
  <c r="AL118" i="8"/>
  <c r="Y118" i="8"/>
  <c r="AL92" i="8"/>
  <c r="AT92" i="8" s="1"/>
  <c r="C17" i="12" s="1"/>
  <c r="E17" i="12" s="1"/>
  <c r="Y92" i="8"/>
  <c r="AL115" i="8"/>
  <c r="Y115" i="8"/>
  <c r="AL99" i="8"/>
  <c r="AT99" i="8" s="1"/>
  <c r="C24" i="12" s="1"/>
  <c r="Y99" i="8"/>
  <c r="AL120" i="8"/>
  <c r="Y120" i="8"/>
  <c r="Q101" i="8"/>
  <c r="P90" i="8"/>
  <c r="AL129" i="8"/>
  <c r="Y129" i="8"/>
  <c r="AL125" i="8"/>
  <c r="Y125" i="8"/>
  <c r="AL119" i="8"/>
  <c r="Y119" i="8"/>
  <c r="Y122" i="8"/>
  <c r="AL122" i="8"/>
  <c r="E30" i="11"/>
  <c r="C30" i="11"/>
  <c r="AL107" i="8"/>
  <c r="AT107" i="8" s="1"/>
  <c r="C32" i="12" s="1"/>
  <c r="Y107" i="8"/>
  <c r="AL114" i="8"/>
  <c r="Y114" i="8"/>
  <c r="M44" i="9"/>
  <c r="AL128" i="8"/>
  <c r="Y128" i="8"/>
  <c r="V53" i="9"/>
  <c r="Z53" i="9" s="1"/>
  <c r="I33" i="10" s="1"/>
  <c r="K33" i="10" s="1"/>
  <c r="I41" i="11"/>
  <c r="T53" i="9"/>
  <c r="U53" i="9"/>
  <c r="S54" i="9"/>
  <c r="X43" i="9"/>
  <c r="B23" i="10" s="1"/>
  <c r="D23" i="10" s="1"/>
  <c r="L23" i="10" s="1"/>
  <c r="B28" i="12" s="1"/>
  <c r="AL105" i="8"/>
  <c r="AT105" i="8" s="1"/>
  <c r="C30" i="12" s="1"/>
  <c r="Y105" i="8"/>
  <c r="G28" i="11"/>
  <c r="K28" i="11" s="1"/>
  <c r="D25" i="12" s="1"/>
  <c r="AL91" i="8"/>
  <c r="Y91" i="8"/>
  <c r="AL102" i="8"/>
  <c r="AT102" i="8" s="1"/>
  <c r="C27" i="12" s="1"/>
  <c r="Y102" i="8"/>
  <c r="Y124" i="8"/>
  <c r="AL124" i="8"/>
  <c r="AL106" i="8"/>
  <c r="AT106" i="8" s="1"/>
  <c r="C31" i="12" s="1"/>
  <c r="Y106" i="8"/>
  <c r="Y127" i="8"/>
  <c r="AL127" i="8"/>
  <c r="Y117" i="8"/>
  <c r="AL117" i="8"/>
  <c r="R40" i="13"/>
  <c r="P41" i="9" l="1"/>
  <c r="Q41" i="9" s="1"/>
  <c r="Y41" i="9" s="1"/>
  <c r="E21" i="10" s="1"/>
  <c r="H21" i="10" s="1"/>
  <c r="E45" i="9"/>
  <c r="E46" i="9" s="1"/>
  <c r="F46" i="9" s="1"/>
  <c r="G46" i="9" s="1"/>
  <c r="J42" i="9"/>
  <c r="K42" i="9" s="1"/>
  <c r="F30" i="11" s="1"/>
  <c r="D31" i="11"/>
  <c r="B30" i="11"/>
  <c r="K43" i="9"/>
  <c r="F31" i="11" s="1"/>
  <c r="N43" i="9"/>
  <c r="C31" i="11" s="1"/>
  <c r="AL103" i="8"/>
  <c r="AT103" i="8" s="1"/>
  <c r="C28" i="12" s="1"/>
  <c r="L15" i="10"/>
  <c r="B20" i="12" s="1"/>
  <c r="Q90" i="8"/>
  <c r="AT114" i="8"/>
  <c r="C39" i="12" s="1"/>
  <c r="E24" i="12"/>
  <c r="D32" i="11"/>
  <c r="N44" i="9"/>
  <c r="H44" i="9"/>
  <c r="K44" i="9"/>
  <c r="F32" i="11" s="1"/>
  <c r="X44" i="9"/>
  <c r="B24" i="10" s="1"/>
  <c r="D24" i="10" s="1"/>
  <c r="L24" i="10" s="1"/>
  <c r="B29" i="12" s="1"/>
  <c r="M45" i="9"/>
  <c r="E25" i="12"/>
  <c r="AT91" i="8"/>
  <c r="C16" i="12" s="1"/>
  <c r="E16" i="12" s="1"/>
  <c r="F16" i="12" s="1"/>
  <c r="F17" i="12" s="1"/>
  <c r="F18" i="12" s="1"/>
  <c r="T54" i="9"/>
  <c r="U54" i="9"/>
  <c r="I42" i="11"/>
  <c r="V54" i="9"/>
  <c r="Z54" i="9" s="1"/>
  <c r="I34" i="10" s="1"/>
  <c r="K34" i="10" s="1"/>
  <c r="S55" i="9"/>
  <c r="Y101" i="8"/>
  <c r="AL101" i="8"/>
  <c r="AT101" i="8" s="1"/>
  <c r="C26" i="12" s="1"/>
  <c r="AH115" i="8"/>
  <c r="AE115" i="8"/>
  <c r="AC115" i="8"/>
  <c r="AM115" i="8" s="1"/>
  <c r="AT115" i="8" s="1"/>
  <c r="C40" i="12" s="1"/>
  <c r="AB115" i="8"/>
  <c r="AF115" i="8"/>
  <c r="AI115" i="8"/>
  <c r="AD115" i="8"/>
  <c r="AG115" i="8"/>
  <c r="AA116" i="8"/>
  <c r="R41" i="13"/>
  <c r="X41" i="9" l="1"/>
  <c r="B21" i="10" s="1"/>
  <c r="D21" i="10" s="1"/>
  <c r="L21" i="10" s="1"/>
  <c r="B26" i="12" s="1"/>
  <c r="E26" i="12" s="1"/>
  <c r="G30" i="11"/>
  <c r="K30" i="11" s="1"/>
  <c r="D27" i="12" s="1"/>
  <c r="F45" i="9"/>
  <c r="G45" i="9" s="1"/>
  <c r="H45" i="9" s="1"/>
  <c r="P42" i="9"/>
  <c r="Q42" i="9" s="1"/>
  <c r="Y42" i="9" s="1"/>
  <c r="E22" i="10" s="1"/>
  <c r="H22" i="10" s="1"/>
  <c r="E31" i="11"/>
  <c r="B31" i="11"/>
  <c r="J46" i="9"/>
  <c r="P46" i="9" s="1"/>
  <c r="Q46" i="9" s="1"/>
  <c r="Y46" i="9" s="1"/>
  <c r="E26" i="10" s="1"/>
  <c r="H26" i="10" s="1"/>
  <c r="D33" i="11"/>
  <c r="N45" i="9"/>
  <c r="AL90" i="8"/>
  <c r="B32" i="11"/>
  <c r="C32" i="11"/>
  <c r="E32" i="11"/>
  <c r="AH116" i="8"/>
  <c r="AE116" i="8"/>
  <c r="AC116" i="8"/>
  <c r="AM116" i="8" s="1"/>
  <c r="AT116" i="8" s="1"/>
  <c r="C41" i="12" s="1"/>
  <c r="AF116" i="8"/>
  <c r="AB116" i="8"/>
  <c r="AG116" i="8"/>
  <c r="AD116" i="8"/>
  <c r="AI116" i="8"/>
  <c r="AA117" i="8"/>
  <c r="U55" i="9"/>
  <c r="V55" i="9"/>
  <c r="Z55" i="9" s="1"/>
  <c r="I35" i="10" s="1"/>
  <c r="K35" i="10" s="1"/>
  <c r="I43" i="11"/>
  <c r="T55" i="9"/>
  <c r="S56" i="9"/>
  <c r="M46" i="9"/>
  <c r="E47" i="9"/>
  <c r="R42" i="13"/>
  <c r="J45" i="9" l="1"/>
  <c r="P45" i="9" s="1"/>
  <c r="Q45" i="9" s="1"/>
  <c r="Y45" i="9" s="1"/>
  <c r="E25" i="10" s="1"/>
  <c r="H25" i="10" s="1"/>
  <c r="X42" i="9"/>
  <c r="B22" i="10" s="1"/>
  <c r="D22" i="10" s="1"/>
  <c r="L22" i="10" s="1"/>
  <c r="B27" i="12" s="1"/>
  <c r="E27" i="12" s="1"/>
  <c r="G31" i="11"/>
  <c r="K31" i="11" s="1"/>
  <c r="D28" i="12" s="1"/>
  <c r="E28" i="12" s="1"/>
  <c r="G32" i="11"/>
  <c r="K32" i="11" s="1"/>
  <c r="D29" i="12" s="1"/>
  <c r="E29" i="12" s="1"/>
  <c r="V56" i="9"/>
  <c r="Z56" i="9" s="1"/>
  <c r="I36" i="10" s="1"/>
  <c r="K36" i="10" s="1"/>
  <c r="U56" i="9"/>
  <c r="T56" i="9"/>
  <c r="I44" i="11"/>
  <c r="S57" i="9"/>
  <c r="AF117" i="8"/>
  <c r="AG117" i="8"/>
  <c r="AH117" i="8"/>
  <c r="AE117" i="8"/>
  <c r="AB117" i="8"/>
  <c r="AI117" i="8"/>
  <c r="AD117" i="8"/>
  <c r="AC117" i="8"/>
  <c r="AM117" i="8" s="1"/>
  <c r="AT117" i="8" s="1"/>
  <c r="C42" i="12" s="1"/>
  <c r="AA118" i="8"/>
  <c r="N46" i="9"/>
  <c r="H46" i="9"/>
  <c r="D34" i="11"/>
  <c r="E48" i="9"/>
  <c r="F48" i="9" s="1"/>
  <c r="G48" i="9" s="1"/>
  <c r="M47" i="9"/>
  <c r="F47" i="9"/>
  <c r="G47" i="9" s="1"/>
  <c r="E33" i="11"/>
  <c r="C33" i="11"/>
  <c r="B33" i="11"/>
  <c r="K46" i="9"/>
  <c r="F34" i="11" s="1"/>
  <c r="X46" i="9"/>
  <c r="B26" i="10" s="1"/>
  <c r="D26" i="10" s="1"/>
  <c r="L26" i="10" s="1"/>
  <c r="B31" i="12" s="1"/>
  <c r="R43" i="13"/>
  <c r="X45" i="9" l="1"/>
  <c r="B25" i="10" s="1"/>
  <c r="D25" i="10" s="1"/>
  <c r="L25" i="10" s="1"/>
  <c r="B30" i="12" s="1"/>
  <c r="K45" i="9"/>
  <c r="F33" i="11" s="1"/>
  <c r="J48" i="9"/>
  <c r="P48" i="9" s="1"/>
  <c r="Q48" i="9" s="1"/>
  <c r="Y48" i="9" s="1"/>
  <c r="E28" i="10" s="1"/>
  <c r="H28" i="10" s="1"/>
  <c r="G33" i="11"/>
  <c r="K33" i="11" s="1"/>
  <c r="D30" i="12" s="1"/>
  <c r="J47" i="9"/>
  <c r="P47" i="9" s="1"/>
  <c r="Q47" i="9" s="1"/>
  <c r="Y47" i="9" s="1"/>
  <c r="E27" i="10" s="1"/>
  <c r="H27" i="10" s="1"/>
  <c r="D35" i="11"/>
  <c r="N47" i="9"/>
  <c r="H47" i="9"/>
  <c r="B34" i="11"/>
  <c r="C34" i="11"/>
  <c r="E34" i="11"/>
  <c r="V57" i="9"/>
  <c r="Z57" i="9" s="1"/>
  <c r="I37" i="10" s="1"/>
  <c r="K37" i="10" s="1"/>
  <c r="I45" i="11"/>
  <c r="U57" i="9"/>
  <c r="T57" i="9"/>
  <c r="S58" i="9"/>
  <c r="M48" i="9"/>
  <c r="E49" i="9"/>
  <c r="AC118" i="8"/>
  <c r="AM118" i="8" s="1"/>
  <c r="AT118" i="8" s="1"/>
  <c r="C43" i="12" s="1"/>
  <c r="AF118" i="8"/>
  <c r="AD118" i="8"/>
  <c r="AE118" i="8"/>
  <c r="AH118" i="8"/>
  <c r="AG118" i="8"/>
  <c r="AI118" i="8"/>
  <c r="AB118" i="8"/>
  <c r="AA119" i="8"/>
  <c r="R44" i="13"/>
  <c r="E30" i="12" l="1"/>
  <c r="E50" i="9"/>
  <c r="F50" i="9" s="1"/>
  <c r="G50" i="9" s="1"/>
  <c r="M49" i="9"/>
  <c r="B35" i="11"/>
  <c r="C35" i="11"/>
  <c r="E35" i="11"/>
  <c r="H48" i="9"/>
  <c r="D36" i="11"/>
  <c r="N48" i="9"/>
  <c r="AD119" i="8"/>
  <c r="AB119" i="8"/>
  <c r="AI119" i="8"/>
  <c r="AH119" i="8"/>
  <c r="AE119" i="8"/>
  <c r="AC119" i="8"/>
  <c r="AM119" i="8" s="1"/>
  <c r="AT119" i="8" s="1"/>
  <c r="C44" i="12" s="1"/>
  <c r="AF119" i="8"/>
  <c r="AG119" i="8"/>
  <c r="AA120" i="8"/>
  <c r="G34" i="11"/>
  <c r="K34" i="11" s="1"/>
  <c r="D31" i="12" s="1"/>
  <c r="E31" i="12" s="1"/>
  <c r="K48" i="9"/>
  <c r="F36" i="11" s="1"/>
  <c r="X48" i="9"/>
  <c r="B28" i="10" s="1"/>
  <c r="D28" i="10" s="1"/>
  <c r="L28" i="10" s="1"/>
  <c r="B33" i="12" s="1"/>
  <c r="F49" i="9"/>
  <c r="G49" i="9" s="1"/>
  <c r="U58" i="9"/>
  <c r="I46" i="11"/>
  <c r="V58" i="9"/>
  <c r="Z58" i="9" s="1"/>
  <c r="I38" i="10" s="1"/>
  <c r="K38" i="10" s="1"/>
  <c r="T58" i="9"/>
  <c r="S59" i="9"/>
  <c r="K47" i="9"/>
  <c r="F35" i="11" s="1"/>
  <c r="X47" i="9"/>
  <c r="B27" i="10" s="1"/>
  <c r="D27" i="10" s="1"/>
  <c r="L27" i="10" s="1"/>
  <c r="B32" i="12" s="1"/>
  <c r="R45" i="13"/>
  <c r="G35" i="11" l="1"/>
  <c r="K35" i="11" s="1"/>
  <c r="D32" i="12" s="1"/>
  <c r="E32" i="12" s="1"/>
  <c r="J50" i="9"/>
  <c r="P50" i="9" s="1"/>
  <c r="Q50" i="9" s="1"/>
  <c r="Y50" i="9" s="1"/>
  <c r="E30" i="10" s="1"/>
  <c r="H30" i="10" s="1"/>
  <c r="J49" i="9"/>
  <c r="P49" i="9" s="1"/>
  <c r="Q49" i="9" s="1"/>
  <c r="Y49" i="9" s="1"/>
  <c r="E29" i="10" s="1"/>
  <c r="H29" i="10" s="1"/>
  <c r="U59" i="9"/>
  <c r="I47" i="11"/>
  <c r="T59" i="9"/>
  <c r="V59" i="9"/>
  <c r="Z59" i="9" s="1"/>
  <c r="I39" i="10" s="1"/>
  <c r="K39" i="10" s="1"/>
  <c r="S60" i="9"/>
  <c r="AI120" i="8"/>
  <c r="AG120" i="8"/>
  <c r="AF120" i="8"/>
  <c r="AC120" i="8"/>
  <c r="AM120" i="8" s="1"/>
  <c r="AT120" i="8" s="1"/>
  <c r="C45" i="12" s="1"/>
  <c r="AE120" i="8"/>
  <c r="AH120" i="8"/>
  <c r="AB120" i="8"/>
  <c r="AD120" i="8"/>
  <c r="AA121" i="8"/>
  <c r="D37" i="11"/>
  <c r="H49" i="9"/>
  <c r="N49" i="9"/>
  <c r="C36" i="11"/>
  <c r="E36" i="11"/>
  <c r="B36" i="11"/>
  <c r="E51" i="9"/>
  <c r="M50" i="9"/>
  <c r="R46" i="13"/>
  <c r="K49" i="9" l="1"/>
  <c r="F37" i="11" s="1"/>
  <c r="X50" i="9"/>
  <c r="B30" i="10" s="1"/>
  <c r="D30" i="10" s="1"/>
  <c r="L30" i="10" s="1"/>
  <c r="B35" i="12" s="1"/>
  <c r="G36" i="11"/>
  <c r="K36" i="11" s="1"/>
  <c r="D33" i="12" s="1"/>
  <c r="E33" i="12" s="1"/>
  <c r="N50" i="9"/>
  <c r="D38" i="11"/>
  <c r="H50" i="9"/>
  <c r="K50" i="9"/>
  <c r="F38" i="11" s="1"/>
  <c r="M51" i="9"/>
  <c r="E52" i="9"/>
  <c r="F52" i="9" s="1"/>
  <c r="G52" i="9" s="1"/>
  <c r="B37" i="11"/>
  <c r="C37" i="11"/>
  <c r="E37" i="11"/>
  <c r="AD121" i="8"/>
  <c r="AH121" i="8"/>
  <c r="AE121" i="8"/>
  <c r="AI121" i="8"/>
  <c r="AF121" i="8"/>
  <c r="AB121" i="8"/>
  <c r="AG121" i="8"/>
  <c r="AC121" i="8"/>
  <c r="AM121" i="8" s="1"/>
  <c r="AT121" i="8" s="1"/>
  <c r="C46" i="12" s="1"/>
  <c r="AA122" i="8"/>
  <c r="X49" i="9"/>
  <c r="B29" i="10" s="1"/>
  <c r="D29" i="10" s="1"/>
  <c r="L29" i="10" s="1"/>
  <c r="B34" i="12" s="1"/>
  <c r="F51" i="9"/>
  <c r="G51" i="9" s="1"/>
  <c r="U60" i="9"/>
  <c r="V60" i="9"/>
  <c r="Z60" i="9" s="1"/>
  <c r="I40" i="10" s="1"/>
  <c r="K40" i="10" s="1"/>
  <c r="T60" i="9"/>
  <c r="I48" i="11"/>
  <c r="S61" i="9"/>
  <c r="R47" i="13"/>
  <c r="J52" i="9" l="1"/>
  <c r="P52" i="9" s="1"/>
  <c r="Q52" i="9" s="1"/>
  <c r="Y52" i="9" s="1"/>
  <c r="E32" i="10" s="1"/>
  <c r="H32" i="10" s="1"/>
  <c r="U61" i="9"/>
  <c r="V61" i="9"/>
  <c r="Z61" i="9" s="1"/>
  <c r="I41" i="10" s="1"/>
  <c r="K41" i="10" s="1"/>
  <c r="T61" i="9"/>
  <c r="I49" i="11"/>
  <c r="S62" i="9"/>
  <c r="AC122" i="8"/>
  <c r="AM122" i="8" s="1"/>
  <c r="AT122" i="8" s="1"/>
  <c r="C47" i="12" s="1"/>
  <c r="AF122" i="8"/>
  <c r="AB122" i="8"/>
  <c r="AI122" i="8"/>
  <c r="AG122" i="8"/>
  <c r="AH122" i="8"/>
  <c r="AE122" i="8"/>
  <c r="AD122" i="8"/>
  <c r="AA123" i="8"/>
  <c r="J51" i="9"/>
  <c r="P51" i="9" s="1"/>
  <c r="Q51" i="9" s="1"/>
  <c r="Y51" i="9" s="1"/>
  <c r="E31" i="10" s="1"/>
  <c r="H31" i="10" s="1"/>
  <c r="M52" i="9"/>
  <c r="E53" i="9"/>
  <c r="F53" i="9" s="1"/>
  <c r="G53" i="9" s="1"/>
  <c r="N51" i="9"/>
  <c r="H51" i="9"/>
  <c r="D39" i="11"/>
  <c r="E38" i="11"/>
  <c r="B38" i="11"/>
  <c r="C38" i="11"/>
  <c r="G37" i="11"/>
  <c r="K37" i="11" s="1"/>
  <c r="D34" i="12" s="1"/>
  <c r="E34" i="12" s="1"/>
  <c r="R48" i="13"/>
  <c r="G38" i="11" l="1"/>
  <c r="K38" i="11" s="1"/>
  <c r="D35" i="12" s="1"/>
  <c r="E35" i="12" s="1"/>
  <c r="J53" i="9"/>
  <c r="P53" i="9" s="1"/>
  <c r="Q53" i="9" s="1"/>
  <c r="Y53" i="9" s="1"/>
  <c r="E33" i="10" s="1"/>
  <c r="H33" i="10" s="1"/>
  <c r="D40" i="11"/>
  <c r="H52" i="9"/>
  <c r="N52" i="9"/>
  <c r="I50" i="11"/>
  <c r="V62" i="9"/>
  <c r="Z62" i="9" s="1"/>
  <c r="I42" i="10" s="1"/>
  <c r="K42" i="10" s="1"/>
  <c r="U62" i="9"/>
  <c r="T62" i="9"/>
  <c r="S63" i="9"/>
  <c r="E39" i="11"/>
  <c r="B39" i="11"/>
  <c r="C39" i="11"/>
  <c r="K51" i="9"/>
  <c r="F39" i="11" s="1"/>
  <c r="X51" i="9"/>
  <c r="B31" i="10" s="1"/>
  <c r="D31" i="10" s="1"/>
  <c r="L31" i="10" s="1"/>
  <c r="B36" i="12" s="1"/>
  <c r="E54" i="9"/>
  <c r="F54" i="9" s="1"/>
  <c r="G54" i="9" s="1"/>
  <c r="M53" i="9"/>
  <c r="AE123" i="8"/>
  <c r="AF123" i="8"/>
  <c r="AC123" i="8"/>
  <c r="AM123" i="8" s="1"/>
  <c r="AT123" i="8" s="1"/>
  <c r="C48" i="12" s="1"/>
  <c r="AG123" i="8"/>
  <c r="AH123" i="8"/>
  <c r="AB123" i="8"/>
  <c r="AD123" i="8"/>
  <c r="AI123" i="8"/>
  <c r="AA124" i="8"/>
  <c r="K52" i="9"/>
  <c r="F40" i="11" s="1"/>
  <c r="X52" i="9"/>
  <c r="B32" i="10" s="1"/>
  <c r="D32" i="10" s="1"/>
  <c r="L32" i="10" s="1"/>
  <c r="B37" i="12" s="1"/>
  <c r="R49" i="13"/>
  <c r="J54" i="9" l="1"/>
  <c r="P54" i="9" s="1"/>
  <c r="Q54" i="9" s="1"/>
  <c r="Y54" i="9" s="1"/>
  <c r="E34" i="10" s="1"/>
  <c r="H34" i="10" s="1"/>
  <c r="N53" i="9"/>
  <c r="H53" i="9"/>
  <c r="D41" i="11"/>
  <c r="I51" i="11"/>
  <c r="V63" i="9"/>
  <c r="Z63" i="9" s="1"/>
  <c r="I43" i="10" s="1"/>
  <c r="K43" i="10" s="1"/>
  <c r="U63" i="9"/>
  <c r="T63" i="9"/>
  <c r="S64" i="9"/>
  <c r="M54" i="9"/>
  <c r="E55" i="9"/>
  <c r="F55" i="9" s="1"/>
  <c r="G55" i="9" s="1"/>
  <c r="E40" i="11"/>
  <c r="C40" i="11"/>
  <c r="B40" i="11"/>
  <c r="AF124" i="8"/>
  <c r="AB124" i="8"/>
  <c r="AG124" i="8"/>
  <c r="AI124" i="8"/>
  <c r="AC124" i="8"/>
  <c r="AM124" i="8" s="1"/>
  <c r="AT124" i="8" s="1"/>
  <c r="C49" i="12" s="1"/>
  <c r="AH124" i="8"/>
  <c r="AE124" i="8"/>
  <c r="AD124" i="8"/>
  <c r="AA125" i="8"/>
  <c r="G39" i="11"/>
  <c r="K39" i="11" s="1"/>
  <c r="D36" i="12" s="1"/>
  <c r="E36" i="12" s="1"/>
  <c r="K53" i="9"/>
  <c r="F41" i="11" s="1"/>
  <c r="X53" i="9"/>
  <c r="B33" i="10" s="1"/>
  <c r="D33" i="10" s="1"/>
  <c r="L33" i="10" s="1"/>
  <c r="B38" i="12" s="1"/>
  <c r="R50" i="13"/>
  <c r="G40" i="11" l="1"/>
  <c r="K40" i="11" s="1"/>
  <c r="D37" i="12" s="1"/>
  <c r="E37" i="12" s="1"/>
  <c r="J55" i="9"/>
  <c r="P55" i="9" s="1"/>
  <c r="Q55" i="9" s="1"/>
  <c r="Y55" i="9" s="1"/>
  <c r="E35" i="10" s="1"/>
  <c r="H35" i="10" s="1"/>
  <c r="AE125" i="8"/>
  <c r="AB125" i="8"/>
  <c r="AD125" i="8"/>
  <c r="AF125" i="8"/>
  <c r="AC125" i="8"/>
  <c r="AM125" i="8" s="1"/>
  <c r="AT125" i="8" s="1"/>
  <c r="C50" i="12" s="1"/>
  <c r="AI125" i="8"/>
  <c r="AH125" i="8"/>
  <c r="AG125" i="8"/>
  <c r="AA126" i="8"/>
  <c r="T64" i="9"/>
  <c r="V64" i="9"/>
  <c r="Z64" i="9" s="1"/>
  <c r="I44" i="10" s="1"/>
  <c r="K44" i="10" s="1"/>
  <c r="U64" i="9"/>
  <c r="I52" i="11"/>
  <c r="S65" i="9"/>
  <c r="E56" i="9"/>
  <c r="F56" i="9" s="1"/>
  <c r="G56" i="9" s="1"/>
  <c r="M55" i="9"/>
  <c r="H54" i="9"/>
  <c r="N54" i="9"/>
  <c r="D42" i="11"/>
  <c r="K54" i="9"/>
  <c r="F42" i="11" s="1"/>
  <c r="C41" i="11"/>
  <c r="B41" i="11"/>
  <c r="E41" i="11"/>
  <c r="X54" i="9"/>
  <c r="B34" i="10" s="1"/>
  <c r="D34" i="10" s="1"/>
  <c r="L34" i="10" s="1"/>
  <c r="B39" i="12" s="1"/>
  <c r="R51" i="13"/>
  <c r="X55" i="9" l="1"/>
  <c r="B35" i="10" s="1"/>
  <c r="D35" i="10" s="1"/>
  <c r="L35" i="10" s="1"/>
  <c r="B40" i="12" s="1"/>
  <c r="J56" i="9"/>
  <c r="P56" i="9" s="1"/>
  <c r="Q56" i="9" s="1"/>
  <c r="Y56" i="9" s="1"/>
  <c r="E36" i="10" s="1"/>
  <c r="H36" i="10" s="1"/>
  <c r="AE126" i="8"/>
  <c r="AI126" i="8"/>
  <c r="AG126" i="8"/>
  <c r="AB126" i="8"/>
  <c r="AC126" i="8"/>
  <c r="AM126" i="8" s="1"/>
  <c r="AT126" i="8" s="1"/>
  <c r="C51" i="12" s="1"/>
  <c r="AH126" i="8"/>
  <c r="AF126" i="8"/>
  <c r="AD126" i="8"/>
  <c r="AA127" i="8"/>
  <c r="G41" i="11"/>
  <c r="K41" i="11" s="1"/>
  <c r="D38" i="12" s="1"/>
  <c r="E38" i="12" s="1"/>
  <c r="C42" i="11"/>
  <c r="B42" i="11"/>
  <c r="E42" i="11"/>
  <c r="H55" i="9"/>
  <c r="D43" i="11"/>
  <c r="N55" i="9"/>
  <c r="K55" i="9"/>
  <c r="F43" i="11" s="1"/>
  <c r="M56" i="9"/>
  <c r="E57" i="9"/>
  <c r="F57" i="9" s="1"/>
  <c r="G57" i="9" s="1"/>
  <c r="U65" i="9"/>
  <c r="I53" i="11"/>
  <c r="V65" i="9"/>
  <c r="Z65" i="9" s="1"/>
  <c r="I45" i="10" s="1"/>
  <c r="K45" i="10" s="1"/>
  <c r="T65" i="9"/>
  <c r="S66" i="9"/>
  <c r="J57" i="9" l="1"/>
  <c r="P57" i="9" s="1"/>
  <c r="Q57" i="9" s="1"/>
  <c r="Y57" i="9" s="1"/>
  <c r="E37" i="10" s="1"/>
  <c r="H37" i="10" s="1"/>
  <c r="AI127" i="8"/>
  <c r="AF127" i="8"/>
  <c r="AH127" i="8"/>
  <c r="AE127" i="8"/>
  <c r="AG127" i="8"/>
  <c r="AB127" i="8"/>
  <c r="AC127" i="8"/>
  <c r="AM127" i="8" s="1"/>
  <c r="AT127" i="8" s="1"/>
  <c r="C52" i="12" s="1"/>
  <c r="AD127" i="8"/>
  <c r="AA128" i="8"/>
  <c r="E43" i="11"/>
  <c r="C43" i="11"/>
  <c r="B43" i="11"/>
  <c r="G42" i="11"/>
  <c r="K42" i="11" s="1"/>
  <c r="D39" i="12" s="1"/>
  <c r="E39" i="12" s="1"/>
  <c r="E58" i="9"/>
  <c r="F58" i="9" s="1"/>
  <c r="G58" i="9" s="1"/>
  <c r="M57" i="9"/>
  <c r="X56" i="9"/>
  <c r="B36" i="10" s="1"/>
  <c r="D36" i="10" s="1"/>
  <c r="L36" i="10" s="1"/>
  <c r="B41" i="12" s="1"/>
  <c r="T66" i="9"/>
  <c r="I54" i="11"/>
  <c r="V66" i="9"/>
  <c r="Z66" i="9" s="1"/>
  <c r="I46" i="10" s="1"/>
  <c r="K46" i="10" s="1"/>
  <c r="U66" i="9"/>
  <c r="S67" i="9"/>
  <c r="N56" i="9"/>
  <c r="D44" i="11"/>
  <c r="H56" i="9"/>
  <c r="K56" i="9"/>
  <c r="F44" i="11" s="1"/>
  <c r="AB128" i="8" l="1"/>
  <c r="AC128" i="8"/>
  <c r="AM128" i="8" s="1"/>
  <c r="AT128" i="8" s="1"/>
  <c r="C53" i="12" s="1"/>
  <c r="AI128" i="8"/>
  <c r="AD128" i="8"/>
  <c r="AH128" i="8"/>
  <c r="AF128" i="8"/>
  <c r="AG128" i="8"/>
  <c r="AE128" i="8"/>
  <c r="AA129" i="8"/>
  <c r="J58" i="9"/>
  <c r="P58" i="9" s="1"/>
  <c r="Q58" i="9" s="1"/>
  <c r="Y58" i="9" s="1"/>
  <c r="E38" i="10" s="1"/>
  <c r="H38" i="10" s="1"/>
  <c r="G43" i="11"/>
  <c r="K43" i="11" s="1"/>
  <c r="D40" i="12" s="1"/>
  <c r="E40" i="12" s="1"/>
  <c r="D45" i="11"/>
  <c r="N57" i="9"/>
  <c r="H57" i="9"/>
  <c r="K57" i="9"/>
  <c r="F45" i="11" s="1"/>
  <c r="E44" i="11"/>
  <c r="C44" i="11"/>
  <c r="B44" i="11"/>
  <c r="I55" i="11"/>
  <c r="U67" i="9"/>
  <c r="V67" i="9"/>
  <c r="Z67" i="9" s="1"/>
  <c r="I47" i="10" s="1"/>
  <c r="K47" i="10" s="1"/>
  <c r="T67" i="9"/>
  <c r="S68" i="9"/>
  <c r="E59" i="9"/>
  <c r="M58" i="9"/>
  <c r="X57" i="9"/>
  <c r="B37" i="10" s="1"/>
  <c r="D37" i="10" s="1"/>
  <c r="L37" i="10" s="1"/>
  <c r="B42" i="12" s="1"/>
  <c r="N58" i="9" l="1"/>
  <c r="D46" i="11"/>
  <c r="H58" i="9"/>
  <c r="K58" i="9"/>
  <c r="F46" i="11" s="1"/>
  <c r="M59" i="9"/>
  <c r="E60" i="9"/>
  <c r="B45" i="11"/>
  <c r="E45" i="11"/>
  <c r="C45" i="11"/>
  <c r="X58" i="9"/>
  <c r="B38" i="10" s="1"/>
  <c r="D38" i="10" s="1"/>
  <c r="L38" i="10" s="1"/>
  <c r="B43" i="12" s="1"/>
  <c r="V68" i="9"/>
  <c r="Z68" i="9" s="1"/>
  <c r="I48" i="10" s="1"/>
  <c r="K48" i="10" s="1"/>
  <c r="U68" i="9"/>
  <c r="T68" i="9"/>
  <c r="I56" i="11"/>
  <c r="S69" i="9"/>
  <c r="AF129" i="8"/>
  <c r="AC129" i="8"/>
  <c r="AM129" i="8" s="1"/>
  <c r="AT129" i="8" s="1"/>
  <c r="C54" i="12" s="1"/>
  <c r="AI129" i="8"/>
  <c r="AE129" i="8"/>
  <c r="AD129" i="8"/>
  <c r="AH129" i="8"/>
  <c r="AB129" i="8"/>
  <c r="AG129" i="8"/>
  <c r="AA130" i="8"/>
  <c r="F59" i="9"/>
  <c r="G59" i="9" s="1"/>
  <c r="G44" i="11"/>
  <c r="K44" i="11" s="1"/>
  <c r="D41" i="12" s="1"/>
  <c r="E41" i="12" s="1"/>
  <c r="J59" i="9" l="1"/>
  <c r="P59" i="9" s="1"/>
  <c r="Q59" i="9" s="1"/>
  <c r="Y59" i="9" s="1"/>
  <c r="E39" i="10" s="1"/>
  <c r="H39" i="10" s="1"/>
  <c r="M60" i="9"/>
  <c r="E61" i="9"/>
  <c r="F61" i="9" s="1"/>
  <c r="G61" i="9" s="1"/>
  <c r="AI130" i="8"/>
  <c r="AI90" i="8" s="1"/>
  <c r="AC130" i="8"/>
  <c r="AE130" i="8"/>
  <c r="AE90" i="8" s="1"/>
  <c r="AB130" i="8"/>
  <c r="AB90" i="8" s="1"/>
  <c r="AD130" i="8"/>
  <c r="AD90" i="8" s="1"/>
  <c r="AH130" i="8"/>
  <c r="AH90" i="8" s="1"/>
  <c r="AF130" i="8"/>
  <c r="AF90" i="8" s="1"/>
  <c r="AG130" i="8"/>
  <c r="AG90" i="8" s="1"/>
  <c r="D47" i="11"/>
  <c r="N59" i="9"/>
  <c r="H59" i="9"/>
  <c r="C46" i="11"/>
  <c r="E46" i="11"/>
  <c r="B46" i="11"/>
  <c r="V69" i="9"/>
  <c r="Z69" i="9" s="1"/>
  <c r="I49" i="10" s="1"/>
  <c r="K49" i="10" s="1"/>
  <c r="I57" i="11"/>
  <c r="T69" i="9"/>
  <c r="U69" i="9"/>
  <c r="S70" i="9"/>
  <c r="G45" i="11"/>
  <c r="K45" i="11" s="1"/>
  <c r="D42" i="12" s="1"/>
  <c r="E42" i="12" s="1"/>
  <c r="F60" i="9"/>
  <c r="G60" i="9" s="1"/>
  <c r="G46" i="11" l="1"/>
  <c r="K46" i="11" s="1"/>
  <c r="D43" i="12" s="1"/>
  <c r="E43" i="12" s="1"/>
  <c r="B47" i="11"/>
  <c r="E47" i="11"/>
  <c r="C47" i="11"/>
  <c r="AM130" i="8"/>
  <c r="AC90" i="8"/>
  <c r="N60" i="9"/>
  <c r="H60" i="9"/>
  <c r="D48" i="11"/>
  <c r="J60" i="9"/>
  <c r="P60" i="9" s="1"/>
  <c r="Q60" i="9" s="1"/>
  <c r="Y60" i="9" s="1"/>
  <c r="E40" i="10" s="1"/>
  <c r="H40" i="10" s="1"/>
  <c r="J61" i="9"/>
  <c r="P61" i="9" s="1"/>
  <c r="Q61" i="9" s="1"/>
  <c r="Y61" i="9" s="1"/>
  <c r="E41" i="10" s="1"/>
  <c r="H41" i="10" s="1"/>
  <c r="K59" i="9"/>
  <c r="F47" i="11" s="1"/>
  <c r="X59" i="9"/>
  <c r="B39" i="10" s="1"/>
  <c r="D39" i="10" s="1"/>
  <c r="L39" i="10" s="1"/>
  <c r="B44" i="12" s="1"/>
  <c r="V70" i="9"/>
  <c r="I58" i="11"/>
  <c r="I18" i="11" s="1"/>
  <c r="T70" i="9"/>
  <c r="T29" i="9" s="1"/>
  <c r="U70" i="9"/>
  <c r="U29" i="9" s="1"/>
  <c r="M61" i="9"/>
  <c r="E62" i="9"/>
  <c r="X60" i="9" l="1"/>
  <c r="B40" i="10" s="1"/>
  <c r="D40" i="10" s="1"/>
  <c r="L40" i="10" s="1"/>
  <c r="B45" i="12" s="1"/>
  <c r="K60" i="9"/>
  <c r="F48" i="11" s="1"/>
  <c r="C48" i="11"/>
  <c r="E48" i="11"/>
  <c r="B48" i="11"/>
  <c r="G47" i="11"/>
  <c r="K47" i="11" s="1"/>
  <c r="D44" i="12" s="1"/>
  <c r="E44" i="12" s="1"/>
  <c r="F62" i="9"/>
  <c r="G62" i="9" s="1"/>
  <c r="E63" i="9"/>
  <c r="F63" i="9" s="1"/>
  <c r="G63" i="9" s="1"/>
  <c r="M62" i="9"/>
  <c r="H61" i="9"/>
  <c r="D49" i="11"/>
  <c r="N61" i="9"/>
  <c r="Z70" i="9"/>
  <c r="V29" i="9"/>
  <c r="K61" i="9"/>
  <c r="F49" i="11" s="1"/>
  <c r="X61" i="9"/>
  <c r="B41" i="10" s="1"/>
  <c r="D41" i="10" s="1"/>
  <c r="L41" i="10" s="1"/>
  <c r="B46" i="12" s="1"/>
  <c r="AM90" i="8"/>
  <c r="AT130" i="8"/>
  <c r="C55" i="12" s="1"/>
  <c r="M63" i="9" l="1"/>
  <c r="E64" i="9"/>
  <c r="F64" i="9" s="1"/>
  <c r="G64" i="9" s="1"/>
  <c r="J62" i="9"/>
  <c r="K62" i="9" s="1"/>
  <c r="F50" i="11" s="1"/>
  <c r="I50" i="10"/>
  <c r="K50" i="10" s="1"/>
  <c r="Z29" i="9"/>
  <c r="J63" i="9"/>
  <c r="C49" i="11"/>
  <c r="B49" i="11"/>
  <c r="E49" i="11"/>
  <c r="N62" i="9"/>
  <c r="H62" i="9"/>
  <c r="D50" i="11"/>
  <c r="G48" i="11"/>
  <c r="K48" i="11" s="1"/>
  <c r="D45" i="12" s="1"/>
  <c r="E45" i="12" s="1"/>
  <c r="G49" i="11" l="1"/>
  <c r="K49" i="11" s="1"/>
  <c r="D46" i="12" s="1"/>
  <c r="E46" i="12" s="1"/>
  <c r="J64" i="9"/>
  <c r="B50" i="11"/>
  <c r="C50" i="11"/>
  <c r="E50" i="11"/>
  <c r="E65" i="9"/>
  <c r="F65" i="9" s="1"/>
  <c r="M64" i="9"/>
  <c r="P63" i="9"/>
  <c r="Q63" i="9" s="1"/>
  <c r="Y63" i="9" s="1"/>
  <c r="E43" i="10" s="1"/>
  <c r="H43" i="10" s="1"/>
  <c r="P62" i="9"/>
  <c r="Q62" i="9" s="1"/>
  <c r="Y62" i="9" s="1"/>
  <c r="E42" i="10" s="1"/>
  <c r="H42" i="10" s="1"/>
  <c r="N63" i="9"/>
  <c r="K63" i="9"/>
  <c r="F51" i="11" s="1"/>
  <c r="D51" i="11"/>
  <c r="H63" i="9"/>
  <c r="G65" i="9" l="1"/>
  <c r="X62" i="9"/>
  <c r="B42" i="10" s="1"/>
  <c r="D42" i="10" s="1"/>
  <c r="L42" i="10" s="1"/>
  <c r="B47" i="12" s="1"/>
  <c r="E51" i="11"/>
  <c r="B51" i="11"/>
  <c r="C51" i="11"/>
  <c r="K64" i="9"/>
  <c r="D52" i="11"/>
  <c r="H64" i="9"/>
  <c r="N64" i="9"/>
  <c r="G50" i="11"/>
  <c r="K50" i="11" s="1"/>
  <c r="D47" i="12" s="1"/>
  <c r="X63" i="9"/>
  <c r="B43" i="10" s="1"/>
  <c r="D43" i="10" s="1"/>
  <c r="L43" i="10" s="1"/>
  <c r="B48" i="12" s="1"/>
  <c r="M65" i="9"/>
  <c r="E66" i="9"/>
  <c r="F66" i="9" s="1"/>
  <c r="P64" i="9"/>
  <c r="Q64" i="9" s="1"/>
  <c r="Y64" i="9" s="1"/>
  <c r="E44" i="10" s="1"/>
  <c r="H44" i="10" s="1"/>
  <c r="E47" i="12" l="1"/>
  <c r="G66" i="9"/>
  <c r="H65" i="9"/>
  <c r="D53" i="11"/>
  <c r="N65" i="9"/>
  <c r="K65" i="9"/>
  <c r="F53" i="11" s="1"/>
  <c r="C52" i="11"/>
  <c r="E52" i="11"/>
  <c r="B52" i="11"/>
  <c r="G51" i="11"/>
  <c r="J65" i="9"/>
  <c r="X64" i="9"/>
  <c r="B44" i="10" s="1"/>
  <c r="D44" i="10" s="1"/>
  <c r="L44" i="10" s="1"/>
  <c r="B49" i="12" s="1"/>
  <c r="M66" i="9"/>
  <c r="E67" i="9"/>
  <c r="F67" i="9" s="1"/>
  <c r="G67" i="9" s="1"/>
  <c r="F52" i="11"/>
  <c r="K66" i="9" l="1"/>
  <c r="N66" i="9"/>
  <c r="H66" i="9"/>
  <c r="D54" i="11"/>
  <c r="K51" i="11"/>
  <c r="D48" i="12" s="1"/>
  <c r="E48" i="12" s="1"/>
  <c r="J67" i="9"/>
  <c r="P67" i="9" s="1"/>
  <c r="Q67" i="9" s="1"/>
  <c r="Y67" i="9" s="1"/>
  <c r="E47" i="10" s="1"/>
  <c r="H47" i="10" s="1"/>
  <c r="G52" i="11"/>
  <c r="E53" i="11"/>
  <c r="B53" i="11"/>
  <c r="C53" i="11"/>
  <c r="E68" i="9"/>
  <c r="M67" i="9"/>
  <c r="P65" i="9"/>
  <c r="J66" i="9"/>
  <c r="P66" i="9" s="1"/>
  <c r="Q66" i="9" s="1"/>
  <c r="Y66" i="9" s="1"/>
  <c r="E46" i="10" s="1"/>
  <c r="H46" i="10" s="1"/>
  <c r="H67" i="9" l="1"/>
  <c r="D55" i="11"/>
  <c r="N67" i="9"/>
  <c r="K67" i="9"/>
  <c r="F55" i="11" s="1"/>
  <c r="G53" i="11"/>
  <c r="X66" i="9"/>
  <c r="B46" i="10" s="1"/>
  <c r="D46" i="10" s="1"/>
  <c r="L46" i="10" s="1"/>
  <c r="B51" i="12" s="1"/>
  <c r="M68" i="9"/>
  <c r="E69" i="9"/>
  <c r="F69" i="9" s="1"/>
  <c r="G69" i="9" s="1"/>
  <c r="X67" i="9"/>
  <c r="B47" i="10" s="1"/>
  <c r="D47" i="10" s="1"/>
  <c r="L47" i="10" s="1"/>
  <c r="B52" i="12" s="1"/>
  <c r="E54" i="11"/>
  <c r="B54" i="11"/>
  <c r="C54" i="11"/>
  <c r="Q65" i="9"/>
  <c r="F68" i="9"/>
  <c r="K52" i="11"/>
  <c r="X65" i="9"/>
  <c r="F54" i="11"/>
  <c r="J69" i="9" l="1"/>
  <c r="P69" i="9" s="1"/>
  <c r="Q69" i="9" s="1"/>
  <c r="Y69" i="9" s="1"/>
  <c r="E49" i="10" s="1"/>
  <c r="H49" i="10" s="1"/>
  <c r="D49" i="12"/>
  <c r="E49" i="12" s="1"/>
  <c r="K68" i="9"/>
  <c r="D56" i="11"/>
  <c r="N68" i="9"/>
  <c r="H68" i="9"/>
  <c r="E55" i="11"/>
  <c r="B55" i="11"/>
  <c r="C55" i="11"/>
  <c r="B45" i="10"/>
  <c r="G68" i="9"/>
  <c r="G54" i="11"/>
  <c r="S53" i="11"/>
  <c r="E46" i="13" s="1"/>
  <c r="K53" i="11"/>
  <c r="D50" i="12" s="1"/>
  <c r="Y65" i="9"/>
  <c r="M69" i="9"/>
  <c r="E70" i="9"/>
  <c r="M70" i="9" s="1"/>
  <c r="X69" i="9" l="1"/>
  <c r="B49" i="10" s="1"/>
  <c r="D49" i="10" s="1"/>
  <c r="L49" i="10" s="1"/>
  <c r="B54" i="12" s="1"/>
  <c r="H70" i="9"/>
  <c r="N70" i="9"/>
  <c r="K70" i="9"/>
  <c r="F58" i="11" s="1"/>
  <c r="D58" i="11"/>
  <c r="D57" i="11"/>
  <c r="N69" i="9"/>
  <c r="H69" i="9"/>
  <c r="K69" i="9"/>
  <c r="F57" i="11" s="1"/>
  <c r="J68" i="9"/>
  <c r="P68" i="9" s="1"/>
  <c r="G55" i="11"/>
  <c r="F56" i="11"/>
  <c r="K68" i="8"/>
  <c r="J67" i="8" s="1"/>
  <c r="F70" i="9"/>
  <c r="E45" i="10"/>
  <c r="K54" i="11"/>
  <c r="D51" i="12" s="1"/>
  <c r="E51" i="12" s="1"/>
  <c r="S54" i="11"/>
  <c r="E47" i="13" s="1"/>
  <c r="D45" i="10"/>
  <c r="B56" i="11"/>
  <c r="E56" i="11"/>
  <c r="C56" i="11"/>
  <c r="F18" i="11" l="1"/>
  <c r="G56" i="11"/>
  <c r="H45" i="10"/>
  <c r="S55" i="11"/>
  <c r="E48" i="13" s="1"/>
  <c r="K55" i="11"/>
  <c r="G70" i="9"/>
  <c r="B58" i="11" s="1"/>
  <c r="F29" i="9"/>
  <c r="J70" i="8"/>
  <c r="J69" i="8"/>
  <c r="Q68" i="9"/>
  <c r="B57" i="11"/>
  <c r="C57" i="11"/>
  <c r="E57" i="11"/>
  <c r="E58" i="11"/>
  <c r="C58" i="11"/>
  <c r="X68" i="9"/>
  <c r="G58" i="11" l="1"/>
  <c r="S58" i="11" s="1"/>
  <c r="E51" i="13" s="1"/>
  <c r="B77" i="8"/>
  <c r="P77" i="8" s="1"/>
  <c r="B18" i="11"/>
  <c r="E18" i="11"/>
  <c r="B48" i="10"/>
  <c r="Y68" i="9"/>
  <c r="J70" i="9"/>
  <c r="J29" i="9" s="1"/>
  <c r="G29" i="9"/>
  <c r="L45" i="10"/>
  <c r="B78" i="8"/>
  <c r="B80" i="8" s="1"/>
  <c r="N77" i="8"/>
  <c r="D52" i="12"/>
  <c r="E52" i="12" s="1"/>
  <c r="C18" i="11"/>
  <c r="G57" i="11"/>
  <c r="S56" i="11"/>
  <c r="E49" i="13" s="1"/>
  <c r="K56" i="11"/>
  <c r="D53" i="12" s="1"/>
  <c r="O77" i="8" l="1"/>
  <c r="W77" i="8" s="1"/>
  <c r="G18" i="11"/>
  <c r="K58" i="11"/>
  <c r="D55" i="12" s="1"/>
  <c r="P70" i="9"/>
  <c r="P29" i="9" s="1"/>
  <c r="K57" i="11"/>
  <c r="D54" i="12" s="1"/>
  <c r="E54" i="12" s="1"/>
  <c r="S57" i="11"/>
  <c r="E50" i="13" s="1"/>
  <c r="V77" i="8"/>
  <c r="E48" i="10"/>
  <c r="B50" i="12"/>
  <c r="D48" i="10"/>
  <c r="X70" i="9" l="1"/>
  <c r="B50" i="10" s="1"/>
  <c r="Q70" i="9"/>
  <c r="Y70" i="9" s="1"/>
  <c r="D14" i="12"/>
  <c r="K18" i="11"/>
  <c r="U94" i="8"/>
  <c r="U96" i="8"/>
  <c r="Z77" i="8"/>
  <c r="E50" i="12"/>
  <c r="H48" i="10"/>
  <c r="U95" i="8"/>
  <c r="U97" i="8"/>
  <c r="X29" i="9" l="1"/>
  <c r="Q29" i="9"/>
  <c r="AP97" i="8"/>
  <c r="V97" i="8"/>
  <c r="AQ97" i="8" s="1"/>
  <c r="D50" i="10"/>
  <c r="D8" i="10" s="1"/>
  <c r="B8" i="10"/>
  <c r="V95" i="8"/>
  <c r="AQ95" i="8" s="1"/>
  <c r="AP95" i="8"/>
  <c r="L48" i="10"/>
  <c r="AP96" i="8"/>
  <c r="V96" i="8"/>
  <c r="AQ96" i="8" s="1"/>
  <c r="E50" i="10"/>
  <c r="Y29" i="9"/>
  <c r="AP94" i="8"/>
  <c r="U90" i="8"/>
  <c r="V94" i="8"/>
  <c r="X94" i="8" s="1"/>
  <c r="X96" i="8" l="1"/>
  <c r="AS96" i="8" s="1"/>
  <c r="AT96" i="8" s="1"/>
  <c r="C21" i="12" s="1"/>
  <c r="E21" i="12" s="1"/>
  <c r="X95" i="8"/>
  <c r="AS95" i="8" s="1"/>
  <c r="AT95" i="8" s="1"/>
  <c r="C20" i="12" s="1"/>
  <c r="E20" i="12" s="1"/>
  <c r="Y94" i="8"/>
  <c r="AP90" i="8"/>
  <c r="B53" i="12"/>
  <c r="AS94" i="8"/>
  <c r="X97" i="8"/>
  <c r="AS97" i="8" s="1"/>
  <c r="AT97" i="8" s="1"/>
  <c r="C22" i="12" s="1"/>
  <c r="E22" i="12" s="1"/>
  <c r="V90" i="8"/>
  <c r="AQ94" i="8"/>
  <c r="AQ90" i="8" s="1"/>
  <c r="H50" i="10"/>
  <c r="E8" i="10"/>
  <c r="Y96" i="8" l="1"/>
  <c r="Y95" i="8"/>
  <c r="AS90" i="8"/>
  <c r="Y97" i="8"/>
  <c r="L50" i="10"/>
  <c r="H8" i="10"/>
  <c r="E53" i="12"/>
  <c r="AT94" i="8"/>
  <c r="X90" i="8"/>
  <c r="Y90" i="8" l="1"/>
  <c r="C19" i="12"/>
  <c r="AT90" i="8"/>
  <c r="B55" i="12"/>
  <c r="L8" i="10"/>
  <c r="E55" i="12" l="1"/>
  <c r="B14" i="12"/>
  <c r="C14" i="12"/>
  <c r="E19" i="12"/>
  <c r="F19" i="12" l="1"/>
  <c r="E14" i="12"/>
  <c r="F20" i="12" l="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B4" i="12" l="1"/>
  <c r="AL31" i="13" s="1"/>
  <c r="AG15" i="13" l="1"/>
  <c r="AL32" i="13"/>
  <c r="G32" i="12"/>
  <c r="K32" i="12" s="1"/>
  <c r="H26" i="22" s="1"/>
  <c r="H29" i="12"/>
  <c r="AX104" i="8" s="1"/>
  <c r="G11" i="14"/>
  <c r="F13" i="14" s="1"/>
  <c r="G13" i="14" s="1"/>
  <c r="K48" i="13"/>
  <c r="AG49" i="13"/>
  <c r="AG23" i="13"/>
  <c r="C4" i="12"/>
  <c r="C37" i="13" s="1"/>
  <c r="AL21" i="13"/>
  <c r="AL37" i="13"/>
  <c r="G35" i="12"/>
  <c r="F31" i="13" s="1"/>
  <c r="AG46" i="13"/>
  <c r="H21" i="12"/>
  <c r="AZ96" i="8" s="1"/>
  <c r="BS96" i="8" s="1"/>
  <c r="G34" i="12"/>
  <c r="F30" i="13" s="1"/>
  <c r="AL45" i="13"/>
  <c r="G33" i="12"/>
  <c r="H27" i="16" s="1"/>
  <c r="H37" i="12"/>
  <c r="O32" i="10" s="1"/>
  <c r="AG33" i="13"/>
  <c r="G37" i="12"/>
  <c r="H31" i="16" s="1"/>
  <c r="G38" i="12"/>
  <c r="H32" i="16" s="1"/>
  <c r="AL39" i="13"/>
  <c r="H16" i="12"/>
  <c r="AW91" i="8" s="1"/>
  <c r="AL49" i="13"/>
  <c r="AL27" i="13"/>
  <c r="G43" i="12"/>
  <c r="K47" i="13"/>
  <c r="M47" i="13" s="1"/>
  <c r="AL46" i="13"/>
  <c r="K51" i="13"/>
  <c r="N51" i="13" s="1"/>
  <c r="G27" i="12"/>
  <c r="K27" i="12" s="1"/>
  <c r="H21" i="22" s="1"/>
  <c r="G36" i="12"/>
  <c r="H30" i="16" s="1"/>
  <c r="G42" i="12"/>
  <c r="H36" i="16" s="1"/>
  <c r="B6" i="12"/>
  <c r="G17" i="12" s="1"/>
  <c r="K17" i="12" s="1"/>
  <c r="H11" i="22" s="1"/>
  <c r="H40" i="12"/>
  <c r="P35" i="10" s="1"/>
  <c r="AL50" i="13"/>
  <c r="H18" i="12"/>
  <c r="AM33" i="9" s="1"/>
  <c r="AG24" i="13"/>
  <c r="H31" i="12"/>
  <c r="AX106" i="8" s="1"/>
  <c r="AG31" i="13"/>
  <c r="G23" i="12"/>
  <c r="H17" i="16" s="1"/>
  <c r="AG30" i="13"/>
  <c r="AL23" i="13"/>
  <c r="H39" i="12"/>
  <c r="BA114" i="8" s="1"/>
  <c r="BT114" i="8" s="1"/>
  <c r="AL33" i="13"/>
  <c r="G44" i="12"/>
  <c r="F40" i="13" s="1"/>
  <c r="AL26" i="13"/>
  <c r="AG39" i="13"/>
  <c r="AL19" i="13"/>
  <c r="H43" i="12"/>
  <c r="BC118" i="8" s="1"/>
  <c r="BV118" i="8" s="1"/>
  <c r="G54" i="12"/>
  <c r="F50" i="13" s="1"/>
  <c r="G28" i="12"/>
  <c r="K28" i="12" s="1"/>
  <c r="H22" i="22" s="1"/>
  <c r="H53" i="12"/>
  <c r="BD128" i="8" s="1"/>
  <c r="BW128" i="8" s="1"/>
  <c r="AG51" i="13"/>
  <c r="H36" i="12"/>
  <c r="AM51" i="9" s="1"/>
  <c r="AG40" i="13"/>
  <c r="AG45" i="13"/>
  <c r="K12" i="13"/>
  <c r="N12" i="13" s="1"/>
  <c r="H52" i="12"/>
  <c r="BD127" i="8" s="1"/>
  <c r="BW127" i="8" s="1"/>
  <c r="AG38" i="13"/>
  <c r="AG35" i="13"/>
  <c r="AL36" i="13"/>
  <c r="G20" i="12"/>
  <c r="H14" i="16" s="1"/>
  <c r="H44" i="12"/>
  <c r="M47" i="11" s="1"/>
  <c r="AG18" i="13"/>
  <c r="G40" i="12"/>
  <c r="H34" i="16" s="1"/>
  <c r="AL38" i="13"/>
  <c r="H33" i="12"/>
  <c r="BC108" i="8" s="1"/>
  <c r="BV108" i="8" s="1"/>
  <c r="G48" i="12"/>
  <c r="H42" i="16" s="1"/>
  <c r="AL20" i="13"/>
  <c r="H27" i="12"/>
  <c r="BC102" i="8" s="1"/>
  <c r="BV102" i="8" s="1"/>
  <c r="G16" i="12"/>
  <c r="H10" i="16" s="1"/>
  <c r="G31" i="12"/>
  <c r="F27" i="13" s="1"/>
  <c r="H55" i="12"/>
  <c r="AM70" i="9" s="1"/>
  <c r="H49" i="12"/>
  <c r="BD124" i="8" s="1"/>
  <c r="BW124" i="8" s="1"/>
  <c r="K50" i="13"/>
  <c r="N50" i="13" s="1"/>
  <c r="A11" i="16"/>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H32" i="12"/>
  <c r="BC107" i="8" s="1"/>
  <c r="BV107" i="8" s="1"/>
  <c r="G10" i="15"/>
  <c r="F11" i="15" s="1"/>
  <c r="G11" i="15" s="1"/>
  <c r="F12" i="15" s="1"/>
  <c r="B7" i="12"/>
  <c r="K5" i="15" s="1"/>
  <c r="K10" i="15" s="1"/>
  <c r="J11" i="15" s="1"/>
  <c r="K11" i="15" s="1"/>
  <c r="J12" i="15" s="1"/>
  <c r="K12" i="15" s="1"/>
  <c r="J13" i="15" s="1"/>
  <c r="K13" i="15" s="1"/>
  <c r="J14" i="15" s="1"/>
  <c r="K14" i="15" s="1"/>
  <c r="J15" i="15" s="1"/>
  <c r="K15" i="15" s="1"/>
  <c r="J16" i="15" s="1"/>
  <c r="AL40" i="13"/>
  <c r="H28" i="12"/>
  <c r="AC43" i="9" s="1"/>
  <c r="AH43" i="9" s="1"/>
  <c r="G49" i="12"/>
  <c r="H26" i="12"/>
  <c r="AX101" i="8" s="1"/>
  <c r="AL29" i="13"/>
  <c r="H35" i="12"/>
  <c r="M38" i="11" s="1"/>
  <c r="AG29" i="13"/>
  <c r="AG25" i="13"/>
  <c r="G30" i="12"/>
  <c r="H24" i="16" s="1"/>
  <c r="AL12" i="13"/>
  <c r="AM12" i="13" s="1"/>
  <c r="L10" i="22" s="1"/>
  <c r="AL22" i="13"/>
  <c r="AL48" i="13"/>
  <c r="G24" i="12"/>
  <c r="H18" i="16" s="1"/>
  <c r="AG42" i="13"/>
  <c r="AG37" i="13"/>
  <c r="G29" i="12"/>
  <c r="K29" i="12" s="1"/>
  <c r="H23" i="22" s="1"/>
  <c r="AG17" i="13"/>
  <c r="AG12" i="13"/>
  <c r="A11" i="22"/>
  <c r="BQ11" i="22" s="1"/>
  <c r="AL44" i="13"/>
  <c r="H34" i="12"/>
  <c r="AK49" i="9" s="1"/>
  <c r="G21" i="12"/>
  <c r="H15" i="16" s="1"/>
  <c r="AL35" i="13"/>
  <c r="AG47" i="13"/>
  <c r="H38" i="12"/>
  <c r="AK53" i="9" s="1"/>
  <c r="G25" i="12"/>
  <c r="H19" i="16" s="1"/>
  <c r="AG22" i="13"/>
  <c r="AG44" i="13"/>
  <c r="AL34" i="13"/>
  <c r="H17" i="12"/>
  <c r="O12" i="10" s="1"/>
  <c r="AG32" i="13"/>
  <c r="G22" i="12"/>
  <c r="F18" i="13" s="1"/>
  <c r="F19" i="5"/>
  <c r="H12" i="2" s="1"/>
  <c r="G46" i="12"/>
  <c r="K46" i="12" s="1"/>
  <c r="H40" i="22" s="1"/>
  <c r="H30" i="12"/>
  <c r="BC105" i="8" s="1"/>
  <c r="BV105" i="8" s="1"/>
  <c r="G52" i="12"/>
  <c r="H46" i="16" s="1"/>
  <c r="AG28" i="13"/>
  <c r="H50" i="12"/>
  <c r="AD65" i="9" s="1"/>
  <c r="AI65" i="9" s="1"/>
  <c r="H47" i="12"/>
  <c r="M50" i="11" s="1"/>
  <c r="AL42" i="13"/>
  <c r="H22" i="12"/>
  <c r="P17" i="10" s="1"/>
  <c r="G18" i="12"/>
  <c r="H12" i="16" s="1"/>
  <c r="G53" i="12"/>
  <c r="AG14" i="13"/>
  <c r="G12" i="14"/>
  <c r="F14" i="14" s="1"/>
  <c r="G14" i="14" s="1"/>
  <c r="AG36" i="13"/>
  <c r="AG21" i="13"/>
  <c r="H41" i="12"/>
  <c r="M44" i="11" s="1"/>
  <c r="AL18" i="13"/>
  <c r="G51" i="12"/>
  <c r="K51" i="12" s="1"/>
  <c r="H45" i="22" s="1"/>
  <c r="K49" i="13"/>
  <c r="N49" i="13" s="1"/>
  <c r="AL24" i="13"/>
  <c r="AG50" i="13"/>
  <c r="H42" i="12"/>
  <c r="BB117" i="8" s="1"/>
  <c r="BU117" i="8" s="1"/>
  <c r="H25" i="12"/>
  <c r="AB40" i="9" s="1"/>
  <c r="AG40" i="9" s="1"/>
  <c r="G55" i="12"/>
  <c r="H49" i="16" s="1"/>
  <c r="AG26" i="13"/>
  <c r="AL28" i="13"/>
  <c r="K44" i="13"/>
  <c r="N44" i="13" s="1"/>
  <c r="H19" i="12"/>
  <c r="AZ94" i="8" s="1"/>
  <c r="BS94" i="8" s="1"/>
  <c r="AL25" i="13"/>
  <c r="AL47" i="13"/>
  <c r="H54" i="12"/>
  <c r="AZ129" i="8" s="1"/>
  <c r="BS129" i="8" s="1"/>
  <c r="H20" i="12"/>
  <c r="AL35" i="9" s="1"/>
  <c r="G19" i="12"/>
  <c r="F15" i="13" s="1"/>
  <c r="G41" i="12"/>
  <c r="K41" i="12" s="1"/>
  <c r="H35" i="22" s="1"/>
  <c r="AL17" i="13"/>
  <c r="G50" i="12"/>
  <c r="H44" i="16" s="1"/>
  <c r="AL51" i="13"/>
  <c r="AG27" i="13"/>
  <c r="G26" i="12"/>
  <c r="AL30" i="13"/>
  <c r="AG34" i="13"/>
  <c r="H24" i="12"/>
  <c r="AC39" i="9" s="1"/>
  <c r="AH39" i="9" s="1"/>
  <c r="AG16" i="13"/>
  <c r="AG19" i="13"/>
  <c r="AG48" i="13"/>
  <c r="H45" i="12"/>
  <c r="AM60" i="9" s="1"/>
  <c r="H46" i="12"/>
  <c r="N41" i="10" s="1"/>
  <c r="AG20" i="13"/>
  <c r="H51" i="12"/>
  <c r="M54" i="11" s="1"/>
  <c r="G39" i="12"/>
  <c r="H33" i="16" s="1"/>
  <c r="H48" i="12"/>
  <c r="AW123" i="8" s="1"/>
  <c r="K45" i="13"/>
  <c r="M45" i="13" s="1"/>
  <c r="H23" i="12"/>
  <c r="BB98" i="8" s="1"/>
  <c r="BU98" i="8" s="1"/>
  <c r="AL14" i="13"/>
  <c r="AM14" i="13" s="1"/>
  <c r="L12" i="22" s="1"/>
  <c r="K46" i="13"/>
  <c r="M46" i="13" s="1"/>
  <c r="AL15" i="13"/>
  <c r="AM15" i="13" s="1"/>
  <c r="L13" i="16" s="1"/>
  <c r="AL16" i="13"/>
  <c r="C17" i="13"/>
  <c r="AG13" i="13"/>
  <c r="AD31" i="9" l="1"/>
  <c r="AI31" i="9" s="1"/>
  <c r="G47" i="12"/>
  <c r="C41" i="15" s="1"/>
  <c r="M29" i="11"/>
  <c r="I20" i="16" s="1"/>
  <c r="AZ107" i="8"/>
  <c r="BS107" i="8" s="1"/>
  <c r="H38" i="16"/>
  <c r="C31" i="13"/>
  <c r="AD70" i="9"/>
  <c r="AI70" i="9" s="1"/>
  <c r="AC58" i="9"/>
  <c r="AH58" i="9" s="1"/>
  <c r="BB110" i="8"/>
  <c r="BU110" i="8" s="1"/>
  <c r="F51" i="13"/>
  <c r="O14" i="10"/>
  <c r="C13" i="16" s="1"/>
  <c r="AD57" i="9"/>
  <c r="AI57" i="9" s="1"/>
  <c r="O23" i="10"/>
  <c r="C22" i="16" s="1"/>
  <c r="AD50" i="9"/>
  <c r="AI50" i="9" s="1"/>
  <c r="C14" i="13"/>
  <c r="H11" i="16"/>
  <c r="BD110" i="8"/>
  <c r="BW110" i="8" s="1"/>
  <c r="AL43" i="9"/>
  <c r="BD107" i="8"/>
  <c r="BW107" i="8" s="1"/>
  <c r="C29" i="13"/>
  <c r="K21" i="12"/>
  <c r="H15" i="22" s="1"/>
  <c r="F13" i="13"/>
  <c r="P40" i="10"/>
  <c r="D39" i="16" s="1"/>
  <c r="AZ110" i="8"/>
  <c r="BS110" i="8" s="1"/>
  <c r="AL50" i="9"/>
  <c r="AW103" i="8"/>
  <c r="BG103" i="8" s="1"/>
  <c r="P23" i="10"/>
  <c r="U23" i="10" s="1"/>
  <c r="D22" i="22" s="1"/>
  <c r="AC47" i="9"/>
  <c r="AH47" i="9" s="1"/>
  <c r="AY130" i="8"/>
  <c r="BR130" i="8" s="1"/>
  <c r="C48" i="13"/>
  <c r="C32" i="13"/>
  <c r="AX117" i="8"/>
  <c r="BQ117" i="8" s="1"/>
  <c r="AB50" i="9"/>
  <c r="AG50" i="9" s="1"/>
  <c r="M31" i="11"/>
  <c r="I22" i="16" s="1"/>
  <c r="BA130" i="8"/>
  <c r="G49" i="16" s="1"/>
  <c r="F34" i="13"/>
  <c r="BC110" i="8"/>
  <c r="BV110" i="8" s="1"/>
  <c r="AC50" i="9"/>
  <c r="AH50" i="9" s="1"/>
  <c r="P30" i="10"/>
  <c r="U30" i="10" s="1"/>
  <c r="D29" i="22" s="1"/>
  <c r="AK43" i="9"/>
  <c r="AC70" i="9"/>
  <c r="AH70" i="9" s="1"/>
  <c r="N45" i="10"/>
  <c r="B44" i="16" s="1"/>
  <c r="C13" i="13"/>
  <c r="AW95" i="8"/>
  <c r="BP95" i="8" s="1"/>
  <c r="BD116" i="8"/>
  <c r="BW116" i="8" s="1"/>
  <c r="M50" i="13"/>
  <c r="M19" i="11"/>
  <c r="P19" i="11" s="1"/>
  <c r="O44" i="10"/>
  <c r="C43" i="16" s="1"/>
  <c r="BD121" i="8"/>
  <c r="BW121" i="8" s="1"/>
  <c r="M13" i="15"/>
  <c r="M55" i="11"/>
  <c r="I46" i="16" s="1"/>
  <c r="AB42" i="9"/>
  <c r="AG42" i="9" s="1"/>
  <c r="N43" i="10"/>
  <c r="B42" i="16" s="1"/>
  <c r="AC62" i="9"/>
  <c r="AH62" i="9" s="1"/>
  <c r="N45" i="13"/>
  <c r="N47" i="13"/>
  <c r="L50" i="13"/>
  <c r="AY91" i="8"/>
  <c r="BR91" i="8" s="1"/>
  <c r="AC41" i="9"/>
  <c r="AH41" i="9" s="1"/>
  <c r="BB114" i="8"/>
  <c r="BU114" i="8" s="1"/>
  <c r="AK59" i="9"/>
  <c r="AB31" i="9"/>
  <c r="AG31" i="9" s="1"/>
  <c r="BC91" i="8"/>
  <c r="BV91" i="8" s="1"/>
  <c r="AZ101" i="8"/>
  <c r="BS101" i="8" s="1"/>
  <c r="F32" i="13"/>
  <c r="AK54" i="9"/>
  <c r="BA99" i="8"/>
  <c r="BT99" i="8" s="1"/>
  <c r="BC120" i="8"/>
  <c r="BV120" i="8" s="1"/>
  <c r="BD99" i="8"/>
  <c r="BW99" i="8" s="1"/>
  <c r="O40" i="10"/>
  <c r="T40" i="10" s="1"/>
  <c r="C39" i="22" s="1"/>
  <c r="BC94" i="8"/>
  <c r="BV94" i="8" s="1"/>
  <c r="AM48" i="9"/>
  <c r="L13" i="22"/>
  <c r="N11" i="10"/>
  <c r="S11" i="10" s="1"/>
  <c r="AM31" i="9"/>
  <c r="L47" i="13"/>
  <c r="K55" i="12"/>
  <c r="H49" i="22" s="1"/>
  <c r="AD41" i="9"/>
  <c r="AI41" i="9" s="1"/>
  <c r="BA101" i="8"/>
  <c r="BT101" i="8" s="1"/>
  <c r="K34" i="12"/>
  <c r="H28" i="22" s="1"/>
  <c r="N15" i="10"/>
  <c r="S15" i="10" s="1"/>
  <c r="M42" i="11"/>
  <c r="C33" i="15" s="1"/>
  <c r="F24" i="13"/>
  <c r="BB116" i="8"/>
  <c r="G35" i="16" s="1"/>
  <c r="BB119" i="8"/>
  <c r="BU119" i="8" s="1"/>
  <c r="L45" i="13"/>
  <c r="K52" i="12"/>
  <c r="H46" i="22" s="1"/>
  <c r="X11" i="10"/>
  <c r="BA91" i="8"/>
  <c r="BT91" i="8" s="1"/>
  <c r="AK31" i="9"/>
  <c r="X21" i="10"/>
  <c r="AY101" i="8"/>
  <c r="BR101" i="8" s="1"/>
  <c r="H28" i="16"/>
  <c r="M23" i="11"/>
  <c r="C15" i="14" s="1"/>
  <c r="BC114" i="8"/>
  <c r="BV114" i="8" s="1"/>
  <c r="H26" i="16"/>
  <c r="AZ108" i="8"/>
  <c r="BS108" i="8" s="1"/>
  <c r="BB101" i="8"/>
  <c r="BU101" i="8" s="1"/>
  <c r="AL41" i="9"/>
  <c r="K36" i="12"/>
  <c r="H30" i="22" s="1"/>
  <c r="O15" i="10"/>
  <c r="T15" i="10" s="1"/>
  <c r="C14" i="22" s="1"/>
  <c r="BD95" i="8"/>
  <c r="BW95" i="8" s="1"/>
  <c r="AZ95" i="8"/>
  <c r="BS95" i="8" s="1"/>
  <c r="AB34" i="9"/>
  <c r="AG34" i="9" s="1"/>
  <c r="BB94" i="8"/>
  <c r="BU94" i="8" s="1"/>
  <c r="F25" i="13"/>
  <c r="AY114" i="8"/>
  <c r="BR114" i="8" s="1"/>
  <c r="AW114" i="8"/>
  <c r="BG114" i="8" s="1"/>
  <c r="AB54" i="9"/>
  <c r="AG54" i="9" s="1"/>
  <c r="N34" i="10"/>
  <c r="S34" i="10" s="1"/>
  <c r="AX114" i="8"/>
  <c r="BQ114" i="8" s="1"/>
  <c r="F28" i="13"/>
  <c r="AC56" i="9"/>
  <c r="AH56" i="9" s="1"/>
  <c r="O36" i="10"/>
  <c r="C35" i="16" s="1"/>
  <c r="H16" i="16"/>
  <c r="AK48" i="9"/>
  <c r="AC59" i="9"/>
  <c r="AH59" i="9" s="1"/>
  <c r="BC119" i="8"/>
  <c r="BV119" i="8" s="1"/>
  <c r="M14" i="14"/>
  <c r="F48" i="13"/>
  <c r="BD91" i="8"/>
  <c r="BW91" i="8" s="1"/>
  <c r="AL31" i="9"/>
  <c r="O11" i="10"/>
  <c r="C10" i="16" s="1"/>
  <c r="P11" i="10"/>
  <c r="U11" i="10" s="1"/>
  <c r="AX91" i="8"/>
  <c r="BQ91" i="8" s="1"/>
  <c r="AW101" i="8"/>
  <c r="BP101" i="8" s="1"/>
  <c r="AK41" i="9"/>
  <c r="N21" i="10"/>
  <c r="B20" i="16" s="1"/>
  <c r="AM41" i="9"/>
  <c r="P21" i="10"/>
  <c r="D20" i="16" s="1"/>
  <c r="K5" i="14"/>
  <c r="K11" i="14" s="1"/>
  <c r="J12" i="14" s="1"/>
  <c r="K12" i="14" s="1"/>
  <c r="J13" i="14" s="1"/>
  <c r="K13" i="14" s="1"/>
  <c r="J14" i="14" s="1"/>
  <c r="K14" i="14" s="1"/>
  <c r="J15" i="14" s="1"/>
  <c r="K15" i="14" s="1"/>
  <c r="J16" i="14" s="1"/>
  <c r="K16" i="14" s="1"/>
  <c r="J17" i="14" s="1"/>
  <c r="K17" i="14" s="1"/>
  <c r="J18" i="14" s="1"/>
  <c r="K18" i="14" s="1"/>
  <c r="J19" i="14" s="1"/>
  <c r="K19" i="14" s="1"/>
  <c r="J20" i="14" s="1"/>
  <c r="K20" i="14" s="1"/>
  <c r="J21" i="14" s="1"/>
  <c r="K50" i="12"/>
  <c r="H44" i="22" s="1"/>
  <c r="X15" i="10"/>
  <c r="AM35" i="9"/>
  <c r="AW94" i="8"/>
  <c r="BP94" i="8" s="1"/>
  <c r="N14" i="10"/>
  <c r="S14" i="10" s="1"/>
  <c r="AD34" i="9"/>
  <c r="AI34" i="9" s="1"/>
  <c r="H23" i="16"/>
  <c r="O34" i="10"/>
  <c r="T34" i="10" s="1"/>
  <c r="C33" i="22" s="1"/>
  <c r="AD54" i="9"/>
  <c r="AI54" i="9" s="1"/>
  <c r="AM54" i="9"/>
  <c r="AZ114" i="8"/>
  <c r="BS114" i="8" s="1"/>
  <c r="BD114" i="8"/>
  <c r="BW114" i="8" s="1"/>
  <c r="H22" i="16"/>
  <c r="AX116" i="8"/>
  <c r="BQ116" i="8" s="1"/>
  <c r="K16" i="12"/>
  <c r="H10" i="22" s="1"/>
  <c r="AD48" i="9"/>
  <c r="AI48" i="9" s="1"/>
  <c r="AB48" i="9"/>
  <c r="AG48" i="9" s="1"/>
  <c r="AY119" i="8"/>
  <c r="BR119" i="8" s="1"/>
  <c r="AZ119" i="8"/>
  <c r="BS119" i="8" s="1"/>
  <c r="AZ91" i="8"/>
  <c r="BS91" i="8" s="1"/>
  <c r="BB91" i="8"/>
  <c r="AC31" i="9"/>
  <c r="AH31" i="9" s="1"/>
  <c r="BC101" i="8"/>
  <c r="BV101" i="8" s="1"/>
  <c r="BD101" i="8"/>
  <c r="BW101" i="8" s="1"/>
  <c r="AB41" i="9"/>
  <c r="AG41" i="9" s="1"/>
  <c r="O21" i="10"/>
  <c r="C20" i="16" s="1"/>
  <c r="F46" i="13"/>
  <c r="AK35" i="9"/>
  <c r="BB95" i="8"/>
  <c r="BU95" i="8" s="1"/>
  <c r="M22" i="11"/>
  <c r="C13" i="15" s="1"/>
  <c r="AK34" i="9"/>
  <c r="AC54" i="9"/>
  <c r="AH54" i="9" s="1"/>
  <c r="AL54" i="9"/>
  <c r="X34" i="10"/>
  <c r="P34" i="10"/>
  <c r="U34" i="10" s="1"/>
  <c r="D33" i="22" s="1"/>
  <c r="X36" i="10"/>
  <c r="K22" i="12"/>
  <c r="H16" i="22" s="1"/>
  <c r="BA108" i="8"/>
  <c r="BT108" i="8" s="1"/>
  <c r="X39" i="10"/>
  <c r="AW119" i="8"/>
  <c r="BP119" i="8" s="1"/>
  <c r="F21" i="13"/>
  <c r="C24" i="13"/>
  <c r="C11" i="13"/>
  <c r="H11" i="13" s="1"/>
  <c r="I11" i="13" s="1"/>
  <c r="P11" i="13" s="1"/>
  <c r="P15" i="10"/>
  <c r="D14" i="16" s="1"/>
  <c r="BC95" i="8"/>
  <c r="BV95" i="8" s="1"/>
  <c r="AC35" i="9"/>
  <c r="AH35" i="9" s="1"/>
  <c r="AB35" i="9"/>
  <c r="AG35" i="9" s="1"/>
  <c r="BA94" i="8"/>
  <c r="BT94" i="8" s="1"/>
  <c r="AX94" i="8"/>
  <c r="BQ94" i="8" s="1"/>
  <c r="AM34" i="9"/>
  <c r="AY94" i="8"/>
  <c r="BR94" i="8" s="1"/>
  <c r="AL34" i="9"/>
  <c r="N36" i="10"/>
  <c r="B35" i="16" s="1"/>
  <c r="P36" i="10"/>
  <c r="D35" i="16" s="1"/>
  <c r="BC116" i="8"/>
  <c r="BV116" i="8" s="1"/>
  <c r="BA116" i="8"/>
  <c r="BT116" i="8" s="1"/>
  <c r="F12" i="13"/>
  <c r="N28" i="10"/>
  <c r="S28" i="10" s="1"/>
  <c r="AL48" i="9"/>
  <c r="AC48" i="9"/>
  <c r="AH48" i="9" s="1"/>
  <c r="AW108" i="8"/>
  <c r="BP108" i="8" s="1"/>
  <c r="BA119" i="8"/>
  <c r="G38" i="16" s="1"/>
  <c r="AD59" i="9"/>
  <c r="AI59" i="9" s="1"/>
  <c r="P39" i="10"/>
  <c r="U39" i="10" s="1"/>
  <c r="D38" i="22" s="1"/>
  <c r="BA95" i="8"/>
  <c r="BT95" i="8" s="1"/>
  <c r="AX95" i="8"/>
  <c r="BQ95" i="8" s="1"/>
  <c r="AD35" i="9"/>
  <c r="AI35" i="9" s="1"/>
  <c r="AY95" i="8"/>
  <c r="BR95" i="8" s="1"/>
  <c r="AC34" i="9"/>
  <c r="AH34" i="9" s="1"/>
  <c r="X14" i="10"/>
  <c r="BD94" i="8"/>
  <c r="BW94" i="8" s="1"/>
  <c r="P14" i="10"/>
  <c r="AW116" i="8"/>
  <c r="BG116" i="8" s="1"/>
  <c r="AY116" i="8"/>
  <c r="BR116" i="8" s="1"/>
  <c r="AD56" i="9"/>
  <c r="AI56" i="9" s="1"/>
  <c r="AM56" i="9"/>
  <c r="BD108" i="8"/>
  <c r="BW108" i="8" s="1"/>
  <c r="BB108" i="8"/>
  <c r="BU108" i="8" s="1"/>
  <c r="AY108" i="8"/>
  <c r="BR108" i="8" s="1"/>
  <c r="M36" i="11"/>
  <c r="P36" i="11" s="1"/>
  <c r="I27" i="22" s="1"/>
  <c r="AX119" i="8"/>
  <c r="AM59" i="9"/>
  <c r="AB59" i="9"/>
  <c r="AG59" i="9" s="1"/>
  <c r="BC109" i="8"/>
  <c r="BV109" i="8" s="1"/>
  <c r="AW125" i="8"/>
  <c r="BP125" i="8" s="1"/>
  <c r="F19" i="13"/>
  <c r="BC98" i="8"/>
  <c r="BV98" i="8" s="1"/>
  <c r="BA93" i="8"/>
  <c r="BT93" i="8" s="1"/>
  <c r="N48" i="10"/>
  <c r="S48" i="10" s="1"/>
  <c r="AZ104" i="8"/>
  <c r="BS104" i="8" s="1"/>
  <c r="M51" i="13"/>
  <c r="M12" i="13"/>
  <c r="BD126" i="8"/>
  <c r="BW126" i="8" s="1"/>
  <c r="M11" i="14"/>
  <c r="AB65" i="9"/>
  <c r="AG65" i="9" s="1"/>
  <c r="AZ118" i="8"/>
  <c r="BS118" i="8" s="1"/>
  <c r="M20" i="11"/>
  <c r="P20" i="11" s="1"/>
  <c r="I11" i="22" s="1"/>
  <c r="BD98" i="8"/>
  <c r="BW98" i="8" s="1"/>
  <c r="N29" i="10"/>
  <c r="S29" i="10" s="1"/>
  <c r="BB109" i="8"/>
  <c r="BU109" i="8" s="1"/>
  <c r="F26" i="13"/>
  <c r="K42" i="12"/>
  <c r="H36" i="22" s="1"/>
  <c r="AY93" i="8"/>
  <c r="BR93" i="8" s="1"/>
  <c r="AX128" i="8"/>
  <c r="BQ128" i="8" s="1"/>
  <c r="BB104" i="8"/>
  <c r="BU104" i="8" s="1"/>
  <c r="AM66" i="9"/>
  <c r="AX109" i="8"/>
  <c r="BQ109" i="8" s="1"/>
  <c r="F44" i="13"/>
  <c r="AC33" i="9"/>
  <c r="AH33" i="9" s="1"/>
  <c r="P48" i="10"/>
  <c r="U48" i="10" s="1"/>
  <c r="D47" i="22" s="1"/>
  <c r="AB44" i="9"/>
  <c r="AG44" i="9" s="1"/>
  <c r="AX98" i="8"/>
  <c r="BQ98" i="8" s="1"/>
  <c r="AZ126" i="8"/>
  <c r="BS126" i="8" s="1"/>
  <c r="M37" i="11"/>
  <c r="I28" i="16" s="1"/>
  <c r="K24" i="12"/>
  <c r="H18" i="22" s="1"/>
  <c r="K37" i="12"/>
  <c r="H31" i="22" s="1"/>
  <c r="K19" i="12"/>
  <c r="H13" i="22" s="1"/>
  <c r="AK33" i="9"/>
  <c r="AC68" i="9"/>
  <c r="AH68" i="9" s="1"/>
  <c r="AZ128" i="8"/>
  <c r="BS128" i="8" s="1"/>
  <c r="P24" i="10"/>
  <c r="U24" i="10" s="1"/>
  <c r="D23" i="22" s="1"/>
  <c r="H29" i="16"/>
  <c r="N12" i="10"/>
  <c r="S12" i="10" s="1"/>
  <c r="BA98" i="8"/>
  <c r="BT98" i="8" s="1"/>
  <c r="P18" i="10"/>
  <c r="U18" i="10" s="1"/>
  <c r="D17" i="22" s="1"/>
  <c r="AB66" i="9"/>
  <c r="AG66" i="9" s="1"/>
  <c r="AX113" i="8"/>
  <c r="BQ113" i="8" s="1"/>
  <c r="BA113" i="8"/>
  <c r="BT113" i="8" s="1"/>
  <c r="X33" i="10"/>
  <c r="AW113" i="8"/>
  <c r="BP113" i="8" s="1"/>
  <c r="BD97" i="8"/>
  <c r="BW97" i="8" s="1"/>
  <c r="AL37" i="9"/>
  <c r="AY113" i="8"/>
  <c r="BR113" i="8" s="1"/>
  <c r="O17" i="10"/>
  <c r="C16" i="16" s="1"/>
  <c r="BC97" i="8"/>
  <c r="BV97" i="8" s="1"/>
  <c r="BB97" i="8"/>
  <c r="BU97" i="8" s="1"/>
  <c r="O18" i="10"/>
  <c r="T18" i="10" s="1"/>
  <c r="C17" i="22" s="1"/>
  <c r="AM38" i="9"/>
  <c r="AD38" i="9"/>
  <c r="AI38" i="9" s="1"/>
  <c r="AZ98" i="8"/>
  <c r="BS98" i="8" s="1"/>
  <c r="AL66" i="9"/>
  <c r="X46" i="10"/>
  <c r="AX126" i="8"/>
  <c r="BA126" i="8"/>
  <c r="G45" i="16" s="1"/>
  <c r="AY126" i="8"/>
  <c r="BR126" i="8" s="1"/>
  <c r="AC49" i="9"/>
  <c r="AH49" i="9" s="1"/>
  <c r="AB49" i="9"/>
  <c r="AG49" i="9" s="1"/>
  <c r="AD49" i="9"/>
  <c r="AI49" i="9" s="1"/>
  <c r="P29" i="10"/>
  <c r="D28" i="16" s="1"/>
  <c r="AZ109" i="8"/>
  <c r="BS109" i="8" s="1"/>
  <c r="F38" i="13"/>
  <c r="F20" i="13"/>
  <c r="H13" i="16"/>
  <c r="K31" i="12"/>
  <c r="H25" i="22" s="1"/>
  <c r="X13" i="10"/>
  <c r="AX93" i="8"/>
  <c r="AD33" i="9"/>
  <c r="AI33" i="9" s="1"/>
  <c r="BC93" i="8"/>
  <c r="BV93" i="8" s="1"/>
  <c r="BD93" i="8"/>
  <c r="BW93" i="8" s="1"/>
  <c r="BB128" i="8"/>
  <c r="BU128" i="8" s="1"/>
  <c r="AB68" i="9"/>
  <c r="AG68" i="9" s="1"/>
  <c r="AK68" i="9"/>
  <c r="X48" i="10"/>
  <c r="AM68" i="9"/>
  <c r="AL44" i="9"/>
  <c r="X24" i="10"/>
  <c r="AD44" i="9"/>
  <c r="AI44" i="9" s="1"/>
  <c r="BA104" i="8"/>
  <c r="BT104" i="8" s="1"/>
  <c r="AY104" i="8"/>
  <c r="BR104" i="8" s="1"/>
  <c r="K35" i="12"/>
  <c r="H29" i="22" s="1"/>
  <c r="AB53" i="9"/>
  <c r="AG53" i="9" s="1"/>
  <c r="N33" i="10"/>
  <c r="B32" i="16" s="1"/>
  <c r="M41" i="11"/>
  <c r="C33" i="14" s="1"/>
  <c r="AD53" i="9"/>
  <c r="AI53" i="9" s="1"/>
  <c r="BC113" i="8"/>
  <c r="BV113" i="8" s="1"/>
  <c r="AX97" i="8"/>
  <c r="BQ97" i="8" s="1"/>
  <c r="BA97" i="8"/>
  <c r="BT97" i="8" s="1"/>
  <c r="AY97" i="8"/>
  <c r="BR97" i="8" s="1"/>
  <c r="AW97" i="8"/>
  <c r="BP97" i="8" s="1"/>
  <c r="N18" i="10"/>
  <c r="S18" i="10" s="1"/>
  <c r="AK38" i="9"/>
  <c r="AC38" i="9"/>
  <c r="AH38" i="9" s="1"/>
  <c r="X18" i="10"/>
  <c r="M26" i="11"/>
  <c r="C17" i="15" s="1"/>
  <c r="AW126" i="8"/>
  <c r="BG126" i="8" s="1"/>
  <c r="AK66" i="9"/>
  <c r="O46" i="10"/>
  <c r="T46" i="10" s="1"/>
  <c r="C45" i="22" s="1"/>
  <c r="AD66" i="9"/>
  <c r="AI66" i="9" s="1"/>
  <c r="P46" i="10"/>
  <c r="U46" i="10" s="1"/>
  <c r="D45" i="22" s="1"/>
  <c r="BD109" i="8"/>
  <c r="BW109" i="8" s="1"/>
  <c r="AL49" i="9"/>
  <c r="O29" i="10"/>
  <c r="T29" i="10" s="1"/>
  <c r="C28" i="22" s="1"/>
  <c r="X29" i="10"/>
  <c r="AM49" i="9"/>
  <c r="K30" i="12"/>
  <c r="H24" i="22" s="1"/>
  <c r="F33" i="13"/>
  <c r="K48" i="12"/>
  <c r="H42" i="22" s="1"/>
  <c r="H25" i="16"/>
  <c r="AB33" i="9"/>
  <c r="AG33" i="9" s="1"/>
  <c r="O13" i="10"/>
  <c r="T13" i="10" s="1"/>
  <c r="C12" i="22" s="1"/>
  <c r="M21" i="11"/>
  <c r="P21" i="11" s="1"/>
  <c r="I12" i="22" s="1"/>
  <c r="P13" i="10"/>
  <c r="U13" i="10" s="1"/>
  <c r="D12" i="22" s="1"/>
  <c r="AZ93" i="8"/>
  <c r="BS93" i="8" s="1"/>
  <c r="BA128" i="8"/>
  <c r="AY128" i="8"/>
  <c r="BR128" i="8" s="1"/>
  <c r="AW128" i="8"/>
  <c r="BP128" i="8" s="1"/>
  <c r="AL68" i="9"/>
  <c r="AW104" i="8"/>
  <c r="BG104" i="8" s="1"/>
  <c r="AK44" i="9"/>
  <c r="O24" i="10"/>
  <c r="T24" i="10" s="1"/>
  <c r="C23" i="22" s="1"/>
  <c r="AM44" i="9"/>
  <c r="M32" i="11"/>
  <c r="C23" i="15" s="1"/>
  <c r="BD113" i="8"/>
  <c r="BW113" i="8" s="1"/>
  <c r="AL53" i="9"/>
  <c r="O33" i="10"/>
  <c r="C32" i="16" s="1"/>
  <c r="AM53" i="9"/>
  <c r="P33" i="10"/>
  <c r="D32" i="16" s="1"/>
  <c r="N17" i="10"/>
  <c r="B16" i="16" s="1"/>
  <c r="X17" i="10"/>
  <c r="M25" i="11"/>
  <c r="C16" i="15" s="1"/>
  <c r="AD37" i="9"/>
  <c r="AI37" i="9" s="1"/>
  <c r="AZ97" i="8"/>
  <c r="BS97" i="8" s="1"/>
  <c r="K23" i="12"/>
  <c r="H17" i="22" s="1"/>
  <c r="AL38" i="9"/>
  <c r="AY98" i="8"/>
  <c r="BR98" i="8" s="1"/>
  <c r="AW98" i="8"/>
  <c r="BG98" i="8" s="1"/>
  <c r="AB38" i="9"/>
  <c r="AG38" i="9" s="1"/>
  <c r="BC126" i="8"/>
  <c r="BV126" i="8" s="1"/>
  <c r="BB126" i="8"/>
  <c r="BU126" i="8" s="1"/>
  <c r="AC66" i="9"/>
  <c r="AH66" i="9" s="1"/>
  <c r="N46" i="10"/>
  <c r="B45" i="16" s="1"/>
  <c r="BA109" i="8"/>
  <c r="BT109" i="8" s="1"/>
  <c r="AY109" i="8"/>
  <c r="BR109" i="8" s="1"/>
  <c r="AW109" i="8"/>
  <c r="BG109" i="8" s="1"/>
  <c r="BB93" i="8"/>
  <c r="BU93" i="8" s="1"/>
  <c r="AL33" i="9"/>
  <c r="AW93" i="8"/>
  <c r="BG93" i="8" s="1"/>
  <c r="N13" i="10"/>
  <c r="S13" i="10" s="1"/>
  <c r="O48" i="10"/>
  <c r="T48" i="10" s="1"/>
  <c r="C47" i="22" s="1"/>
  <c r="AD68" i="9"/>
  <c r="AI68" i="9" s="1"/>
  <c r="M56" i="11"/>
  <c r="C48" i="14" s="1"/>
  <c r="BC128" i="8"/>
  <c r="BV128" i="8" s="1"/>
  <c r="BC104" i="8"/>
  <c r="BV104" i="8" s="1"/>
  <c r="BD104" i="8"/>
  <c r="BW104" i="8" s="1"/>
  <c r="AC44" i="9"/>
  <c r="AH44" i="9" s="1"/>
  <c r="N24" i="10"/>
  <c r="S24" i="10" s="1"/>
  <c r="AZ113" i="8"/>
  <c r="BS113" i="8" s="1"/>
  <c r="BB113" i="8"/>
  <c r="BU113" i="8" s="1"/>
  <c r="AC53" i="9"/>
  <c r="AH53" i="9" s="1"/>
  <c r="AB37" i="9"/>
  <c r="AG37" i="9" s="1"/>
  <c r="AC37" i="9"/>
  <c r="AH37" i="9" s="1"/>
  <c r="AK37" i="9"/>
  <c r="AM37" i="9"/>
  <c r="G45" i="12"/>
  <c r="H39" i="16" s="1"/>
  <c r="AY125" i="8"/>
  <c r="BR125" i="8" s="1"/>
  <c r="AW92" i="8"/>
  <c r="BG92" i="8" s="1"/>
  <c r="BC92" i="8"/>
  <c r="BV92" i="8" s="1"/>
  <c r="BB118" i="8"/>
  <c r="BU118" i="8" s="1"/>
  <c r="AY99" i="8"/>
  <c r="BR99" i="8" s="1"/>
  <c r="AL47" i="9"/>
  <c r="H40" i="16"/>
  <c r="X50" i="10"/>
  <c r="M53" i="11"/>
  <c r="I44" i="16" s="1"/>
  <c r="AZ116" i="8"/>
  <c r="BS116" i="8" s="1"/>
  <c r="AL56" i="9"/>
  <c r="AB56" i="9"/>
  <c r="AG56" i="9" s="1"/>
  <c r="AK56" i="9"/>
  <c r="AD32" i="9"/>
  <c r="AI32" i="9" s="1"/>
  <c r="O28" i="10"/>
  <c r="T28" i="10" s="1"/>
  <c r="C27" i="22" s="1"/>
  <c r="X28" i="10"/>
  <c r="P28" i="10"/>
  <c r="AX108" i="8"/>
  <c r="BD119" i="8"/>
  <c r="BW119" i="8" s="1"/>
  <c r="AL59" i="9"/>
  <c r="AN59" i="9" s="1"/>
  <c r="AO59" i="9" s="1"/>
  <c r="O39" i="10"/>
  <c r="N39" i="10"/>
  <c r="B38" i="16" s="1"/>
  <c r="O38" i="10"/>
  <c r="T38" i="10" s="1"/>
  <c r="C37" i="22" s="1"/>
  <c r="C41" i="13"/>
  <c r="C43" i="13"/>
  <c r="X23" i="10"/>
  <c r="AM43" i="9"/>
  <c r="BA103" i="8"/>
  <c r="BT103" i="8" s="1"/>
  <c r="AY103" i="8"/>
  <c r="BR103" i="8" s="1"/>
  <c r="K33" i="12"/>
  <c r="H27" i="22" s="1"/>
  <c r="H35" i="16"/>
  <c r="BB107" i="8"/>
  <c r="BU107" i="8" s="1"/>
  <c r="AB47" i="9"/>
  <c r="AG47" i="9" s="1"/>
  <c r="O27" i="10"/>
  <c r="T27" i="10" s="1"/>
  <c r="C26" i="22" s="1"/>
  <c r="AX107" i="8"/>
  <c r="BQ107" i="8" s="1"/>
  <c r="AM47" i="9"/>
  <c r="F42" i="13"/>
  <c r="L10" i="16"/>
  <c r="P50" i="10"/>
  <c r="D49" i="16" s="1"/>
  <c r="AZ130" i="8"/>
  <c r="BS130" i="8" s="1"/>
  <c r="BB130" i="8"/>
  <c r="BU130" i="8" s="1"/>
  <c r="AK70" i="9"/>
  <c r="L12" i="13"/>
  <c r="BD125" i="8"/>
  <c r="BW125" i="8" s="1"/>
  <c r="AC65" i="9"/>
  <c r="AH65" i="9" s="1"/>
  <c r="O45" i="10"/>
  <c r="C44" i="16" s="1"/>
  <c r="AZ125" i="8"/>
  <c r="BS125" i="8" s="1"/>
  <c r="AK65" i="9"/>
  <c r="X12" i="10"/>
  <c r="P12" i="10"/>
  <c r="U12" i="10" s="1"/>
  <c r="D11" i="22" s="1"/>
  <c r="BA92" i="8"/>
  <c r="BT92" i="8" s="1"/>
  <c r="AY92" i="8"/>
  <c r="BR92" i="8" s="1"/>
  <c r="AC32" i="9"/>
  <c r="AH32" i="9" s="1"/>
  <c r="K40" i="12"/>
  <c r="H34" i="22" s="1"/>
  <c r="L51" i="13"/>
  <c r="BD118" i="8"/>
  <c r="BW118" i="8" s="1"/>
  <c r="AL58" i="9"/>
  <c r="AB58" i="9"/>
  <c r="AG58" i="9" s="1"/>
  <c r="AX118" i="8"/>
  <c r="BQ118" i="8" s="1"/>
  <c r="AD58" i="9"/>
  <c r="AI58" i="9" s="1"/>
  <c r="C34" i="13"/>
  <c r="C50" i="13"/>
  <c r="C19" i="13"/>
  <c r="C42" i="13"/>
  <c r="C51" i="13"/>
  <c r="C27" i="13"/>
  <c r="C22" i="13"/>
  <c r="C25" i="13"/>
  <c r="C30" i="13"/>
  <c r="C39" i="13"/>
  <c r="AM57" i="9"/>
  <c r="F17" i="13"/>
  <c r="K44" i="12"/>
  <c r="H38" i="22" s="1"/>
  <c r="K38" i="12"/>
  <c r="H32" i="22" s="1"/>
  <c r="AX99" i="8"/>
  <c r="BQ99" i="8" s="1"/>
  <c r="BB120" i="8"/>
  <c r="BU120" i="8" s="1"/>
  <c r="O30" i="10"/>
  <c r="T30" i="10" s="1"/>
  <c r="C29" i="22" s="1"/>
  <c r="X30" i="10"/>
  <c r="AM50" i="9"/>
  <c r="BA110" i="8"/>
  <c r="BT110" i="8" s="1"/>
  <c r="AY110" i="8"/>
  <c r="BR110" i="8" s="1"/>
  <c r="BC103" i="8"/>
  <c r="BV103" i="8" s="1"/>
  <c r="BD103" i="8"/>
  <c r="BW103" i="8" s="1"/>
  <c r="AB43" i="9"/>
  <c r="AG43" i="9" s="1"/>
  <c r="N23" i="10"/>
  <c r="B22" i="16" s="1"/>
  <c r="AX103" i="8"/>
  <c r="BQ103" i="8" s="1"/>
  <c r="F29" i="13"/>
  <c r="X27" i="10"/>
  <c r="M35" i="11"/>
  <c r="C27" i="14" s="1"/>
  <c r="BA107" i="8"/>
  <c r="BT107" i="8" s="1"/>
  <c r="AY107" i="8"/>
  <c r="BR107" i="8" s="1"/>
  <c r="AW107" i="8"/>
  <c r="BP107" i="8" s="1"/>
  <c r="M10" i="15"/>
  <c r="AW130" i="8"/>
  <c r="BP130" i="8" s="1"/>
  <c r="N50" i="10"/>
  <c r="B49" i="16" s="1"/>
  <c r="O50" i="10"/>
  <c r="C49" i="16" s="1"/>
  <c r="AX130" i="8"/>
  <c r="BQ130" i="8" s="1"/>
  <c r="M58" i="11"/>
  <c r="P58" i="11" s="1"/>
  <c r="I49" i="22" s="1"/>
  <c r="AL65" i="9"/>
  <c r="AM65" i="9"/>
  <c r="BC125" i="8"/>
  <c r="BV125" i="8" s="1"/>
  <c r="BB125" i="8"/>
  <c r="BU125" i="8" s="1"/>
  <c r="K25" i="12"/>
  <c r="H19" i="22" s="1"/>
  <c r="BD92" i="8"/>
  <c r="BW92" i="8" s="1"/>
  <c r="AB32" i="9"/>
  <c r="AG32" i="9" s="1"/>
  <c r="AK32" i="9"/>
  <c r="AM32" i="9"/>
  <c r="AX92" i="8"/>
  <c r="BQ92" i="8" s="1"/>
  <c r="F36" i="13"/>
  <c r="X38" i="10"/>
  <c r="M46" i="11"/>
  <c r="C37" i="15" s="1"/>
  <c r="BA118" i="8"/>
  <c r="G37" i="16" s="1"/>
  <c r="AY118" i="8"/>
  <c r="BR118" i="8" s="1"/>
  <c r="AW118" i="8"/>
  <c r="BP118" i="8" s="1"/>
  <c r="C33" i="13"/>
  <c r="C49" i="13"/>
  <c r="C38" i="13"/>
  <c r="C23" i="13"/>
  <c r="C28" i="13"/>
  <c r="C26" i="13"/>
  <c r="C35" i="13"/>
  <c r="C21" i="13"/>
  <c r="C12" i="13"/>
  <c r="C45" i="13"/>
  <c r="M13" i="14"/>
  <c r="K39" i="12"/>
  <c r="H33" i="22" s="1"/>
  <c r="N37" i="10"/>
  <c r="B36" i="16" s="1"/>
  <c r="AZ117" i="8"/>
  <c r="BS117" i="8" s="1"/>
  <c r="AZ99" i="8"/>
  <c r="BS99" i="8" s="1"/>
  <c r="AC60" i="9"/>
  <c r="AH60" i="9" s="1"/>
  <c r="AW110" i="8"/>
  <c r="BP110" i="8" s="1"/>
  <c r="AK50" i="9"/>
  <c r="N30" i="10"/>
  <c r="S30" i="10" s="1"/>
  <c r="AX110" i="8"/>
  <c r="AD43" i="9"/>
  <c r="AI43" i="9" s="1"/>
  <c r="AZ103" i="8"/>
  <c r="BS103" i="8" s="1"/>
  <c r="BB103" i="8"/>
  <c r="BU103" i="8" s="1"/>
  <c r="AK47" i="9"/>
  <c r="N27" i="10"/>
  <c r="B26" i="16" s="1"/>
  <c r="AD47" i="9"/>
  <c r="AI47" i="9" s="1"/>
  <c r="P27" i="10"/>
  <c r="U27" i="10" s="1"/>
  <c r="D26" i="22" s="1"/>
  <c r="H45" i="16"/>
  <c r="BC130" i="8"/>
  <c r="BV130" i="8" s="1"/>
  <c r="BD130" i="8"/>
  <c r="BW130" i="8" s="1"/>
  <c r="AB70" i="9"/>
  <c r="AG70" i="9" s="1"/>
  <c r="AL70" i="9"/>
  <c r="X45" i="10"/>
  <c r="BA125" i="8"/>
  <c r="BT125" i="8" s="1"/>
  <c r="AX125" i="8"/>
  <c r="P45" i="10"/>
  <c r="U45" i="10" s="1"/>
  <c r="D44" i="22" s="1"/>
  <c r="AZ92" i="8"/>
  <c r="BS92" i="8" s="1"/>
  <c r="BB92" i="8"/>
  <c r="BU92" i="8" s="1"/>
  <c r="AL32" i="9"/>
  <c r="AK58" i="9"/>
  <c r="N38" i="10"/>
  <c r="B37" i="16" s="1"/>
  <c r="AM58" i="9"/>
  <c r="P38" i="10"/>
  <c r="D37" i="16" s="1"/>
  <c r="C44" i="13"/>
  <c r="C15" i="13"/>
  <c r="C18" i="13"/>
  <c r="C40" i="13"/>
  <c r="C20" i="13"/>
  <c r="C46" i="13"/>
  <c r="C47" i="13"/>
  <c r="C36" i="13"/>
  <c r="C16" i="13"/>
  <c r="AX123" i="8"/>
  <c r="BQ123" i="8" s="1"/>
  <c r="P41" i="10"/>
  <c r="U41" i="10" s="1"/>
  <c r="D40" i="22" s="1"/>
  <c r="AK62" i="9"/>
  <c r="AD67" i="9"/>
  <c r="AI67" i="9" s="1"/>
  <c r="X31" i="10"/>
  <c r="AD64" i="9"/>
  <c r="AI64" i="9" s="1"/>
  <c r="AL69" i="9"/>
  <c r="AK67" i="9"/>
  <c r="AC51" i="9"/>
  <c r="AH51" i="9" s="1"/>
  <c r="BD105" i="8"/>
  <c r="BW105" i="8" s="1"/>
  <c r="AJ11" i="22"/>
  <c r="BC115" i="8"/>
  <c r="BV115" i="8" s="1"/>
  <c r="AD63" i="9"/>
  <c r="AI63" i="9" s="1"/>
  <c r="AM61" i="9"/>
  <c r="AB62" i="9"/>
  <c r="AG62" i="9" s="1"/>
  <c r="AB63" i="9"/>
  <c r="AG63" i="9" s="1"/>
  <c r="BC123" i="8"/>
  <c r="BV123" i="8" s="1"/>
  <c r="AD61" i="9"/>
  <c r="AI61" i="9" s="1"/>
  <c r="F23" i="13"/>
  <c r="AK45" i="9"/>
  <c r="BU11" i="22"/>
  <c r="AX11" i="22"/>
  <c r="BB129" i="8"/>
  <c r="BU129" i="8" s="1"/>
  <c r="BC129" i="8"/>
  <c r="BV129" i="8" s="1"/>
  <c r="M57" i="11"/>
  <c r="C49" i="14" s="1"/>
  <c r="AM69" i="9"/>
  <c r="X49" i="10"/>
  <c r="AB69" i="9"/>
  <c r="AG69" i="9" s="1"/>
  <c r="AW129" i="8"/>
  <c r="BG129" i="8" s="1"/>
  <c r="AY129" i="8"/>
  <c r="BR129" i="8" s="1"/>
  <c r="BA129" i="8"/>
  <c r="BT129" i="8" s="1"/>
  <c r="P49" i="10"/>
  <c r="U49" i="10" s="1"/>
  <c r="D48" i="22" s="1"/>
  <c r="N49" i="10"/>
  <c r="B48" i="16" s="1"/>
  <c r="O49" i="10"/>
  <c r="AC69" i="9"/>
  <c r="AH69" i="9" s="1"/>
  <c r="BD129" i="8"/>
  <c r="BW129" i="8" s="1"/>
  <c r="AZ100" i="8"/>
  <c r="BS100" i="8" s="1"/>
  <c r="M28" i="11"/>
  <c r="C19" i="15" s="1"/>
  <c r="O20" i="10"/>
  <c r="T20" i="10" s="1"/>
  <c r="C19" i="22" s="1"/>
  <c r="AC40" i="9"/>
  <c r="AH40" i="9" s="1"/>
  <c r="X20" i="10"/>
  <c r="AW100" i="8"/>
  <c r="BP100" i="8" s="1"/>
  <c r="AM40" i="9"/>
  <c r="AX100" i="8"/>
  <c r="BQ100" i="8" s="1"/>
  <c r="N20" i="10"/>
  <c r="B19" i="16" s="1"/>
  <c r="BC100" i="8"/>
  <c r="BV100" i="8" s="1"/>
  <c r="AD40" i="9"/>
  <c r="AI40" i="9" s="1"/>
  <c r="AY100" i="8"/>
  <c r="BR100" i="8" s="1"/>
  <c r="BA100" i="8"/>
  <c r="BT100" i="8" s="1"/>
  <c r="BB100" i="8"/>
  <c r="BU100" i="8" s="1"/>
  <c r="AK40" i="9"/>
  <c r="H47" i="16"/>
  <c r="K53" i="12"/>
  <c r="H47" i="22" s="1"/>
  <c r="BK11" i="22"/>
  <c r="BZ11" i="22"/>
  <c r="AS11" i="22"/>
  <c r="AM11" i="22"/>
  <c r="AP11" i="22"/>
  <c r="BX11" i="22"/>
  <c r="BO11" i="22"/>
  <c r="AK11" i="22"/>
  <c r="BA11" i="22"/>
  <c r="BR11" i="22"/>
  <c r="A12" i="22"/>
  <c r="AR12" i="22" s="1"/>
  <c r="BB11" i="22"/>
  <c r="AY11" i="22"/>
  <c r="AI11" i="22"/>
  <c r="CH11" i="22"/>
  <c r="AR11" i="22"/>
  <c r="AV11" i="22"/>
  <c r="BF11" i="22"/>
  <c r="AZ11" i="22"/>
  <c r="BS11" i="22"/>
  <c r="AW11" i="22"/>
  <c r="BP11" i="22"/>
  <c r="CB11" i="22"/>
  <c r="AL11" i="22"/>
  <c r="BH11" i="22"/>
  <c r="BI11" i="22"/>
  <c r="BD11" i="22"/>
  <c r="BW11" i="22"/>
  <c r="BN11" i="22"/>
  <c r="BJ11" i="22"/>
  <c r="CA11" i="22"/>
  <c r="AO11" i="22"/>
  <c r="BG11" i="22"/>
  <c r="AN11" i="22"/>
  <c r="CC11" i="22"/>
  <c r="BV11" i="22"/>
  <c r="AU11" i="22"/>
  <c r="AQ11" i="22"/>
  <c r="BT11" i="22"/>
  <c r="BL11" i="22"/>
  <c r="BM11" i="22"/>
  <c r="H43" i="16"/>
  <c r="K49" i="12"/>
  <c r="H43" i="22" s="1"/>
  <c r="G12" i="15"/>
  <c r="F13" i="15" s="1"/>
  <c r="G13" i="15" s="1"/>
  <c r="BC124" i="8"/>
  <c r="BV124" i="8" s="1"/>
  <c r="AX124" i="8"/>
  <c r="BQ124" i="8" s="1"/>
  <c r="M52" i="11"/>
  <c r="I43" i="16" s="1"/>
  <c r="X44" i="10"/>
  <c r="AB64" i="9"/>
  <c r="AG64" i="9" s="1"/>
  <c r="AK64" i="9"/>
  <c r="AL64" i="9"/>
  <c r="BB124" i="8"/>
  <c r="BU124" i="8" s="1"/>
  <c r="AZ124" i="8"/>
  <c r="BS124" i="8" s="1"/>
  <c r="AW102" i="8"/>
  <c r="BG102" i="8" s="1"/>
  <c r="AY102" i="8"/>
  <c r="BR102" i="8" s="1"/>
  <c r="BA102" i="8"/>
  <c r="BT102" i="8" s="1"/>
  <c r="AM42" i="9"/>
  <c r="X22" i="10"/>
  <c r="AK42" i="9"/>
  <c r="AC42" i="9"/>
  <c r="AH42" i="9" s="1"/>
  <c r="BD102" i="8"/>
  <c r="BW102" i="8" s="1"/>
  <c r="AZ102" i="8"/>
  <c r="BS102" i="8" s="1"/>
  <c r="P22" i="10"/>
  <c r="U22" i="10" s="1"/>
  <c r="D21" i="22" s="1"/>
  <c r="AX102" i="8"/>
  <c r="O22" i="10"/>
  <c r="T22" i="10" s="1"/>
  <c r="C21" i="22" s="1"/>
  <c r="AL42" i="9"/>
  <c r="BB102" i="8"/>
  <c r="BU102" i="8" s="1"/>
  <c r="F16" i="13"/>
  <c r="K20" i="12"/>
  <c r="H14" i="22" s="1"/>
  <c r="AD51" i="9"/>
  <c r="AI51" i="9" s="1"/>
  <c r="M39" i="11"/>
  <c r="P39" i="11" s="1"/>
  <c r="I30" i="22" s="1"/>
  <c r="N31" i="10"/>
  <c r="B30" i="16" s="1"/>
  <c r="AK51" i="9"/>
  <c r="AW111" i="8"/>
  <c r="BP111" i="8" s="1"/>
  <c r="AL51" i="9"/>
  <c r="BB111" i="8"/>
  <c r="BU111" i="8" s="1"/>
  <c r="AW106" i="8"/>
  <c r="BG106" i="8" s="1"/>
  <c r="BC106" i="8"/>
  <c r="BV106" i="8" s="1"/>
  <c r="BA106" i="8"/>
  <c r="BT106" i="8" s="1"/>
  <c r="AM46" i="9"/>
  <c r="X26" i="10"/>
  <c r="AB46" i="9"/>
  <c r="AG46" i="9" s="1"/>
  <c r="AL46" i="9"/>
  <c r="BD106" i="8"/>
  <c r="BW106" i="8" s="1"/>
  <c r="AY106" i="8"/>
  <c r="BR106" i="8" s="1"/>
  <c r="AD46" i="9"/>
  <c r="AI46" i="9" s="1"/>
  <c r="M34" i="11"/>
  <c r="I25" i="16" s="1"/>
  <c r="O26" i="10"/>
  <c r="AC46" i="9"/>
  <c r="AH46" i="9" s="1"/>
  <c r="BB106" i="8"/>
  <c r="BU106" i="8" s="1"/>
  <c r="AX115" i="8"/>
  <c r="BQ115" i="8" s="1"/>
  <c r="AW115" i="8"/>
  <c r="BG115" i="8" s="1"/>
  <c r="BB115" i="8"/>
  <c r="BU115" i="8" s="1"/>
  <c r="BD115" i="8"/>
  <c r="BW115" i="8" s="1"/>
  <c r="AD55" i="9"/>
  <c r="AI55" i="9" s="1"/>
  <c r="O35" i="10"/>
  <c r="T35" i="10" s="1"/>
  <c r="C34" i="22" s="1"/>
  <c r="AK55" i="9"/>
  <c r="AL55" i="9"/>
  <c r="AB55" i="9"/>
  <c r="AG55" i="9" s="1"/>
  <c r="AC55" i="9"/>
  <c r="AH55" i="9" s="1"/>
  <c r="M43" i="11"/>
  <c r="I34" i="16" s="1"/>
  <c r="AM55" i="9"/>
  <c r="N35" i="10"/>
  <c r="B34" i="16" s="1"/>
  <c r="X35" i="10"/>
  <c r="F39" i="13"/>
  <c r="K43" i="12"/>
  <c r="H37" i="22" s="1"/>
  <c r="AY112" i="8"/>
  <c r="BR112" i="8" s="1"/>
  <c r="BA112" i="8"/>
  <c r="BT112" i="8" s="1"/>
  <c r="P32" i="10"/>
  <c r="D31" i="16" s="1"/>
  <c r="X32" i="10"/>
  <c r="AC52" i="9"/>
  <c r="AH52" i="9" s="1"/>
  <c r="AB52" i="9"/>
  <c r="AG52" i="9" s="1"/>
  <c r="BD112" i="8"/>
  <c r="BW112" i="8" s="1"/>
  <c r="AZ112" i="8"/>
  <c r="BS112" i="8" s="1"/>
  <c r="AX112" i="8"/>
  <c r="BQ112" i="8" s="1"/>
  <c r="AD52" i="9"/>
  <c r="AI52" i="9" s="1"/>
  <c r="N32" i="10"/>
  <c r="AL52" i="9"/>
  <c r="BB112" i="8"/>
  <c r="BU112" i="8" s="1"/>
  <c r="BC112" i="8"/>
  <c r="BV112" i="8" s="1"/>
  <c r="AM36" i="9"/>
  <c r="AB36" i="9"/>
  <c r="AG36" i="9" s="1"/>
  <c r="AL36" i="9"/>
  <c r="BD96" i="8"/>
  <c r="BW96" i="8" s="1"/>
  <c r="AY96" i="8"/>
  <c r="BR96" i="8" s="1"/>
  <c r="P16" i="10"/>
  <c r="U16" i="10" s="1"/>
  <c r="D15" i="22" s="1"/>
  <c r="M24" i="11"/>
  <c r="S24" i="11" s="1"/>
  <c r="E17" i="13" s="1"/>
  <c r="N16" i="10"/>
  <c r="AK36" i="9"/>
  <c r="AW96" i="8"/>
  <c r="BP96" i="8" s="1"/>
  <c r="BC96" i="8"/>
  <c r="BV96" i="8" s="1"/>
  <c r="BA96" i="8"/>
  <c r="BT96" i="8" s="1"/>
  <c r="AX96" i="8"/>
  <c r="BQ96" i="8" s="1"/>
  <c r="X16" i="10"/>
  <c r="O16" i="10"/>
  <c r="T16" i="10" s="1"/>
  <c r="C15" i="22" s="1"/>
  <c r="L48" i="13"/>
  <c r="M48" i="13"/>
  <c r="N46" i="13"/>
  <c r="BD123" i="8"/>
  <c r="BW123" i="8" s="1"/>
  <c r="AL63" i="9"/>
  <c r="AK63" i="9"/>
  <c r="P43" i="10"/>
  <c r="AM63" i="9"/>
  <c r="M49" i="11"/>
  <c r="S49" i="11" s="1"/>
  <c r="E42" i="13" s="1"/>
  <c r="AX121" i="8"/>
  <c r="BQ121" i="8" s="1"/>
  <c r="AW122" i="8"/>
  <c r="BP122" i="8" s="1"/>
  <c r="BB122" i="8"/>
  <c r="BU122" i="8" s="1"/>
  <c r="BD122" i="8"/>
  <c r="BW122" i="8" s="1"/>
  <c r="N47" i="10"/>
  <c r="S47" i="10" s="1"/>
  <c r="O47" i="10"/>
  <c r="AW127" i="8"/>
  <c r="BP127" i="8" s="1"/>
  <c r="O31" i="10"/>
  <c r="C30" i="16" s="1"/>
  <c r="BD111" i="8"/>
  <c r="BW111" i="8" s="1"/>
  <c r="BA111" i="8"/>
  <c r="BT111" i="8" s="1"/>
  <c r="H37" i="16"/>
  <c r="AB45" i="9"/>
  <c r="AG45" i="9" s="1"/>
  <c r="AD45" i="9"/>
  <c r="AI45" i="9" s="1"/>
  <c r="AM64" i="9"/>
  <c r="AY124" i="8"/>
  <c r="BR124" i="8" s="1"/>
  <c r="BB96" i="8"/>
  <c r="BU96" i="8" s="1"/>
  <c r="AM52" i="9"/>
  <c r="AK69" i="9"/>
  <c r="N22" i="10"/>
  <c r="S22" i="10" s="1"/>
  <c r="P26" i="10"/>
  <c r="D25" i="16" s="1"/>
  <c r="CF11" i="22"/>
  <c r="CE11" i="22"/>
  <c r="BE11" i="22"/>
  <c r="BD100" i="8"/>
  <c r="BW100" i="8" s="1"/>
  <c r="AZ115" i="8"/>
  <c r="BS115" i="8" s="1"/>
  <c r="N48" i="13"/>
  <c r="AK61" i="9"/>
  <c r="AW121" i="8"/>
  <c r="BG121" i="8" s="1"/>
  <c r="AY121" i="8"/>
  <c r="BR121" i="8" s="1"/>
  <c r="BA121" i="8"/>
  <c r="BT121" i="8" s="1"/>
  <c r="AY122" i="8"/>
  <c r="BR122" i="8" s="1"/>
  <c r="BA122" i="8"/>
  <c r="G41" i="16" s="1"/>
  <c r="AM62" i="9"/>
  <c r="X42" i="10"/>
  <c r="AL62" i="9"/>
  <c r="P25" i="10"/>
  <c r="D24" i="16" s="1"/>
  <c r="M33" i="11"/>
  <c r="P33" i="11" s="1"/>
  <c r="I24" i="22" s="1"/>
  <c r="O25" i="10"/>
  <c r="T25" i="10" s="1"/>
  <c r="C24" i="22" s="1"/>
  <c r="AC45" i="9"/>
  <c r="AH45" i="9" s="1"/>
  <c r="BB105" i="8"/>
  <c r="BU105" i="8" s="1"/>
  <c r="AW105" i="8"/>
  <c r="BP105" i="8" s="1"/>
  <c r="AY105" i="8"/>
  <c r="BR105" i="8" s="1"/>
  <c r="BA105" i="8"/>
  <c r="BT105" i="8" s="1"/>
  <c r="AM45" i="9"/>
  <c r="X25" i="10"/>
  <c r="AM67" i="9"/>
  <c r="X47" i="10"/>
  <c r="AB67" i="9"/>
  <c r="AG67" i="9" s="1"/>
  <c r="AC67" i="9"/>
  <c r="AH67" i="9" s="1"/>
  <c r="BB127" i="8"/>
  <c r="BU127" i="8" s="1"/>
  <c r="L46" i="13"/>
  <c r="AC63" i="9"/>
  <c r="AH63" i="9" s="1"/>
  <c r="X41" i="10"/>
  <c r="O41" i="10"/>
  <c r="AB61" i="9"/>
  <c r="AG61" i="9" s="1"/>
  <c r="BB121" i="8"/>
  <c r="BU121" i="8" s="1"/>
  <c r="BC122" i="8"/>
  <c r="BV122" i="8" s="1"/>
  <c r="AZ122" i="8"/>
  <c r="BS122" i="8" s="1"/>
  <c r="P42" i="10"/>
  <c r="D41" i="16" s="1"/>
  <c r="AD62" i="9"/>
  <c r="AI62" i="9" s="1"/>
  <c r="AL67" i="9"/>
  <c r="AY127" i="8"/>
  <c r="BR127" i="8" s="1"/>
  <c r="BC127" i="8"/>
  <c r="BV127" i="8" s="1"/>
  <c r="AZ127" i="8"/>
  <c r="BS127" i="8" s="1"/>
  <c r="BC111" i="8"/>
  <c r="BV111" i="8" s="1"/>
  <c r="AZ111" i="8"/>
  <c r="BS111" i="8" s="1"/>
  <c r="AB51" i="9"/>
  <c r="AG51" i="9" s="1"/>
  <c r="AZ105" i="8"/>
  <c r="BS105" i="8" s="1"/>
  <c r="AL45" i="9"/>
  <c r="L49" i="13"/>
  <c r="AC64" i="9"/>
  <c r="AH64" i="9" s="1"/>
  <c r="P44" i="10"/>
  <c r="D43" i="16" s="1"/>
  <c r="AC36" i="9"/>
  <c r="AH36" i="9" s="1"/>
  <c r="AW112" i="8"/>
  <c r="BP112" i="8" s="1"/>
  <c r="M40" i="11"/>
  <c r="C32" i="14" s="1"/>
  <c r="AD69" i="9"/>
  <c r="AI69" i="9" s="1"/>
  <c r="AD42" i="9"/>
  <c r="AI42" i="9" s="1"/>
  <c r="AK46" i="9"/>
  <c r="AZ106" i="8"/>
  <c r="BS106" i="8" s="1"/>
  <c r="BC11" i="22"/>
  <c r="CD11" i="22"/>
  <c r="AH11" i="22"/>
  <c r="AL40" i="9"/>
  <c r="BA115" i="8"/>
  <c r="BT115" i="8" s="1"/>
  <c r="K26" i="12"/>
  <c r="H20" i="22" s="1"/>
  <c r="H20" i="16"/>
  <c r="M44" i="13"/>
  <c r="L44" i="13"/>
  <c r="H48" i="16"/>
  <c r="K54" i="12"/>
  <c r="H48" i="22" s="1"/>
  <c r="AZ123" i="8"/>
  <c r="BS123" i="8" s="1"/>
  <c r="BB123" i="8"/>
  <c r="BU123" i="8" s="1"/>
  <c r="O43" i="10"/>
  <c r="C42" i="16" s="1"/>
  <c r="X43" i="10"/>
  <c r="M51" i="11"/>
  <c r="C43" i="14" s="1"/>
  <c r="BA123" i="8"/>
  <c r="G42" i="16" s="1"/>
  <c r="AY123" i="8"/>
  <c r="BR123" i="8" s="1"/>
  <c r="AL61" i="9"/>
  <c r="AC61" i="9"/>
  <c r="AH61" i="9" s="1"/>
  <c r="BC121" i="8"/>
  <c r="BV121" i="8" s="1"/>
  <c r="AZ121" i="8"/>
  <c r="BS121" i="8" s="1"/>
  <c r="AX122" i="8"/>
  <c r="N42" i="10"/>
  <c r="B41" i="16" s="1"/>
  <c r="O42" i="10"/>
  <c r="C41" i="16" s="1"/>
  <c r="H21" i="16"/>
  <c r="BA127" i="8"/>
  <c r="G46" i="16" s="1"/>
  <c r="AX127" i="8"/>
  <c r="BQ127" i="8" s="1"/>
  <c r="P47" i="10"/>
  <c r="U47" i="10" s="1"/>
  <c r="D46" i="22" s="1"/>
  <c r="AX111" i="8"/>
  <c r="BQ111" i="8" s="1"/>
  <c r="P31" i="10"/>
  <c r="D30" i="16" s="1"/>
  <c r="AY111" i="8"/>
  <c r="BR111" i="8" s="1"/>
  <c r="F22" i="13"/>
  <c r="N25" i="10"/>
  <c r="S25" i="10" s="1"/>
  <c r="AX105" i="8"/>
  <c r="M49" i="13"/>
  <c r="N44" i="10"/>
  <c r="S44" i="10" s="1"/>
  <c r="BA124" i="8"/>
  <c r="G43" i="16" s="1"/>
  <c r="AW124" i="8"/>
  <c r="BP124" i="8" s="1"/>
  <c r="F45" i="13"/>
  <c r="AD36" i="9"/>
  <c r="AI36" i="9" s="1"/>
  <c r="AK52" i="9"/>
  <c r="AX129" i="8"/>
  <c r="BQ129" i="8" s="1"/>
  <c r="F49" i="13"/>
  <c r="M30" i="11"/>
  <c r="S30" i="11" s="1"/>
  <c r="E23" i="13" s="1"/>
  <c r="N26" i="10"/>
  <c r="S26" i="10" s="1"/>
  <c r="CG11" i="22"/>
  <c r="BY11" i="22"/>
  <c r="AG11" i="22"/>
  <c r="AT11" i="22"/>
  <c r="P20" i="10"/>
  <c r="U20" i="10" s="1"/>
  <c r="D19" i="22" s="1"/>
  <c r="AY115" i="8"/>
  <c r="BR115" i="8" s="1"/>
  <c r="P19" i="10"/>
  <c r="U19" i="10" s="1"/>
  <c r="D18" i="22" s="1"/>
  <c r="AX120" i="8"/>
  <c r="AZ120" i="8"/>
  <c r="BS120" i="8" s="1"/>
  <c r="BD120" i="8"/>
  <c r="BW120" i="8" s="1"/>
  <c r="AL60" i="9"/>
  <c r="F37" i="13"/>
  <c r="K18" i="12"/>
  <c r="H12" i="22" s="1"/>
  <c r="F35" i="13"/>
  <c r="AB57" i="9"/>
  <c r="AG57" i="9" s="1"/>
  <c r="O37" i="10"/>
  <c r="C36" i="16" s="1"/>
  <c r="X19" i="10"/>
  <c r="N19" i="10"/>
  <c r="B18" i="16" s="1"/>
  <c r="M12" i="15"/>
  <c r="BD117" i="8"/>
  <c r="BW117" i="8" s="1"/>
  <c r="AL57" i="9"/>
  <c r="AW117" i="8"/>
  <c r="BG117" i="8" s="1"/>
  <c r="AK57" i="9"/>
  <c r="M45" i="11"/>
  <c r="S45" i="11" s="1"/>
  <c r="E38" i="13" s="1"/>
  <c r="AM39" i="9"/>
  <c r="AW99" i="8"/>
  <c r="BP99" i="8" s="1"/>
  <c r="AK39" i="9"/>
  <c r="O19" i="10"/>
  <c r="M27" i="11"/>
  <c r="C19" i="14" s="1"/>
  <c r="AB60" i="9"/>
  <c r="AG60" i="9" s="1"/>
  <c r="X40" i="10"/>
  <c r="M48" i="11"/>
  <c r="I39" i="16" s="1"/>
  <c r="BA120" i="8"/>
  <c r="G39" i="16" s="1"/>
  <c r="AY120" i="8"/>
  <c r="BR120" i="8" s="1"/>
  <c r="F14" i="13"/>
  <c r="F47" i="13"/>
  <c r="L12" i="16"/>
  <c r="AC57" i="9"/>
  <c r="AH57" i="9" s="1"/>
  <c r="X37" i="10"/>
  <c r="P37" i="10"/>
  <c r="U37" i="10" s="1"/>
  <c r="D36" i="22" s="1"/>
  <c r="AB39" i="9"/>
  <c r="AG39" i="9" s="1"/>
  <c r="AD39" i="9"/>
  <c r="AI39" i="9" s="1"/>
  <c r="BA117" i="8"/>
  <c r="G36" i="16" s="1"/>
  <c r="AY117" i="8"/>
  <c r="BR117" i="8" s="1"/>
  <c r="BC117" i="8"/>
  <c r="BV117" i="8" s="1"/>
  <c r="AL39" i="9"/>
  <c r="BC99" i="8"/>
  <c r="BV99" i="8" s="1"/>
  <c r="BB99" i="8"/>
  <c r="BU99" i="8" s="1"/>
  <c r="AW120" i="8"/>
  <c r="BG120" i="8" s="1"/>
  <c r="AK60" i="9"/>
  <c r="N40" i="10"/>
  <c r="B39" i="16" s="1"/>
  <c r="AD60" i="9"/>
  <c r="AI60" i="9" s="1"/>
  <c r="BP91" i="8"/>
  <c r="BG91" i="8"/>
  <c r="B40" i="16"/>
  <c r="S41" i="10"/>
  <c r="P50" i="11"/>
  <c r="I41" i="22" s="1"/>
  <c r="I41" i="16"/>
  <c r="S50" i="11"/>
  <c r="E43" i="13" s="1"/>
  <c r="BQ104" i="8"/>
  <c r="BG123" i="8"/>
  <c r="BP123" i="8"/>
  <c r="I45" i="16"/>
  <c r="P54" i="11"/>
  <c r="I45" i="22" s="1"/>
  <c r="C45" i="15"/>
  <c r="C46" i="14"/>
  <c r="T32" i="10"/>
  <c r="C31" i="22" s="1"/>
  <c r="C31" i="16"/>
  <c r="BQ106" i="8"/>
  <c r="D16" i="16"/>
  <c r="U17" i="10"/>
  <c r="D16" i="22" s="1"/>
  <c r="C11" i="16"/>
  <c r="T12" i="10"/>
  <c r="C11" i="22" s="1"/>
  <c r="P47" i="11"/>
  <c r="I38" i="22" s="1"/>
  <c r="I38" i="16"/>
  <c r="C38" i="15"/>
  <c r="S47" i="11"/>
  <c r="E40" i="13" s="1"/>
  <c r="C39" i="14"/>
  <c r="H41" i="16"/>
  <c r="M3" i="5" a="1"/>
  <c r="U35" i="10"/>
  <c r="D34" i="22" s="1"/>
  <c r="D34" i="16"/>
  <c r="P38" i="11"/>
  <c r="I29" i="22" s="1"/>
  <c r="C30" i="14"/>
  <c r="C29" i="15"/>
  <c r="S38" i="11"/>
  <c r="E31" i="13" s="1"/>
  <c r="I29" i="16"/>
  <c r="BQ101" i="8"/>
  <c r="C36" i="14"/>
  <c r="C35" i="15"/>
  <c r="I35" i="16"/>
  <c r="P44" i="11"/>
  <c r="I35" i="22" s="1"/>
  <c r="S44" i="11"/>
  <c r="E37" i="13" s="1"/>
  <c r="K16" i="15"/>
  <c r="J17" i="15" s="1"/>
  <c r="F43" i="13" l="1"/>
  <c r="C42" i="14"/>
  <c r="D29" i="16"/>
  <c r="K47" i="12"/>
  <c r="H41" i="22" s="1"/>
  <c r="D22" i="16"/>
  <c r="E22" i="16" s="1"/>
  <c r="B24" i="13" s="1"/>
  <c r="S29" i="11"/>
  <c r="E22" i="13" s="1"/>
  <c r="P29" i="11"/>
  <c r="I20" i="22" s="1"/>
  <c r="BT130" i="8"/>
  <c r="BX130" i="8" s="1"/>
  <c r="G49" i="22" s="1"/>
  <c r="U40" i="10"/>
  <c r="D39" i="22" s="1"/>
  <c r="C21" i="14"/>
  <c r="T14" i="10"/>
  <c r="C13" i="22" s="1"/>
  <c r="C20" i="15"/>
  <c r="BG95" i="8"/>
  <c r="N14" i="15" s="1"/>
  <c r="BU116" i="8"/>
  <c r="P31" i="11"/>
  <c r="I22" i="22" s="1"/>
  <c r="BP103" i="8"/>
  <c r="BX103" i="8" s="1"/>
  <c r="G22" i="22" s="1"/>
  <c r="B14" i="16"/>
  <c r="P22" i="11"/>
  <c r="I13" i="22" s="1"/>
  <c r="T23" i="10"/>
  <c r="C22" i="22" s="1"/>
  <c r="T21" i="10"/>
  <c r="C20" i="22" s="1"/>
  <c r="BT119" i="8"/>
  <c r="S45" i="10"/>
  <c r="B44" i="22" s="1"/>
  <c r="C23" i="14"/>
  <c r="S31" i="11"/>
  <c r="E24" i="13" s="1"/>
  <c r="C22" i="15"/>
  <c r="AN43" i="9"/>
  <c r="AO43" i="9" s="1"/>
  <c r="Q32" i="10"/>
  <c r="B32" i="14" s="1"/>
  <c r="S21" i="10"/>
  <c r="B20" i="22" s="1"/>
  <c r="D10" i="16"/>
  <c r="BP114" i="8"/>
  <c r="BX114" i="8" s="1"/>
  <c r="G33" i="22" s="1"/>
  <c r="T44" i="10"/>
  <c r="C43" i="22" s="1"/>
  <c r="C10" i="15"/>
  <c r="C11" i="14"/>
  <c r="C27" i="15"/>
  <c r="U15" i="10"/>
  <c r="D14" i="22" s="1"/>
  <c r="I10" i="16"/>
  <c r="BG94" i="8"/>
  <c r="N13" i="15" s="1"/>
  <c r="T11" i="10"/>
  <c r="C10" i="22" s="1"/>
  <c r="P55" i="11"/>
  <c r="I46" i="22" s="1"/>
  <c r="C28" i="14"/>
  <c r="C47" i="14"/>
  <c r="C18" i="14"/>
  <c r="S36" i="11"/>
  <c r="E29" i="13" s="1"/>
  <c r="C33" i="16"/>
  <c r="C46" i="15"/>
  <c r="BG119" i="8"/>
  <c r="N38" i="15" s="1"/>
  <c r="I27" i="16"/>
  <c r="U36" i="10"/>
  <c r="D35" i="22" s="1"/>
  <c r="S43" i="10"/>
  <c r="B42" i="22" s="1"/>
  <c r="B12" i="16"/>
  <c r="I13" i="16"/>
  <c r="C14" i="16"/>
  <c r="B27" i="16"/>
  <c r="C14" i="14"/>
  <c r="AN54" i="9"/>
  <c r="AO54" i="9" s="1"/>
  <c r="BZ114" i="8"/>
  <c r="Q34" i="10"/>
  <c r="B33" i="15" s="1"/>
  <c r="B28" i="16"/>
  <c r="P42" i="11"/>
  <c r="I33" i="22" s="1"/>
  <c r="B33" i="16"/>
  <c r="P23" i="11"/>
  <c r="I14" i="22" s="1"/>
  <c r="S23" i="11"/>
  <c r="E16" i="13" s="1"/>
  <c r="BH91" i="8"/>
  <c r="D11" i="14" s="1"/>
  <c r="Q21" i="10"/>
  <c r="B21" i="14" s="1"/>
  <c r="BZ91" i="8"/>
  <c r="S36" i="10"/>
  <c r="B35" i="22" s="1"/>
  <c r="B13" i="16"/>
  <c r="BU91" i="8"/>
  <c r="BX91" i="8" s="1"/>
  <c r="I37" i="16"/>
  <c r="J37" i="16" s="1"/>
  <c r="AN35" i="9"/>
  <c r="AO35" i="9" s="1"/>
  <c r="AN31" i="9"/>
  <c r="AO31" i="9" s="1"/>
  <c r="BZ101" i="8"/>
  <c r="U21" i="10"/>
  <c r="D20" i="22" s="1"/>
  <c r="BG101" i="8"/>
  <c r="N20" i="15" s="1"/>
  <c r="C14" i="15"/>
  <c r="C39" i="16"/>
  <c r="E39" i="16" s="1"/>
  <c r="B10" i="16"/>
  <c r="E10" i="16" s="1"/>
  <c r="C34" i="14"/>
  <c r="I33" i="16"/>
  <c r="BE114" i="8"/>
  <c r="G33" i="16" s="1"/>
  <c r="D33" i="16"/>
  <c r="BE101" i="8"/>
  <c r="BL101" i="8" s="1"/>
  <c r="D22" i="13" s="1"/>
  <c r="Q11" i="10"/>
  <c r="B10" i="15" s="1"/>
  <c r="I14" i="16"/>
  <c r="S42" i="11"/>
  <c r="E35" i="13" s="1"/>
  <c r="T33" i="10"/>
  <c r="C32" i="22" s="1"/>
  <c r="BH114" i="8"/>
  <c r="D34" i="14" s="1"/>
  <c r="E34" i="14" s="1"/>
  <c r="BH101" i="8"/>
  <c r="D21" i="14" s="1"/>
  <c r="E21" i="14" s="1"/>
  <c r="T36" i="10"/>
  <c r="C35" i="22" s="1"/>
  <c r="BP102" i="8"/>
  <c r="AN34" i="9"/>
  <c r="AO34" i="9" s="1"/>
  <c r="AN41" i="9"/>
  <c r="AO41" i="9" s="1"/>
  <c r="BT126" i="8"/>
  <c r="C49" i="15"/>
  <c r="D38" i="16"/>
  <c r="BE91" i="8"/>
  <c r="BL91" i="8" s="1"/>
  <c r="S52" i="11"/>
  <c r="E45" i="13" s="1"/>
  <c r="S51" i="11"/>
  <c r="E44" i="13" s="1"/>
  <c r="Q14" i="10"/>
  <c r="B13" i="15" s="1"/>
  <c r="L13" i="15" s="1"/>
  <c r="AN48" i="9"/>
  <c r="AO48" i="9" s="1"/>
  <c r="Q15" i="10"/>
  <c r="B15" i="14" s="1"/>
  <c r="BH119" i="8"/>
  <c r="D38" i="15" s="1"/>
  <c r="E38" i="15" s="1"/>
  <c r="BG97" i="8"/>
  <c r="N16" i="15" s="1"/>
  <c r="B25" i="16"/>
  <c r="O11" i="13"/>
  <c r="BG105" i="8"/>
  <c r="N25" i="14" s="1"/>
  <c r="BZ116" i="8"/>
  <c r="Q11" i="13"/>
  <c r="C47" i="16"/>
  <c r="D13" i="16"/>
  <c r="BE94" i="8"/>
  <c r="G13" i="16" s="1"/>
  <c r="J13" i="16" s="1"/>
  <c r="S32" i="11"/>
  <c r="E25" i="13" s="1"/>
  <c r="D15" i="16"/>
  <c r="U14" i="10"/>
  <c r="D13" i="22" s="1"/>
  <c r="P25" i="11"/>
  <c r="I16" i="22" s="1"/>
  <c r="BP104" i="8"/>
  <c r="BX104" i="8" s="1"/>
  <c r="G23" i="22" s="1"/>
  <c r="S33" i="10"/>
  <c r="B32" i="22" s="1"/>
  <c r="BH94" i="8"/>
  <c r="D13" i="15" s="1"/>
  <c r="S35" i="10"/>
  <c r="V35" i="10" s="1"/>
  <c r="BQ119" i="8"/>
  <c r="I11" i="16"/>
  <c r="BE119" i="8"/>
  <c r="BL119" i="8" s="1"/>
  <c r="D40" i="13" s="1"/>
  <c r="P41" i="11"/>
  <c r="I32" i="22" s="1"/>
  <c r="Q36" i="10"/>
  <c r="B36" i="14" s="1"/>
  <c r="BP116" i="8"/>
  <c r="BG108" i="8"/>
  <c r="N27" i="15" s="1"/>
  <c r="D23" i="16"/>
  <c r="BZ94" i="8"/>
  <c r="BE95" i="8"/>
  <c r="BL95" i="8" s="1"/>
  <c r="D16" i="13" s="1"/>
  <c r="AN12" i="22"/>
  <c r="BZ95" i="8"/>
  <c r="I12" i="16"/>
  <c r="BP126" i="8"/>
  <c r="U33" i="10"/>
  <c r="D32" i="22" s="1"/>
  <c r="C17" i="16"/>
  <c r="C27" i="16"/>
  <c r="P34" i="11"/>
  <c r="I25" i="22" s="1"/>
  <c r="U29" i="10"/>
  <c r="D28" i="22" s="1"/>
  <c r="S27" i="10"/>
  <c r="B26" i="22" s="1"/>
  <c r="E26" i="22" s="1"/>
  <c r="D17" i="16"/>
  <c r="BF12" i="22"/>
  <c r="BG125" i="8"/>
  <c r="N45" i="14" s="1"/>
  <c r="I47" i="16"/>
  <c r="BH95" i="8"/>
  <c r="D15" i="14" s="1"/>
  <c r="BE108" i="8"/>
  <c r="BL108" i="8" s="1"/>
  <c r="D29" i="13" s="1"/>
  <c r="P57" i="11"/>
  <c r="I48" i="22" s="1"/>
  <c r="U44" i="10"/>
  <c r="D43" i="22" s="1"/>
  <c r="B23" i="16"/>
  <c r="BP109" i="8"/>
  <c r="BX109" i="8" s="1"/>
  <c r="G28" i="22" s="1"/>
  <c r="S49" i="10"/>
  <c r="C12" i="14"/>
  <c r="C12" i="15"/>
  <c r="S50" i="10"/>
  <c r="B49" i="22" s="1"/>
  <c r="S38" i="10"/>
  <c r="B37" i="22" s="1"/>
  <c r="I32" i="16"/>
  <c r="S19" i="10"/>
  <c r="B18" i="22" s="1"/>
  <c r="C38" i="14"/>
  <c r="B47" i="16"/>
  <c r="U50" i="10"/>
  <c r="D49" i="22" s="1"/>
  <c r="C31" i="15"/>
  <c r="C37" i="16"/>
  <c r="E37" i="16" s="1"/>
  <c r="B39" i="13" s="1"/>
  <c r="CD12" i="22"/>
  <c r="AY12" i="22"/>
  <c r="P56" i="11"/>
  <c r="I47" i="22" s="1"/>
  <c r="BP93" i="8"/>
  <c r="P52" i="11"/>
  <c r="I43" i="22" s="1"/>
  <c r="S37" i="10"/>
  <c r="B36" i="22" s="1"/>
  <c r="D45" i="16"/>
  <c r="BG110" i="8"/>
  <c r="N30" i="14" s="1"/>
  <c r="BZ119" i="8"/>
  <c r="C11" i="15"/>
  <c r="C13" i="14"/>
  <c r="Q18" i="10"/>
  <c r="B17" i="15" s="1"/>
  <c r="S41" i="11"/>
  <c r="E34" i="13" s="1"/>
  <c r="D21" i="16"/>
  <c r="S46" i="11"/>
  <c r="E39" i="13" s="1"/>
  <c r="BM12" i="22"/>
  <c r="A13" i="22"/>
  <c r="BU13" i="22" s="1"/>
  <c r="C47" i="15"/>
  <c r="I30" i="16"/>
  <c r="AN50" i="9"/>
  <c r="AO50" i="9" s="1"/>
  <c r="Q50" i="10"/>
  <c r="B49" i="15" s="1"/>
  <c r="AN66" i="9"/>
  <c r="AO66" i="9" s="1"/>
  <c r="C32" i="15"/>
  <c r="P46" i="11"/>
  <c r="I37" i="22" s="1"/>
  <c r="AH12" i="22"/>
  <c r="Q12" i="10"/>
  <c r="B12" i="14" s="1"/>
  <c r="L12" i="14" s="1"/>
  <c r="C45" i="14"/>
  <c r="B11" i="16"/>
  <c r="U38" i="10"/>
  <c r="D37" i="22" s="1"/>
  <c r="B29" i="16"/>
  <c r="Q30" i="10"/>
  <c r="B29" i="15" s="1"/>
  <c r="Q23" i="10"/>
  <c r="B22" i="15" s="1"/>
  <c r="C45" i="16"/>
  <c r="S20" i="10"/>
  <c r="V20" i="10" s="1"/>
  <c r="T17" i="10"/>
  <c r="C16" i="22" s="1"/>
  <c r="P30" i="11"/>
  <c r="I21" i="22" s="1"/>
  <c r="BZ109" i="8"/>
  <c r="BG128" i="8"/>
  <c r="N47" i="15" s="1"/>
  <c r="BZ125" i="8"/>
  <c r="BG113" i="8"/>
  <c r="N33" i="14" s="1"/>
  <c r="BP129" i="8"/>
  <c r="BX129" i="8" s="1"/>
  <c r="G48" i="22" s="1"/>
  <c r="S37" i="11"/>
  <c r="E30" i="13" s="1"/>
  <c r="M19" i="5" a="1"/>
  <c r="X19" i="5" s="1"/>
  <c r="K45" i="12"/>
  <c r="H39" i="22" s="1"/>
  <c r="Q41" i="10"/>
  <c r="B41" i="14" s="1"/>
  <c r="BH92" i="8"/>
  <c r="D12" i="14" s="1"/>
  <c r="AN65" i="9"/>
  <c r="AO65" i="9" s="1"/>
  <c r="Q24" i="10"/>
  <c r="B24" i="14" s="1"/>
  <c r="C23" i="16"/>
  <c r="D12" i="16"/>
  <c r="T50" i="10"/>
  <c r="C49" i="22" s="1"/>
  <c r="Q17" i="10"/>
  <c r="B17" i="14" s="1"/>
  <c r="G44" i="16"/>
  <c r="J44" i="16" s="1"/>
  <c r="C48" i="15"/>
  <c r="D40" i="16"/>
  <c r="BT118" i="8"/>
  <c r="BX118" i="8" s="1"/>
  <c r="G37" i="22" s="1"/>
  <c r="D47" i="16"/>
  <c r="C28" i="15"/>
  <c r="C29" i="14"/>
  <c r="BZ92" i="8"/>
  <c r="S17" i="10"/>
  <c r="B16" i="22" s="1"/>
  <c r="BG107" i="8"/>
  <c r="N26" i="15" s="1"/>
  <c r="BP98" i="8"/>
  <c r="BX98" i="8" s="1"/>
  <c r="G17" i="22" s="1"/>
  <c r="F41" i="13"/>
  <c r="F9" i="13" s="1"/>
  <c r="AN47" i="9"/>
  <c r="AO47" i="9" s="1"/>
  <c r="AN33" i="9"/>
  <c r="AO33" i="9" s="1"/>
  <c r="BE92" i="8"/>
  <c r="G11" i="16" s="1"/>
  <c r="BT117" i="8"/>
  <c r="BZ107" i="8"/>
  <c r="I48" i="16"/>
  <c r="BZ103" i="8"/>
  <c r="P37" i="11"/>
  <c r="I28" i="22" s="1"/>
  <c r="C40" i="14"/>
  <c r="BP115" i="8"/>
  <c r="BX115" i="8" s="1"/>
  <c r="G34" i="22" s="1"/>
  <c r="P51" i="11"/>
  <c r="I42" i="22" s="1"/>
  <c r="U42" i="10"/>
  <c r="D41" i="22" s="1"/>
  <c r="S43" i="11"/>
  <c r="E36" i="13" s="1"/>
  <c r="S23" i="10"/>
  <c r="B22" i="22" s="1"/>
  <c r="E22" i="22" s="1"/>
  <c r="C21" i="16"/>
  <c r="B21" i="16"/>
  <c r="C26" i="15"/>
  <c r="C25" i="15"/>
  <c r="BP117" i="8"/>
  <c r="BX12" i="22"/>
  <c r="AO12" i="22"/>
  <c r="AU12" i="22"/>
  <c r="BB12" i="22"/>
  <c r="AI12" i="22"/>
  <c r="CC12" i="22"/>
  <c r="AV12" i="22"/>
  <c r="C30" i="15"/>
  <c r="S34" i="11"/>
  <c r="E27" i="13" s="1"/>
  <c r="BJ12" i="22"/>
  <c r="CB12" i="22"/>
  <c r="AW12" i="22"/>
  <c r="BW12" i="22"/>
  <c r="BD12" i="22"/>
  <c r="CH12" i="22"/>
  <c r="BC12" i="22"/>
  <c r="D48" i="16"/>
  <c r="C16" i="14"/>
  <c r="AN36" i="9"/>
  <c r="AO36" i="9" s="1"/>
  <c r="C26" i="14"/>
  <c r="C15" i="16"/>
  <c r="CA12" i="22"/>
  <c r="BR12" i="22"/>
  <c r="BT12" i="22"/>
  <c r="AK12" i="22"/>
  <c r="BL12" i="22"/>
  <c r="BA12" i="22"/>
  <c r="AM12" i="22"/>
  <c r="C43" i="15"/>
  <c r="T43" i="10"/>
  <c r="C42" i="22" s="1"/>
  <c r="P24" i="11"/>
  <c r="I15" i="22" s="1"/>
  <c r="C31" i="14"/>
  <c r="AN53" i="9"/>
  <c r="AO53" i="9" s="1"/>
  <c r="AZ12" i="22"/>
  <c r="AQ12" i="22"/>
  <c r="BE12" i="22"/>
  <c r="BU12" i="22"/>
  <c r="BO12" i="22"/>
  <c r="BQ12" i="22"/>
  <c r="CG12" i="22"/>
  <c r="BS12" i="22"/>
  <c r="BY12" i="22"/>
  <c r="AP12" i="22"/>
  <c r="BP12" i="22"/>
  <c r="BZ12" i="22"/>
  <c r="AL12" i="22"/>
  <c r="C44" i="14"/>
  <c r="C24" i="15"/>
  <c r="I15" i="16"/>
  <c r="S39" i="11"/>
  <c r="E32" i="13" s="1"/>
  <c r="BE110" i="8"/>
  <c r="BL110" i="8" s="1"/>
  <c r="D31" i="13" s="1"/>
  <c r="AN38" i="9"/>
  <c r="AO38" i="9" s="1"/>
  <c r="Q29" i="10"/>
  <c r="B28" i="15" s="1"/>
  <c r="AN51" i="9"/>
  <c r="AO51" i="9" s="1"/>
  <c r="Q28" i="10"/>
  <c r="B27" i="15" s="1"/>
  <c r="AN56" i="9"/>
  <c r="AO56" i="9" s="1"/>
  <c r="P45" i="11"/>
  <c r="I36" i="22" s="1"/>
  <c r="Q37" i="10"/>
  <c r="B37" i="14" s="1"/>
  <c r="BK12" i="22"/>
  <c r="AJ12" i="22"/>
  <c r="AX12" i="22"/>
  <c r="CF12" i="22"/>
  <c r="AS12" i="22"/>
  <c r="BV12" i="22"/>
  <c r="BN12" i="22"/>
  <c r="CE12" i="22"/>
  <c r="BH12" i="22"/>
  <c r="BI12" i="22"/>
  <c r="AT12" i="22"/>
  <c r="AG12" i="22"/>
  <c r="BG12" i="22"/>
  <c r="C15" i="15"/>
  <c r="B24" i="16"/>
  <c r="AN46" i="9"/>
  <c r="AO46" i="9" s="1"/>
  <c r="AN44" i="9"/>
  <c r="AO44" i="9" s="1"/>
  <c r="AN49" i="9"/>
  <c r="AO49" i="9" s="1"/>
  <c r="B43" i="16"/>
  <c r="E43" i="16" s="1"/>
  <c r="Q45" i="10"/>
  <c r="B45" i="14" s="1"/>
  <c r="BZ128" i="8"/>
  <c r="BZ97" i="8"/>
  <c r="BH93" i="8"/>
  <c r="D12" i="15" s="1"/>
  <c r="AN37" i="9"/>
  <c r="AO37" i="9" s="1"/>
  <c r="BT128" i="8"/>
  <c r="BX128" i="8" s="1"/>
  <c r="G47" i="22" s="1"/>
  <c r="AD47" i="22" s="1"/>
  <c r="C28" i="16"/>
  <c r="BH108" i="8"/>
  <c r="D27" i="15" s="1"/>
  <c r="E27" i="15" s="1"/>
  <c r="BE116" i="8"/>
  <c r="BL116" i="8" s="1"/>
  <c r="D37" i="13" s="1"/>
  <c r="BQ93" i="8"/>
  <c r="C26" i="16"/>
  <c r="T31" i="10"/>
  <c r="C30" i="22" s="1"/>
  <c r="I40" i="16"/>
  <c r="BG118" i="8"/>
  <c r="N38" i="14" s="1"/>
  <c r="S39" i="10"/>
  <c r="B38" i="22" s="1"/>
  <c r="BH128" i="8"/>
  <c r="D47" i="15" s="1"/>
  <c r="E47" i="15" s="1"/>
  <c r="G48" i="16"/>
  <c r="BH109" i="8"/>
  <c r="D28" i="15" s="1"/>
  <c r="E28" i="15" s="1"/>
  <c r="BH98" i="8"/>
  <c r="D17" i="15" s="1"/>
  <c r="E17" i="15" s="1"/>
  <c r="C17" i="14"/>
  <c r="BE98" i="8"/>
  <c r="G17" i="16" s="1"/>
  <c r="P26" i="11"/>
  <c r="I17" i="22" s="1"/>
  <c r="BG130" i="8"/>
  <c r="N49" i="15" s="1"/>
  <c r="BG111" i="8"/>
  <c r="N31" i="14" s="1"/>
  <c r="B17" i="16"/>
  <c r="BQ108" i="8"/>
  <c r="BX108" i="8" s="1"/>
  <c r="G27" i="22" s="1"/>
  <c r="D11" i="16"/>
  <c r="D44" i="16"/>
  <c r="E44" i="16" s="1"/>
  <c r="BH107" i="8"/>
  <c r="D27" i="14" s="1"/>
  <c r="E27" i="14" s="1"/>
  <c r="Q16" i="10"/>
  <c r="B15" i="15" s="1"/>
  <c r="BH116" i="8"/>
  <c r="D35" i="15" s="1"/>
  <c r="E35" i="15" s="1"/>
  <c r="S25" i="11"/>
  <c r="E18" i="13" s="1"/>
  <c r="I16" i="16"/>
  <c r="C19" i="16"/>
  <c r="BZ104" i="8"/>
  <c r="T45" i="10"/>
  <c r="C44" i="22" s="1"/>
  <c r="I23" i="16"/>
  <c r="BE104" i="8"/>
  <c r="BL104" i="8" s="1"/>
  <c r="D25" i="13" s="1"/>
  <c r="C12" i="16"/>
  <c r="I49" i="16"/>
  <c r="J49" i="16" s="1"/>
  <c r="BP92" i="8"/>
  <c r="BX92" i="8" s="1"/>
  <c r="G11" i="22" s="1"/>
  <c r="J11" i="22" s="1"/>
  <c r="BH97" i="8"/>
  <c r="D16" i="15" s="1"/>
  <c r="P32" i="11"/>
  <c r="I23" i="22" s="1"/>
  <c r="G47" i="16"/>
  <c r="Q13" i="10"/>
  <c r="B13" i="14" s="1"/>
  <c r="C50" i="14"/>
  <c r="C24" i="14"/>
  <c r="BE128" i="8"/>
  <c r="BL128" i="8" s="1"/>
  <c r="D49" i="13" s="1"/>
  <c r="BZ108" i="8"/>
  <c r="BE113" i="8"/>
  <c r="BL113" i="8" s="1"/>
  <c r="D34" i="13" s="1"/>
  <c r="U26" i="10"/>
  <c r="D25" i="22" s="1"/>
  <c r="Q44" i="10"/>
  <c r="B44" i="14" s="1"/>
  <c r="BZ98" i="8"/>
  <c r="BE107" i="8"/>
  <c r="G26" i="16" s="1"/>
  <c r="AN42" i="9"/>
  <c r="AO42" i="9" s="1"/>
  <c r="AN32" i="9"/>
  <c r="AO32" i="9" s="1"/>
  <c r="AN70" i="9"/>
  <c r="AO70" i="9" s="1"/>
  <c r="BE93" i="8"/>
  <c r="G12" i="16" s="1"/>
  <c r="BZ105" i="8"/>
  <c r="C41" i="14"/>
  <c r="C22" i="14"/>
  <c r="BP121" i="8"/>
  <c r="BX121" i="8" s="1"/>
  <c r="G40" i="22" s="1"/>
  <c r="AD40" i="22" s="1"/>
  <c r="BE109" i="8"/>
  <c r="G28" i="16" s="1"/>
  <c r="J28" i="16" s="1"/>
  <c r="BG96" i="8"/>
  <c r="N16" i="14" s="1"/>
  <c r="S26" i="11"/>
  <c r="E19" i="13" s="1"/>
  <c r="AN60" i="9"/>
  <c r="AO60" i="9" s="1"/>
  <c r="Q20" i="10"/>
  <c r="B20" i="14" s="1"/>
  <c r="AN40" i="9"/>
  <c r="AO40" i="9" s="1"/>
  <c r="BZ96" i="8"/>
  <c r="AN55" i="9"/>
  <c r="AO55" i="9" s="1"/>
  <c r="BE125" i="8"/>
  <c r="BL125" i="8" s="1"/>
  <c r="D46" i="13" s="1"/>
  <c r="Q39" i="10"/>
  <c r="B38" i="15" s="1"/>
  <c r="AN68" i="9"/>
  <c r="AO68" i="9" s="1"/>
  <c r="BT122" i="8"/>
  <c r="J38" i="16"/>
  <c r="D46" i="16"/>
  <c r="C40" i="15"/>
  <c r="P49" i="11"/>
  <c r="I40" i="22" s="1"/>
  <c r="C21" i="15"/>
  <c r="I21" i="16"/>
  <c r="T42" i="10"/>
  <c r="C41" i="22" s="1"/>
  <c r="BE121" i="8"/>
  <c r="BL121" i="8" s="1"/>
  <c r="D42" i="13" s="1"/>
  <c r="BT123" i="8"/>
  <c r="BX123" i="8" s="1"/>
  <c r="G42" i="22" s="1"/>
  <c r="U25" i="10"/>
  <c r="D24" i="22" s="1"/>
  <c r="I17" i="16"/>
  <c r="Q40" i="10"/>
  <c r="B39" i="15" s="1"/>
  <c r="BQ110" i="8"/>
  <c r="BX110" i="8" s="1"/>
  <c r="G29" i="22" s="1"/>
  <c r="BE130" i="8"/>
  <c r="BL130" i="8" s="1"/>
  <c r="D51" i="13" s="1"/>
  <c r="C9" i="13"/>
  <c r="AN58" i="9"/>
  <c r="AO58" i="9" s="1"/>
  <c r="BZ126" i="8"/>
  <c r="BH118" i="8"/>
  <c r="D38" i="14" s="1"/>
  <c r="E38" i="14" s="1"/>
  <c r="P43" i="11"/>
  <c r="I34" i="22" s="1"/>
  <c r="BE97" i="8"/>
  <c r="BL97" i="8" s="1"/>
  <c r="D18" i="13" s="1"/>
  <c r="Q33" i="10"/>
  <c r="B32" i="15" s="1"/>
  <c r="BH130" i="8"/>
  <c r="D49" i="15" s="1"/>
  <c r="E49" i="15" s="1"/>
  <c r="D27" i="16"/>
  <c r="BH125" i="8"/>
  <c r="D45" i="14" s="1"/>
  <c r="E45" i="14" s="1"/>
  <c r="BZ93" i="8"/>
  <c r="Q22" i="10"/>
  <c r="B22" i="14" s="1"/>
  <c r="Q27" i="10"/>
  <c r="B26" i="15" s="1"/>
  <c r="C29" i="16"/>
  <c r="D18" i="16"/>
  <c r="BE118" i="8"/>
  <c r="BL118" i="8" s="1"/>
  <c r="D39" i="13" s="1"/>
  <c r="C38" i="16"/>
  <c r="BZ113" i="8"/>
  <c r="S40" i="11"/>
  <c r="E33" i="13" s="1"/>
  <c r="P40" i="11"/>
  <c r="I31" i="22" s="1"/>
  <c r="BX112" i="8"/>
  <c r="G31" i="22" s="1"/>
  <c r="AD31" i="22" s="1"/>
  <c r="AD29" i="9"/>
  <c r="Q42" i="10"/>
  <c r="B41" i="15" s="1"/>
  <c r="BE123" i="8"/>
  <c r="BL123" i="8" s="1"/>
  <c r="D44" i="13" s="1"/>
  <c r="C42" i="15"/>
  <c r="Q38" i="10"/>
  <c r="B37" i="15" s="1"/>
  <c r="P53" i="11"/>
  <c r="I44" i="22" s="1"/>
  <c r="BP106" i="8"/>
  <c r="BX106" i="8" s="1"/>
  <c r="G25" i="22" s="1"/>
  <c r="S35" i="11"/>
  <c r="E28" i="13" s="1"/>
  <c r="U32" i="10"/>
  <c r="D31" i="22" s="1"/>
  <c r="S42" i="10"/>
  <c r="B41" i="22" s="1"/>
  <c r="Q46" i="10"/>
  <c r="B46" i="14" s="1"/>
  <c r="BH110" i="8"/>
  <c r="D29" i="15" s="1"/>
  <c r="E29" i="15" s="1"/>
  <c r="BH126" i="8"/>
  <c r="D45" i="15" s="1"/>
  <c r="E45" i="15" s="1"/>
  <c r="C35" i="14"/>
  <c r="C34" i="15"/>
  <c r="BZ130" i="8"/>
  <c r="S32" i="10"/>
  <c r="B31" i="22" s="1"/>
  <c r="T39" i="10"/>
  <c r="C38" i="22" s="1"/>
  <c r="BH113" i="8"/>
  <c r="D32" i="15" s="1"/>
  <c r="E32" i="15" s="1"/>
  <c r="D19" i="16"/>
  <c r="BH106" i="8"/>
  <c r="D25" i="15" s="1"/>
  <c r="E25" i="15" s="1"/>
  <c r="D26" i="16"/>
  <c r="I31" i="16"/>
  <c r="BH103" i="8"/>
  <c r="D22" i="15" s="1"/>
  <c r="E22" i="15" s="1"/>
  <c r="S46" i="10"/>
  <c r="V46" i="10" s="1"/>
  <c r="I42" i="16"/>
  <c r="J42" i="16" s="1"/>
  <c r="S28" i="11"/>
  <c r="E21" i="13" s="1"/>
  <c r="C44" i="15"/>
  <c r="BH104" i="8"/>
  <c r="D23" i="15" s="1"/>
  <c r="E23" i="15" s="1"/>
  <c r="Q48" i="10"/>
  <c r="B47" i="15" s="1"/>
  <c r="P35" i="11"/>
  <c r="I26" i="22" s="1"/>
  <c r="BE103" i="8"/>
  <c r="G22" i="16" s="1"/>
  <c r="J22" i="16" s="1"/>
  <c r="BG127" i="8"/>
  <c r="N46" i="15" s="1"/>
  <c r="BE126" i="8"/>
  <c r="BL126" i="8" s="1"/>
  <c r="D47" i="13" s="1"/>
  <c r="BQ126" i="8"/>
  <c r="AN69" i="9"/>
  <c r="AO69" i="9" s="1"/>
  <c r="BZ118" i="8"/>
  <c r="BH129" i="8"/>
  <c r="D49" i="14" s="1"/>
  <c r="E49" i="14" s="1"/>
  <c r="J45" i="16"/>
  <c r="U28" i="10"/>
  <c r="D27" i="22" s="1"/>
  <c r="BQ125" i="8"/>
  <c r="BX125" i="8" s="1"/>
  <c r="G44" i="22" s="1"/>
  <c r="BZ102" i="8"/>
  <c r="B31" i="16"/>
  <c r="E31" i="16" s="1"/>
  <c r="BH122" i="8"/>
  <c r="D42" i="14" s="1"/>
  <c r="E42" i="14" s="1"/>
  <c r="BH123" i="8"/>
  <c r="D43" i="14" s="1"/>
  <c r="E43" i="14" s="1"/>
  <c r="BE102" i="8"/>
  <c r="G21" i="16" s="1"/>
  <c r="I26" i="16"/>
  <c r="BZ110" i="8"/>
  <c r="AN61" i="9"/>
  <c r="AO61" i="9" s="1"/>
  <c r="BE112" i="8"/>
  <c r="G31" i="16" s="1"/>
  <c r="BG99" i="8"/>
  <c r="N19" i="14" s="1"/>
  <c r="C24" i="16"/>
  <c r="C40" i="16"/>
  <c r="BH127" i="8"/>
  <c r="D47" i="14" s="1"/>
  <c r="E47" i="14" s="1"/>
  <c r="BE124" i="8"/>
  <c r="BL124" i="8" s="1"/>
  <c r="D45" i="13" s="1"/>
  <c r="BT127" i="8"/>
  <c r="BX127" i="8" s="1"/>
  <c r="G46" i="22" s="1"/>
  <c r="AN45" i="9"/>
  <c r="AO45" i="9" s="1"/>
  <c r="AN62" i="9"/>
  <c r="AO62" i="9" s="1"/>
  <c r="M7" i="5" a="1"/>
  <c r="Q7" i="5" s="1"/>
  <c r="BH120" i="8"/>
  <c r="D39" i="15" s="1"/>
  <c r="E39" i="15" s="1"/>
  <c r="AK29" i="9"/>
  <c r="AN63" i="9"/>
  <c r="AO63" i="9" s="1"/>
  <c r="H8" i="16"/>
  <c r="C39" i="15"/>
  <c r="C36" i="15"/>
  <c r="C37" i="14"/>
  <c r="BZ123" i="8"/>
  <c r="BZ115" i="8"/>
  <c r="AN52" i="9"/>
  <c r="AO52" i="9" s="1"/>
  <c r="T37" i="10"/>
  <c r="C36" i="22" s="1"/>
  <c r="S33" i="11"/>
  <c r="E26" i="13" s="1"/>
  <c r="I24" i="16"/>
  <c r="BE122" i="8"/>
  <c r="BL122" i="8" s="1"/>
  <c r="D43" i="13" s="1"/>
  <c r="BT124" i="8"/>
  <c r="BZ121" i="8"/>
  <c r="P48" i="11"/>
  <c r="I39" i="22" s="1"/>
  <c r="BX111" i="8"/>
  <c r="G30" i="22" s="1"/>
  <c r="AD30" i="22" s="1"/>
  <c r="BQ120" i="8"/>
  <c r="I36" i="16"/>
  <c r="J36" i="16" s="1"/>
  <c r="B46" i="16"/>
  <c r="D36" i="16"/>
  <c r="C25" i="14"/>
  <c r="S48" i="11"/>
  <c r="E41" i="13" s="1"/>
  <c r="BH115" i="8"/>
  <c r="D35" i="14" s="1"/>
  <c r="E35" i="14" s="1"/>
  <c r="S40" i="10"/>
  <c r="B39" i="22" s="1"/>
  <c r="AM29" i="9"/>
  <c r="BH105" i="8"/>
  <c r="D25" i="14" s="1"/>
  <c r="E25" i="14" s="1"/>
  <c r="BZ122" i="8"/>
  <c r="AN67" i="9"/>
  <c r="AO67" i="9" s="1"/>
  <c r="AN64" i="9"/>
  <c r="AO64" i="9" s="1"/>
  <c r="Q35" i="10"/>
  <c r="B34" i="15" s="1"/>
  <c r="P8" i="10"/>
  <c r="BP120" i="8"/>
  <c r="Q19" i="10"/>
  <c r="B18" i="15" s="1"/>
  <c r="P27" i="11"/>
  <c r="I18" i="22" s="1"/>
  <c r="BX97" i="8"/>
  <c r="G16" i="22" s="1"/>
  <c r="AD16" i="22" s="1"/>
  <c r="H7" i="16"/>
  <c r="Q47" i="10"/>
  <c r="B47" i="14" s="1"/>
  <c r="Q43" i="10"/>
  <c r="B42" i="15" s="1"/>
  <c r="N8" i="10"/>
  <c r="Q26" i="10"/>
  <c r="B26" i="14" s="1"/>
  <c r="Q31" i="10"/>
  <c r="B31" i="14" s="1"/>
  <c r="AX90" i="8"/>
  <c r="AW90" i="8"/>
  <c r="Q49" i="10"/>
  <c r="B49" i="14" s="1"/>
  <c r="BH100" i="8"/>
  <c r="D19" i="15" s="1"/>
  <c r="E19" i="15" s="1"/>
  <c r="BZ129" i="8"/>
  <c r="BQ105" i="8"/>
  <c r="BX105" i="8" s="1"/>
  <c r="G24" i="22" s="1"/>
  <c r="S31" i="10"/>
  <c r="B30" i="22" s="1"/>
  <c r="M5" i="5" a="1"/>
  <c r="O5" i="5" s="1"/>
  <c r="C25" i="16"/>
  <c r="BH102" i="8"/>
  <c r="D22" i="14" s="1"/>
  <c r="E22" i="14" s="1"/>
  <c r="BE105" i="8"/>
  <c r="G24" i="16" s="1"/>
  <c r="U31" i="10"/>
  <c r="D30" i="22" s="1"/>
  <c r="O8" i="10"/>
  <c r="BW90" i="8"/>
  <c r="C46" i="16"/>
  <c r="BE115" i="8"/>
  <c r="BL115" i="8" s="1"/>
  <c r="D36" i="13" s="1"/>
  <c r="BE129" i="8"/>
  <c r="BL129" i="8" s="1"/>
  <c r="D50" i="13" s="1"/>
  <c r="BG112" i="8"/>
  <c r="N32" i="14" s="1"/>
  <c r="BH99" i="8"/>
  <c r="D19" i="14" s="1"/>
  <c r="E19" i="14" s="1"/>
  <c r="BC90" i="8"/>
  <c r="C34" i="16"/>
  <c r="E34" i="16" s="1"/>
  <c r="B36" i="13" s="1"/>
  <c r="P28" i="11"/>
  <c r="I19" i="22" s="1"/>
  <c r="BE106" i="8"/>
  <c r="BL106" i="8" s="1"/>
  <c r="D27" i="13" s="1"/>
  <c r="C48" i="16"/>
  <c r="BZ124" i="8"/>
  <c r="Q25" i="10"/>
  <c r="B24" i="15" s="1"/>
  <c r="BE127" i="8"/>
  <c r="BL127" i="8" s="1"/>
  <c r="D48" i="13" s="1"/>
  <c r="S16" i="10"/>
  <c r="B15" i="22" s="1"/>
  <c r="E15" i="22" s="1"/>
  <c r="BE96" i="8"/>
  <c r="BL96" i="8" s="1"/>
  <c r="D17" i="13" s="1"/>
  <c r="BE99" i="8"/>
  <c r="BL99" i="8" s="1"/>
  <c r="D20" i="13" s="1"/>
  <c r="BH121" i="8"/>
  <c r="D41" i="14" s="1"/>
  <c r="E41" i="14" s="1"/>
  <c r="T41" i="10"/>
  <c r="C40" i="22" s="1"/>
  <c r="D42" i="16"/>
  <c r="E42" i="16" s="1"/>
  <c r="B44" i="13" s="1"/>
  <c r="BG100" i="8"/>
  <c r="N20" i="14" s="1"/>
  <c r="BZ100" i="8"/>
  <c r="AH29" i="9"/>
  <c r="T26" i="10"/>
  <c r="C25" i="22" s="1"/>
  <c r="BQ102" i="8"/>
  <c r="BD90" i="8"/>
  <c r="T47" i="10"/>
  <c r="C46" i="22" s="1"/>
  <c r="BQ122" i="8"/>
  <c r="BE117" i="8"/>
  <c r="BL117" i="8" s="1"/>
  <c r="D38" i="13" s="1"/>
  <c r="BH111" i="8"/>
  <c r="D31" i="14" s="1"/>
  <c r="E31" i="14" s="1"/>
  <c r="BV90" i="8"/>
  <c r="M6" i="5" a="1"/>
  <c r="AQ6" i="5" s="1"/>
  <c r="BZ127" i="8"/>
  <c r="G40" i="16"/>
  <c r="I19" i="16"/>
  <c r="C20" i="14"/>
  <c r="T49" i="10"/>
  <c r="C48" i="22" s="1"/>
  <c r="BH124" i="8"/>
  <c r="D44" i="14" s="1"/>
  <c r="E44" i="14" s="1"/>
  <c r="BG122" i="8"/>
  <c r="N41" i="15" s="1"/>
  <c r="BH112" i="8"/>
  <c r="D31" i="15" s="1"/>
  <c r="E31" i="15" s="1"/>
  <c r="B15" i="16"/>
  <c r="BG124" i="8"/>
  <c r="N44" i="14" s="1"/>
  <c r="M14" i="5" a="1"/>
  <c r="AS14" i="5" s="1"/>
  <c r="U43" i="10"/>
  <c r="D42" i="22" s="1"/>
  <c r="BE100" i="8"/>
  <c r="BL100" i="8" s="1"/>
  <c r="D21" i="13" s="1"/>
  <c r="BE111" i="8"/>
  <c r="BL111" i="8" s="1"/>
  <c r="D32" i="13" s="1"/>
  <c r="AC29" i="9"/>
  <c r="BH96" i="8"/>
  <c r="D15" i="15" s="1"/>
  <c r="BZ106" i="8"/>
  <c r="BZ111" i="8"/>
  <c r="BZ112" i="8"/>
  <c r="I18" i="16"/>
  <c r="BH117" i="8"/>
  <c r="D37" i="14" s="1"/>
  <c r="E37" i="14" s="1"/>
  <c r="C18" i="16"/>
  <c r="AN57" i="9"/>
  <c r="AO57" i="9" s="1"/>
  <c r="X8" i="10"/>
  <c r="T19" i="10"/>
  <c r="C18" i="22" s="1"/>
  <c r="AN39" i="9"/>
  <c r="AO39" i="9" s="1"/>
  <c r="J41" i="16"/>
  <c r="AL29" i="9"/>
  <c r="BX113" i="8"/>
  <c r="G32" i="22" s="1"/>
  <c r="AG29" i="9"/>
  <c r="BR90" i="8"/>
  <c r="M18" i="11"/>
  <c r="M15" i="5" a="1"/>
  <c r="M15" i="5" s="1"/>
  <c r="S27" i="11"/>
  <c r="E20" i="13" s="1"/>
  <c r="AZ90" i="8"/>
  <c r="AB29" i="9"/>
  <c r="BE120" i="8"/>
  <c r="BL120" i="8" s="1"/>
  <c r="D41" i="13" s="1"/>
  <c r="AY90" i="8"/>
  <c r="BZ117" i="8"/>
  <c r="BT120" i="8"/>
  <c r="C18" i="15"/>
  <c r="BB90" i="8"/>
  <c r="BZ120" i="8"/>
  <c r="BX95" i="8"/>
  <c r="G14" i="22" s="1"/>
  <c r="BZ99" i="8"/>
  <c r="AI29" i="9"/>
  <c r="M4" i="5" a="1"/>
  <c r="X4" i="5" s="1"/>
  <c r="BA90" i="8"/>
  <c r="BS90" i="8"/>
  <c r="BX100" i="8"/>
  <c r="G19" i="22" s="1"/>
  <c r="AD19" i="22" s="1"/>
  <c r="B11" i="22"/>
  <c r="E11" i="22" s="1"/>
  <c r="V12" i="10"/>
  <c r="B17" i="22"/>
  <c r="E17" i="22" s="1"/>
  <c r="V18" i="10"/>
  <c r="V34" i="10"/>
  <c r="B33" i="22"/>
  <c r="E33" i="22" s="1"/>
  <c r="E49" i="16"/>
  <c r="AO3" i="5"/>
  <c r="AD3" i="5"/>
  <c r="X99" i="5" s="1"/>
  <c r="AR3" i="5"/>
  <c r="AV3" i="5"/>
  <c r="AP3" i="5"/>
  <c r="AA3" i="5"/>
  <c r="U99" i="5" s="1"/>
  <c r="AG3" i="5"/>
  <c r="AA99" i="5" s="1"/>
  <c r="AU3" i="5"/>
  <c r="AM3" i="5"/>
  <c r="M3" i="5"/>
  <c r="G99" i="5" s="1"/>
  <c r="V3" i="5"/>
  <c r="P99" i="5" s="1"/>
  <c r="AZ3" i="5"/>
  <c r="T3" i="5"/>
  <c r="N99" i="5" s="1"/>
  <c r="AE3" i="5"/>
  <c r="Y99" i="5" s="1"/>
  <c r="P3" i="5"/>
  <c r="J99" i="5" s="1"/>
  <c r="AN3" i="5"/>
  <c r="AC3" i="5"/>
  <c r="W99" i="5" s="1"/>
  <c r="AJ3" i="5"/>
  <c r="AD99" i="5" s="1"/>
  <c r="AK3" i="5"/>
  <c r="AE99" i="5" s="1"/>
  <c r="Z3" i="5"/>
  <c r="T99" i="5" s="1"/>
  <c r="AS3" i="5"/>
  <c r="Y3" i="5"/>
  <c r="S99" i="5" s="1"/>
  <c r="W3" i="5"/>
  <c r="Q99" i="5" s="1"/>
  <c r="AH3" i="5"/>
  <c r="AB99" i="5" s="1"/>
  <c r="AQ3" i="5"/>
  <c r="Q3" i="5"/>
  <c r="K99" i="5" s="1"/>
  <c r="AY3" i="5"/>
  <c r="N3" i="5"/>
  <c r="H99" i="5" s="1"/>
  <c r="X3" i="5"/>
  <c r="R99" i="5" s="1"/>
  <c r="S3" i="5"/>
  <c r="M99" i="5" s="1"/>
  <c r="AB3" i="5"/>
  <c r="V99" i="5" s="1"/>
  <c r="R3" i="5"/>
  <c r="L99" i="5" s="1"/>
  <c r="AI3" i="5"/>
  <c r="AC99" i="5" s="1"/>
  <c r="AX3" i="5"/>
  <c r="AT3" i="5"/>
  <c r="U3" i="5"/>
  <c r="O99" i="5" s="1"/>
  <c r="AW3" i="5"/>
  <c r="AF3" i="5"/>
  <c r="Z99" i="5" s="1"/>
  <c r="O3" i="5"/>
  <c r="I99" i="5" s="1"/>
  <c r="AL3" i="5"/>
  <c r="AF99" i="5" s="1"/>
  <c r="N34" i="15"/>
  <c r="N35" i="14"/>
  <c r="E35" i="16"/>
  <c r="B21" i="22"/>
  <c r="E21" i="22" s="1"/>
  <c r="V22" i="10"/>
  <c r="B14" i="22"/>
  <c r="B10" i="22"/>
  <c r="B46" i="22"/>
  <c r="J35" i="16"/>
  <c r="BX107" i="8"/>
  <c r="G26" i="22" s="1"/>
  <c r="I10" i="22"/>
  <c r="B40" i="22"/>
  <c r="N46" i="14"/>
  <c r="N45" i="15"/>
  <c r="BX94" i="8"/>
  <c r="G13" i="22" s="1"/>
  <c r="BX96" i="8"/>
  <c r="G15" i="22" s="1"/>
  <c r="J39" i="16"/>
  <c r="N10" i="15"/>
  <c r="N11" i="14"/>
  <c r="N11" i="15"/>
  <c r="N12" i="14"/>
  <c r="N24" i="14"/>
  <c r="N23" i="15"/>
  <c r="E30" i="16"/>
  <c r="B32" i="13" s="1"/>
  <c r="N35" i="15"/>
  <c r="N36" i="14"/>
  <c r="BX101" i="8"/>
  <c r="G20" i="22" s="1"/>
  <c r="N36" i="15"/>
  <c r="N37" i="14"/>
  <c r="B27" i="22"/>
  <c r="V48" i="10"/>
  <c r="B47" i="22"/>
  <c r="E47" i="22" s="1"/>
  <c r="N40" i="14"/>
  <c r="N39" i="15"/>
  <c r="J46" i="16"/>
  <c r="B13" i="22"/>
  <c r="E32" i="16"/>
  <c r="B34" i="13" s="1"/>
  <c r="E20" i="16"/>
  <c r="D10" i="22"/>
  <c r="N49" i="14"/>
  <c r="N48" i="15"/>
  <c r="B28" i="22"/>
  <c r="N43" i="14"/>
  <c r="N42" i="15"/>
  <c r="V24" i="10"/>
  <c r="B23" i="22"/>
  <c r="E23" i="22" s="1"/>
  <c r="V13" i="10"/>
  <c r="B12" i="22"/>
  <c r="E12" i="22" s="1"/>
  <c r="N25" i="15"/>
  <c r="N26" i="14"/>
  <c r="N21" i="15"/>
  <c r="N22" i="14"/>
  <c r="N29" i="14"/>
  <c r="N28" i="15"/>
  <c r="E41" i="16"/>
  <c r="V30" i="10"/>
  <c r="B29" i="22"/>
  <c r="E29" i="22" s="1"/>
  <c r="J43" i="16"/>
  <c r="B24" i="22"/>
  <c r="BX99" i="8"/>
  <c r="G18" i="22" s="1"/>
  <c r="N33" i="15"/>
  <c r="N34" i="14"/>
  <c r="B25" i="22"/>
  <c r="N40" i="15"/>
  <c r="N41" i="14"/>
  <c r="E16" i="16"/>
  <c r="N13" i="14"/>
  <c r="N12" i="15"/>
  <c r="N22" i="15"/>
  <c r="N23" i="14"/>
  <c r="N17" i="15"/>
  <c r="N18" i="14"/>
  <c r="B43" i="22"/>
  <c r="K17" i="15"/>
  <c r="K21" i="14"/>
  <c r="D33" i="15" l="1"/>
  <c r="E33" i="15" s="1"/>
  <c r="E38" i="16"/>
  <c r="K38" i="16" s="1"/>
  <c r="B11" i="14"/>
  <c r="L11" i="14" s="1"/>
  <c r="J21" i="16"/>
  <c r="E19" i="16"/>
  <c r="B21" i="13" s="1"/>
  <c r="Y21" i="13" s="1"/>
  <c r="H7" i="22"/>
  <c r="E40" i="16"/>
  <c r="B42" i="13" s="1"/>
  <c r="N15" i="14"/>
  <c r="E39" i="22"/>
  <c r="D20" i="15"/>
  <c r="E20" i="15" s="1"/>
  <c r="B11" i="15"/>
  <c r="L11" i="15" s="1"/>
  <c r="BL94" i="8"/>
  <c r="D15" i="13" s="1"/>
  <c r="B31" i="15"/>
  <c r="D10" i="15"/>
  <c r="BX116" i="8"/>
  <c r="G35" i="22" s="1"/>
  <c r="AD35" i="22" s="1"/>
  <c r="B14" i="14"/>
  <c r="L14" i="14" s="1"/>
  <c r="D11" i="15"/>
  <c r="N14" i="14"/>
  <c r="V23" i="10"/>
  <c r="B16" i="14"/>
  <c r="BX119" i="8"/>
  <c r="G38" i="22" s="1"/>
  <c r="J38" i="22" s="1"/>
  <c r="E43" i="22"/>
  <c r="B35" i="15"/>
  <c r="B20" i="15"/>
  <c r="V11" i="10"/>
  <c r="D14" i="14"/>
  <c r="E14" i="16"/>
  <c r="B16" i="13" s="1"/>
  <c r="E31" i="22"/>
  <c r="B19" i="15"/>
  <c r="G10" i="16"/>
  <c r="J10" i="16" s="1"/>
  <c r="B30" i="14"/>
  <c r="AL19" i="5"/>
  <c r="D14" i="15"/>
  <c r="AJ19" i="5"/>
  <c r="AX19" i="5"/>
  <c r="N39" i="14"/>
  <c r="D29" i="14"/>
  <c r="E29" i="14" s="1"/>
  <c r="N17" i="14"/>
  <c r="E13" i="16"/>
  <c r="K13" i="16" s="1"/>
  <c r="AG13" i="22"/>
  <c r="BR13" i="22"/>
  <c r="CA13" i="22"/>
  <c r="G20" i="16"/>
  <c r="J20" i="16" s="1"/>
  <c r="K20" i="16" s="1"/>
  <c r="BC13" i="22"/>
  <c r="N27" i="14"/>
  <c r="N48" i="14"/>
  <c r="B23" i="14"/>
  <c r="B23" i="15"/>
  <c r="J11" i="16"/>
  <c r="V27" i="10"/>
  <c r="E14" i="22"/>
  <c r="B34" i="22"/>
  <c r="E34" i="22" s="1"/>
  <c r="V44" i="10"/>
  <c r="V15" i="10"/>
  <c r="B19" i="22"/>
  <c r="E19" i="22" s="1"/>
  <c r="J32" i="22"/>
  <c r="J33" i="16"/>
  <c r="BL92" i="8"/>
  <c r="D13" i="13" s="1"/>
  <c r="BL109" i="8"/>
  <c r="D30" i="13" s="1"/>
  <c r="U19" i="5"/>
  <c r="AE19" i="5"/>
  <c r="AF19" i="5"/>
  <c r="J12" i="16"/>
  <c r="AU19" i="5"/>
  <c r="W19" i="5"/>
  <c r="AD19" i="5"/>
  <c r="AH19" i="5"/>
  <c r="BL114" i="8"/>
  <c r="D35" i="13" s="1"/>
  <c r="N50" i="14"/>
  <c r="D18" i="14"/>
  <c r="E18" i="14" s="1"/>
  <c r="V36" i="10"/>
  <c r="BU90" i="8"/>
  <c r="D36" i="14"/>
  <c r="E36" i="14" s="1"/>
  <c r="AY19" i="5"/>
  <c r="AA19" i="5"/>
  <c r="V19" i="5"/>
  <c r="AS19" i="5"/>
  <c r="AT19" i="5"/>
  <c r="G32" i="16"/>
  <c r="J32" i="16" s="1"/>
  <c r="K32" i="16" s="1"/>
  <c r="B28" i="14"/>
  <c r="B40" i="14"/>
  <c r="G23" i="16"/>
  <c r="J23" i="16" s="1"/>
  <c r="D20" i="14"/>
  <c r="E20" i="14" s="1"/>
  <c r="BL107" i="8"/>
  <c r="D28" i="13" s="1"/>
  <c r="G29" i="16"/>
  <c r="J29" i="16" s="1"/>
  <c r="B27" i="14"/>
  <c r="D30" i="14"/>
  <c r="E30" i="14" s="1"/>
  <c r="N37" i="15"/>
  <c r="D17" i="14"/>
  <c r="B16" i="15"/>
  <c r="N29" i="15"/>
  <c r="G14" i="16"/>
  <c r="J14" i="16" s="1"/>
  <c r="N32" i="15"/>
  <c r="B18" i="14"/>
  <c r="E33" i="16"/>
  <c r="B35" i="13" s="1"/>
  <c r="Y35" i="13" s="1"/>
  <c r="BL105" i="8"/>
  <c r="D26" i="13" s="1"/>
  <c r="E12" i="16"/>
  <c r="B14" i="13" s="1"/>
  <c r="D23" i="14"/>
  <c r="E23" i="14" s="1"/>
  <c r="BL103" i="8"/>
  <c r="D24" i="13" s="1"/>
  <c r="W24" i="13" s="1"/>
  <c r="BL93" i="8"/>
  <c r="D14" i="13" s="1"/>
  <c r="BX122" i="8"/>
  <c r="G41" i="22" s="1"/>
  <c r="AD41" i="22" s="1"/>
  <c r="J47" i="16"/>
  <c r="E27" i="22"/>
  <c r="D41" i="15"/>
  <c r="E41" i="15" s="1"/>
  <c r="V28" i="10"/>
  <c r="E29" i="16"/>
  <c r="B31" i="13" s="1"/>
  <c r="J24" i="16"/>
  <c r="E27" i="16"/>
  <c r="B29" i="13" s="1"/>
  <c r="Y29" i="13" s="1"/>
  <c r="B34" i="14"/>
  <c r="G27" i="16"/>
  <c r="J27" i="16" s="1"/>
  <c r="V21" i="10"/>
  <c r="B14" i="15"/>
  <c r="E20" i="22"/>
  <c r="J14" i="22"/>
  <c r="E47" i="16"/>
  <c r="B49" i="13" s="1"/>
  <c r="E11" i="16"/>
  <c r="B13" i="13" s="1"/>
  <c r="Y13" i="13" s="1"/>
  <c r="B48" i="14"/>
  <c r="D40" i="15"/>
  <c r="E40" i="15" s="1"/>
  <c r="E28" i="16"/>
  <c r="B30" i="13" s="1"/>
  <c r="X30" i="13" s="1"/>
  <c r="E21" i="16"/>
  <c r="K21" i="16" s="1"/>
  <c r="AI19" i="5"/>
  <c r="S19" i="5"/>
  <c r="AR19" i="5"/>
  <c r="N19" i="5"/>
  <c r="AM19" i="5"/>
  <c r="AW19" i="5"/>
  <c r="T19" i="5"/>
  <c r="L13" i="14"/>
  <c r="E17" i="16"/>
  <c r="B19" i="13" s="1"/>
  <c r="Y19" i="13" s="1"/>
  <c r="N47" i="14"/>
  <c r="G16" i="16"/>
  <c r="J16" i="16" s="1"/>
  <c r="K16" i="16" s="1"/>
  <c r="Q19" i="5"/>
  <c r="O19" i="5"/>
  <c r="R19" i="5"/>
  <c r="AZ19" i="5"/>
  <c r="Z19" i="5"/>
  <c r="AG19" i="5"/>
  <c r="AC19" i="5"/>
  <c r="E25" i="16"/>
  <c r="B27" i="13" s="1"/>
  <c r="X27" i="13" s="1"/>
  <c r="AV19" i="5"/>
  <c r="AB19" i="5"/>
  <c r="P19" i="5"/>
  <c r="AQ19" i="5"/>
  <c r="AP19" i="5"/>
  <c r="AO19" i="5"/>
  <c r="AK19" i="5"/>
  <c r="AN19" i="5"/>
  <c r="Y19" i="5"/>
  <c r="M19" i="5"/>
  <c r="E14" i="15"/>
  <c r="F14" i="15" s="1"/>
  <c r="G14" i="15" s="1"/>
  <c r="E45" i="16"/>
  <c r="B47" i="13" s="1"/>
  <c r="X47" i="13" s="1"/>
  <c r="E35" i="22"/>
  <c r="AI13" i="22"/>
  <c r="BZ13" i="22"/>
  <c r="BL13" i="22"/>
  <c r="E32" i="22"/>
  <c r="D39" i="14"/>
  <c r="E39" i="14" s="1"/>
  <c r="E13" i="22"/>
  <c r="BJ13" i="22"/>
  <c r="BH13" i="22"/>
  <c r="AY13" i="22"/>
  <c r="N21" i="14"/>
  <c r="BG13" i="22"/>
  <c r="CC13" i="22"/>
  <c r="BF13" i="22"/>
  <c r="E37" i="22"/>
  <c r="V49" i="10"/>
  <c r="AL13" i="22"/>
  <c r="BK13" i="22"/>
  <c r="E28" i="22"/>
  <c r="N28" i="14"/>
  <c r="N24" i="15"/>
  <c r="V38" i="10"/>
  <c r="N44" i="15"/>
  <c r="B50" i="14"/>
  <c r="B48" i="22"/>
  <c r="E48" i="22" s="1"/>
  <c r="AM13" i="22"/>
  <c r="BT13" i="22"/>
  <c r="BA13" i="22"/>
  <c r="AP13" i="22"/>
  <c r="A14" i="22"/>
  <c r="BD14" i="22" s="1"/>
  <c r="BP13" i="22"/>
  <c r="AX13" i="22"/>
  <c r="AK13" i="22"/>
  <c r="AO13" i="22"/>
  <c r="CD13" i="22"/>
  <c r="AS13" i="22"/>
  <c r="BV13" i="22"/>
  <c r="BX13" i="22"/>
  <c r="BW13" i="22"/>
  <c r="BS13" i="22"/>
  <c r="AZ13" i="22"/>
  <c r="BN13" i="22"/>
  <c r="BO13" i="22"/>
  <c r="BB13" i="22"/>
  <c r="CB13" i="22"/>
  <c r="AR13" i="22"/>
  <c r="AT13" i="22"/>
  <c r="AN13" i="22"/>
  <c r="AW13" i="22"/>
  <c r="BI13" i="22"/>
  <c r="AU13" i="22"/>
  <c r="V29" i="10"/>
  <c r="X7" i="5"/>
  <c r="CF13" i="22"/>
  <c r="BY13" i="22"/>
  <c r="AJ13" i="22"/>
  <c r="AQ13" i="22"/>
  <c r="CE13" i="22"/>
  <c r="CG13" i="22"/>
  <c r="BE13" i="22"/>
  <c r="AV13" i="22"/>
  <c r="BQ13" i="22"/>
  <c r="AH13" i="22"/>
  <c r="BM13" i="22"/>
  <c r="BD13" i="22"/>
  <c r="CH13" i="22"/>
  <c r="V14" i="10"/>
  <c r="BX93" i="8"/>
  <c r="G12" i="22" s="1"/>
  <c r="AD12" i="22" s="1"/>
  <c r="V33" i="10"/>
  <c r="BX126" i="8"/>
  <c r="G45" i="22" s="1"/>
  <c r="AD45" i="22" s="1"/>
  <c r="Y4" i="5"/>
  <c r="AB7" i="5"/>
  <c r="J31" i="22"/>
  <c r="J48" i="16"/>
  <c r="E23" i="16"/>
  <c r="B25" i="13" s="1"/>
  <c r="AV14" i="5"/>
  <c r="V50" i="10"/>
  <c r="J16" i="22"/>
  <c r="E49" i="22"/>
  <c r="V32" i="10"/>
  <c r="V17" i="10"/>
  <c r="E16" i="22"/>
  <c r="AO14" i="5"/>
  <c r="G15" i="16"/>
  <c r="E26" i="16"/>
  <c r="B28" i="13" s="1"/>
  <c r="Z4" i="5"/>
  <c r="U15" i="5"/>
  <c r="J26" i="16"/>
  <c r="D46" i="15"/>
  <c r="E46" i="15" s="1"/>
  <c r="R5" i="5"/>
  <c r="B40" i="15"/>
  <c r="D43" i="15"/>
  <c r="E43" i="15" s="1"/>
  <c r="B43" i="14"/>
  <c r="D33" i="14"/>
  <c r="E33" i="14" s="1"/>
  <c r="AP5" i="5"/>
  <c r="E36" i="22"/>
  <c r="K22" i="16"/>
  <c r="B36" i="15"/>
  <c r="BX117" i="8"/>
  <c r="G36" i="22" s="1"/>
  <c r="J36" i="22" s="1"/>
  <c r="B43" i="15"/>
  <c r="E38" i="22"/>
  <c r="BL102" i="8"/>
  <c r="D23" i="13" s="1"/>
  <c r="D48" i="14"/>
  <c r="E48" i="14" s="1"/>
  <c r="J15" i="16"/>
  <c r="D13" i="14"/>
  <c r="B33" i="14"/>
  <c r="AW6" i="5"/>
  <c r="J17" i="16"/>
  <c r="D34" i="15"/>
  <c r="E34" i="15" s="1"/>
  <c r="E41" i="22"/>
  <c r="BL98" i="8"/>
  <c r="D19" i="13" s="1"/>
  <c r="D26" i="15"/>
  <c r="E26" i="15" s="1"/>
  <c r="D24" i="15"/>
  <c r="E24" i="15" s="1"/>
  <c r="B21" i="15"/>
  <c r="D37" i="15"/>
  <c r="E37" i="15" s="1"/>
  <c r="D50" i="14"/>
  <c r="E50" i="14" s="1"/>
  <c r="B35" i="14"/>
  <c r="B12" i="15"/>
  <c r="L12" i="15" s="1"/>
  <c r="B44" i="15"/>
  <c r="AP15" i="5"/>
  <c r="AO6" i="5"/>
  <c r="W6" i="5"/>
  <c r="M6" i="5"/>
  <c r="J30" i="22"/>
  <c r="B45" i="15"/>
  <c r="BP90" i="8"/>
  <c r="J31" i="16"/>
  <c r="K31" i="16" s="1"/>
  <c r="V42" i="10"/>
  <c r="E25" i="22"/>
  <c r="X6" i="5"/>
  <c r="AD32" i="22"/>
  <c r="J40" i="16"/>
  <c r="N18" i="15"/>
  <c r="E46" i="16"/>
  <c r="B48" i="13" s="1"/>
  <c r="W48" i="13" s="1"/>
  <c r="E24" i="16"/>
  <c r="B26" i="13" s="1"/>
  <c r="X26" i="13" s="1"/>
  <c r="E15" i="16"/>
  <c r="B17" i="13" s="1"/>
  <c r="W17" i="13" s="1"/>
  <c r="N15" i="15"/>
  <c r="AS4" i="5"/>
  <c r="N30" i="15"/>
  <c r="AW14" i="5"/>
  <c r="M14" i="5"/>
  <c r="P14" i="5"/>
  <c r="D48" i="15"/>
  <c r="E48" i="15" s="1"/>
  <c r="B42" i="14"/>
  <c r="BL112" i="8"/>
  <c r="D33" i="13" s="1"/>
  <c r="V39" i="10"/>
  <c r="E18" i="16"/>
  <c r="B20" i="13" s="1"/>
  <c r="X20" i="13" s="1"/>
  <c r="U14" i="5"/>
  <c r="AX14" i="5"/>
  <c r="E24" i="22"/>
  <c r="D28" i="14"/>
  <c r="E28" i="14" s="1"/>
  <c r="V45" i="10"/>
  <c r="B25" i="15"/>
  <c r="B39" i="14"/>
  <c r="B29" i="14"/>
  <c r="E48" i="16"/>
  <c r="B50" i="13" s="1"/>
  <c r="X50" i="13" s="1"/>
  <c r="S4" i="5"/>
  <c r="D40" i="14"/>
  <c r="E40" i="14" s="1"/>
  <c r="W4" i="5"/>
  <c r="S14" i="5"/>
  <c r="AG14" i="5"/>
  <c r="AM14" i="5"/>
  <c r="V25" i="10"/>
  <c r="E44" i="22"/>
  <c r="C6" i="15"/>
  <c r="N43" i="15"/>
  <c r="D42" i="15"/>
  <c r="E42" i="15" s="1"/>
  <c r="N5" i="5"/>
  <c r="AT5" i="5"/>
  <c r="AY7" i="5"/>
  <c r="AQ7" i="5"/>
  <c r="D26" i="14"/>
  <c r="E26" i="14" s="1"/>
  <c r="AW5" i="5"/>
  <c r="AD7" i="5"/>
  <c r="AZ7" i="5"/>
  <c r="V31" i="10"/>
  <c r="AS5" i="5"/>
  <c r="D16" i="14"/>
  <c r="AR7" i="5"/>
  <c r="O7" i="5"/>
  <c r="N7" i="5"/>
  <c r="V7" i="5"/>
  <c r="J23" i="22"/>
  <c r="K23" i="22" s="1"/>
  <c r="B8" i="16"/>
  <c r="AZ5" i="5"/>
  <c r="AJ5" i="5"/>
  <c r="C6" i="14"/>
  <c r="AG5" i="5"/>
  <c r="S5" i="5"/>
  <c r="AR4" i="5"/>
  <c r="U4" i="5"/>
  <c r="AF4" i="5"/>
  <c r="AU4" i="5"/>
  <c r="AH4" i="5"/>
  <c r="B48" i="15"/>
  <c r="AH6" i="5"/>
  <c r="U6" i="5"/>
  <c r="O6" i="5"/>
  <c r="AJ6" i="5"/>
  <c r="AF6" i="5"/>
  <c r="U8" i="10"/>
  <c r="B38" i="14"/>
  <c r="B25" i="14"/>
  <c r="AE7" i="5"/>
  <c r="AK7" i="5"/>
  <c r="AC7" i="5"/>
  <c r="Y7" i="5"/>
  <c r="AU7" i="5"/>
  <c r="AX7" i="5"/>
  <c r="AH7" i="5"/>
  <c r="W7" i="5"/>
  <c r="AG7" i="5"/>
  <c r="AW7" i="5"/>
  <c r="B45" i="22"/>
  <c r="E45" i="22" s="1"/>
  <c r="I7" i="22"/>
  <c r="B46" i="15"/>
  <c r="T7" i="5"/>
  <c r="P7" i="5"/>
  <c r="S7" i="5"/>
  <c r="AS7" i="5"/>
  <c r="AA7" i="5"/>
  <c r="AV7" i="5"/>
  <c r="AP7" i="5"/>
  <c r="U7" i="5"/>
  <c r="AN7" i="5"/>
  <c r="AF7" i="5"/>
  <c r="D44" i="15"/>
  <c r="E44" i="15" s="1"/>
  <c r="B19" i="14"/>
  <c r="AA4" i="5"/>
  <c r="AP4" i="5"/>
  <c r="AL4" i="5"/>
  <c r="AM4" i="5"/>
  <c r="AY4" i="5"/>
  <c r="N31" i="15"/>
  <c r="D46" i="14"/>
  <c r="E46" i="14" s="1"/>
  <c r="Z6" i="5"/>
  <c r="AG6" i="5"/>
  <c r="AU6" i="5"/>
  <c r="P6" i="5"/>
  <c r="AM6" i="5"/>
  <c r="D24" i="14"/>
  <c r="E24" i="14" s="1"/>
  <c r="V43" i="10"/>
  <c r="O4" i="5"/>
  <c r="R4" i="5"/>
  <c r="P4" i="5"/>
  <c r="AJ4" i="5"/>
  <c r="AO4" i="5"/>
  <c r="D21" i="15"/>
  <c r="E21" i="15" s="1"/>
  <c r="D32" i="14"/>
  <c r="E32" i="14" s="1"/>
  <c r="V40" i="10"/>
  <c r="AS6" i="5"/>
  <c r="AC6" i="5"/>
  <c r="AN6" i="5"/>
  <c r="AV6" i="5"/>
  <c r="AE6" i="5"/>
  <c r="G18" i="16"/>
  <c r="J18" i="16" s="1"/>
  <c r="D36" i="15"/>
  <c r="E36" i="15" s="1"/>
  <c r="B30" i="15"/>
  <c r="AI7" i="5"/>
  <c r="AJ7" i="5"/>
  <c r="AL7" i="5"/>
  <c r="Z7" i="5"/>
  <c r="R7" i="5"/>
  <c r="AO7" i="5"/>
  <c r="AT7" i="5"/>
  <c r="AM7" i="5"/>
  <c r="M7" i="5"/>
  <c r="E15" i="15"/>
  <c r="G34" i="16"/>
  <c r="J34" i="16" s="1"/>
  <c r="K34" i="16" s="1"/>
  <c r="Y5" i="5"/>
  <c r="AE5" i="5"/>
  <c r="AR5" i="5"/>
  <c r="AI5" i="5"/>
  <c r="AL5" i="5"/>
  <c r="V16" i="10"/>
  <c r="AH5" i="5"/>
  <c r="AN5" i="5"/>
  <c r="P5" i="5"/>
  <c r="AC5" i="5"/>
  <c r="AK5" i="5"/>
  <c r="J40" i="22"/>
  <c r="V41" i="10"/>
  <c r="AD11" i="22"/>
  <c r="AD23" i="22"/>
  <c r="D30" i="15"/>
  <c r="E30" i="15" s="1"/>
  <c r="G30" i="16"/>
  <c r="J30" i="16" s="1"/>
  <c r="K30" i="16" s="1"/>
  <c r="N19" i="15"/>
  <c r="BT90" i="8"/>
  <c r="D7" i="16"/>
  <c r="J19" i="22"/>
  <c r="N4" i="5"/>
  <c r="AQ4" i="5"/>
  <c r="AW4" i="5"/>
  <c r="AC4" i="5"/>
  <c r="AD4" i="5"/>
  <c r="AK4" i="5"/>
  <c r="AI4" i="5"/>
  <c r="Q4" i="5"/>
  <c r="AG4" i="5"/>
  <c r="V4" i="5"/>
  <c r="V26" i="10"/>
  <c r="E30" i="22"/>
  <c r="N6" i="5"/>
  <c r="S6" i="5"/>
  <c r="AT6" i="5"/>
  <c r="AB6" i="5"/>
  <c r="R6" i="5"/>
  <c r="AK6" i="5"/>
  <c r="T6" i="5"/>
  <c r="AA6" i="5"/>
  <c r="AR6" i="5"/>
  <c r="Y6" i="5"/>
  <c r="AF5" i="5"/>
  <c r="AV5" i="5"/>
  <c r="AD5" i="5"/>
  <c r="AA5" i="5"/>
  <c r="AX5" i="5"/>
  <c r="Q5" i="5"/>
  <c r="T5" i="5"/>
  <c r="AO5" i="5"/>
  <c r="V5" i="5"/>
  <c r="U5" i="5"/>
  <c r="V19" i="10"/>
  <c r="E40" i="22"/>
  <c r="P18" i="11"/>
  <c r="BX120" i="8"/>
  <c r="G39" i="22" s="1"/>
  <c r="J39" i="22" s="1"/>
  <c r="BQ90" i="8"/>
  <c r="BX124" i="8"/>
  <c r="G43" i="22" s="1"/>
  <c r="J43" i="22" s="1"/>
  <c r="E36" i="16"/>
  <c r="K36" i="16" s="1"/>
  <c r="T4" i="5"/>
  <c r="AN4" i="5"/>
  <c r="AV4" i="5"/>
  <c r="M4" i="5"/>
  <c r="AX4" i="5"/>
  <c r="AB4" i="5"/>
  <c r="AE4" i="5"/>
  <c r="AT4" i="5"/>
  <c r="AZ4" i="5"/>
  <c r="V37" i="10"/>
  <c r="AL6" i="5"/>
  <c r="AP6" i="5"/>
  <c r="AD6" i="5"/>
  <c r="AI6" i="5"/>
  <c r="Q6" i="5"/>
  <c r="AX6" i="5"/>
  <c r="V6" i="5"/>
  <c r="AZ6" i="5"/>
  <c r="AY6" i="5"/>
  <c r="X5" i="5"/>
  <c r="AY5" i="5"/>
  <c r="AQ5" i="5"/>
  <c r="AM5" i="5"/>
  <c r="AB5" i="5"/>
  <c r="Z5" i="5"/>
  <c r="W5" i="5"/>
  <c r="M5" i="5"/>
  <c r="AU5" i="5"/>
  <c r="E42" i="22"/>
  <c r="S8" i="10"/>
  <c r="M8" i="5" a="1"/>
  <c r="N8" i="5" s="1"/>
  <c r="AJ15" i="5"/>
  <c r="AC15" i="5"/>
  <c r="B7" i="16"/>
  <c r="D18" i="15"/>
  <c r="E18" i="15" s="1"/>
  <c r="Q8" i="10"/>
  <c r="AB15" i="5"/>
  <c r="AG15" i="5"/>
  <c r="AI15" i="5"/>
  <c r="BX102" i="8"/>
  <c r="G21" i="22" s="1"/>
  <c r="J21" i="22" s="1"/>
  <c r="K21" i="22" s="1"/>
  <c r="G25" i="16"/>
  <c r="J25" i="16" s="1"/>
  <c r="AL15" i="5"/>
  <c r="Z15" i="5"/>
  <c r="N15" i="5"/>
  <c r="C7" i="22"/>
  <c r="I7" i="16"/>
  <c r="M13" i="5" a="1"/>
  <c r="T13" i="5" s="1"/>
  <c r="AD14" i="22"/>
  <c r="J47" i="22"/>
  <c r="K47" i="22" s="1"/>
  <c r="AL14" i="5"/>
  <c r="AE14" i="5"/>
  <c r="AR14" i="5"/>
  <c r="V14" i="5"/>
  <c r="R14" i="5"/>
  <c r="X14" i="5"/>
  <c r="AF14" i="5"/>
  <c r="O14" i="5"/>
  <c r="AQ14" i="5"/>
  <c r="AZ14" i="5"/>
  <c r="AN15" i="5"/>
  <c r="AA15" i="5"/>
  <c r="R15" i="5"/>
  <c r="Y15" i="5"/>
  <c r="AW15" i="5"/>
  <c r="AT15" i="5"/>
  <c r="AF15" i="5"/>
  <c r="AS15" i="5"/>
  <c r="W15" i="5"/>
  <c r="AQ15" i="5"/>
  <c r="BH90" i="8"/>
  <c r="N42" i="14"/>
  <c r="E46" i="22"/>
  <c r="AA14" i="5"/>
  <c r="AK14" i="5"/>
  <c r="W14" i="5"/>
  <c r="AJ14" i="5"/>
  <c r="AH14" i="5"/>
  <c r="T14" i="5"/>
  <c r="AU14" i="5"/>
  <c r="AD14" i="5"/>
  <c r="AI14" i="5"/>
  <c r="AP14" i="5"/>
  <c r="Q15" i="5"/>
  <c r="P15" i="5"/>
  <c r="AM15" i="5"/>
  <c r="S15" i="5"/>
  <c r="AU15" i="5"/>
  <c r="V15" i="5"/>
  <c r="X15" i="5"/>
  <c r="AH15" i="5"/>
  <c r="AD15" i="5"/>
  <c r="AE15" i="5"/>
  <c r="D8" i="16"/>
  <c r="G19" i="16"/>
  <c r="J19" i="16" s="1"/>
  <c r="K37" i="16"/>
  <c r="I8" i="16"/>
  <c r="Z14" i="5"/>
  <c r="Y14" i="5"/>
  <c r="AC14" i="5"/>
  <c r="AT14" i="5"/>
  <c r="AN14" i="5"/>
  <c r="AB14" i="5"/>
  <c r="AY14" i="5"/>
  <c r="N14" i="5"/>
  <c r="Q14" i="5"/>
  <c r="AO15" i="5"/>
  <c r="AV15" i="5"/>
  <c r="O15" i="5"/>
  <c r="T15" i="5"/>
  <c r="AX15" i="5"/>
  <c r="AZ15" i="5"/>
  <c r="AK15" i="5"/>
  <c r="AR15" i="5"/>
  <c r="AY15" i="5"/>
  <c r="BG90" i="8"/>
  <c r="V47" i="10"/>
  <c r="C8" i="16"/>
  <c r="AN29" i="9"/>
  <c r="K42" i="16"/>
  <c r="W34" i="13"/>
  <c r="AH34" i="13" s="1"/>
  <c r="C7" i="16"/>
  <c r="E18" i="22"/>
  <c r="T8" i="10"/>
  <c r="BZ90" i="8"/>
  <c r="S18" i="11"/>
  <c r="E9" i="13"/>
  <c r="W36" i="13"/>
  <c r="AH36" i="13" s="1"/>
  <c r="BE90" i="8"/>
  <c r="K11" i="22"/>
  <c r="AD29" i="22"/>
  <c r="J29" i="22"/>
  <c r="K29" i="22" s="1"/>
  <c r="J25" i="22"/>
  <c r="AD25" i="22"/>
  <c r="J44" i="22"/>
  <c r="AD44" i="22"/>
  <c r="B18" i="13"/>
  <c r="B41" i="13"/>
  <c r="K39" i="16"/>
  <c r="X34" i="13"/>
  <c r="Y34" i="13"/>
  <c r="J42" i="22"/>
  <c r="AD42" i="22"/>
  <c r="O11" i="14"/>
  <c r="B45" i="13"/>
  <c r="K43" i="16"/>
  <c r="AD28" i="22"/>
  <c r="J28" i="22"/>
  <c r="AD22" i="22"/>
  <c r="J22" i="22"/>
  <c r="K22" i="22" s="1"/>
  <c r="J48" i="22"/>
  <c r="AD48" i="22"/>
  <c r="J33" i="22"/>
  <c r="K33" i="22" s="1"/>
  <c r="AD33" i="22"/>
  <c r="J18" i="22"/>
  <c r="AD18" i="22"/>
  <c r="B43" i="13"/>
  <c r="K41" i="16"/>
  <c r="B46" i="13"/>
  <c r="K44" i="16"/>
  <c r="B22" i="13"/>
  <c r="D12" i="13"/>
  <c r="X32" i="13"/>
  <c r="Y32" i="13"/>
  <c r="O10" i="15"/>
  <c r="P10" i="15" s="1"/>
  <c r="O11" i="15" s="1"/>
  <c r="P11" i="15" s="1"/>
  <c r="O12" i="15" s="1"/>
  <c r="AD15" i="22"/>
  <c r="J15" i="22"/>
  <c r="K15" i="22" s="1"/>
  <c r="J46" i="22"/>
  <c r="AD46" i="22"/>
  <c r="J26" i="22"/>
  <c r="K26" i="22" s="1"/>
  <c r="AD26" i="22"/>
  <c r="E10" i="22"/>
  <c r="B51" i="13"/>
  <c r="K49" i="16"/>
  <c r="G10" i="22"/>
  <c r="AD37" i="22"/>
  <c r="J37" i="22"/>
  <c r="J20" i="22"/>
  <c r="AD20" i="22"/>
  <c r="J13" i="22"/>
  <c r="AD13" i="22"/>
  <c r="X44" i="13"/>
  <c r="Y44" i="13"/>
  <c r="W44" i="13"/>
  <c r="B33" i="13"/>
  <c r="W32" i="13"/>
  <c r="J27" i="22"/>
  <c r="AD27" i="22"/>
  <c r="L10" i="15"/>
  <c r="W39" i="13"/>
  <c r="Y39" i="13"/>
  <c r="X39" i="13"/>
  <c r="B12" i="13"/>
  <c r="J34" i="22"/>
  <c r="AD34" i="22"/>
  <c r="W21" i="13"/>
  <c r="AD17" i="22"/>
  <c r="J17" i="22"/>
  <c r="K17" i="22" s="1"/>
  <c r="X24" i="13"/>
  <c r="Y24" i="13"/>
  <c r="B37" i="13"/>
  <c r="K35" i="16"/>
  <c r="J24" i="22"/>
  <c r="AD24" i="22"/>
  <c r="X36" i="13"/>
  <c r="Y36" i="13"/>
  <c r="AD49" i="22"/>
  <c r="J49" i="22"/>
  <c r="J18" i="15"/>
  <c r="K18" i="15" s="1"/>
  <c r="J19" i="15" s="1"/>
  <c r="J22" i="14"/>
  <c r="X21" i="13" l="1"/>
  <c r="K19" i="16"/>
  <c r="B40" i="13"/>
  <c r="X40" i="13" s="1"/>
  <c r="K40" i="16"/>
  <c r="K39" i="22"/>
  <c r="J35" i="22"/>
  <c r="K35" i="22" s="1"/>
  <c r="W19" i="13"/>
  <c r="AA19" i="13" s="1"/>
  <c r="K31" i="22"/>
  <c r="E16" i="15"/>
  <c r="E6" i="15" s="1"/>
  <c r="AD38" i="22"/>
  <c r="Y27" i="13"/>
  <c r="B15" i="13"/>
  <c r="W15" i="13" s="1"/>
  <c r="K43" i="22"/>
  <c r="K16" i="22"/>
  <c r="W27" i="13"/>
  <c r="AH27" i="13" s="1"/>
  <c r="B23" i="13"/>
  <c r="Y23" i="13" s="1"/>
  <c r="K14" i="16"/>
  <c r="X29" i="13"/>
  <c r="E15" i="14"/>
  <c r="F15" i="14" s="1"/>
  <c r="G15" i="14" s="1"/>
  <c r="L15" i="14" s="1"/>
  <c r="K25" i="16"/>
  <c r="K19" i="22"/>
  <c r="X13" i="13"/>
  <c r="W29" i="13"/>
  <c r="AH29" i="13" s="1"/>
  <c r="K11" i="16"/>
  <c r="J45" i="22"/>
  <c r="K45" i="22" s="1"/>
  <c r="K34" i="22"/>
  <c r="J12" i="22"/>
  <c r="K12" i="22" s="1"/>
  <c r="K32" i="22"/>
  <c r="K27" i="16"/>
  <c r="W13" i="13"/>
  <c r="AH13" i="13" s="1"/>
  <c r="AX14" i="22"/>
  <c r="K14" i="22"/>
  <c r="W35" i="13"/>
  <c r="AH35" i="13" s="1"/>
  <c r="X35" i="13"/>
  <c r="BL14" i="22"/>
  <c r="K29" i="16"/>
  <c r="A15" i="22"/>
  <c r="AT15" i="22" s="1"/>
  <c r="BY14" i="22"/>
  <c r="K47" i="16"/>
  <c r="J41" i="22"/>
  <c r="K41" i="22" s="1"/>
  <c r="K20" i="22"/>
  <c r="K12" i="16"/>
  <c r="K33" i="16"/>
  <c r="K27" i="22"/>
  <c r="L14" i="15"/>
  <c r="K18" i="16"/>
  <c r="K17" i="16"/>
  <c r="X19" i="13"/>
  <c r="K13" i="22"/>
  <c r="Y30" i="13"/>
  <c r="K28" i="22"/>
  <c r="F15" i="15"/>
  <c r="G15" i="15" s="1"/>
  <c r="L15" i="15" s="1"/>
  <c r="G19" i="5"/>
  <c r="J19" i="5" s="1"/>
  <c r="W30" i="13"/>
  <c r="AA30" i="13" s="1"/>
  <c r="K28" i="16"/>
  <c r="K37" i="22"/>
  <c r="K26" i="16"/>
  <c r="N6" i="14"/>
  <c r="K45" i="16"/>
  <c r="Y20" i="13"/>
  <c r="W26" i="13"/>
  <c r="AH26" i="13" s="1"/>
  <c r="Y26" i="13"/>
  <c r="BA14" i="22"/>
  <c r="CE14" i="22"/>
  <c r="BF14" i="22"/>
  <c r="BM14" i="22"/>
  <c r="BC14" i="22"/>
  <c r="AN14" i="22"/>
  <c r="BU14" i="22"/>
  <c r="CD14" i="22"/>
  <c r="BV14" i="22"/>
  <c r="CF14" i="22"/>
  <c r="Y40" i="13"/>
  <c r="BN14" i="22"/>
  <c r="BZ14" i="22"/>
  <c r="BI14" i="22"/>
  <c r="AK14" i="22"/>
  <c r="BP14" i="22"/>
  <c r="AQ14" i="22"/>
  <c r="BX14" i="22"/>
  <c r="AZ14" i="22"/>
  <c r="AP14" i="22"/>
  <c r="BE14" i="22"/>
  <c r="AJ14" i="22"/>
  <c r="AV14" i="22"/>
  <c r="CC14" i="22"/>
  <c r="CA14" i="22"/>
  <c r="BB14" i="22"/>
  <c r="AT14" i="22"/>
  <c r="AW14" i="22"/>
  <c r="BO14" i="22"/>
  <c r="AR14" i="22"/>
  <c r="CH14" i="22"/>
  <c r="AO14" i="22"/>
  <c r="CB14" i="22"/>
  <c r="AS14" i="22"/>
  <c r="BJ14" i="22"/>
  <c r="AM14" i="22"/>
  <c r="BT14" i="22"/>
  <c r="BQ14" i="22"/>
  <c r="CG14" i="22"/>
  <c r="BK14" i="22"/>
  <c r="BS14" i="22"/>
  <c r="AH14" i="22"/>
  <c r="BW14" i="22"/>
  <c r="AG14" i="22"/>
  <c r="AY14" i="22"/>
  <c r="BR14" i="22"/>
  <c r="AL14" i="22"/>
  <c r="BH14" i="22"/>
  <c r="AI14" i="22"/>
  <c r="BG14" i="22"/>
  <c r="AU14" i="22"/>
  <c r="Y47" i="13"/>
  <c r="K23" i="16"/>
  <c r="AD36" i="22"/>
  <c r="Y17" i="13"/>
  <c r="AA17" i="13" s="1"/>
  <c r="W50" i="13"/>
  <c r="AH50" i="13" s="1"/>
  <c r="X17" i="13"/>
  <c r="K48" i="22"/>
  <c r="Y50" i="13"/>
  <c r="K48" i="16"/>
  <c r="B38" i="13"/>
  <c r="K15" i="16"/>
  <c r="E17" i="14"/>
  <c r="E8" i="16"/>
  <c r="K24" i="22"/>
  <c r="E16" i="14"/>
  <c r="K36" i="22"/>
  <c r="K49" i="22"/>
  <c r="K44" i="22"/>
  <c r="K30" i="22"/>
  <c r="K38" i="22"/>
  <c r="AB8" i="5"/>
  <c r="W20" i="13"/>
  <c r="AH20" i="13" s="1"/>
  <c r="K24" i="16"/>
  <c r="Q8" i="5"/>
  <c r="AD39" i="22"/>
  <c r="BL90" i="8"/>
  <c r="X48" i="13"/>
  <c r="K46" i="16"/>
  <c r="Y48" i="13"/>
  <c r="Z48" i="13" s="1"/>
  <c r="W40" i="13"/>
  <c r="B7" i="22"/>
  <c r="D9" i="13"/>
  <c r="K25" i="22"/>
  <c r="N6" i="15"/>
  <c r="K40" i="22"/>
  <c r="AA34" i="13"/>
  <c r="E7" i="16"/>
  <c r="W47" i="13"/>
  <c r="AH47" i="13" s="1"/>
  <c r="AK8" i="5"/>
  <c r="AI8" i="5"/>
  <c r="O8" i="5"/>
  <c r="Z8" i="5"/>
  <c r="AK13" i="5"/>
  <c r="D6" i="14"/>
  <c r="AX8" i="5"/>
  <c r="AL13" i="5"/>
  <c r="AO13" i="5"/>
  <c r="AE8" i="5"/>
  <c r="AY8" i="5"/>
  <c r="P8" i="5"/>
  <c r="M8" i="5"/>
  <c r="U8" i="5"/>
  <c r="AO8" i="5"/>
  <c r="AP8" i="5"/>
  <c r="AN8" i="5"/>
  <c r="AB13" i="5"/>
  <c r="AQ13" i="5"/>
  <c r="AD43" i="22"/>
  <c r="AZ8" i="5"/>
  <c r="AC8" i="5"/>
  <c r="AU8" i="5"/>
  <c r="AL8" i="5"/>
  <c r="R8" i="5"/>
  <c r="AG8" i="5"/>
  <c r="AJ8" i="5"/>
  <c r="AF8" i="5"/>
  <c r="M13" i="5"/>
  <c r="P13" i="5"/>
  <c r="W8" i="5"/>
  <c r="AM8" i="5"/>
  <c r="AR8" i="5"/>
  <c r="X8" i="5"/>
  <c r="AW8" i="5"/>
  <c r="S8" i="5"/>
  <c r="AH8" i="5"/>
  <c r="AM13" i="5"/>
  <c r="X13" i="5"/>
  <c r="AF13" i="5"/>
  <c r="B6" i="14"/>
  <c r="G6" i="5"/>
  <c r="J6" i="5" s="1"/>
  <c r="G4" i="5"/>
  <c r="J4" i="5" s="1"/>
  <c r="G7" i="5"/>
  <c r="J7" i="5" s="1"/>
  <c r="B6" i="15"/>
  <c r="V8" i="10"/>
  <c r="AD21" i="22"/>
  <c r="D6" i="15"/>
  <c r="G8" i="16"/>
  <c r="G5" i="5"/>
  <c r="J5" i="5" s="1"/>
  <c r="BX90" i="8"/>
  <c r="T8" i="5"/>
  <c r="Y8" i="5"/>
  <c r="V8" i="5"/>
  <c r="AT8" i="5"/>
  <c r="AD8" i="5"/>
  <c r="AQ8" i="5"/>
  <c r="AA8" i="5"/>
  <c r="AS8" i="5"/>
  <c r="AV8" i="5"/>
  <c r="G7" i="16"/>
  <c r="K42" i="22"/>
  <c r="G14" i="5"/>
  <c r="J14" i="5" s="1"/>
  <c r="K46" i="22"/>
  <c r="S13" i="5"/>
  <c r="R13" i="5"/>
  <c r="AR13" i="5"/>
  <c r="AP13" i="5"/>
  <c r="AV13" i="5"/>
  <c r="AE13" i="5"/>
  <c r="Z13" i="5"/>
  <c r="Q13" i="5"/>
  <c r="AJ13" i="5"/>
  <c r="AX13" i="5"/>
  <c r="AT13" i="5"/>
  <c r="N13" i="5"/>
  <c r="Y13" i="5"/>
  <c r="U13" i="5"/>
  <c r="AU13" i="5"/>
  <c r="O13" i="5"/>
  <c r="AC13" i="5"/>
  <c r="AS13" i="5"/>
  <c r="W13" i="5"/>
  <c r="AH13" i="5"/>
  <c r="AI13" i="5"/>
  <c r="AZ13" i="5"/>
  <c r="AW13" i="5"/>
  <c r="AD13" i="5"/>
  <c r="AN13" i="5"/>
  <c r="AA13" i="5"/>
  <c r="AG13" i="5"/>
  <c r="AY13" i="5"/>
  <c r="V13" i="5"/>
  <c r="AA36" i="13"/>
  <c r="G15" i="5"/>
  <c r="J15" i="5" s="1"/>
  <c r="E7" i="22"/>
  <c r="K18" i="22"/>
  <c r="R10" i="15"/>
  <c r="S10" i="15" s="1"/>
  <c r="T10" i="15" s="1"/>
  <c r="AA39" i="13"/>
  <c r="W37" i="13"/>
  <c r="X37" i="13"/>
  <c r="Y37" i="13"/>
  <c r="W28" i="13"/>
  <c r="X28" i="13"/>
  <c r="Y28" i="13"/>
  <c r="AA21" i="13"/>
  <c r="AH39" i="13"/>
  <c r="Z39" i="13"/>
  <c r="AA44" i="13"/>
  <c r="AH44" i="13"/>
  <c r="Z44" i="13"/>
  <c r="W42" i="13"/>
  <c r="X42" i="13"/>
  <c r="Y42" i="13"/>
  <c r="Z36" i="13"/>
  <c r="X14" i="13"/>
  <c r="W14" i="13"/>
  <c r="Y14" i="13"/>
  <c r="W46" i="13"/>
  <c r="Y46" i="13"/>
  <c r="X46" i="13"/>
  <c r="X16" i="13"/>
  <c r="Y16" i="13"/>
  <c r="W16" i="13"/>
  <c r="W41" i="13"/>
  <c r="AG41" i="13" s="1"/>
  <c r="Y41" i="13"/>
  <c r="X41" i="13"/>
  <c r="AH21" i="13"/>
  <c r="Z21" i="13"/>
  <c r="Y25" i="13"/>
  <c r="W25" i="13"/>
  <c r="X25" i="13"/>
  <c r="AA32" i="13"/>
  <c r="AH32" i="13"/>
  <c r="Z32" i="13"/>
  <c r="Y49" i="13"/>
  <c r="W49" i="13"/>
  <c r="X49" i="13"/>
  <c r="P12" i="15"/>
  <c r="R12" i="15" s="1"/>
  <c r="V12" i="15" s="1"/>
  <c r="X12" i="15" s="1"/>
  <c r="K10" i="16"/>
  <c r="J8" i="16"/>
  <c r="J7" i="16"/>
  <c r="Z34" i="13"/>
  <c r="AD10" i="22"/>
  <c r="G7" i="22"/>
  <c r="J10" i="22"/>
  <c r="X51" i="13"/>
  <c r="Y51" i="13"/>
  <c r="W51" i="13"/>
  <c r="W22" i="13"/>
  <c r="Y22" i="13"/>
  <c r="X22" i="13"/>
  <c r="W43" i="13"/>
  <c r="X43" i="13"/>
  <c r="Y43" i="13"/>
  <c r="AH17" i="13"/>
  <c r="X45" i="13"/>
  <c r="Y45" i="13"/>
  <c r="W45" i="13"/>
  <c r="W31" i="13"/>
  <c r="X31" i="13"/>
  <c r="Y31" i="13"/>
  <c r="Y18" i="13"/>
  <c r="X18" i="13"/>
  <c r="W18" i="13"/>
  <c r="Z24" i="13"/>
  <c r="AA24" i="13"/>
  <c r="AH24" i="13"/>
  <c r="X12" i="13"/>
  <c r="W12" i="13"/>
  <c r="Y12" i="13"/>
  <c r="W33" i="13"/>
  <c r="Y33" i="13"/>
  <c r="X33" i="13"/>
  <c r="P11" i="14"/>
  <c r="R11" i="14" s="1"/>
  <c r="AH48" i="13"/>
  <c r="K19" i="15"/>
  <c r="K22" i="14"/>
  <c r="J23" i="14" s="1"/>
  <c r="Z13" i="13" l="1"/>
  <c r="AA13" i="13"/>
  <c r="AH19" i="13"/>
  <c r="Z19" i="13"/>
  <c r="AA29" i="13"/>
  <c r="X15" i="13"/>
  <c r="Y15" i="13"/>
  <c r="Z15" i="13" s="1"/>
  <c r="B9" i="13"/>
  <c r="X23" i="13"/>
  <c r="Z27" i="13"/>
  <c r="AA27" i="13"/>
  <c r="F16" i="14"/>
  <c r="G16" i="14" s="1"/>
  <c r="L16" i="14" s="1"/>
  <c r="W23" i="13"/>
  <c r="AH23" i="13" s="1"/>
  <c r="Z29" i="13"/>
  <c r="BN15" i="22"/>
  <c r="AZ15" i="22"/>
  <c r="Z35" i="13"/>
  <c r="BO15" i="22"/>
  <c r="CD15" i="22"/>
  <c r="A16" i="22"/>
  <c r="BH16" i="22" s="1"/>
  <c r="BQ15" i="22"/>
  <c r="BE15" i="22"/>
  <c r="CH15" i="22"/>
  <c r="AV15" i="22"/>
  <c r="AH15" i="22"/>
  <c r="AA35" i="13"/>
  <c r="F16" i="15"/>
  <c r="G16" i="15" s="1"/>
  <c r="F17" i="15" s="1"/>
  <c r="G17" i="15" s="1"/>
  <c r="F18" i="15" s="1"/>
  <c r="G18" i="15" s="1"/>
  <c r="L18" i="15" s="1"/>
  <c r="CC15" i="22"/>
  <c r="BC15" i="22"/>
  <c r="AK15" i="22"/>
  <c r="BI15" i="22"/>
  <c r="AH30" i="13"/>
  <c r="BV15" i="22"/>
  <c r="AY15" i="22"/>
  <c r="BL15" i="22"/>
  <c r="BF15" i="22"/>
  <c r="BS15" i="22"/>
  <c r="AP15" i="22"/>
  <c r="BA15" i="22"/>
  <c r="CG15" i="22"/>
  <c r="CB15" i="22"/>
  <c r="BZ15" i="22"/>
  <c r="AX15" i="22"/>
  <c r="BY15" i="22"/>
  <c r="AI15" i="22"/>
  <c r="BK15" i="22"/>
  <c r="AS15" i="22"/>
  <c r="AW15" i="22"/>
  <c r="BX15" i="22"/>
  <c r="BR15" i="22"/>
  <c r="BJ15" i="22"/>
  <c r="BU15" i="22"/>
  <c r="BW15" i="22"/>
  <c r="BB15" i="22"/>
  <c r="AN15" i="22"/>
  <c r="AM15" i="22"/>
  <c r="AU15" i="22"/>
  <c r="AQ15" i="22"/>
  <c r="BH15" i="22"/>
  <c r="BP15" i="22"/>
  <c r="AG15" i="22"/>
  <c r="BM15" i="22"/>
  <c r="CA15" i="22"/>
  <c r="AO15" i="22"/>
  <c r="BD15" i="22"/>
  <c r="BT15" i="22"/>
  <c r="CE15" i="22"/>
  <c r="AL15" i="22"/>
  <c r="BG15" i="22"/>
  <c r="AR15" i="22"/>
  <c r="CF15" i="22"/>
  <c r="AJ15" i="22"/>
  <c r="Y38" i="13"/>
  <c r="W38" i="13"/>
  <c r="Z20" i="13"/>
  <c r="X38" i="13"/>
  <c r="AA26" i="13"/>
  <c r="Z17" i="13"/>
  <c r="Z26" i="13"/>
  <c r="Z30" i="13"/>
  <c r="Z40" i="13"/>
  <c r="E6" i="14"/>
  <c r="AA50" i="13"/>
  <c r="F17" i="14"/>
  <c r="G17" i="14" s="1"/>
  <c r="L17" i="14" s="1"/>
  <c r="Z50" i="13"/>
  <c r="AA20" i="13"/>
  <c r="AA40" i="13"/>
  <c r="AA48" i="13"/>
  <c r="AA47" i="13"/>
  <c r="AH40" i="13"/>
  <c r="Z47" i="13"/>
  <c r="AD7" i="22"/>
  <c r="V10" i="15"/>
  <c r="X10" i="15" s="1"/>
  <c r="M10" i="16" s="1"/>
  <c r="G8" i="5"/>
  <c r="J8" i="5"/>
  <c r="G13" i="5"/>
  <c r="J13" i="5" s="1"/>
  <c r="AA42" i="13"/>
  <c r="Z37" i="13"/>
  <c r="AA41" i="13"/>
  <c r="U10" i="15"/>
  <c r="O12" i="14"/>
  <c r="P12" i="14" s="1"/>
  <c r="O13" i="14" s="1"/>
  <c r="P13" i="14" s="1"/>
  <c r="AH33" i="13"/>
  <c r="AA33" i="13"/>
  <c r="Z33" i="13"/>
  <c r="Z12" i="13"/>
  <c r="AH12" i="13"/>
  <c r="AA12" i="13"/>
  <c r="AH15" i="13"/>
  <c r="AH49" i="13"/>
  <c r="AA49" i="13"/>
  <c r="Z49" i="13"/>
  <c r="Z14" i="13"/>
  <c r="AA14" i="13"/>
  <c r="AH14" i="13"/>
  <c r="K7" i="16"/>
  <c r="K8" i="16"/>
  <c r="AH25" i="13"/>
  <c r="AA25" i="13"/>
  <c r="Z25" i="13"/>
  <c r="Z16" i="13"/>
  <c r="AH16" i="13"/>
  <c r="AA16" i="13"/>
  <c r="S11" i="14"/>
  <c r="T11" i="14" s="1"/>
  <c r="V11" i="14"/>
  <c r="X11" i="14" s="1"/>
  <c r="G12" i="13"/>
  <c r="H12" i="13" s="1"/>
  <c r="AA18" i="13"/>
  <c r="AH18" i="13"/>
  <c r="Z18" i="13"/>
  <c r="AH31" i="13"/>
  <c r="Z31" i="13"/>
  <c r="AA31" i="13"/>
  <c r="AH45" i="13"/>
  <c r="Z45" i="13"/>
  <c r="AA45" i="13"/>
  <c r="AH22" i="13"/>
  <c r="Z22" i="13"/>
  <c r="AA22" i="13"/>
  <c r="K10" i="22"/>
  <c r="K7" i="22" s="1"/>
  <c r="J7" i="22"/>
  <c r="O13" i="15"/>
  <c r="AH41" i="13"/>
  <c r="Z41" i="13"/>
  <c r="AH46" i="13"/>
  <c r="AA46" i="13"/>
  <c r="Z46" i="13"/>
  <c r="AH42" i="13"/>
  <c r="Z42" i="13"/>
  <c r="AH28" i="13"/>
  <c r="AA28" i="13"/>
  <c r="Z28" i="13"/>
  <c r="AG43" i="13"/>
  <c r="AL3" i="13" s="1"/>
  <c r="AA43" i="13"/>
  <c r="Z43" i="13"/>
  <c r="AH43" i="13"/>
  <c r="Z51" i="13"/>
  <c r="AA51" i="13"/>
  <c r="AH51" i="13"/>
  <c r="M12" i="16"/>
  <c r="M12" i="22"/>
  <c r="AH37" i="13"/>
  <c r="AA37" i="13"/>
  <c r="K23" i="14"/>
  <c r="J20" i="15"/>
  <c r="AA15" i="13" l="1"/>
  <c r="Y9" i="13"/>
  <c r="AA23" i="13"/>
  <c r="X9" i="13"/>
  <c r="F18" i="14"/>
  <c r="Z23" i="13"/>
  <c r="W9" i="13"/>
  <c r="BT16" i="22"/>
  <c r="CG16" i="22"/>
  <c r="BR16" i="22"/>
  <c r="CB16" i="22"/>
  <c r="A17" i="22"/>
  <c r="AX17" i="22" s="1"/>
  <c r="AZ16" i="22"/>
  <c r="CA16" i="22"/>
  <c r="BI16" i="22"/>
  <c r="CF16" i="22"/>
  <c r="BF16" i="22"/>
  <c r="BA16" i="22"/>
  <c r="BW16" i="22"/>
  <c r="BC16" i="22"/>
  <c r="AI16" i="22"/>
  <c r="AM16" i="22"/>
  <c r="AT16" i="22"/>
  <c r="CD16" i="22"/>
  <c r="BZ16" i="22"/>
  <c r="AJ16" i="22"/>
  <c r="L17" i="15"/>
  <c r="BE16" i="22"/>
  <c r="CH16" i="22"/>
  <c r="AR16" i="22"/>
  <c r="AG16" i="22"/>
  <c r="BQ16" i="22"/>
  <c r="AO16" i="22"/>
  <c r="AX16" i="22"/>
  <c r="AW16" i="22"/>
  <c r="AQ16" i="22"/>
  <c r="BN16" i="22"/>
  <c r="BP16" i="22"/>
  <c r="BB16" i="22"/>
  <c r="BK16" i="22"/>
  <c r="BJ16" i="22"/>
  <c r="BG16" i="22"/>
  <c r="BO16" i="22"/>
  <c r="AU16" i="22"/>
  <c r="AK16" i="22"/>
  <c r="AY16" i="22"/>
  <c r="AH16" i="22"/>
  <c r="AV16" i="22"/>
  <c r="BD16" i="22"/>
  <c r="CE16" i="22"/>
  <c r="BM16" i="22"/>
  <c r="AS16" i="22"/>
  <c r="AL16" i="22"/>
  <c r="BS16" i="22"/>
  <c r="BU16" i="22"/>
  <c r="BL16" i="22"/>
  <c r="BX16" i="22"/>
  <c r="CC16" i="22"/>
  <c r="BV16" i="22"/>
  <c r="BY16" i="22"/>
  <c r="AP16" i="22"/>
  <c r="AN16" i="22"/>
  <c r="L16" i="15"/>
  <c r="F19" i="15"/>
  <c r="G19" i="15" s="1"/>
  <c r="F20" i="15" s="1"/>
  <c r="G20" i="15" s="1"/>
  <c r="F21" i="15" s="1"/>
  <c r="G21" i="15" s="1"/>
  <c r="F22" i="15" s="1"/>
  <c r="G22" i="15" s="1"/>
  <c r="F23" i="15" s="1"/>
  <c r="G23" i="15" s="1"/>
  <c r="F24" i="15" s="1"/>
  <c r="G24" i="15" s="1"/>
  <c r="F25" i="15" s="1"/>
  <c r="G25" i="15" s="1"/>
  <c r="F26" i="15" s="1"/>
  <c r="G26" i="15" s="1"/>
  <c r="F27" i="15" s="1"/>
  <c r="G27" i="15" s="1"/>
  <c r="F28" i="15" s="1"/>
  <c r="G28" i="15" s="1"/>
  <c r="F29" i="15" s="1"/>
  <c r="G29" i="15" s="1"/>
  <c r="F30" i="15" s="1"/>
  <c r="G30" i="15" s="1"/>
  <c r="F31" i="15" s="1"/>
  <c r="G31" i="15" s="1"/>
  <c r="F32" i="15" s="1"/>
  <c r="G32" i="15" s="1"/>
  <c r="F33" i="15" s="1"/>
  <c r="G33" i="15" s="1"/>
  <c r="F34" i="15" s="1"/>
  <c r="G34" i="15" s="1"/>
  <c r="F35" i="15" s="1"/>
  <c r="G35" i="15" s="1"/>
  <c r="F36" i="15" s="1"/>
  <c r="G36" i="15" s="1"/>
  <c r="F37" i="15" s="1"/>
  <c r="G37" i="15" s="1"/>
  <c r="F38" i="15" s="1"/>
  <c r="G38" i="15" s="1"/>
  <c r="F39" i="15" s="1"/>
  <c r="G39" i="15" s="1"/>
  <c r="F40" i="15" s="1"/>
  <c r="G40" i="15" s="1"/>
  <c r="F41" i="15" s="1"/>
  <c r="G41" i="15" s="1"/>
  <c r="F42" i="15" s="1"/>
  <c r="G42" i="15" s="1"/>
  <c r="F43" i="15" s="1"/>
  <c r="G43" i="15" s="1"/>
  <c r="F44" i="15" s="1"/>
  <c r="G44" i="15" s="1"/>
  <c r="F45" i="15" s="1"/>
  <c r="G45" i="15" s="1"/>
  <c r="F46" i="15" s="1"/>
  <c r="G46" i="15" s="1"/>
  <c r="F47" i="15" s="1"/>
  <c r="G47" i="15" s="1"/>
  <c r="F48" i="15" s="1"/>
  <c r="G48" i="15" s="1"/>
  <c r="Z38" i="13"/>
  <c r="AH38" i="13"/>
  <c r="AA38" i="13"/>
  <c r="M10" i="22"/>
  <c r="R13" i="14"/>
  <c r="V13" i="14" s="1"/>
  <c r="X13" i="14" s="1"/>
  <c r="N12" i="22" s="1"/>
  <c r="O12" i="22" s="1"/>
  <c r="P12" i="22" s="1"/>
  <c r="O14" i="14"/>
  <c r="P14" i="14" s="1"/>
  <c r="R14" i="14" s="1"/>
  <c r="V14" i="14" s="1"/>
  <c r="X14" i="14" s="1"/>
  <c r="U11" i="14"/>
  <c r="F19" i="14"/>
  <c r="G19" i="14" s="1"/>
  <c r="L19" i="14" s="1"/>
  <c r="AI51" i="13"/>
  <c r="AI50" i="13" s="1"/>
  <c r="AI49" i="13" s="1"/>
  <c r="AI48" i="13" s="1"/>
  <c r="AI47" i="13" s="1"/>
  <c r="AI46" i="13" s="1"/>
  <c r="AI45" i="13" s="1"/>
  <c r="AI44" i="13" s="1"/>
  <c r="AI43" i="13" s="1"/>
  <c r="AI42" i="13" s="1"/>
  <c r="AI41" i="13" s="1"/>
  <c r="AI40" i="13" s="1"/>
  <c r="AI39" i="13" s="1"/>
  <c r="N10" i="16"/>
  <c r="O10" i="16" s="1"/>
  <c r="P10" i="16" s="1"/>
  <c r="S10" i="16" s="1"/>
  <c r="T10" i="16" s="1"/>
  <c r="N10" i="22"/>
  <c r="P13" i="15"/>
  <c r="R13" i="15" s="1"/>
  <c r="V13" i="15" s="1"/>
  <c r="X13" i="15" s="1"/>
  <c r="I12" i="13"/>
  <c r="O12" i="13"/>
  <c r="S12" i="13" s="1"/>
  <c r="Q12" i="13"/>
  <c r="P12" i="13"/>
  <c r="J24" i="14"/>
  <c r="K20" i="15"/>
  <c r="J21" i="15" s="1"/>
  <c r="AA9" i="13" l="1"/>
  <c r="AT17" i="22"/>
  <c r="AS17" i="22"/>
  <c r="BS17" i="22"/>
  <c r="A18" i="22"/>
  <c r="BI18" i="22" s="1"/>
  <c r="AU17" i="22"/>
  <c r="AI17" i="22"/>
  <c r="Z9" i="13"/>
  <c r="G18" i="14"/>
  <c r="L18" i="14" s="1"/>
  <c r="AY17" i="22"/>
  <c r="BK17" i="22"/>
  <c r="BA17" i="22"/>
  <c r="BV17" i="22"/>
  <c r="CE17" i="22"/>
  <c r="AR17" i="22"/>
  <c r="CH17" i="22"/>
  <c r="BH17" i="22"/>
  <c r="CF17" i="22"/>
  <c r="CG17" i="22"/>
  <c r="AV17" i="22"/>
  <c r="AJ17" i="22"/>
  <c r="AM17" i="22"/>
  <c r="AH17" i="22"/>
  <c r="BD17" i="22"/>
  <c r="BR17" i="22"/>
  <c r="BI17" i="22"/>
  <c r="CB17" i="22"/>
  <c r="BO17" i="22"/>
  <c r="BL17" i="22"/>
  <c r="AQ17" i="22"/>
  <c r="BJ17" i="22"/>
  <c r="BG17" i="22"/>
  <c r="BB17" i="22"/>
  <c r="BF17" i="22"/>
  <c r="BC17" i="22"/>
  <c r="CD17" i="22"/>
  <c r="BE17" i="22"/>
  <c r="AO17" i="22"/>
  <c r="AZ17" i="22"/>
  <c r="BW17" i="22"/>
  <c r="BQ17" i="22"/>
  <c r="AP17" i="22"/>
  <c r="AN17" i="22"/>
  <c r="BT17" i="22"/>
  <c r="AK17" i="22"/>
  <c r="CA17" i="22"/>
  <c r="AW17" i="22"/>
  <c r="BM17" i="22"/>
  <c r="BX17" i="22"/>
  <c r="BP17" i="22"/>
  <c r="BU17" i="22"/>
  <c r="AL17" i="22"/>
  <c r="AG17" i="22"/>
  <c r="CC17" i="22"/>
  <c r="BZ17" i="22"/>
  <c r="BN17" i="22"/>
  <c r="BY17" i="22"/>
  <c r="AI38" i="13"/>
  <c r="AI37" i="13" s="1"/>
  <c r="AI36" i="13" s="1"/>
  <c r="AI35" i="13" s="1"/>
  <c r="AI34" i="13" s="1"/>
  <c r="AI33" i="13" s="1"/>
  <c r="AI32" i="13" s="1"/>
  <c r="AI31" i="13" s="1"/>
  <c r="AI30" i="13" s="1"/>
  <c r="AI29" i="13" s="1"/>
  <c r="AI28" i="13" s="1"/>
  <c r="L19" i="15"/>
  <c r="O10" i="22"/>
  <c r="P10" i="22" s="1"/>
  <c r="G13" i="13"/>
  <c r="H13" i="13" s="1"/>
  <c r="I13" i="13" s="1"/>
  <c r="K13" i="13" s="1"/>
  <c r="N12" i="16"/>
  <c r="O12" i="16" s="1"/>
  <c r="P12" i="16" s="1"/>
  <c r="T12" i="13"/>
  <c r="U12" i="13" s="1"/>
  <c r="V12" i="13" s="1"/>
  <c r="O14" i="15"/>
  <c r="P14" i="15" s="1"/>
  <c r="O15" i="15" s="1"/>
  <c r="P15" i="15" s="1"/>
  <c r="O16" i="15" s="1"/>
  <c r="P16" i="15" s="1"/>
  <c r="O17" i="15" s="1"/>
  <c r="P17" i="15" s="1"/>
  <c r="O18" i="15" s="1"/>
  <c r="P18" i="15" s="1"/>
  <c r="O19" i="15" s="1"/>
  <c r="P19" i="15" s="1"/>
  <c r="O20" i="15" s="1"/>
  <c r="P20" i="15" s="1"/>
  <c r="O21" i="15" s="1"/>
  <c r="P21" i="15" s="1"/>
  <c r="O22" i="15" s="1"/>
  <c r="P22" i="15" s="1"/>
  <c r="O23" i="15" s="1"/>
  <c r="P23" i="15" s="1"/>
  <c r="O24" i="15" s="1"/>
  <c r="P24" i="15" s="1"/>
  <c r="O25" i="15" s="1"/>
  <c r="P25" i="15" s="1"/>
  <c r="O26" i="15" s="1"/>
  <c r="P26" i="15" s="1"/>
  <c r="O27" i="15" s="1"/>
  <c r="P27" i="15" s="1"/>
  <c r="O28" i="15" s="1"/>
  <c r="P28" i="15" s="1"/>
  <c r="O29" i="15" s="1"/>
  <c r="P29" i="15" s="1"/>
  <c r="O30" i="15" s="1"/>
  <c r="P30" i="15" s="1"/>
  <c r="O31" i="15" s="1"/>
  <c r="P31" i="15" s="1"/>
  <c r="O32" i="15" s="1"/>
  <c r="P32" i="15" s="1"/>
  <c r="O33" i="15" s="1"/>
  <c r="P33" i="15" s="1"/>
  <c r="O34" i="15" s="1"/>
  <c r="P34" i="15" s="1"/>
  <c r="O35" i="15" s="1"/>
  <c r="P35" i="15" s="1"/>
  <c r="O36" i="15" s="1"/>
  <c r="P36" i="15" s="1"/>
  <c r="O37" i="15" s="1"/>
  <c r="P37" i="15" s="1"/>
  <c r="O38" i="15" s="1"/>
  <c r="P38" i="15" s="1"/>
  <c r="O39" i="15" s="1"/>
  <c r="P39" i="15" s="1"/>
  <c r="O40" i="15" s="1"/>
  <c r="P40" i="15" s="1"/>
  <c r="O41" i="15" s="1"/>
  <c r="P41" i="15" s="1"/>
  <c r="O42" i="15" s="1"/>
  <c r="P42" i="15" s="1"/>
  <c r="O43" i="15" s="1"/>
  <c r="P43" i="15" s="1"/>
  <c r="O44" i="15" s="1"/>
  <c r="P44" i="15" s="1"/>
  <c r="O45" i="15" s="1"/>
  <c r="P45" i="15" s="1"/>
  <c r="O46" i="15" s="1"/>
  <c r="P46" i="15" s="1"/>
  <c r="O47" i="15" s="1"/>
  <c r="P47" i="15" s="1"/>
  <c r="O48" i="15" s="1"/>
  <c r="P48" i="15" s="1"/>
  <c r="P6" i="15" s="1"/>
  <c r="F21" i="14"/>
  <c r="G21" i="14" s="1"/>
  <c r="L21" i="14" s="1"/>
  <c r="M13" i="16"/>
  <c r="M13" i="22"/>
  <c r="O15" i="14"/>
  <c r="P15" i="14" s="1"/>
  <c r="O16" i="14" s="1"/>
  <c r="P16" i="14" s="1"/>
  <c r="O17" i="14" s="1"/>
  <c r="P17" i="14" s="1"/>
  <c r="O18" i="14" s="1"/>
  <c r="P18" i="14" s="1"/>
  <c r="O19" i="14" s="1"/>
  <c r="P19" i="14" s="1"/>
  <c r="O20" i="14" s="1"/>
  <c r="P20" i="14" s="1"/>
  <c r="O21" i="14" s="1"/>
  <c r="P21" i="14" s="1"/>
  <c r="O22" i="14" s="1"/>
  <c r="P22" i="14" s="1"/>
  <c r="O23" i="14" s="1"/>
  <c r="P23" i="14" s="1"/>
  <c r="O24" i="14" s="1"/>
  <c r="P24" i="14" s="1"/>
  <c r="O25" i="14" s="1"/>
  <c r="P25" i="14" s="1"/>
  <c r="O26" i="14" s="1"/>
  <c r="P26" i="14" s="1"/>
  <c r="O27" i="14" s="1"/>
  <c r="P27" i="14" s="1"/>
  <c r="O28" i="14" s="1"/>
  <c r="P28" i="14" s="1"/>
  <c r="O29" i="14" s="1"/>
  <c r="P29" i="14" s="1"/>
  <c r="O30" i="14" s="1"/>
  <c r="P30" i="14" s="1"/>
  <c r="O31" i="14" s="1"/>
  <c r="P31" i="14" s="1"/>
  <c r="O32" i="14" s="1"/>
  <c r="P32" i="14" s="1"/>
  <c r="O33" i="14" s="1"/>
  <c r="P33" i="14" s="1"/>
  <c r="O34" i="14" s="1"/>
  <c r="P34" i="14" s="1"/>
  <c r="O35" i="14" s="1"/>
  <c r="P35" i="14" s="1"/>
  <c r="O36" i="14" s="1"/>
  <c r="P36" i="14" s="1"/>
  <c r="O37" i="14" s="1"/>
  <c r="P37" i="14" s="1"/>
  <c r="O38" i="14" s="1"/>
  <c r="P38" i="14" s="1"/>
  <c r="O39" i="14" s="1"/>
  <c r="P39" i="14" s="1"/>
  <c r="O40" i="14" s="1"/>
  <c r="P40" i="14" s="1"/>
  <c r="O41" i="14" s="1"/>
  <c r="P41" i="14" s="1"/>
  <c r="O42" i="14" s="1"/>
  <c r="P42" i="14" s="1"/>
  <c r="O43" i="14" s="1"/>
  <c r="P43" i="14" s="1"/>
  <c r="O44" i="14" s="1"/>
  <c r="P44" i="14" s="1"/>
  <c r="O45" i="14" s="1"/>
  <c r="P45" i="14" s="1"/>
  <c r="O46" i="14" s="1"/>
  <c r="P46" i="14" s="1"/>
  <c r="O47" i="14" s="1"/>
  <c r="P47" i="14" s="1"/>
  <c r="O48" i="14" s="1"/>
  <c r="P48" i="14" s="1"/>
  <c r="O49" i="14" s="1"/>
  <c r="N13" i="22"/>
  <c r="N13" i="16"/>
  <c r="F49" i="15"/>
  <c r="G49" i="15" s="1"/>
  <c r="G6" i="15"/>
  <c r="K21" i="15"/>
  <c r="L21" i="15" s="1"/>
  <c r="K24" i="14"/>
  <c r="L20" i="15"/>
  <c r="BO18" i="22" l="1"/>
  <c r="AG18" i="22"/>
  <c r="CC18" i="22"/>
  <c r="AW18" i="22"/>
  <c r="BG18" i="22"/>
  <c r="BC18" i="22"/>
  <c r="CB18" i="22"/>
  <c r="AH18" i="22"/>
  <c r="AV18" i="22"/>
  <c r="AR18" i="22"/>
  <c r="BX18" i="22"/>
  <c r="AI18" i="22"/>
  <c r="BM18" i="22"/>
  <c r="CD18" i="22"/>
  <c r="CA18" i="22"/>
  <c r="BZ18" i="22"/>
  <c r="AJ18" i="22"/>
  <c r="BL18" i="22"/>
  <c r="AO18" i="22"/>
  <c r="AQ18" i="22"/>
  <c r="AZ18" i="22"/>
  <c r="BV18" i="22"/>
  <c r="BK18" i="22"/>
  <c r="BU18" i="22"/>
  <c r="BW18" i="22"/>
  <c r="AN18" i="22"/>
  <c r="BA18" i="22"/>
  <c r="AP18" i="22"/>
  <c r="BY18" i="22"/>
  <c r="CE18" i="22"/>
  <c r="AX18" i="22"/>
  <c r="BJ18" i="22"/>
  <c r="BF18" i="22"/>
  <c r="BN18" i="22"/>
  <c r="BR18" i="22"/>
  <c r="BS18" i="22"/>
  <c r="BD18" i="22"/>
  <c r="BB18" i="22"/>
  <c r="AK18" i="22"/>
  <c r="CH18" i="22"/>
  <c r="BE18" i="22"/>
  <c r="A19" i="22"/>
  <c r="BF19" i="22" s="1"/>
  <c r="CF18" i="22"/>
  <c r="AY18" i="22"/>
  <c r="AS18" i="22"/>
  <c r="CG18" i="22"/>
  <c r="BP18" i="22"/>
  <c r="AL18" i="22"/>
  <c r="AM18" i="22"/>
  <c r="BQ18" i="22"/>
  <c r="AT18" i="22"/>
  <c r="BH18" i="22"/>
  <c r="BT18" i="22"/>
  <c r="AU18" i="22"/>
  <c r="F20" i="14"/>
  <c r="AQ13" i="13"/>
  <c r="G14" i="13"/>
  <c r="H14" i="13" s="1"/>
  <c r="I14" i="13" s="1"/>
  <c r="G15" i="13" s="1"/>
  <c r="H15" i="13" s="1"/>
  <c r="I15" i="13" s="1"/>
  <c r="J15" i="13" s="1"/>
  <c r="K15" i="13" s="1"/>
  <c r="L15" i="13" s="1"/>
  <c r="N13" i="13"/>
  <c r="Q13" i="13" s="1"/>
  <c r="AT13" i="13" s="1"/>
  <c r="M13" i="13"/>
  <c r="P13" i="13" s="1"/>
  <c r="AS13" i="13" s="1"/>
  <c r="L13" i="13"/>
  <c r="O13" i="13" s="1"/>
  <c r="AR13" i="13" s="1"/>
  <c r="J14" i="13"/>
  <c r="K14" i="13" s="1"/>
  <c r="O13" i="22"/>
  <c r="P13" i="22" s="1"/>
  <c r="O49" i="15"/>
  <c r="P49" i="15" s="1"/>
  <c r="O13" i="16"/>
  <c r="P13" i="16" s="1"/>
  <c r="P49" i="14"/>
  <c r="P6" i="14" s="1"/>
  <c r="F23" i="14"/>
  <c r="G23" i="14" s="1"/>
  <c r="J25" i="14"/>
  <c r="K25" i="14" s="1"/>
  <c r="AI27" i="13"/>
  <c r="J22" i="15"/>
  <c r="AL19" i="22" l="1"/>
  <c r="BW19" i="22"/>
  <c r="BL19" i="22"/>
  <c r="AT19" i="22"/>
  <c r="AP19" i="22"/>
  <c r="BB19" i="22"/>
  <c r="AH19" i="22"/>
  <c r="AR19" i="22"/>
  <c r="CG19" i="22"/>
  <c r="AK19" i="22"/>
  <c r="BZ19" i="22"/>
  <c r="BK19" i="22"/>
  <c r="AM19" i="22"/>
  <c r="AV19" i="22"/>
  <c r="BO19" i="22"/>
  <c r="BQ19" i="22"/>
  <c r="CE19" i="22"/>
  <c r="AJ19" i="22"/>
  <c r="BD19" i="22"/>
  <c r="CB19" i="22"/>
  <c r="BG19" i="22"/>
  <c r="AN19" i="22"/>
  <c r="BP19" i="22"/>
  <c r="CC19" i="22"/>
  <c r="BE19" i="22"/>
  <c r="AG19" i="22"/>
  <c r="BY19" i="22"/>
  <c r="BT19" i="22"/>
  <c r="CD19" i="22"/>
  <c r="AI19" i="22"/>
  <c r="BR19" i="22"/>
  <c r="BU19" i="22"/>
  <c r="BH19" i="22"/>
  <c r="A20" i="22"/>
  <c r="AL20" i="22" s="1"/>
  <c r="BJ19" i="22"/>
  <c r="BA19" i="22"/>
  <c r="BV19" i="22"/>
  <c r="AQ19" i="22"/>
  <c r="BN19" i="22"/>
  <c r="AY19" i="22"/>
  <c r="BX19" i="22"/>
  <c r="AW19" i="22"/>
  <c r="AU19" i="22"/>
  <c r="AZ19" i="22"/>
  <c r="BC19" i="22"/>
  <c r="BS19" i="22"/>
  <c r="CH19" i="22"/>
  <c r="BM19" i="22"/>
  <c r="CA19" i="22"/>
  <c r="AO19" i="22"/>
  <c r="AX19" i="22"/>
  <c r="BI19" i="22"/>
  <c r="AS19" i="22"/>
  <c r="CF19" i="22"/>
  <c r="G20" i="14"/>
  <c r="L20" i="14" s="1"/>
  <c r="AQ14" i="13"/>
  <c r="AQ15" i="13" s="1"/>
  <c r="S13" i="13"/>
  <c r="T13" i="13" s="1"/>
  <c r="U13" i="13" s="1"/>
  <c r="V13" i="13" s="1"/>
  <c r="L14" i="13"/>
  <c r="O14" i="13" s="1"/>
  <c r="S14" i="13" s="1"/>
  <c r="M14" i="13"/>
  <c r="P14" i="13" s="1"/>
  <c r="AS14" i="13" s="1"/>
  <c r="N14" i="13"/>
  <c r="Q14" i="13" s="1"/>
  <c r="AT14" i="13" s="1"/>
  <c r="M15" i="13"/>
  <c r="N15" i="13"/>
  <c r="G16" i="13"/>
  <c r="H16" i="13" s="1"/>
  <c r="I16" i="13" s="1"/>
  <c r="F25" i="14"/>
  <c r="G25" i="14" s="1"/>
  <c r="F27" i="14" s="1"/>
  <c r="G27" i="14" s="1"/>
  <c r="F29" i="14" s="1"/>
  <c r="G29" i="14" s="1"/>
  <c r="F31" i="14" s="1"/>
  <c r="G31" i="14" s="1"/>
  <c r="F33" i="14" s="1"/>
  <c r="G33" i="14" s="1"/>
  <c r="F35" i="14" s="1"/>
  <c r="G35" i="14" s="1"/>
  <c r="F37" i="14" s="1"/>
  <c r="G37" i="14" s="1"/>
  <c r="F39" i="14" s="1"/>
  <c r="G39" i="14" s="1"/>
  <c r="F41" i="14" s="1"/>
  <c r="G41" i="14" s="1"/>
  <c r="F43" i="14" s="1"/>
  <c r="G43" i="14" s="1"/>
  <c r="F45" i="14" s="1"/>
  <c r="G45" i="14" s="1"/>
  <c r="F47" i="14" s="1"/>
  <c r="G47" i="14" s="1"/>
  <c r="F49" i="14" s="1"/>
  <c r="G49" i="14" s="1"/>
  <c r="L23" i="14"/>
  <c r="O50" i="14"/>
  <c r="P50" i="14" s="1"/>
  <c r="J26" i="14"/>
  <c r="K26" i="14" s="1"/>
  <c r="K22" i="15"/>
  <c r="J23" i="15" s="1"/>
  <c r="AI26" i="13"/>
  <c r="BM20" i="22" l="1"/>
  <c r="AR20" i="22"/>
  <c r="CB20" i="22"/>
  <c r="BT20" i="22"/>
  <c r="CG20" i="22"/>
  <c r="CE20" i="22"/>
  <c r="BY20" i="22"/>
  <c r="BF20" i="22"/>
  <c r="BS20" i="22"/>
  <c r="AS20" i="22"/>
  <c r="AJ20" i="22"/>
  <c r="CH20" i="22"/>
  <c r="AI20" i="22"/>
  <c r="AX20" i="22"/>
  <c r="AM20" i="22"/>
  <c r="AW20" i="22"/>
  <c r="BN20" i="22"/>
  <c r="CF20" i="22"/>
  <c r="BD20" i="22"/>
  <c r="BK20" i="22"/>
  <c r="AP20" i="22"/>
  <c r="AZ20" i="22"/>
  <c r="BX20" i="22"/>
  <c r="BI20" i="22"/>
  <c r="AU20" i="22"/>
  <c r="BR20" i="22"/>
  <c r="AV20" i="22"/>
  <c r="A21" i="22"/>
  <c r="CF21" i="22" s="1"/>
  <c r="BW20" i="22"/>
  <c r="BV20" i="22"/>
  <c r="CA20" i="22"/>
  <c r="BU20" i="22"/>
  <c r="BB20" i="22"/>
  <c r="BZ20" i="22"/>
  <c r="BJ20" i="22"/>
  <c r="AH20" i="22"/>
  <c r="AK20" i="22"/>
  <c r="AG20" i="22"/>
  <c r="BQ20" i="22"/>
  <c r="BP20" i="22"/>
  <c r="BO20" i="22"/>
  <c r="BH20" i="22"/>
  <c r="AY20" i="22"/>
  <c r="AT20" i="22"/>
  <c r="BA20" i="22"/>
  <c r="BG20" i="22"/>
  <c r="CD20" i="22"/>
  <c r="AQ20" i="22"/>
  <c r="BC20" i="22"/>
  <c r="BE20" i="22"/>
  <c r="AO20" i="22"/>
  <c r="AN20" i="22"/>
  <c r="BL20" i="22"/>
  <c r="CC20" i="22"/>
  <c r="F22" i="14"/>
  <c r="O15" i="13"/>
  <c r="S15" i="13" s="1"/>
  <c r="AR14" i="13"/>
  <c r="T14" i="13"/>
  <c r="U14" i="13" s="1"/>
  <c r="Q15" i="13"/>
  <c r="AT15" i="13" s="1"/>
  <c r="P15" i="13"/>
  <c r="AS15" i="13" s="1"/>
  <c r="J16" i="13"/>
  <c r="K16" i="13" s="1"/>
  <c r="L25" i="14"/>
  <c r="G17" i="13"/>
  <c r="H17" i="13" s="1"/>
  <c r="I17" i="13" s="1"/>
  <c r="AQ16" i="13"/>
  <c r="J27" i="14"/>
  <c r="AI25" i="13"/>
  <c r="K23" i="15"/>
  <c r="L23" i="15" s="1"/>
  <c r="L22" i="15"/>
  <c r="AZ21" i="22" l="1"/>
  <c r="BJ21" i="22"/>
  <c r="AT21" i="22"/>
  <c r="AJ21" i="22"/>
  <c r="AP21" i="22"/>
  <c r="AS21" i="22"/>
  <c r="BH21" i="22"/>
  <c r="AN21" i="22"/>
  <c r="BC21" i="22"/>
  <c r="BF21" i="22"/>
  <c r="CD21" i="22"/>
  <c r="BU21" i="22"/>
  <c r="CH21" i="22"/>
  <c r="CC21" i="22"/>
  <c r="CG21" i="22"/>
  <c r="BT21" i="22"/>
  <c r="BP21" i="22"/>
  <c r="AQ21" i="22"/>
  <c r="BA21" i="22"/>
  <c r="BZ21" i="22"/>
  <c r="AM21" i="22"/>
  <c r="AI21" i="22"/>
  <c r="BE21" i="22"/>
  <c r="BN21" i="22"/>
  <c r="BL21" i="22"/>
  <c r="AG21" i="22"/>
  <c r="CB21" i="22"/>
  <c r="A22" i="22"/>
  <c r="AJ22" i="22" s="1"/>
  <c r="T15" i="13"/>
  <c r="U15" i="13" s="1"/>
  <c r="V15" i="13" s="1"/>
  <c r="AU21" i="22"/>
  <c r="AX21" i="22"/>
  <c r="AK21" i="22"/>
  <c r="CE21" i="22"/>
  <c r="AH21" i="22"/>
  <c r="BB21" i="22"/>
  <c r="AO21" i="22"/>
  <c r="BX21" i="22"/>
  <c r="BO21" i="22"/>
  <c r="BW21" i="22"/>
  <c r="AW21" i="22"/>
  <c r="BQ21" i="22"/>
  <c r="AY21" i="22"/>
  <c r="BM21" i="22"/>
  <c r="BY21" i="22"/>
  <c r="AV21" i="22"/>
  <c r="BR21" i="22"/>
  <c r="CA21" i="22"/>
  <c r="BV21" i="22"/>
  <c r="BI21" i="22"/>
  <c r="BS21" i="22"/>
  <c r="AL21" i="22"/>
  <c r="BG21" i="22"/>
  <c r="BK21" i="22"/>
  <c r="BD21" i="22"/>
  <c r="AR21" i="22"/>
  <c r="G22" i="14"/>
  <c r="F24" i="14" s="1"/>
  <c r="G24" i="14" s="1"/>
  <c r="V14" i="13"/>
  <c r="AR15" i="13"/>
  <c r="M16" i="13"/>
  <c r="P16" i="13" s="1"/>
  <c r="AS16" i="13" s="1"/>
  <c r="N16" i="13"/>
  <c r="Q16" i="13" s="1"/>
  <c r="AT16" i="13" s="1"/>
  <c r="L16" i="13"/>
  <c r="O16" i="13" s="1"/>
  <c r="S16" i="13" s="1"/>
  <c r="AB16" i="13" s="1"/>
  <c r="G18" i="13"/>
  <c r="H18" i="13" s="1"/>
  <c r="I18" i="13" s="1"/>
  <c r="AQ17" i="13"/>
  <c r="J17" i="13"/>
  <c r="K17" i="13" s="1"/>
  <c r="K27" i="14"/>
  <c r="L27" i="14" s="1"/>
  <c r="J24" i="15"/>
  <c r="AI24" i="13"/>
  <c r="CC22" i="22" l="1"/>
  <c r="AO22" i="22"/>
  <c r="AW22" i="22"/>
  <c r="BB22" i="22"/>
  <c r="BZ22" i="22"/>
  <c r="AK22" i="22"/>
  <c r="BW22" i="22"/>
  <c r="BU22" i="22"/>
  <c r="AY22" i="22"/>
  <c r="BQ22" i="22"/>
  <c r="AM22" i="22"/>
  <c r="BJ22" i="22"/>
  <c r="CE22" i="22"/>
  <c r="AS22" i="22"/>
  <c r="BC22" i="22"/>
  <c r="AN22" i="22"/>
  <c r="BV22" i="22"/>
  <c r="BA22" i="22"/>
  <c r="AR22" i="22"/>
  <c r="BI22" i="22"/>
  <c r="BE22" i="22"/>
  <c r="AZ22" i="22"/>
  <c r="AX22" i="22"/>
  <c r="AL22" i="22"/>
  <c r="BG22" i="22"/>
  <c r="CB22" i="22"/>
  <c r="BK22" i="22"/>
  <c r="BN22" i="22"/>
  <c r="A23" i="22"/>
  <c r="CA23" i="22" s="1"/>
  <c r="BT22" i="22"/>
  <c r="BP22" i="22"/>
  <c r="CF22" i="22"/>
  <c r="BM22" i="22"/>
  <c r="AI22" i="22"/>
  <c r="AG22" i="22"/>
  <c r="AH22" i="22"/>
  <c r="BF22" i="22"/>
  <c r="CG22" i="22"/>
  <c r="BY22" i="22"/>
  <c r="BS22" i="22"/>
  <c r="CH22" i="22"/>
  <c r="AP22" i="22"/>
  <c r="BL22" i="22"/>
  <c r="AQ22" i="22"/>
  <c r="BH22" i="22"/>
  <c r="BR22" i="22"/>
  <c r="CD22" i="22"/>
  <c r="BX22" i="22"/>
  <c r="CA22" i="22"/>
  <c r="AT22" i="22"/>
  <c r="BO22" i="22"/>
  <c r="AU22" i="22"/>
  <c r="AV22" i="22"/>
  <c r="BD22" i="22"/>
  <c r="F26" i="14"/>
  <c r="G26" i="14" s="1"/>
  <c r="L24" i="14"/>
  <c r="L22" i="14"/>
  <c r="T16" i="13"/>
  <c r="U16" i="13" s="1"/>
  <c r="AD16" i="13" s="1"/>
  <c r="AR16" i="13"/>
  <c r="J18" i="13"/>
  <c r="K18" i="13" s="1"/>
  <c r="G19" i="13"/>
  <c r="H19" i="13" s="1"/>
  <c r="I19" i="13" s="1"/>
  <c r="M17" i="13"/>
  <c r="P17" i="13" s="1"/>
  <c r="AS17" i="13" s="1"/>
  <c r="N17" i="13"/>
  <c r="Q17" i="13" s="1"/>
  <c r="AT17" i="13" s="1"/>
  <c r="L17" i="13"/>
  <c r="O17" i="13" s="1"/>
  <c r="J28" i="14"/>
  <c r="K28" i="14" s="1"/>
  <c r="AI23" i="13"/>
  <c r="K24" i="15"/>
  <c r="J25" i="15" s="1"/>
  <c r="AL23" i="22" l="1"/>
  <c r="BM23" i="22"/>
  <c r="AI23" i="22"/>
  <c r="BH23" i="22"/>
  <c r="BJ23" i="22"/>
  <c r="BX23" i="22"/>
  <c r="AQ23" i="22"/>
  <c r="CB23" i="22"/>
  <c r="AK23" i="22"/>
  <c r="AO23" i="22"/>
  <c r="AT23" i="22"/>
  <c r="BE23" i="22"/>
  <c r="BC23" i="22"/>
  <c r="AG23" i="22"/>
  <c r="BI23" i="22"/>
  <c r="BU23" i="22"/>
  <c r="BV23" i="22"/>
  <c r="BO23" i="22"/>
  <c r="BD23" i="22"/>
  <c r="BQ23" i="22"/>
  <c r="BR23" i="22"/>
  <c r="CG23" i="22"/>
  <c r="BN23" i="22"/>
  <c r="BL23" i="22"/>
  <c r="CD23" i="22"/>
  <c r="BB23" i="22"/>
  <c r="AY23" i="22"/>
  <c r="BP23" i="22"/>
  <c r="BW23" i="22"/>
  <c r="AM23" i="22"/>
  <c r="BA23" i="22"/>
  <c r="CF23" i="22"/>
  <c r="BS23" i="22"/>
  <c r="BF23" i="22"/>
  <c r="CH23" i="22"/>
  <c r="AU23" i="22"/>
  <c r="BG23" i="22"/>
  <c r="AS23" i="22"/>
  <c r="AN23" i="22"/>
  <c r="AV23" i="22"/>
  <c r="AW23" i="22"/>
  <c r="CE23" i="22"/>
  <c r="AR23" i="22"/>
  <c r="BT23" i="22"/>
  <c r="BK23" i="22"/>
  <c r="AJ23" i="22"/>
  <c r="AP23" i="22"/>
  <c r="AZ23" i="22"/>
  <c r="BZ23" i="22"/>
  <c r="AH23" i="22"/>
  <c r="CC23" i="22"/>
  <c r="AX23" i="22"/>
  <c r="BY23" i="22"/>
  <c r="A24" i="22"/>
  <c r="CC24" i="22" s="1"/>
  <c r="F28" i="14"/>
  <c r="G28" i="14" s="1"/>
  <c r="L26" i="14"/>
  <c r="AC16" i="13"/>
  <c r="V16" i="13"/>
  <c r="AE16" i="13" s="1"/>
  <c r="AQ18" i="13"/>
  <c r="AQ19" i="13" s="1"/>
  <c r="J19" i="13"/>
  <c r="K19" i="13" s="1"/>
  <c r="G20" i="13"/>
  <c r="H20" i="13" s="1"/>
  <c r="I20" i="13" s="1"/>
  <c r="G21" i="13" s="1"/>
  <c r="H21" i="13" s="1"/>
  <c r="M18" i="13"/>
  <c r="P18" i="13" s="1"/>
  <c r="N18" i="13"/>
  <c r="Q18" i="13" s="1"/>
  <c r="AT18" i="13" s="1"/>
  <c r="L18" i="13"/>
  <c r="O18" i="13" s="1"/>
  <c r="S18" i="13" s="1"/>
  <c r="S17" i="13"/>
  <c r="AR17" i="13"/>
  <c r="K25" i="15"/>
  <c r="L25" i="15" s="1"/>
  <c r="L24" i="15"/>
  <c r="J29" i="14"/>
  <c r="AI22" i="13"/>
  <c r="BZ24" i="22" l="1"/>
  <c r="BI24" i="22"/>
  <c r="BR24" i="22"/>
  <c r="BN24" i="22"/>
  <c r="CD24" i="22"/>
  <c r="BL24" i="22"/>
  <c r="CF24" i="22"/>
  <c r="AN24" i="22"/>
  <c r="BE24" i="22"/>
  <c r="AS24" i="22"/>
  <c r="AQ24" i="22"/>
  <c r="BX24" i="22"/>
  <c r="AZ24" i="22"/>
  <c r="CG24" i="22"/>
  <c r="AY24" i="22"/>
  <c r="BP24" i="22"/>
  <c r="AU24" i="22"/>
  <c r="AL24" i="22"/>
  <c r="CB24" i="22"/>
  <c r="BY24" i="22"/>
  <c r="A25" i="22"/>
  <c r="AW25" i="22" s="1"/>
  <c r="BU24" i="22"/>
  <c r="BG24" i="22"/>
  <c r="AT24" i="22"/>
  <c r="AX24" i="22"/>
  <c r="BB24" i="22"/>
  <c r="BW24" i="22"/>
  <c r="BF24" i="22"/>
  <c r="AW24" i="22"/>
  <c r="CA24" i="22"/>
  <c r="AK24" i="22"/>
  <c r="AI24" i="22"/>
  <c r="BA24" i="22"/>
  <c r="BC24" i="22"/>
  <c r="BM24" i="22"/>
  <c r="BD24" i="22"/>
  <c r="BK24" i="22"/>
  <c r="BQ24" i="22"/>
  <c r="AM24" i="22"/>
  <c r="AJ24" i="22"/>
  <c r="BH24" i="22"/>
  <c r="AH24" i="22"/>
  <c r="CH24" i="22"/>
  <c r="AO24" i="22"/>
  <c r="BT24" i="22"/>
  <c r="BO24" i="22"/>
  <c r="BV24" i="22"/>
  <c r="BS24" i="22"/>
  <c r="AV24" i="22"/>
  <c r="BJ24" i="22"/>
  <c r="AG24" i="22"/>
  <c r="AR24" i="22"/>
  <c r="AP24" i="22"/>
  <c r="CE24" i="22"/>
  <c r="F30" i="14"/>
  <c r="G30" i="14" s="1"/>
  <c r="F32" i="14" s="1"/>
  <c r="G32" i="14" s="1"/>
  <c r="F34" i="14" s="1"/>
  <c r="G34" i="14" s="1"/>
  <c r="F36" i="14" s="1"/>
  <c r="G36" i="14" s="1"/>
  <c r="F38" i="14" s="1"/>
  <c r="G38" i="14" s="1"/>
  <c r="F40" i="14" s="1"/>
  <c r="G40" i="14" s="1"/>
  <c r="F42" i="14" s="1"/>
  <c r="G42" i="14" s="1"/>
  <c r="F44" i="14" s="1"/>
  <c r="G44" i="14" s="1"/>
  <c r="F46" i="14" s="1"/>
  <c r="G46" i="14" s="1"/>
  <c r="F48" i="14" s="1"/>
  <c r="G48" i="14" s="1"/>
  <c r="F50" i="14" s="1"/>
  <c r="G50" i="14" s="1"/>
  <c r="L28" i="14"/>
  <c r="AF16" i="13"/>
  <c r="AM16" i="13" s="1"/>
  <c r="M15" i="14" s="1"/>
  <c r="R15" i="14" s="1"/>
  <c r="V15" i="14" s="1"/>
  <c r="X15" i="14" s="1"/>
  <c r="T17" i="13"/>
  <c r="AB17" i="13"/>
  <c r="J20" i="13"/>
  <c r="K20" i="13" s="1"/>
  <c r="M20" i="13" s="1"/>
  <c r="AR18" i="13"/>
  <c r="N19" i="13"/>
  <c r="Q19" i="13" s="1"/>
  <c r="L19" i="13"/>
  <c r="O19" i="13" s="1"/>
  <c r="S19" i="13" s="1"/>
  <c r="AB19" i="13" s="1"/>
  <c r="M19" i="13"/>
  <c r="P19" i="13" s="1"/>
  <c r="BH25" i="22"/>
  <c r="T18" i="13"/>
  <c r="AC18" i="13" s="1"/>
  <c r="AB18" i="13"/>
  <c r="J26" i="15"/>
  <c r="K26" i="15" s="1"/>
  <c r="L26" i="15" s="1"/>
  <c r="AI21" i="13"/>
  <c r="I21" i="13"/>
  <c r="K29" i="14"/>
  <c r="L29" i="14" s="1"/>
  <c r="CF25" i="22" l="1"/>
  <c r="AS25" i="22"/>
  <c r="AR25" i="22"/>
  <c r="BQ25" i="22"/>
  <c r="CG25" i="22"/>
  <c r="BK25" i="22"/>
  <c r="CE25" i="22"/>
  <c r="AM25" i="22"/>
  <c r="AP25" i="22"/>
  <c r="AI25" i="22"/>
  <c r="CD25" i="22"/>
  <c r="BT25" i="22"/>
  <c r="AQ25" i="22"/>
  <c r="BN25" i="22"/>
  <c r="BV25" i="22"/>
  <c r="BL25" i="22"/>
  <c r="AQ20" i="13"/>
  <c r="AQ21" i="13" s="1"/>
  <c r="AJ25" i="22"/>
  <c r="CB25" i="22"/>
  <c r="AG25" i="22"/>
  <c r="AZ25" i="22"/>
  <c r="BO25" i="22"/>
  <c r="AO25" i="22"/>
  <c r="BW25" i="22"/>
  <c r="CA25" i="22"/>
  <c r="BJ25" i="22"/>
  <c r="AT25" i="22"/>
  <c r="BD25" i="22"/>
  <c r="CH25" i="22"/>
  <c r="BG25" i="22"/>
  <c r="BB25" i="22"/>
  <c r="AL25" i="22"/>
  <c r="BS25" i="22"/>
  <c r="AY25" i="22"/>
  <c r="BZ25" i="22"/>
  <c r="BM25" i="22"/>
  <c r="AK25" i="22"/>
  <c r="BF25" i="22"/>
  <c r="BI25" i="22"/>
  <c r="AH25" i="22"/>
  <c r="AX25" i="22"/>
  <c r="BR25" i="22"/>
  <c r="AV25" i="22"/>
  <c r="BX25" i="22"/>
  <c r="AN25" i="22"/>
  <c r="CC25" i="22"/>
  <c r="BA25" i="22"/>
  <c r="BC25" i="22"/>
  <c r="A26" i="22"/>
  <c r="BX26" i="22" s="1"/>
  <c r="BU25" i="22"/>
  <c r="AU25" i="22"/>
  <c r="BP25" i="22"/>
  <c r="BY25" i="22"/>
  <c r="BE25" i="22"/>
  <c r="G6" i="14"/>
  <c r="L14" i="16"/>
  <c r="M14" i="15"/>
  <c r="R14" i="15" s="1"/>
  <c r="V14" i="15" s="1"/>
  <c r="X14" i="15" s="1"/>
  <c r="M14" i="22" s="1"/>
  <c r="L14" i="22"/>
  <c r="N14" i="16"/>
  <c r="N14" i="22"/>
  <c r="L20" i="13"/>
  <c r="O20" i="13" s="1"/>
  <c r="S20" i="13" s="1"/>
  <c r="N20" i="13"/>
  <c r="Q20" i="13" s="1"/>
  <c r="U17" i="13"/>
  <c r="AD17" i="13" s="1"/>
  <c r="AC17" i="13"/>
  <c r="T19" i="13"/>
  <c r="AR19" i="13"/>
  <c r="AS18" i="13"/>
  <c r="U18" i="13"/>
  <c r="AD18" i="13" s="1"/>
  <c r="P20" i="13"/>
  <c r="G22" i="13"/>
  <c r="H22" i="13" s="1"/>
  <c r="J21" i="13"/>
  <c r="K21" i="13" s="1"/>
  <c r="J27" i="15"/>
  <c r="AI20" i="13"/>
  <c r="J30" i="14"/>
  <c r="AY26" i="22" l="1"/>
  <c r="BG26" i="22"/>
  <c r="BC26" i="22"/>
  <c r="AJ26" i="22"/>
  <c r="A27" i="22"/>
  <c r="AH27" i="22" s="1"/>
  <c r="AR26" i="22"/>
  <c r="BE26" i="22"/>
  <c r="BM26" i="22"/>
  <c r="AV26" i="22"/>
  <c r="AX26" i="22"/>
  <c r="AI26" i="22"/>
  <c r="BD26" i="22"/>
  <c r="BR26" i="22"/>
  <c r="CB26" i="22"/>
  <c r="BH26" i="22"/>
  <c r="AW26" i="22"/>
  <c r="BQ26" i="22"/>
  <c r="AT26" i="22"/>
  <c r="AH26" i="22"/>
  <c r="BT26" i="22"/>
  <c r="CF26" i="22"/>
  <c r="CH26" i="22"/>
  <c r="BK26" i="22"/>
  <c r="BV26" i="22"/>
  <c r="BP26" i="22"/>
  <c r="BZ26" i="22"/>
  <c r="BS26" i="22"/>
  <c r="BU26" i="22"/>
  <c r="AQ26" i="22"/>
  <c r="AG26" i="22"/>
  <c r="AZ26" i="22"/>
  <c r="AS26" i="22"/>
  <c r="BJ26" i="22"/>
  <c r="AL26" i="22"/>
  <c r="BF26" i="22"/>
  <c r="CC26" i="22"/>
  <c r="AP26" i="22"/>
  <c r="BN26" i="22"/>
  <c r="AO26" i="22"/>
  <c r="CA26" i="22"/>
  <c r="BY26" i="22"/>
  <c r="AN26" i="22"/>
  <c r="BA26" i="22"/>
  <c r="CD26" i="22"/>
  <c r="BO26" i="22"/>
  <c r="BW26" i="22"/>
  <c r="CG26" i="22"/>
  <c r="BL26" i="22"/>
  <c r="CE26" i="22"/>
  <c r="BI26" i="22"/>
  <c r="AU26" i="22"/>
  <c r="AM26" i="22"/>
  <c r="AK26" i="22"/>
  <c r="BB26" i="22"/>
  <c r="M14" i="16"/>
  <c r="O14" i="16" s="1"/>
  <c r="P14" i="16" s="1"/>
  <c r="O14" i="22"/>
  <c r="P14" i="22" s="1"/>
  <c r="AS19" i="13"/>
  <c r="AS20" i="13" s="1"/>
  <c r="V17" i="13"/>
  <c r="AE17" i="13" s="1"/>
  <c r="AF17" i="13" s="1"/>
  <c r="AM17" i="13" s="1"/>
  <c r="AR20" i="13"/>
  <c r="AC19" i="13"/>
  <c r="U19" i="13"/>
  <c r="T20" i="13"/>
  <c r="U20" i="13" s="1"/>
  <c r="AD20" i="13" s="1"/>
  <c r="AB20" i="13"/>
  <c r="L21" i="13"/>
  <c r="O21" i="13" s="1"/>
  <c r="M21" i="13"/>
  <c r="P21" i="13" s="1"/>
  <c r="N21" i="13"/>
  <c r="Q21" i="13" s="1"/>
  <c r="V18" i="13"/>
  <c r="AE18" i="13" s="1"/>
  <c r="AF18" i="13" s="1"/>
  <c r="AM18" i="13" s="1"/>
  <c r="K30" i="14"/>
  <c r="L30" i="14" s="1"/>
  <c r="K27" i="15"/>
  <c r="L27" i="15" s="1"/>
  <c r="AI19" i="13"/>
  <c r="I22" i="13"/>
  <c r="AG27" i="22" l="1"/>
  <c r="BL27" i="22"/>
  <c r="AR27" i="22"/>
  <c r="CA27" i="22"/>
  <c r="BE27" i="22"/>
  <c r="BR27" i="22"/>
  <c r="AW27" i="22"/>
  <c r="AQ27" i="22"/>
  <c r="BC27" i="22"/>
  <c r="AJ27" i="22"/>
  <c r="BV27" i="22"/>
  <c r="BB27" i="22"/>
  <c r="CE27" i="22"/>
  <c r="BX27" i="22"/>
  <c r="AN27" i="22"/>
  <c r="AM27" i="22"/>
  <c r="BK27" i="22"/>
  <c r="BQ27" i="22"/>
  <c r="BP27" i="22"/>
  <c r="BN27" i="22"/>
  <c r="AL27" i="22"/>
  <c r="CB27" i="22"/>
  <c r="AO27" i="22"/>
  <c r="BF27" i="22"/>
  <c r="AX27" i="22"/>
  <c r="BW27" i="22"/>
  <c r="BS27" i="22"/>
  <c r="BO27" i="22"/>
  <c r="CC27" i="22"/>
  <c r="BH27" i="22"/>
  <c r="BD27" i="22"/>
  <c r="AZ27" i="22"/>
  <c r="AY27" i="22"/>
  <c r="CD27" i="22"/>
  <c r="AI27" i="22"/>
  <c r="A28" i="22"/>
  <c r="AU28" i="22" s="1"/>
  <c r="BZ27" i="22"/>
  <c r="AV27" i="22"/>
  <c r="AS27" i="22"/>
  <c r="BI27" i="22"/>
  <c r="AP27" i="22"/>
  <c r="BG27" i="22"/>
  <c r="AU27" i="22"/>
  <c r="BY27" i="22"/>
  <c r="BT27" i="22"/>
  <c r="CF27" i="22"/>
  <c r="BJ27" i="22"/>
  <c r="BM27" i="22"/>
  <c r="BU27" i="22"/>
  <c r="BA27" i="22"/>
  <c r="AK27" i="22"/>
  <c r="AT27" i="22"/>
  <c r="L15" i="16"/>
  <c r="L15" i="22"/>
  <c r="M15" i="15"/>
  <c r="R15" i="15" s="1"/>
  <c r="V15" i="15" s="1"/>
  <c r="X15" i="15" s="1"/>
  <c r="M16" i="14"/>
  <c r="R16" i="14" s="1"/>
  <c r="V16" i="14" s="1"/>
  <c r="X16" i="14" s="1"/>
  <c r="AT19" i="13"/>
  <c r="AT20" i="13" s="1"/>
  <c r="V19" i="13"/>
  <c r="AE19" i="13" s="1"/>
  <c r="AD19" i="13"/>
  <c r="AT28" i="22"/>
  <c r="AC20" i="13"/>
  <c r="V20" i="13"/>
  <c r="AE20" i="13" s="1"/>
  <c r="M17" i="14"/>
  <c r="R17" i="14" s="1"/>
  <c r="V17" i="14" s="1"/>
  <c r="X17" i="14" s="1"/>
  <c r="L16" i="16"/>
  <c r="M16" i="15"/>
  <c r="R16" i="15" s="1"/>
  <c r="V16" i="15" s="1"/>
  <c r="X16" i="15" s="1"/>
  <c r="L16" i="22"/>
  <c r="AR21" i="13"/>
  <c r="S21" i="13"/>
  <c r="J31" i="14"/>
  <c r="K31" i="14" s="1"/>
  <c r="L31" i="14" s="1"/>
  <c r="AI18" i="13"/>
  <c r="AQ22" i="13"/>
  <c r="J22" i="13"/>
  <c r="K22" i="13" s="1"/>
  <c r="G23" i="13"/>
  <c r="H23" i="13" s="1"/>
  <c r="J28" i="15"/>
  <c r="AW28" i="22" l="1"/>
  <c r="CF28" i="22"/>
  <c r="AJ28" i="22"/>
  <c r="CE28" i="22"/>
  <c r="BU28" i="22"/>
  <c r="BN28" i="22"/>
  <c r="BO28" i="22"/>
  <c r="BG28" i="22"/>
  <c r="AG28" i="22"/>
  <c r="AO28" i="22"/>
  <c r="CC28" i="22"/>
  <c r="BT28" i="22"/>
  <c r="AZ28" i="22"/>
  <c r="BC28" i="22"/>
  <c r="CD28" i="22"/>
  <c r="AK28" i="22"/>
  <c r="AV28" i="22"/>
  <c r="AR28" i="22"/>
  <c r="BR28" i="22"/>
  <c r="A29" i="22"/>
  <c r="BD29" i="22" s="1"/>
  <c r="BM28" i="22"/>
  <c r="AN28" i="22"/>
  <c r="BL28" i="22"/>
  <c r="CA28" i="22"/>
  <c r="BY28" i="22"/>
  <c r="BX28" i="22"/>
  <c r="AI28" i="22"/>
  <c r="BW28" i="22"/>
  <c r="BI28" i="22"/>
  <c r="AL28" i="22"/>
  <c r="AP28" i="22"/>
  <c r="AH28" i="22"/>
  <c r="AQ28" i="22"/>
  <c r="BB28" i="22"/>
  <c r="BA28" i="22"/>
  <c r="AY28" i="22"/>
  <c r="BH28" i="22"/>
  <c r="AX28" i="22"/>
  <c r="CB28" i="22"/>
  <c r="BF28" i="22"/>
  <c r="BK28" i="22"/>
  <c r="AM28" i="22"/>
  <c r="BS28" i="22"/>
  <c r="BD28" i="22"/>
  <c r="BP28" i="22"/>
  <c r="AS28" i="22"/>
  <c r="BQ28" i="22"/>
  <c r="BV28" i="22"/>
  <c r="BE28" i="22"/>
  <c r="BJ28" i="22"/>
  <c r="BZ28" i="22"/>
  <c r="N15" i="22"/>
  <c r="N15" i="16"/>
  <c r="M15" i="22"/>
  <c r="M15" i="16"/>
  <c r="AF20" i="13"/>
  <c r="AJ20" i="13" s="1"/>
  <c r="AK20" i="13" s="1"/>
  <c r="AF19" i="13"/>
  <c r="M16" i="22"/>
  <c r="M16" i="16"/>
  <c r="N22" i="13"/>
  <c r="Q22" i="13" s="1"/>
  <c r="L22" i="13"/>
  <c r="O22" i="13" s="1"/>
  <c r="M22" i="13"/>
  <c r="P22" i="13" s="1"/>
  <c r="N16" i="22"/>
  <c r="N16" i="16"/>
  <c r="AB21" i="13"/>
  <c r="T21" i="13"/>
  <c r="AS21" i="13" s="1"/>
  <c r="AJ18" i="13"/>
  <c r="AK18" i="13" s="1"/>
  <c r="AI17" i="13"/>
  <c r="K28" i="15"/>
  <c r="L28" i="15" s="1"/>
  <c r="J32" i="14"/>
  <c r="I23" i="13"/>
  <c r="AJ29" i="22" l="1"/>
  <c r="BZ29" i="22"/>
  <c r="BU29" i="22"/>
  <c r="BO29" i="22"/>
  <c r="AQ29" i="22"/>
  <c r="AS29" i="22"/>
  <c r="BQ29" i="22"/>
  <c r="BG29" i="22"/>
  <c r="AN29" i="22"/>
  <c r="AL29" i="22"/>
  <c r="AR29" i="22"/>
  <c r="CF29" i="22"/>
  <c r="AM29" i="22"/>
  <c r="AT29" i="22"/>
  <c r="AX29" i="22"/>
  <c r="AK29" i="22"/>
  <c r="BS29" i="22"/>
  <c r="BV29" i="22"/>
  <c r="BJ29" i="22"/>
  <c r="BB29" i="22"/>
  <c r="BA29" i="22"/>
  <c r="AO29" i="22"/>
  <c r="BT29" i="22"/>
  <c r="CD29" i="22"/>
  <c r="BC29" i="22"/>
  <c r="AV29" i="22"/>
  <c r="AH29" i="22"/>
  <c r="BR29" i="22"/>
  <c r="BI29" i="22"/>
  <c r="BF29" i="22"/>
  <c r="BL29" i="22"/>
  <c r="A30" i="22"/>
  <c r="BI30" i="22" s="1"/>
  <c r="BW29" i="22"/>
  <c r="BM29" i="22"/>
  <c r="BY29" i="22"/>
  <c r="BX29" i="22"/>
  <c r="AG29" i="22"/>
  <c r="BN29" i="22"/>
  <c r="BE29" i="22"/>
  <c r="BH29" i="22"/>
  <c r="BK29" i="22"/>
  <c r="CC29" i="22"/>
  <c r="AW29" i="22"/>
  <c r="CB29" i="22"/>
  <c r="AU29" i="22"/>
  <c r="CE29" i="22"/>
  <c r="AZ29" i="22"/>
  <c r="AY29" i="22"/>
  <c r="AI29" i="22"/>
  <c r="AP29" i="22"/>
  <c r="BP29" i="22"/>
  <c r="CA29" i="22"/>
  <c r="AM20" i="13"/>
  <c r="M18" i="15" s="1"/>
  <c r="R18" i="15" s="1"/>
  <c r="V18" i="15" s="1"/>
  <c r="X18" i="15" s="1"/>
  <c r="O15" i="16"/>
  <c r="P15" i="16" s="1"/>
  <c r="O15" i="22"/>
  <c r="P15" i="22" s="1"/>
  <c r="O16" i="16"/>
  <c r="P16" i="16" s="1"/>
  <c r="AM19" i="13"/>
  <c r="AJ19" i="13"/>
  <c r="AK19" i="13" s="1"/>
  <c r="AS22" i="13"/>
  <c r="BK30" i="22"/>
  <c r="O16" i="22"/>
  <c r="P16" i="22" s="1"/>
  <c r="AC21" i="13"/>
  <c r="U21" i="13"/>
  <c r="AT21" i="13" s="1"/>
  <c r="AT22" i="13" s="1"/>
  <c r="AR22" i="13"/>
  <c r="S22" i="13"/>
  <c r="K32" i="14"/>
  <c r="L32" i="14" s="1"/>
  <c r="AJ17" i="13"/>
  <c r="AK17" i="13" s="1"/>
  <c r="AI16" i="13"/>
  <c r="J29" i="15"/>
  <c r="AQ23" i="13"/>
  <c r="G24" i="13"/>
  <c r="H24" i="13" s="1"/>
  <c r="I24" i="13" s="1"/>
  <c r="J23" i="13"/>
  <c r="K23" i="13" s="1"/>
  <c r="L18" i="22" l="1"/>
  <c r="AI30" i="22"/>
  <c r="BZ30" i="22"/>
  <c r="BT30" i="22"/>
  <c r="BU30" i="22"/>
  <c r="AG30" i="22"/>
  <c r="AY30" i="22"/>
  <c r="BE30" i="22"/>
  <c r="AZ30" i="22"/>
  <c r="AQ30" i="22"/>
  <c r="BH30" i="22"/>
  <c r="BV30" i="22"/>
  <c r="AT30" i="22"/>
  <c r="AN30" i="22"/>
  <c r="AJ30" i="22"/>
  <c r="BQ30" i="22"/>
  <c r="AL30" i="22"/>
  <c r="AH30" i="22"/>
  <c r="BS30" i="22"/>
  <c r="BC30" i="22"/>
  <c r="BA30" i="22"/>
  <c r="BJ30" i="22"/>
  <c r="AS30" i="22"/>
  <c r="AO30" i="22"/>
  <c r="AX30" i="22"/>
  <c r="BW30" i="22"/>
  <c r="BY30" i="22"/>
  <c r="AV30" i="22"/>
  <c r="BF30" i="22"/>
  <c r="BB30" i="22"/>
  <c r="AK30" i="22"/>
  <c r="A31" i="22"/>
  <c r="AX31" i="22" s="1"/>
  <c r="AW30" i="22"/>
  <c r="CF30" i="22"/>
  <c r="BG30" i="22"/>
  <c r="AR30" i="22"/>
  <c r="BR30" i="22"/>
  <c r="AM30" i="22"/>
  <c r="AP30" i="22"/>
  <c r="BM30" i="22"/>
  <c r="BP30" i="22"/>
  <c r="BO30" i="22"/>
  <c r="CE30" i="22"/>
  <c r="BX30" i="22"/>
  <c r="AU30" i="22"/>
  <c r="CC30" i="22"/>
  <c r="CA30" i="22"/>
  <c r="BN30" i="22"/>
  <c r="CD30" i="22"/>
  <c r="CB30" i="22"/>
  <c r="BL30" i="22"/>
  <c r="BD30" i="22"/>
  <c r="L18" i="16"/>
  <c r="M19" i="14"/>
  <c r="R19" i="14" s="1"/>
  <c r="V19" i="14" s="1"/>
  <c r="X19" i="14" s="1"/>
  <c r="N18" i="22" s="1"/>
  <c r="L17" i="16"/>
  <c r="M18" i="14"/>
  <c r="R18" i="14" s="1"/>
  <c r="V18" i="14" s="1"/>
  <c r="X18" i="14" s="1"/>
  <c r="L17" i="22"/>
  <c r="M17" i="15"/>
  <c r="R17" i="15" s="1"/>
  <c r="V17" i="15" s="1"/>
  <c r="X17" i="15" s="1"/>
  <c r="T22" i="13"/>
  <c r="AC22" i="13" s="1"/>
  <c r="AB22" i="13"/>
  <c r="M23" i="13"/>
  <c r="P23" i="13" s="1"/>
  <c r="AS23" i="13" s="1"/>
  <c r="L23" i="13"/>
  <c r="O23" i="13" s="1"/>
  <c r="N23" i="13"/>
  <c r="Q23" i="13" s="1"/>
  <c r="AT23" i="13" s="1"/>
  <c r="AD21" i="13"/>
  <c r="V21" i="13"/>
  <c r="AE21" i="13" s="1"/>
  <c r="M18" i="22"/>
  <c r="M18" i="16"/>
  <c r="AJ16" i="13"/>
  <c r="AK16" i="13" s="1"/>
  <c r="AI15" i="13"/>
  <c r="J24" i="13"/>
  <c r="K24" i="13" s="1"/>
  <c r="G25" i="13"/>
  <c r="AQ24" i="13"/>
  <c r="K29" i="15"/>
  <c r="L29" i="15" s="1"/>
  <c r="J33" i="14"/>
  <c r="BZ31" i="22" l="1"/>
  <c r="BI31" i="22"/>
  <c r="AZ31" i="22"/>
  <c r="BR31" i="22"/>
  <c r="BA31" i="22"/>
  <c r="CB31" i="22"/>
  <c r="BO31" i="22"/>
  <c r="AY31" i="22"/>
  <c r="AT31" i="22"/>
  <c r="AN31" i="22"/>
  <c r="AU31" i="22"/>
  <c r="BT31" i="22"/>
  <c r="CC31" i="22"/>
  <c r="BX31" i="22"/>
  <c r="AJ31" i="22"/>
  <c r="AR31" i="22"/>
  <c r="CD31" i="22"/>
  <c r="BS31" i="22"/>
  <c r="BG31" i="22"/>
  <c r="CA31" i="22"/>
  <c r="BD31" i="22"/>
  <c r="BH31" i="22"/>
  <c r="BL31" i="22"/>
  <c r="BC31" i="22"/>
  <c r="BY31" i="22"/>
  <c r="BB31" i="22"/>
  <c r="BU31" i="22"/>
  <c r="AS31" i="22"/>
  <c r="BE31" i="22"/>
  <c r="BJ31" i="22"/>
  <c r="BN31" i="22"/>
  <c r="AG31" i="22"/>
  <c r="AQ31" i="22"/>
  <c r="BV31" i="22"/>
  <c r="BW31" i="22"/>
  <c r="BK31" i="22"/>
  <c r="BP31" i="22"/>
  <c r="AH31" i="22"/>
  <c r="BF31" i="22"/>
  <c r="AI31" i="22"/>
  <c r="AP31" i="22"/>
  <c r="CF31" i="22"/>
  <c r="AO31" i="22"/>
  <c r="CE31" i="22"/>
  <c r="AV31" i="22"/>
  <c r="A32" i="22"/>
  <c r="BU32" i="22" s="1"/>
  <c r="BQ31" i="22"/>
  <c r="AW31" i="22"/>
  <c r="AL31" i="22"/>
  <c r="AK31" i="22"/>
  <c r="BM31" i="22"/>
  <c r="AM31" i="22"/>
  <c r="N18" i="16"/>
  <c r="O18" i="16" s="1"/>
  <c r="P18" i="16" s="1"/>
  <c r="M17" i="22"/>
  <c r="M17" i="16"/>
  <c r="N17" i="16"/>
  <c r="N17" i="22"/>
  <c r="A33" i="22"/>
  <c r="AO32" i="22"/>
  <c r="BO32" i="22"/>
  <c r="BD32" i="22"/>
  <c r="BG32" i="22"/>
  <c r="AT32" i="22"/>
  <c r="BT32" i="22"/>
  <c r="U22" i="13"/>
  <c r="O18" i="22"/>
  <c r="P18" i="22" s="1"/>
  <c r="S23" i="13"/>
  <c r="AR23" i="13"/>
  <c r="AF21" i="13"/>
  <c r="L24" i="13"/>
  <c r="O24" i="13" s="1"/>
  <c r="S24" i="13" s="1"/>
  <c r="N24" i="13"/>
  <c r="Q24" i="13" s="1"/>
  <c r="AT24" i="13" s="1"/>
  <c r="M24" i="13"/>
  <c r="P24" i="13" s="1"/>
  <c r="AS24" i="13" s="1"/>
  <c r="J30" i="15"/>
  <c r="K30" i="15" s="1"/>
  <c r="L30" i="15" s="1"/>
  <c r="H25" i="13"/>
  <c r="K33" i="14"/>
  <c r="L33" i="14" s="1"/>
  <c r="AI14" i="13"/>
  <c r="AJ15" i="13"/>
  <c r="AK15" i="13" s="1"/>
  <c r="AM32" i="22" l="1"/>
  <c r="BF32" i="22"/>
  <c r="CE32" i="22"/>
  <c r="BH32" i="22"/>
  <c r="AH32" i="22"/>
  <c r="BY32" i="22"/>
  <c r="AR32" i="22"/>
  <c r="AQ32" i="22"/>
  <c r="BZ32" i="22"/>
  <c r="BW32" i="22"/>
  <c r="CA32" i="22"/>
  <c r="AV32" i="22"/>
  <c r="AW32" i="22"/>
  <c r="AG32" i="22"/>
  <c r="AN32" i="22"/>
  <c r="BX32" i="22"/>
  <c r="AI32" i="22"/>
  <c r="AS32" i="22"/>
  <c r="BR32" i="22"/>
  <c r="BV32" i="22"/>
  <c r="BM32" i="22"/>
  <c r="AX32" i="22"/>
  <c r="BS32" i="22"/>
  <c r="CC32" i="22"/>
  <c r="AY32" i="22"/>
  <c r="BP32" i="22"/>
  <c r="BL32" i="22"/>
  <c r="AL32" i="22"/>
  <c r="CB32" i="22"/>
  <c r="BK32" i="22"/>
  <c r="AJ32" i="22"/>
  <c r="AP32" i="22"/>
  <c r="AU32" i="22"/>
  <c r="BI32" i="22"/>
  <c r="BC32" i="22"/>
  <c r="BJ32" i="22"/>
  <c r="CF32" i="22"/>
  <c r="BB32" i="22"/>
  <c r="BE32" i="22"/>
  <c r="CD32" i="22"/>
  <c r="AZ32" i="22"/>
  <c r="AK32" i="22"/>
  <c r="BA32" i="22"/>
  <c r="BN32" i="22"/>
  <c r="BQ32" i="22"/>
  <c r="O17" i="16"/>
  <c r="P17" i="16" s="1"/>
  <c r="O17" i="22"/>
  <c r="P17" i="22" s="1"/>
  <c r="AH33" i="22"/>
  <c r="BT33" i="22"/>
  <c r="BN33" i="22"/>
  <c r="BJ33" i="22"/>
  <c r="AT33" i="22"/>
  <c r="AO33" i="22"/>
  <c r="CE33" i="22"/>
  <c r="AZ33" i="22"/>
  <c r="AR33" i="22"/>
  <c r="AN33" i="22"/>
  <c r="BM33" i="22"/>
  <c r="AK33" i="22"/>
  <c r="BC33" i="22"/>
  <c r="BU33" i="22"/>
  <c r="BF33" i="22"/>
  <c r="BA33" i="22"/>
  <c r="BW33" i="22"/>
  <c r="CB33" i="22"/>
  <c r="AX33" i="22"/>
  <c r="AS33" i="22"/>
  <c r="AM33" i="22"/>
  <c r="BY33" i="22"/>
  <c r="BP33" i="22"/>
  <c r="AI33" i="22"/>
  <c r="BG33" i="22"/>
  <c r="BR33" i="22"/>
  <c r="AW33" i="22"/>
  <c r="BL33" i="22"/>
  <c r="AU33" i="22"/>
  <c r="AY33" i="22"/>
  <c r="BQ33" i="22"/>
  <c r="AG33" i="22"/>
  <c r="CC33" i="22"/>
  <c r="BS33" i="22"/>
  <c r="AL33" i="22"/>
  <c r="BB33" i="22"/>
  <c r="AJ33" i="22"/>
  <c r="CA33" i="22"/>
  <c r="BD33" i="22"/>
  <c r="BH33" i="22"/>
  <c r="BK33" i="22"/>
  <c r="AV33" i="22"/>
  <c r="BO33" i="22"/>
  <c r="BZ33" i="22"/>
  <c r="BV33" i="22"/>
  <c r="AP33" i="22"/>
  <c r="BX33" i="22"/>
  <c r="A34" i="22"/>
  <c r="BE33" i="22"/>
  <c r="BI33" i="22"/>
  <c r="AQ33" i="22"/>
  <c r="CD33" i="22"/>
  <c r="CF33" i="22"/>
  <c r="AR24" i="13"/>
  <c r="AD22" i="13"/>
  <c r="V22" i="13"/>
  <c r="AE22" i="13" s="1"/>
  <c r="AM21" i="13"/>
  <c r="AJ21" i="13"/>
  <c r="AK21" i="13" s="1"/>
  <c r="T23" i="13"/>
  <c r="AB23" i="13"/>
  <c r="J31" i="15"/>
  <c r="K31" i="15" s="1"/>
  <c r="L31" i="15" s="1"/>
  <c r="J34" i="14"/>
  <c r="I25" i="13"/>
  <c r="T24" i="13"/>
  <c r="AB24" i="13"/>
  <c r="AI13" i="13"/>
  <c r="AJ14" i="13"/>
  <c r="AK14" i="13" s="1"/>
  <c r="BK34" i="22" l="1"/>
  <c r="BM34" i="22"/>
  <c r="AV34" i="22"/>
  <c r="AU34" i="22"/>
  <c r="CB34" i="22"/>
  <c r="CC34" i="22"/>
  <c r="BN34" i="22"/>
  <c r="AO34" i="22"/>
  <c r="AP34" i="22"/>
  <c r="BS34" i="22"/>
  <c r="BX34" i="22"/>
  <c r="BG34" i="22"/>
  <c r="AJ34" i="22"/>
  <c r="AY34" i="22"/>
  <c r="AM34" i="22"/>
  <c r="BD34" i="22"/>
  <c r="CA34" i="22"/>
  <c r="BW34" i="22"/>
  <c r="AW34" i="22"/>
  <c r="A35" i="22"/>
  <c r="AH34" i="22"/>
  <c r="BY34" i="22"/>
  <c r="AN34" i="22"/>
  <c r="BL34" i="22"/>
  <c r="AL34" i="22"/>
  <c r="BB34" i="22"/>
  <c r="AR34" i="22"/>
  <c r="CD34" i="22"/>
  <c r="AS34" i="22"/>
  <c r="BR34" i="22"/>
  <c r="AK34" i="22"/>
  <c r="CE34" i="22"/>
  <c r="BP34" i="22"/>
  <c r="BC34" i="22"/>
  <c r="AG34" i="22"/>
  <c r="BO34" i="22"/>
  <c r="BV34" i="22"/>
  <c r="BT34" i="22"/>
  <c r="BA34" i="22"/>
  <c r="BH34" i="22"/>
  <c r="AQ34" i="22"/>
  <c r="AI34" i="22"/>
  <c r="BJ34" i="22"/>
  <c r="AX34" i="22"/>
  <c r="AT34" i="22"/>
  <c r="BZ34" i="22"/>
  <c r="BF34" i="22"/>
  <c r="BI34" i="22"/>
  <c r="BU34" i="22"/>
  <c r="CF34" i="22"/>
  <c r="BQ34" i="22"/>
  <c r="AZ34" i="22"/>
  <c r="BE34" i="22"/>
  <c r="AF22" i="13"/>
  <c r="L19" i="22"/>
  <c r="L19" i="16"/>
  <c r="M19" i="15"/>
  <c r="R19" i="15" s="1"/>
  <c r="V19" i="15" s="1"/>
  <c r="X19" i="15" s="1"/>
  <c r="M20" i="14"/>
  <c r="R20" i="14" s="1"/>
  <c r="V20" i="14" s="1"/>
  <c r="X20" i="14" s="1"/>
  <c r="U23" i="13"/>
  <c r="AC23" i="13"/>
  <c r="J32" i="15"/>
  <c r="K32" i="15" s="1"/>
  <c r="L32" i="15" s="1"/>
  <c r="J25" i="13"/>
  <c r="K25" i="13" s="1"/>
  <c r="G26" i="13"/>
  <c r="AQ25" i="13"/>
  <c r="AI12" i="13"/>
  <c r="AJ13" i="13"/>
  <c r="AK13" i="13" s="1"/>
  <c r="AC24" i="13"/>
  <c r="U24" i="13"/>
  <c r="K34" i="14"/>
  <c r="L34" i="14" s="1"/>
  <c r="BH35" i="22" l="1"/>
  <c r="BV35" i="22"/>
  <c r="BW35" i="22"/>
  <c r="BU35" i="22"/>
  <c r="BI35" i="22"/>
  <c r="BC35" i="22"/>
  <c r="BX35" i="22"/>
  <c r="BY35" i="22"/>
  <c r="AH35" i="22"/>
  <c r="BL35" i="22"/>
  <c r="AU35" i="22"/>
  <c r="BN35" i="22"/>
  <c r="AP35" i="22"/>
  <c r="CA35" i="22"/>
  <c r="BK35" i="22"/>
  <c r="BZ35" i="22"/>
  <c r="CE35" i="22"/>
  <c r="AQ35" i="22"/>
  <c r="AX35" i="22"/>
  <c r="BJ35" i="22"/>
  <c r="AM35" i="22"/>
  <c r="CD35" i="22"/>
  <c r="BM35" i="22"/>
  <c r="AS35" i="22"/>
  <c r="AT35" i="22"/>
  <c r="BO35" i="22"/>
  <c r="CB35" i="22"/>
  <c r="AW35" i="22"/>
  <c r="BS35" i="22"/>
  <c r="AJ35" i="22"/>
  <c r="BT35" i="22"/>
  <c r="AY35" i="22"/>
  <c r="A36" i="22"/>
  <c r="AV35" i="22"/>
  <c r="BE35" i="22"/>
  <c r="AG35" i="22"/>
  <c r="AI35" i="22"/>
  <c r="AN35" i="22"/>
  <c r="AL35" i="22"/>
  <c r="BB35" i="22"/>
  <c r="BQ35" i="22"/>
  <c r="BA35" i="22"/>
  <c r="BR35" i="22"/>
  <c r="AR35" i="22"/>
  <c r="AK35" i="22"/>
  <c r="CC35" i="22"/>
  <c r="BG35" i="22"/>
  <c r="BF35" i="22"/>
  <c r="BD35" i="22"/>
  <c r="CF35" i="22"/>
  <c r="BP35" i="22"/>
  <c r="AZ35" i="22"/>
  <c r="AO35" i="22"/>
  <c r="AM22" i="13"/>
  <c r="AJ22" i="13"/>
  <c r="AK22" i="13" s="1"/>
  <c r="N25" i="13"/>
  <c r="Q25" i="13" s="1"/>
  <c r="AT25" i="13" s="1"/>
  <c r="M25" i="13"/>
  <c r="P25" i="13" s="1"/>
  <c r="AS25" i="13" s="1"/>
  <c r="L25" i="13"/>
  <c r="O25" i="13" s="1"/>
  <c r="M19" i="16"/>
  <c r="M19" i="22"/>
  <c r="N19" i="22"/>
  <c r="N19" i="16"/>
  <c r="V23" i="13"/>
  <c r="AE23" i="13" s="1"/>
  <c r="AD23" i="13"/>
  <c r="J33" i="15"/>
  <c r="K33" i="15" s="1"/>
  <c r="L33" i="15" s="1"/>
  <c r="AJ12" i="13"/>
  <c r="AK12" i="13" s="1"/>
  <c r="AI9" i="13"/>
  <c r="J35" i="14"/>
  <c r="AD24" i="13"/>
  <c r="V24" i="13"/>
  <c r="AE24" i="13" s="1"/>
  <c r="H26" i="13"/>
  <c r="CA36" i="22" l="1"/>
  <c r="AL36" i="22"/>
  <c r="BN36" i="22"/>
  <c r="AT36" i="22"/>
  <c r="BJ36" i="22"/>
  <c r="CC36" i="22"/>
  <c r="BM36" i="22"/>
  <c r="AH36" i="22"/>
  <c r="AZ36" i="22"/>
  <c r="CB36" i="22"/>
  <c r="BW36" i="22"/>
  <c r="AS36" i="22"/>
  <c r="BD36" i="22"/>
  <c r="CF36" i="22"/>
  <c r="BO36" i="22"/>
  <c r="BP36" i="22"/>
  <c r="CD36" i="22"/>
  <c r="AG36" i="22"/>
  <c r="BH36" i="22"/>
  <c r="BC36" i="22"/>
  <c r="BA36" i="22"/>
  <c r="BG36" i="22"/>
  <c r="AP36" i="22"/>
  <c r="BI36" i="22"/>
  <c r="CE36" i="22"/>
  <c r="BB36" i="22"/>
  <c r="AI36" i="22"/>
  <c r="BL36" i="22"/>
  <c r="A37" i="22"/>
  <c r="BK36" i="22"/>
  <c r="BV36" i="22"/>
  <c r="BE36" i="22"/>
  <c r="BY36" i="22"/>
  <c r="BS36" i="22"/>
  <c r="BT36" i="22"/>
  <c r="AV36" i="22"/>
  <c r="AN36" i="22"/>
  <c r="AJ36" i="22"/>
  <c r="BF36" i="22"/>
  <c r="AR36" i="22"/>
  <c r="AK36" i="22"/>
  <c r="AW36" i="22"/>
  <c r="AX36" i="22"/>
  <c r="AO36" i="22"/>
  <c r="AY36" i="22"/>
  <c r="AQ36" i="22"/>
  <c r="BX36" i="22"/>
  <c r="BU36" i="22"/>
  <c r="BR36" i="22"/>
  <c r="AM36" i="22"/>
  <c r="AU36" i="22"/>
  <c r="BZ36" i="22"/>
  <c r="BQ36" i="22"/>
  <c r="O19" i="16"/>
  <c r="P19" i="16" s="1"/>
  <c r="M21" i="14"/>
  <c r="R21" i="14" s="1"/>
  <c r="V21" i="14" s="1"/>
  <c r="X21" i="14" s="1"/>
  <c r="M20" i="15"/>
  <c r="R20" i="15" s="1"/>
  <c r="V20" i="15" s="1"/>
  <c r="X20" i="15" s="1"/>
  <c r="L20" i="16"/>
  <c r="L20" i="22"/>
  <c r="O19" i="22"/>
  <c r="P19" i="22" s="1"/>
  <c r="AF23" i="13"/>
  <c r="S25" i="13"/>
  <c r="AR25" i="13"/>
  <c r="AF24" i="13"/>
  <c r="AJ24" i="13" s="1"/>
  <c r="AK24" i="13" s="1"/>
  <c r="K35" i="14"/>
  <c r="L35" i="14" s="1"/>
  <c r="I26" i="13"/>
  <c r="J34" i="15"/>
  <c r="AM24" i="13" l="1"/>
  <c r="L22" i="16" s="1"/>
  <c r="AZ37" i="22"/>
  <c r="CF37" i="22"/>
  <c r="AW37" i="22"/>
  <c r="AT37" i="22"/>
  <c r="BN37" i="22"/>
  <c r="AR37" i="22"/>
  <c r="AX37" i="22"/>
  <c r="AP37" i="22"/>
  <c r="BM37" i="22"/>
  <c r="BU37" i="22"/>
  <c r="CC37" i="22"/>
  <c r="BY37" i="22"/>
  <c r="CD37" i="22"/>
  <c r="BE37" i="22"/>
  <c r="AQ37" i="22"/>
  <c r="BB37" i="22"/>
  <c r="AO37" i="22"/>
  <c r="BI37" i="22"/>
  <c r="AJ37" i="22"/>
  <c r="BF37" i="22"/>
  <c r="AH37" i="22"/>
  <c r="BS37" i="22"/>
  <c r="A38" i="22"/>
  <c r="BH37" i="22"/>
  <c r="BQ37" i="22"/>
  <c r="AY37" i="22"/>
  <c r="BX37" i="22"/>
  <c r="AM37" i="22"/>
  <c r="CA37" i="22"/>
  <c r="CE37" i="22"/>
  <c r="AI37" i="22"/>
  <c r="BT37" i="22"/>
  <c r="AL37" i="22"/>
  <c r="BA37" i="22"/>
  <c r="BG37" i="22"/>
  <c r="AK37" i="22"/>
  <c r="BZ37" i="22"/>
  <c r="BO37" i="22"/>
  <c r="BJ37" i="22"/>
  <c r="BL37" i="22"/>
  <c r="CB37" i="22"/>
  <c r="BD37" i="22"/>
  <c r="AS37" i="22"/>
  <c r="BP37" i="22"/>
  <c r="AV37" i="22"/>
  <c r="AG37" i="22"/>
  <c r="AN37" i="22"/>
  <c r="BV37" i="22"/>
  <c r="BR37" i="22"/>
  <c r="BW37" i="22"/>
  <c r="AU37" i="22"/>
  <c r="BK37" i="22"/>
  <c r="BC37" i="22"/>
  <c r="M20" i="22"/>
  <c r="M20" i="16"/>
  <c r="N20" i="16"/>
  <c r="N20" i="22"/>
  <c r="AB25" i="13"/>
  <c r="T25" i="13"/>
  <c r="AJ23" i="13"/>
  <c r="AK23" i="13" s="1"/>
  <c r="AM23" i="13"/>
  <c r="J36" i="14"/>
  <c r="K36" i="14" s="1"/>
  <c r="L36" i="14" s="1"/>
  <c r="K34" i="15"/>
  <c r="L34" i="15" s="1"/>
  <c r="G27" i="13"/>
  <c r="J26" i="13"/>
  <c r="K26" i="13" s="1"/>
  <c r="AQ26" i="13"/>
  <c r="L22" i="22" l="1"/>
  <c r="M23" i="14"/>
  <c r="R23" i="14" s="1"/>
  <c r="V23" i="14" s="1"/>
  <c r="X23" i="14" s="1"/>
  <c r="N22" i="22" s="1"/>
  <c r="M22" i="15"/>
  <c r="R22" i="15" s="1"/>
  <c r="V22" i="15" s="1"/>
  <c r="X22" i="15" s="1"/>
  <c r="M22" i="22" s="1"/>
  <c r="BS38" i="22"/>
  <c r="CE38" i="22"/>
  <c r="AI38" i="22"/>
  <c r="BQ38" i="22"/>
  <c r="BF38" i="22"/>
  <c r="AK38" i="22"/>
  <c r="BN38" i="22"/>
  <c r="AR38" i="22"/>
  <c r="BO38" i="22"/>
  <c r="AQ38" i="22"/>
  <c r="BL38" i="22"/>
  <c r="BV38" i="22"/>
  <c r="AP38" i="22"/>
  <c r="CD38" i="22"/>
  <c r="BE38" i="22"/>
  <c r="AZ38" i="22"/>
  <c r="AT38" i="22"/>
  <c r="BU38" i="22"/>
  <c r="BW38" i="22"/>
  <c r="CC38" i="22"/>
  <c r="BA38" i="22"/>
  <c r="BB38" i="22"/>
  <c r="BT38" i="22"/>
  <c r="BM38" i="22"/>
  <c r="BC38" i="22"/>
  <c r="BD38" i="22"/>
  <c r="AN38" i="22"/>
  <c r="CF38" i="22"/>
  <c r="A39" i="22"/>
  <c r="CB38" i="22"/>
  <c r="AY38" i="22"/>
  <c r="BP38" i="22"/>
  <c r="BR38" i="22"/>
  <c r="AW38" i="22"/>
  <c r="BI38" i="22"/>
  <c r="BG38" i="22"/>
  <c r="BH38" i="22"/>
  <c r="AL38" i="22"/>
  <c r="BY38" i="22"/>
  <c r="AX38" i="22"/>
  <c r="AU38" i="22"/>
  <c r="BJ38" i="22"/>
  <c r="AG38" i="22"/>
  <c r="AJ38" i="22"/>
  <c r="CA38" i="22"/>
  <c r="BK38" i="22"/>
  <c r="BX38" i="22"/>
  <c r="AM38" i="22"/>
  <c r="AO38" i="22"/>
  <c r="AS38" i="22"/>
  <c r="BZ38" i="22"/>
  <c r="AV38" i="22"/>
  <c r="AH38" i="22"/>
  <c r="O20" i="16"/>
  <c r="P20" i="16" s="1"/>
  <c r="O20" i="22"/>
  <c r="P20" i="22" s="1"/>
  <c r="M22" i="14"/>
  <c r="R22" i="14" s="1"/>
  <c r="V22" i="14" s="1"/>
  <c r="X22" i="14" s="1"/>
  <c r="L21" i="16"/>
  <c r="M21" i="15"/>
  <c r="R21" i="15" s="1"/>
  <c r="V21" i="15" s="1"/>
  <c r="X21" i="15" s="1"/>
  <c r="L21" i="22"/>
  <c r="AC25" i="13"/>
  <c r="U25" i="13"/>
  <c r="AD25" i="13" s="1"/>
  <c r="N26" i="13"/>
  <c r="Q26" i="13" s="1"/>
  <c r="AT26" i="13" s="1"/>
  <c r="L26" i="13"/>
  <c r="O26" i="13" s="1"/>
  <c r="M26" i="13"/>
  <c r="P26" i="13" s="1"/>
  <c r="AS26" i="13" s="1"/>
  <c r="J35" i="15"/>
  <c r="K35" i="15" s="1"/>
  <c r="L35" i="15" s="1"/>
  <c r="H27" i="13"/>
  <c r="J37" i="14"/>
  <c r="N22" i="16" l="1"/>
  <c r="M22" i="16"/>
  <c r="AH39" i="22"/>
  <c r="BP39" i="22"/>
  <c r="AW39" i="22"/>
  <c r="AT39" i="22"/>
  <c r="BU39" i="22"/>
  <c r="BF39" i="22"/>
  <c r="BC39" i="22"/>
  <c r="AV39" i="22"/>
  <c r="CA39" i="22"/>
  <c r="CC39" i="22"/>
  <c r="AL39" i="22"/>
  <c r="BT39" i="22"/>
  <c r="AP39" i="22"/>
  <c r="BN39" i="22"/>
  <c r="BK39" i="22"/>
  <c r="BH39" i="22"/>
  <c r="BQ39" i="22"/>
  <c r="BR39" i="22"/>
  <c r="AX39" i="22"/>
  <c r="BZ39" i="22"/>
  <c r="AN39" i="22"/>
  <c r="A40" i="22"/>
  <c r="BY39" i="22"/>
  <c r="AO39" i="22"/>
  <c r="BI39" i="22"/>
  <c r="BV39" i="22"/>
  <c r="AZ39" i="22"/>
  <c r="BA39" i="22"/>
  <c r="BE39" i="22"/>
  <c r="AQ39" i="22"/>
  <c r="CE39" i="22"/>
  <c r="CD39" i="22"/>
  <c r="AS39" i="22"/>
  <c r="CB39" i="22"/>
  <c r="AR39" i="22"/>
  <c r="AG39" i="22"/>
  <c r="BJ39" i="22"/>
  <c r="AK39" i="22"/>
  <c r="BW39" i="22"/>
  <c r="BS39" i="22"/>
  <c r="BD39" i="22"/>
  <c r="BB39" i="22"/>
  <c r="AU39" i="22"/>
  <c r="BG39" i="22"/>
  <c r="BX39" i="22"/>
  <c r="CF39" i="22"/>
  <c r="AM39" i="22"/>
  <c r="BL39" i="22"/>
  <c r="BM39" i="22"/>
  <c r="BO39" i="22"/>
  <c r="AI39" i="22"/>
  <c r="AY39" i="22"/>
  <c r="AJ39" i="22"/>
  <c r="V25" i="13"/>
  <c r="AE25" i="13" s="1"/>
  <c r="AF25" i="13" s="1"/>
  <c r="S26" i="13"/>
  <c r="AR26" i="13"/>
  <c r="M21" i="22"/>
  <c r="M21" i="16"/>
  <c r="N21" i="22"/>
  <c r="N21" i="16"/>
  <c r="J36" i="15"/>
  <c r="K36" i="15" s="1"/>
  <c r="L36" i="15" s="1"/>
  <c r="O22" i="22"/>
  <c r="P22" i="22" s="1"/>
  <c r="K37" i="14"/>
  <c r="L37" i="14" s="1"/>
  <c r="I27" i="13"/>
  <c r="O22" i="16" l="1"/>
  <c r="P22" i="16" s="1"/>
  <c r="AY40" i="22"/>
  <c r="BS40" i="22"/>
  <c r="BN40" i="22"/>
  <c r="BR40" i="22"/>
  <c r="AM40" i="22"/>
  <c r="BA40" i="22"/>
  <c r="AJ40" i="22"/>
  <c r="BY40" i="22"/>
  <c r="AT40" i="22"/>
  <c r="AR40" i="22"/>
  <c r="AN40" i="22"/>
  <c r="BX40" i="22"/>
  <c r="AI40" i="22"/>
  <c r="AL40" i="22"/>
  <c r="BF40" i="22"/>
  <c r="BC40" i="22"/>
  <c r="BU40" i="22"/>
  <c r="AU40" i="22"/>
  <c r="AP40" i="22"/>
  <c r="BB40" i="22"/>
  <c r="A41" i="22"/>
  <c r="AK40" i="22"/>
  <c r="CB40" i="22"/>
  <c r="BQ40" i="22"/>
  <c r="CC40" i="22"/>
  <c r="BV40" i="22"/>
  <c r="BW40" i="22"/>
  <c r="AW40" i="22"/>
  <c r="BJ40" i="22"/>
  <c r="BP40" i="22"/>
  <c r="AS40" i="22"/>
  <c r="BK40" i="22"/>
  <c r="BH40" i="22"/>
  <c r="BL40" i="22"/>
  <c r="CA40" i="22"/>
  <c r="BO40" i="22"/>
  <c r="CF40" i="22"/>
  <c r="AG40" i="22"/>
  <c r="BT40" i="22"/>
  <c r="BZ40" i="22"/>
  <c r="BG40" i="22"/>
  <c r="BE40" i="22"/>
  <c r="BD40" i="22"/>
  <c r="BI40" i="22"/>
  <c r="CE40" i="22"/>
  <c r="AZ40" i="22"/>
  <c r="AO40" i="22"/>
  <c r="AX40" i="22"/>
  <c r="AH40" i="22"/>
  <c r="AQ40" i="22"/>
  <c r="AV40" i="22"/>
  <c r="BM40" i="22"/>
  <c r="CD40" i="22"/>
  <c r="O21" i="16"/>
  <c r="P21" i="16" s="1"/>
  <c r="O21" i="22"/>
  <c r="P21" i="22" s="1"/>
  <c r="AM25" i="13"/>
  <c r="M23" i="15" s="1"/>
  <c r="R23" i="15" s="1"/>
  <c r="V23" i="15" s="1"/>
  <c r="X23" i="15" s="1"/>
  <c r="AJ25" i="13"/>
  <c r="AK25" i="13" s="1"/>
  <c r="AB26" i="13"/>
  <c r="T26" i="13"/>
  <c r="J37" i="15"/>
  <c r="K37" i="15" s="1"/>
  <c r="L37" i="15" s="1"/>
  <c r="J38" i="14"/>
  <c r="K38" i="14" s="1"/>
  <c r="L38" i="14" s="1"/>
  <c r="G28" i="13"/>
  <c r="AQ27" i="13"/>
  <c r="J27" i="13"/>
  <c r="K27" i="13" s="1"/>
  <c r="BD41" i="22" l="1"/>
  <c r="AN41" i="22"/>
  <c r="AQ41" i="22"/>
  <c r="BM41" i="22"/>
  <c r="BJ41" i="22"/>
  <c r="AR41" i="22"/>
  <c r="CC41" i="22"/>
  <c r="BA41" i="22"/>
  <c r="AS41" i="22"/>
  <c r="BB41" i="22"/>
  <c r="BV41" i="22"/>
  <c r="BL41" i="22"/>
  <c r="BF41" i="22"/>
  <c r="BN41" i="22"/>
  <c r="AV41" i="22"/>
  <c r="BH41" i="22"/>
  <c r="AY41" i="22"/>
  <c r="BQ41" i="22"/>
  <c r="AX41" i="22"/>
  <c r="BE41" i="22"/>
  <c r="BO41" i="22"/>
  <c r="BR41" i="22"/>
  <c r="AM41" i="22"/>
  <c r="CA41" i="22"/>
  <c r="AZ41" i="22"/>
  <c r="BY41" i="22"/>
  <c r="BI41" i="22"/>
  <c r="AT41" i="22"/>
  <c r="BT41" i="22"/>
  <c r="CF41" i="22"/>
  <c r="AP41" i="22"/>
  <c r="BX41" i="22"/>
  <c r="AK41" i="22"/>
  <c r="BU41" i="22"/>
  <c r="AW41" i="22"/>
  <c r="BC41" i="22"/>
  <c r="BK41" i="22"/>
  <c r="AL41" i="22"/>
  <c r="AG41" i="22"/>
  <c r="BS41" i="22"/>
  <c r="CD41" i="22"/>
  <c r="AJ41" i="22"/>
  <c r="BG41" i="22"/>
  <c r="CE41" i="22"/>
  <c r="A42" i="22"/>
  <c r="BZ41" i="22"/>
  <c r="BW41" i="22"/>
  <c r="AI41" i="22"/>
  <c r="AU41" i="22"/>
  <c r="BP41" i="22"/>
  <c r="AH41" i="22"/>
  <c r="AO41" i="22"/>
  <c r="CB41" i="22"/>
  <c r="M24" i="14"/>
  <c r="R24" i="14" s="1"/>
  <c r="V24" i="14" s="1"/>
  <c r="X24" i="14" s="1"/>
  <c r="N23" i="22" s="1"/>
  <c r="L23" i="22"/>
  <c r="L23" i="16"/>
  <c r="M23" i="22"/>
  <c r="M23" i="16"/>
  <c r="N27" i="13"/>
  <c r="Q27" i="13" s="1"/>
  <c r="AT27" i="13" s="1"/>
  <c r="L27" i="13"/>
  <c r="O27" i="13" s="1"/>
  <c r="M27" i="13"/>
  <c r="P27" i="13" s="1"/>
  <c r="AS27" i="13" s="1"/>
  <c r="U26" i="13"/>
  <c r="AD26" i="13" s="1"/>
  <c r="AC26" i="13"/>
  <c r="J39" i="14"/>
  <c r="J38" i="15"/>
  <c r="H28" i="13"/>
  <c r="N23" i="16" l="1"/>
  <c r="O23" i="16" s="1"/>
  <c r="P23" i="16" s="1"/>
  <c r="A43" i="22"/>
  <c r="BE42" i="22"/>
  <c r="BF42" i="22"/>
  <c r="BO42" i="22"/>
  <c r="AL42" i="22"/>
  <c r="AH42" i="22"/>
  <c r="BZ42" i="22"/>
  <c r="AZ42" i="22"/>
  <c r="BC42" i="22"/>
  <c r="BV42" i="22"/>
  <c r="AO42" i="22"/>
  <c r="BA42" i="22"/>
  <c r="BG42" i="22"/>
  <c r="BY42" i="22"/>
  <c r="BU42" i="22"/>
  <c r="BM42" i="22"/>
  <c r="AX42" i="22"/>
  <c r="BB42" i="22"/>
  <c r="AK42" i="22"/>
  <c r="AS42" i="22"/>
  <c r="AP42" i="22"/>
  <c r="BK42" i="22"/>
  <c r="CF42" i="22"/>
  <c r="AJ42" i="22"/>
  <c r="BN42" i="22"/>
  <c r="BH42" i="22"/>
  <c r="BI42" i="22"/>
  <c r="AN42" i="22"/>
  <c r="AU42" i="22"/>
  <c r="BL42" i="22"/>
  <c r="CE42" i="22"/>
  <c r="BW42" i="22"/>
  <c r="AR42" i="22"/>
  <c r="AT42" i="22"/>
  <c r="AQ42" i="22"/>
  <c r="BS42" i="22"/>
  <c r="BT42" i="22"/>
  <c r="CB42" i="22"/>
  <c r="AG42" i="22"/>
  <c r="BP42" i="22"/>
  <c r="AI42" i="22"/>
  <c r="BD42" i="22"/>
  <c r="CC42" i="22"/>
  <c r="CA42" i="22"/>
  <c r="CD42" i="22"/>
  <c r="AY42" i="22"/>
  <c r="BR42" i="22"/>
  <c r="BJ42" i="22"/>
  <c r="AV42" i="22"/>
  <c r="BX42" i="22"/>
  <c r="AW42" i="22"/>
  <c r="AM42" i="22"/>
  <c r="BQ42" i="22"/>
  <c r="O23" i="22"/>
  <c r="P23" i="22" s="1"/>
  <c r="S27" i="13"/>
  <c r="AR27" i="13"/>
  <c r="V26" i="13"/>
  <c r="AE26" i="13" s="1"/>
  <c r="AF26" i="13" s="1"/>
  <c r="K39" i="14"/>
  <c r="L39" i="14" s="1"/>
  <c r="I28" i="13"/>
  <c r="K38" i="15"/>
  <c r="L38" i="15" s="1"/>
  <c r="BL43" i="22" l="1"/>
  <c r="BT43" i="22"/>
  <c r="BQ43" i="22"/>
  <c r="BI43" i="22"/>
  <c r="BX43" i="22"/>
  <c r="BA43" i="22"/>
  <c r="AW43" i="22"/>
  <c r="AR43" i="22"/>
  <c r="CC43" i="22"/>
  <c r="AI43" i="22"/>
  <c r="AX43" i="22"/>
  <c r="CD43" i="22"/>
  <c r="AT43" i="22"/>
  <c r="AM43" i="22"/>
  <c r="AN43" i="22"/>
  <c r="BP43" i="22"/>
  <c r="BH43" i="22"/>
  <c r="BW43" i="22"/>
  <c r="CF43" i="22"/>
  <c r="AZ43" i="22"/>
  <c r="BZ43" i="22"/>
  <c r="AP43" i="22"/>
  <c r="AG43" i="22"/>
  <c r="AU43" i="22"/>
  <c r="CB43" i="22"/>
  <c r="BN43" i="22"/>
  <c r="CE43" i="22"/>
  <c r="AO43" i="22"/>
  <c r="BG43" i="22"/>
  <c r="BJ43" i="22"/>
  <c r="BO43" i="22"/>
  <c r="BM43" i="22"/>
  <c r="BU43" i="22"/>
  <c r="AK43" i="22"/>
  <c r="BE43" i="22"/>
  <c r="CA43" i="22"/>
  <c r="BS43" i="22"/>
  <c r="A44" i="22"/>
  <c r="BD43" i="22"/>
  <c r="AH43" i="22"/>
  <c r="BR43" i="22"/>
  <c r="AQ43" i="22"/>
  <c r="BB43" i="22"/>
  <c r="BK43" i="22"/>
  <c r="BF43" i="22"/>
  <c r="AL43" i="22"/>
  <c r="BY43" i="22"/>
  <c r="AV43" i="22"/>
  <c r="AS43" i="22"/>
  <c r="AJ43" i="22"/>
  <c r="BC43" i="22"/>
  <c r="BV43" i="22"/>
  <c r="AY43" i="22"/>
  <c r="AB27" i="13"/>
  <c r="T27" i="13"/>
  <c r="AM26" i="13"/>
  <c r="AJ26" i="13"/>
  <c r="AK26" i="13" s="1"/>
  <c r="J28" i="13"/>
  <c r="K28" i="13" s="1"/>
  <c r="AQ28" i="13"/>
  <c r="G29" i="13"/>
  <c r="J40" i="14"/>
  <c r="J39" i="15"/>
  <c r="BU44" i="22" l="1"/>
  <c r="BE44" i="22"/>
  <c r="AX44" i="22"/>
  <c r="A45" i="22"/>
  <c r="BL44" i="22"/>
  <c r="AY44" i="22"/>
  <c r="AH44" i="22"/>
  <c r="BJ44" i="22"/>
  <c r="CE44" i="22"/>
  <c r="AR44" i="22"/>
  <c r="CB44" i="22"/>
  <c r="BX44" i="22"/>
  <c r="BV44" i="22"/>
  <c r="AS44" i="22"/>
  <c r="BG44" i="22"/>
  <c r="CF44" i="22"/>
  <c r="CD44" i="22"/>
  <c r="BH44" i="22"/>
  <c r="BC44" i="22"/>
  <c r="AT44" i="22"/>
  <c r="BB44" i="22"/>
  <c r="BW44" i="22"/>
  <c r="BZ44" i="22"/>
  <c r="BQ44" i="22"/>
  <c r="AZ44" i="22"/>
  <c r="AW44" i="22"/>
  <c r="CA44" i="22"/>
  <c r="BR44" i="22"/>
  <c r="AO44" i="22"/>
  <c r="AQ44" i="22"/>
  <c r="AP44" i="22"/>
  <c r="BF44" i="22"/>
  <c r="AN44" i="22"/>
  <c r="BS44" i="22"/>
  <c r="AL44" i="22"/>
  <c r="BK44" i="22"/>
  <c r="AK44" i="22"/>
  <c r="BA44" i="22"/>
  <c r="BT44" i="22"/>
  <c r="AV44" i="22"/>
  <c r="AM44" i="22"/>
  <c r="CC44" i="22"/>
  <c r="BY44" i="22"/>
  <c r="AG44" i="22"/>
  <c r="BM44" i="22"/>
  <c r="AU44" i="22"/>
  <c r="BO44" i="22"/>
  <c r="BD44" i="22"/>
  <c r="BP44" i="22"/>
  <c r="AI44" i="22"/>
  <c r="AJ44" i="22"/>
  <c r="BN44" i="22"/>
  <c r="BI44" i="22"/>
  <c r="L24" i="22"/>
  <c r="M25" i="14"/>
  <c r="R25" i="14" s="1"/>
  <c r="V25" i="14" s="1"/>
  <c r="X25" i="14" s="1"/>
  <c r="L24" i="16"/>
  <c r="M24" i="15"/>
  <c r="R24" i="15" s="1"/>
  <c r="V24" i="15" s="1"/>
  <c r="X24" i="15" s="1"/>
  <c r="AC27" i="13"/>
  <c r="U27" i="13"/>
  <c r="L28" i="13"/>
  <c r="O28" i="13" s="1"/>
  <c r="N28" i="13"/>
  <c r="Q28" i="13" s="1"/>
  <c r="AT28" i="13" s="1"/>
  <c r="M28" i="13"/>
  <c r="P28" i="13" s="1"/>
  <c r="AS28" i="13" s="1"/>
  <c r="K39" i="15"/>
  <c r="L39" i="15" s="1"/>
  <c r="K40" i="14"/>
  <c r="L40" i="14" s="1"/>
  <c r="H29" i="13"/>
  <c r="BS45" i="22" l="1"/>
  <c r="AI45" i="22"/>
  <c r="AN45" i="22"/>
  <c r="AQ45" i="22"/>
  <c r="AG45" i="22"/>
  <c r="BC45" i="22"/>
  <c r="AH45" i="22"/>
  <c r="AU45" i="22"/>
  <c r="AZ45" i="22"/>
  <c r="BB45" i="22"/>
  <c r="AW45" i="22"/>
  <c r="AP45" i="22"/>
  <c r="AV45" i="22"/>
  <c r="BR45" i="22"/>
  <c r="BT45" i="22"/>
  <c r="AR45" i="22"/>
  <c r="BL45" i="22"/>
  <c r="CD45" i="22"/>
  <c r="BG45" i="22"/>
  <c r="BV45" i="22"/>
  <c r="AS45" i="22"/>
  <c r="BM45" i="22"/>
  <c r="BJ45" i="22"/>
  <c r="CB45" i="22"/>
  <c r="AL45" i="22"/>
  <c r="A46" i="22"/>
  <c r="CF45" i="22"/>
  <c r="AO45" i="22"/>
  <c r="BD45" i="22"/>
  <c r="CC45" i="22"/>
  <c r="BK45" i="22"/>
  <c r="AX45" i="22"/>
  <c r="AK45" i="22"/>
  <c r="BH45" i="22"/>
  <c r="AM45" i="22"/>
  <c r="BE45" i="22"/>
  <c r="AJ45" i="22"/>
  <c r="BY45" i="22"/>
  <c r="BN45" i="22"/>
  <c r="BF45" i="22"/>
  <c r="BQ45" i="22"/>
  <c r="CE45" i="22"/>
  <c r="CA45" i="22"/>
  <c r="BI45" i="22"/>
  <c r="AT45" i="22"/>
  <c r="BU45" i="22"/>
  <c r="BO45" i="22"/>
  <c r="BP45" i="22"/>
  <c r="BW45" i="22"/>
  <c r="AY45" i="22"/>
  <c r="BZ45" i="22"/>
  <c r="BA45" i="22"/>
  <c r="BX45" i="22"/>
  <c r="M24" i="22"/>
  <c r="M24" i="16"/>
  <c r="S28" i="13"/>
  <c r="AR28" i="13"/>
  <c r="AD27" i="13"/>
  <c r="V27" i="13"/>
  <c r="AE27" i="13" s="1"/>
  <c r="N24" i="16"/>
  <c r="N24" i="22"/>
  <c r="J41" i="14"/>
  <c r="K41" i="14" s="1"/>
  <c r="L41" i="14" s="1"/>
  <c r="I29" i="13"/>
  <c r="J40" i="15"/>
  <c r="AU46" i="22" l="1"/>
  <c r="AG46" i="22"/>
  <c r="BZ46" i="22"/>
  <c r="AN46" i="22"/>
  <c r="BR46" i="22"/>
  <c r="CD46" i="22"/>
  <c r="BU46" i="22"/>
  <c r="BQ46" i="22"/>
  <c r="CA46" i="22"/>
  <c r="AH46" i="22"/>
  <c r="AS46" i="22"/>
  <c r="BG46" i="22"/>
  <c r="BH46" i="22"/>
  <c r="BP46" i="22"/>
  <c r="BJ46" i="22"/>
  <c r="AV46" i="22"/>
  <c r="A47" i="22"/>
  <c r="BE46" i="22"/>
  <c r="AR46" i="22"/>
  <c r="CB46" i="22"/>
  <c r="AM46" i="22"/>
  <c r="BW46" i="22"/>
  <c r="CF46" i="22"/>
  <c r="BK46" i="22"/>
  <c r="BC46" i="22"/>
  <c r="BL46" i="22"/>
  <c r="BV46" i="22"/>
  <c r="BO46" i="22"/>
  <c r="AI46" i="22"/>
  <c r="AX46" i="22"/>
  <c r="AZ46" i="22"/>
  <c r="CC46" i="22"/>
  <c r="BX46" i="22"/>
  <c r="BY46" i="22"/>
  <c r="AL46" i="22"/>
  <c r="BI46" i="22"/>
  <c r="AO46" i="22"/>
  <c r="CE46" i="22"/>
  <c r="AY46" i="22"/>
  <c r="BF46" i="22"/>
  <c r="AW46" i="22"/>
  <c r="BB46" i="22"/>
  <c r="BA46" i="22"/>
  <c r="AP46" i="22"/>
  <c r="AT46" i="22"/>
  <c r="BM46" i="22"/>
  <c r="AQ46" i="22"/>
  <c r="BD46" i="22"/>
  <c r="AK46" i="22"/>
  <c r="BN46" i="22"/>
  <c r="BS46" i="22"/>
  <c r="BT46" i="22"/>
  <c r="AJ46" i="22"/>
  <c r="AF27" i="13"/>
  <c r="AM27" i="13" s="1"/>
  <c r="O24" i="16"/>
  <c r="P24" i="16" s="1"/>
  <c r="T28" i="13"/>
  <c r="AC28" i="13" s="1"/>
  <c r="AB28" i="13"/>
  <c r="O24" i="22"/>
  <c r="P24" i="22" s="1"/>
  <c r="J42" i="14"/>
  <c r="K42" i="14" s="1"/>
  <c r="L42" i="14" s="1"/>
  <c r="K40" i="15"/>
  <c r="L40" i="15" s="1"/>
  <c r="G30" i="13"/>
  <c r="H30" i="13" s="1"/>
  <c r="AQ29" i="13"/>
  <c r="J29" i="13"/>
  <c r="K29" i="13" s="1"/>
  <c r="AJ27" i="13" l="1"/>
  <c r="AK27" i="13" s="1"/>
  <c r="BA47" i="22"/>
  <c r="BS47" i="22"/>
  <c r="BU47" i="22"/>
  <c r="AO47" i="22"/>
  <c r="A48" i="22"/>
  <c r="AW47" i="22"/>
  <c r="BC47" i="22"/>
  <c r="BW47" i="22"/>
  <c r="AQ47" i="22"/>
  <c r="BN47" i="22"/>
  <c r="AV47" i="22"/>
  <c r="AT47" i="22"/>
  <c r="AP47" i="22"/>
  <c r="BJ47" i="22"/>
  <c r="BT47" i="22"/>
  <c r="AR47" i="22"/>
  <c r="BM47" i="22"/>
  <c r="CC47" i="22"/>
  <c r="BK47" i="22"/>
  <c r="BQ47" i="22"/>
  <c r="BX47" i="22"/>
  <c r="AL47" i="22"/>
  <c r="AN47" i="22"/>
  <c r="BH47" i="22"/>
  <c r="AU47" i="22"/>
  <c r="BB47" i="22"/>
  <c r="BL47" i="22"/>
  <c r="BD47" i="22"/>
  <c r="AY47" i="22"/>
  <c r="AZ47" i="22"/>
  <c r="BE47" i="22"/>
  <c r="CF47" i="22"/>
  <c r="AG47" i="22"/>
  <c r="BZ47" i="22"/>
  <c r="BG47" i="22"/>
  <c r="AS47" i="22"/>
  <c r="CD47" i="22"/>
  <c r="AH47" i="22"/>
  <c r="BI47" i="22"/>
  <c r="AM47" i="22"/>
  <c r="CE47" i="22"/>
  <c r="CB47" i="22"/>
  <c r="AI47" i="22"/>
  <c r="AX47" i="22"/>
  <c r="BY47" i="22"/>
  <c r="BP47" i="22"/>
  <c r="AJ47" i="22"/>
  <c r="CA47" i="22"/>
  <c r="BF47" i="22"/>
  <c r="BR47" i="22"/>
  <c r="BO47" i="22"/>
  <c r="BV47" i="22"/>
  <c r="AK47" i="22"/>
  <c r="L25" i="16"/>
  <c r="M26" i="14"/>
  <c r="R26" i="14" s="1"/>
  <c r="V26" i="14" s="1"/>
  <c r="X26" i="14" s="1"/>
  <c r="L25" i="22"/>
  <c r="M25" i="15"/>
  <c r="R25" i="15" s="1"/>
  <c r="V25" i="15" s="1"/>
  <c r="X25" i="15" s="1"/>
  <c r="U28" i="13"/>
  <c r="N29" i="13"/>
  <c r="Q29" i="13" s="1"/>
  <c r="AT29" i="13" s="1"/>
  <c r="L29" i="13"/>
  <c r="O29" i="13" s="1"/>
  <c r="M29" i="13"/>
  <c r="P29" i="13" s="1"/>
  <c r="AS29" i="13" s="1"/>
  <c r="J41" i="15"/>
  <c r="K41" i="15" s="1"/>
  <c r="L41" i="15" s="1"/>
  <c r="J43" i="14"/>
  <c r="I30" i="13"/>
  <c r="BO48" i="22" l="1"/>
  <c r="BB48" i="22"/>
  <c r="AH48" i="22"/>
  <c r="BP48" i="22"/>
  <c r="BM48" i="22"/>
  <c r="BC48" i="22"/>
  <c r="BT48" i="22"/>
  <c r="BS48" i="22"/>
  <c r="BF48" i="22"/>
  <c r="AQ48" i="22"/>
  <c r="AR48" i="22"/>
  <c r="AL48" i="22"/>
  <c r="CC48" i="22"/>
  <c r="AK48" i="22"/>
  <c r="AS48" i="22"/>
  <c r="CA48" i="22"/>
  <c r="AI48" i="22"/>
  <c r="AZ48" i="22"/>
  <c r="BE48" i="22"/>
  <c r="AM48" i="22"/>
  <c r="BA48" i="22"/>
  <c r="BI48" i="22"/>
  <c r="AJ48" i="22"/>
  <c r="AU48" i="22"/>
  <c r="AY48" i="22"/>
  <c r="BL48" i="22"/>
  <c r="BJ48" i="22"/>
  <c r="CE48" i="22"/>
  <c r="AV48" i="22"/>
  <c r="BH48" i="22"/>
  <c r="BK48" i="22"/>
  <c r="AW48" i="22"/>
  <c r="A49" i="22"/>
  <c r="CD48" i="22"/>
  <c r="BZ48" i="22"/>
  <c r="BU48" i="22"/>
  <c r="BW48" i="22"/>
  <c r="BG48" i="22"/>
  <c r="AX48" i="22"/>
  <c r="BQ48" i="22"/>
  <c r="AG48" i="22"/>
  <c r="BN48" i="22"/>
  <c r="CF48" i="22"/>
  <c r="BY48" i="22"/>
  <c r="BD48" i="22"/>
  <c r="BR48" i="22"/>
  <c r="AN48" i="22"/>
  <c r="BX48" i="22"/>
  <c r="CB48" i="22"/>
  <c r="AO48" i="22"/>
  <c r="AT48" i="22"/>
  <c r="BV48" i="22"/>
  <c r="AP48" i="22"/>
  <c r="N25" i="16"/>
  <c r="N25" i="22"/>
  <c r="AD28" i="13"/>
  <c r="V28" i="13"/>
  <c r="AE28" i="13" s="1"/>
  <c r="AR29" i="13"/>
  <c r="S29" i="13"/>
  <c r="M25" i="16"/>
  <c r="M25" i="22"/>
  <c r="K43" i="14"/>
  <c r="L43" i="14" s="1"/>
  <c r="J42" i="15"/>
  <c r="G31" i="13"/>
  <c r="H31" i="13" s="1"/>
  <c r="AQ30" i="13"/>
  <c r="J30" i="13"/>
  <c r="K30" i="13" s="1"/>
  <c r="O25" i="16" l="1"/>
  <c r="P25" i="16" s="1"/>
  <c r="BB49" i="22"/>
  <c r="CD49" i="22"/>
  <c r="BR49" i="22"/>
  <c r="BZ49" i="22"/>
  <c r="AG49" i="22"/>
  <c r="F8" i="22" s="1"/>
  <c r="AN49" i="22"/>
  <c r="BC49" i="22"/>
  <c r="BY49" i="22"/>
  <c r="BG49" i="22"/>
  <c r="AT49" i="22"/>
  <c r="AQ49" i="22"/>
  <c r="BA49" i="22"/>
  <c r="AR49" i="22"/>
  <c r="AS49" i="22"/>
  <c r="BL49" i="22"/>
  <c r="AU49" i="22"/>
  <c r="BH49" i="22"/>
  <c r="CF49" i="22"/>
  <c r="BJ49" i="22"/>
  <c r="CC49" i="22"/>
  <c r="BQ49" i="22"/>
  <c r="BP49" i="22"/>
  <c r="BV49" i="22"/>
  <c r="AV49" i="22"/>
  <c r="AL49" i="22"/>
  <c r="AK49" i="22"/>
  <c r="AH49" i="22"/>
  <c r="AJ49" i="22"/>
  <c r="AI49" i="22"/>
  <c r="BE49" i="22"/>
  <c r="BM49" i="22"/>
  <c r="BX49" i="22"/>
  <c r="BO49" i="22"/>
  <c r="CA49" i="22"/>
  <c r="BS49" i="22"/>
  <c r="AY49" i="22"/>
  <c r="BT49" i="22"/>
  <c r="BW49" i="22"/>
  <c r="CB49" i="22"/>
  <c r="BD49" i="22"/>
  <c r="AP49" i="22"/>
  <c r="BI49" i="22"/>
  <c r="BN49" i="22"/>
  <c r="CE49" i="22"/>
  <c r="AM49" i="22"/>
  <c r="BU49" i="22"/>
  <c r="AW49" i="22"/>
  <c r="AX49" i="22"/>
  <c r="BF49" i="22"/>
  <c r="AZ49" i="22"/>
  <c r="AO49" i="22"/>
  <c r="BK49" i="22"/>
  <c r="G8" i="22"/>
  <c r="O25" i="22"/>
  <c r="P25" i="22" s="1"/>
  <c r="AF28" i="13"/>
  <c r="AB29" i="13"/>
  <c r="T29" i="13"/>
  <c r="L30" i="13"/>
  <c r="O30" i="13" s="1"/>
  <c r="N30" i="13"/>
  <c r="Q30" i="13" s="1"/>
  <c r="AT30" i="13" s="1"/>
  <c r="M30" i="13"/>
  <c r="P30" i="13" s="1"/>
  <c r="AS30" i="13" s="1"/>
  <c r="K42" i="15"/>
  <c r="L42" i="15" s="1"/>
  <c r="J44" i="14"/>
  <c r="I31" i="13"/>
  <c r="I8" i="22" l="1"/>
  <c r="B8" i="22"/>
  <c r="H8" i="22"/>
  <c r="AC8" i="22"/>
  <c r="AD8" i="22"/>
  <c r="K8" i="22"/>
  <c r="AO3" i="22" a="1"/>
  <c r="J8" i="22"/>
  <c r="E8" i="22"/>
  <c r="C8" i="22"/>
  <c r="S30" i="13"/>
  <c r="AR30" i="13"/>
  <c r="AC29" i="13"/>
  <c r="U29" i="13"/>
  <c r="AJ28" i="13"/>
  <c r="AK28" i="13" s="1"/>
  <c r="AM28" i="13"/>
  <c r="J43" i="15"/>
  <c r="K43" i="15" s="1"/>
  <c r="K44" i="14"/>
  <c r="L44" i="14" s="1"/>
  <c r="J31" i="13"/>
  <c r="K31" i="13" s="1"/>
  <c r="G32" i="13"/>
  <c r="H32" i="13" s="1"/>
  <c r="I32" i="13" s="1"/>
  <c r="AQ31" i="13"/>
  <c r="AZ3" i="22" l="1"/>
  <c r="BA3" i="22"/>
  <c r="BO3" i="22"/>
  <c r="BS3" i="22"/>
  <c r="BY3" i="22"/>
  <c r="BV3" i="22"/>
  <c r="BU3" i="22"/>
  <c r="BQ3" i="22"/>
  <c r="AS3" i="22"/>
  <c r="AX3" i="22"/>
  <c r="BM3" i="22"/>
  <c r="AU3" i="22"/>
  <c r="BI3" i="22"/>
  <c r="BR3" i="22"/>
  <c r="BL3" i="22"/>
  <c r="BJ3" i="22"/>
  <c r="BG3" i="22"/>
  <c r="AW3" i="22"/>
  <c r="BT3" i="22"/>
  <c r="BP3" i="22"/>
  <c r="AO3" i="22"/>
  <c r="AT3" i="22"/>
  <c r="BF3" i="22"/>
  <c r="AQ3" i="22"/>
  <c r="CB3" i="22"/>
  <c r="BZ3" i="22"/>
  <c r="BB3" i="22"/>
  <c r="BD3" i="22"/>
  <c r="BE3" i="22"/>
  <c r="AV3" i="22"/>
  <c r="CA3" i="22"/>
  <c r="BC3" i="22"/>
  <c r="AY3" i="22"/>
  <c r="BH3" i="22"/>
  <c r="BN3" i="22"/>
  <c r="BX3" i="22"/>
  <c r="BW3" i="22"/>
  <c r="BK3" i="22"/>
  <c r="AP3" i="22"/>
  <c r="AR3" i="22"/>
  <c r="L43" i="15"/>
  <c r="J44" i="15"/>
  <c r="K44" i="15" s="1"/>
  <c r="L44" i="15" s="1"/>
  <c r="AD29" i="13"/>
  <c r="V29" i="13"/>
  <c r="AE29" i="13" s="1"/>
  <c r="M26" i="15"/>
  <c r="R26" i="15" s="1"/>
  <c r="V26" i="15" s="1"/>
  <c r="X26" i="15" s="1"/>
  <c r="M27" i="14"/>
  <c r="R27" i="14" s="1"/>
  <c r="V27" i="14" s="1"/>
  <c r="X27" i="14" s="1"/>
  <c r="L26" i="22"/>
  <c r="L26" i="16"/>
  <c r="L31" i="13"/>
  <c r="O31" i="13" s="1"/>
  <c r="N31" i="13"/>
  <c r="Q31" i="13" s="1"/>
  <c r="AT31" i="13" s="1"/>
  <c r="M31" i="13"/>
  <c r="P31" i="13" s="1"/>
  <c r="AS31" i="13" s="1"/>
  <c r="T30" i="13"/>
  <c r="AB30" i="13"/>
  <c r="AQ32" i="13"/>
  <c r="G33" i="13"/>
  <c r="H33" i="13" s="1"/>
  <c r="I33" i="13" s="1"/>
  <c r="J32" i="13"/>
  <c r="K32" i="13" s="1"/>
  <c r="J45" i="14"/>
  <c r="K10" i="5" l="1"/>
  <c r="H19" i="2" s="1"/>
  <c r="K11" i="5"/>
  <c r="H20" i="2" s="1"/>
  <c r="I74" i="2" s="1"/>
  <c r="H7" i="5"/>
  <c r="K15" i="5"/>
  <c r="H24" i="2" s="1"/>
  <c r="H13" i="5"/>
  <c r="K12" i="5"/>
  <c r="H21" i="2" s="1"/>
  <c r="H11" i="5"/>
  <c r="K6" i="2" s="1"/>
  <c r="K7" i="5"/>
  <c r="K14" i="5"/>
  <c r="H23" i="2" s="1"/>
  <c r="K13" i="5"/>
  <c r="H22" i="2" s="1"/>
  <c r="H12" i="5"/>
  <c r="N6" i="2" s="1"/>
  <c r="K9" i="5"/>
  <c r="H18" i="2" s="1"/>
  <c r="H19" i="5"/>
  <c r="K6" i="5"/>
  <c r="H15" i="2" s="1"/>
  <c r="E74" i="2" s="1"/>
  <c r="H15" i="5"/>
  <c r="H9" i="5"/>
  <c r="E6" i="2" s="1"/>
  <c r="H10" i="5"/>
  <c r="H6" i="2" s="1"/>
  <c r="K19" i="5"/>
  <c r="H28" i="2" s="1"/>
  <c r="H14" i="5"/>
  <c r="H6" i="5"/>
  <c r="N32" i="13"/>
  <c r="Q32" i="13" s="1"/>
  <c r="AT32" i="13" s="1"/>
  <c r="M32" i="13"/>
  <c r="P32" i="13" s="1"/>
  <c r="AS32" i="13" s="1"/>
  <c r="L32" i="13"/>
  <c r="O32" i="13" s="1"/>
  <c r="S32" i="13" s="1"/>
  <c r="AR31" i="13"/>
  <c r="S31" i="13"/>
  <c r="M26" i="16"/>
  <c r="M26" i="22"/>
  <c r="AC30" i="13"/>
  <c r="U30" i="13"/>
  <c r="N26" i="16"/>
  <c r="N26" i="22"/>
  <c r="AF29" i="13"/>
  <c r="K45" i="14"/>
  <c r="L45" i="14" s="1"/>
  <c r="AQ33" i="13"/>
  <c r="J33" i="13"/>
  <c r="K33" i="13" s="1"/>
  <c r="G34" i="13"/>
  <c r="H34" i="13" s="1"/>
  <c r="I34" i="13" s="1"/>
  <c r="J45" i="15"/>
  <c r="O26" i="16" l="1"/>
  <c r="P26" i="16" s="1"/>
  <c r="Q6" i="2"/>
  <c r="J74" i="2"/>
  <c r="Q74" i="2"/>
  <c r="M74" i="2"/>
  <c r="L74" i="2"/>
  <c r="H74" i="2"/>
  <c r="K74" i="2"/>
  <c r="G74" i="2"/>
  <c r="H16" i="2"/>
  <c r="K8" i="5"/>
  <c r="H8" i="5"/>
  <c r="E78" i="2"/>
  <c r="E75" i="2"/>
  <c r="O26" i="22"/>
  <c r="P26" i="22" s="1"/>
  <c r="AR32" i="13"/>
  <c r="L33" i="13"/>
  <c r="O33" i="13" s="1"/>
  <c r="S33" i="13" s="1"/>
  <c r="M33" i="13"/>
  <c r="P33" i="13" s="1"/>
  <c r="AS33" i="13" s="1"/>
  <c r="N33" i="13"/>
  <c r="Q33" i="13" s="1"/>
  <c r="AT33" i="13" s="1"/>
  <c r="AM29" i="13"/>
  <c r="AJ29" i="13"/>
  <c r="AK29" i="13" s="1"/>
  <c r="AD30" i="13"/>
  <c r="V30" i="13"/>
  <c r="AE30" i="13" s="1"/>
  <c r="T31" i="13"/>
  <c r="AB31" i="13"/>
  <c r="K45" i="15"/>
  <c r="L45" i="15" s="1"/>
  <c r="T32" i="13"/>
  <c r="AB32" i="13"/>
  <c r="J46" i="14"/>
  <c r="AQ34" i="13"/>
  <c r="J34" i="13"/>
  <c r="K34" i="13" s="1"/>
  <c r="G35" i="13"/>
  <c r="H35" i="13" s="1"/>
  <c r="E77" i="2" l="1"/>
  <c r="F74" i="2"/>
  <c r="F78" i="2" s="1"/>
  <c r="H17" i="2"/>
  <c r="AR33" i="13"/>
  <c r="T33" i="13"/>
  <c r="AC33" i="13" s="1"/>
  <c r="AF30" i="13"/>
  <c r="AM30" i="13" s="1"/>
  <c r="AC31" i="13"/>
  <c r="U31" i="13"/>
  <c r="AD31" i="13" s="1"/>
  <c r="L27" i="22"/>
  <c r="L27" i="16"/>
  <c r="M28" i="14"/>
  <c r="R28" i="14" s="1"/>
  <c r="V28" i="14" s="1"/>
  <c r="X28" i="14" s="1"/>
  <c r="M27" i="15"/>
  <c r="R27" i="15" s="1"/>
  <c r="V27" i="15" s="1"/>
  <c r="X27" i="15" s="1"/>
  <c r="M34" i="13"/>
  <c r="P34" i="13" s="1"/>
  <c r="AS34" i="13" s="1"/>
  <c r="N34" i="13"/>
  <c r="Q34" i="13" s="1"/>
  <c r="AT34" i="13" s="1"/>
  <c r="L34" i="13"/>
  <c r="O34" i="13" s="1"/>
  <c r="S34" i="13" s="1"/>
  <c r="J46" i="15"/>
  <c r="AC32" i="13"/>
  <c r="U32" i="13"/>
  <c r="AD32" i="13" s="1"/>
  <c r="K46" i="14"/>
  <c r="L46" i="14" s="1"/>
  <c r="I35" i="13"/>
  <c r="AB33" i="13"/>
  <c r="U33" i="13" l="1"/>
  <c r="AD33" i="13" s="1"/>
  <c r="AR34" i="13"/>
  <c r="F75" i="2"/>
  <c r="AJ30" i="13"/>
  <c r="AK30" i="13" s="1"/>
  <c r="T34" i="13"/>
  <c r="AC34" i="13" s="1"/>
  <c r="M29" i="14"/>
  <c r="R29" i="14" s="1"/>
  <c r="V29" i="14" s="1"/>
  <c r="X29" i="14" s="1"/>
  <c r="L28" i="22"/>
  <c r="L28" i="16"/>
  <c r="M28" i="15"/>
  <c r="R28" i="15" s="1"/>
  <c r="V28" i="15" s="1"/>
  <c r="X28" i="15" s="1"/>
  <c r="N27" i="16"/>
  <c r="N27" i="22"/>
  <c r="V31" i="13"/>
  <c r="AE31" i="13" s="1"/>
  <c r="AF31" i="13" s="1"/>
  <c r="M27" i="16"/>
  <c r="M27" i="22"/>
  <c r="J47" i="14"/>
  <c r="K46" i="15"/>
  <c r="L46" i="15" s="1"/>
  <c r="J35" i="13"/>
  <c r="K35" i="13" s="1"/>
  <c r="G36" i="13"/>
  <c r="H36" i="13" s="1"/>
  <c r="I36" i="13" s="1"/>
  <c r="AQ35" i="13"/>
  <c r="AB34" i="13"/>
  <c r="V32" i="13"/>
  <c r="AE32" i="13" s="1"/>
  <c r="AF32" i="13" s="1"/>
  <c r="V33" i="13" l="1"/>
  <c r="AE33" i="13" s="1"/>
  <c r="AF33" i="13" s="1"/>
  <c r="AM33" i="13" s="1"/>
  <c r="U34" i="13"/>
  <c r="AD34" i="13" s="1"/>
  <c r="G75" i="2"/>
  <c r="F77" i="2"/>
  <c r="M28" i="22"/>
  <c r="M28" i="16"/>
  <c r="AM31" i="13"/>
  <c r="AJ31" i="13"/>
  <c r="AK31" i="13" s="1"/>
  <c r="O27" i="22"/>
  <c r="P27" i="22" s="1"/>
  <c r="L35" i="13"/>
  <c r="O35" i="13" s="1"/>
  <c r="M35" i="13"/>
  <c r="P35" i="13" s="1"/>
  <c r="AS35" i="13" s="1"/>
  <c r="N35" i="13"/>
  <c r="Q35" i="13" s="1"/>
  <c r="AT35" i="13" s="1"/>
  <c r="O27" i="16"/>
  <c r="P27" i="16" s="1"/>
  <c r="N28" i="22"/>
  <c r="N28" i="16"/>
  <c r="J47" i="15"/>
  <c r="K47" i="15" s="1"/>
  <c r="L47" i="15" s="1"/>
  <c r="AM32" i="13"/>
  <c r="AJ32" i="13"/>
  <c r="AK32" i="13" s="1"/>
  <c r="K47" i="14"/>
  <c r="L47" i="14" s="1"/>
  <c r="AQ36" i="13"/>
  <c r="J36" i="13"/>
  <c r="K36" i="13" s="1"/>
  <c r="G37" i="13"/>
  <c r="H37" i="13" s="1"/>
  <c r="AJ33" i="13" l="1"/>
  <c r="AK33" i="13" s="1"/>
  <c r="V34" i="13"/>
  <c r="AE34" i="13" s="1"/>
  <c r="AF34" i="13" s="1"/>
  <c r="AJ34" i="13" s="1"/>
  <c r="AK34" i="13" s="1"/>
  <c r="H75" i="2"/>
  <c r="G77" i="2"/>
  <c r="G79" i="2" s="1"/>
  <c r="G80" i="2" s="1"/>
  <c r="O28" i="22"/>
  <c r="P28" i="22" s="1"/>
  <c r="S35" i="13"/>
  <c r="AR35" i="13"/>
  <c r="M30" i="14"/>
  <c r="R30" i="14" s="1"/>
  <c r="V30" i="14" s="1"/>
  <c r="X30" i="14" s="1"/>
  <c r="L29" i="22"/>
  <c r="L29" i="16"/>
  <c r="M29" i="15"/>
  <c r="R29" i="15" s="1"/>
  <c r="V29" i="15" s="1"/>
  <c r="X29" i="15" s="1"/>
  <c r="M36" i="13"/>
  <c r="P36" i="13" s="1"/>
  <c r="AS36" i="13" s="1"/>
  <c r="L36" i="13"/>
  <c r="O36" i="13" s="1"/>
  <c r="S36" i="13" s="1"/>
  <c r="N36" i="13"/>
  <c r="Q36" i="13" s="1"/>
  <c r="AT36" i="13" s="1"/>
  <c r="O28" i="16"/>
  <c r="P28" i="16" s="1"/>
  <c r="J48" i="15"/>
  <c r="M32" i="14"/>
  <c r="R32" i="14" s="1"/>
  <c r="V32" i="14" s="1"/>
  <c r="X32" i="14" s="1"/>
  <c r="L31" i="22"/>
  <c r="L31" i="16"/>
  <c r="M31" i="15"/>
  <c r="R31" i="15" s="1"/>
  <c r="V31" i="15" s="1"/>
  <c r="X31" i="15" s="1"/>
  <c r="J48" i="14"/>
  <c r="I37" i="13"/>
  <c r="L30" i="22"/>
  <c r="M30" i="15"/>
  <c r="R30" i="15" s="1"/>
  <c r="V30" i="15" s="1"/>
  <c r="X30" i="15" s="1"/>
  <c r="M31" i="14"/>
  <c r="R31" i="14" s="1"/>
  <c r="V31" i="14" s="1"/>
  <c r="X31" i="14" s="1"/>
  <c r="L30" i="16"/>
  <c r="AM34" i="13" l="1"/>
  <c r="L32" i="22" s="1"/>
  <c r="I75" i="2"/>
  <c r="H77" i="2"/>
  <c r="H79" i="2" s="1"/>
  <c r="H80" i="2" s="1"/>
  <c r="AR36" i="13"/>
  <c r="N29" i="22"/>
  <c r="N29" i="16"/>
  <c r="M29" i="16"/>
  <c r="M29" i="22"/>
  <c r="T35" i="13"/>
  <c r="AB35" i="13"/>
  <c r="M30" i="16"/>
  <c r="M30" i="22"/>
  <c r="G38" i="13"/>
  <c r="H38" i="13" s="1"/>
  <c r="I38" i="13" s="1"/>
  <c r="AQ37" i="13"/>
  <c r="J37" i="13"/>
  <c r="K37" i="13" s="1"/>
  <c r="K48" i="14"/>
  <c r="L48" i="14" s="1"/>
  <c r="N31" i="16"/>
  <c r="N31" i="22"/>
  <c r="M31" i="16"/>
  <c r="M31" i="22"/>
  <c r="K48" i="15"/>
  <c r="J49" i="15" s="1"/>
  <c r="K49" i="15" s="1"/>
  <c r="L49" i="15" s="1"/>
  <c r="N30" i="22"/>
  <c r="N30" i="16"/>
  <c r="T36" i="13"/>
  <c r="AB36" i="13"/>
  <c r="M33" i="14" l="1"/>
  <c r="R33" i="14" s="1"/>
  <c r="V33" i="14" s="1"/>
  <c r="X33" i="14" s="1"/>
  <c r="N32" i="16" s="1"/>
  <c r="M32" i="15"/>
  <c r="R32" i="15" s="1"/>
  <c r="V32" i="15" s="1"/>
  <c r="X32" i="15" s="1"/>
  <c r="M32" i="16" s="1"/>
  <c r="L32" i="16"/>
  <c r="O30" i="22"/>
  <c r="P30" i="22" s="1"/>
  <c r="J75" i="2"/>
  <c r="I77" i="2"/>
  <c r="I79" i="2" s="1"/>
  <c r="I80" i="2" s="1"/>
  <c r="O31" i="16"/>
  <c r="P31" i="16" s="1"/>
  <c r="O31" i="22"/>
  <c r="P31" i="22" s="1"/>
  <c r="O29" i="22"/>
  <c r="P29" i="22" s="1"/>
  <c r="O30" i="16"/>
  <c r="P30" i="16" s="1"/>
  <c r="O29" i="16"/>
  <c r="P29" i="16" s="1"/>
  <c r="M37" i="13"/>
  <c r="P37" i="13" s="1"/>
  <c r="AS37" i="13" s="1"/>
  <c r="L37" i="13"/>
  <c r="O37" i="13" s="1"/>
  <c r="N37" i="13"/>
  <c r="Q37" i="13" s="1"/>
  <c r="AT37" i="13" s="1"/>
  <c r="AC35" i="13"/>
  <c r="U35" i="13"/>
  <c r="AQ38" i="13"/>
  <c r="G39" i="13"/>
  <c r="H39" i="13" s="1"/>
  <c r="J38" i="13"/>
  <c r="K38" i="13" s="1"/>
  <c r="AC36" i="13"/>
  <c r="U36" i="13"/>
  <c r="AD36" i="13" s="1"/>
  <c r="L48" i="15"/>
  <c r="L6" i="15" s="1"/>
  <c r="K6" i="15"/>
  <c r="J49" i="14"/>
  <c r="K49" i="14" s="1"/>
  <c r="N32" i="22" l="1"/>
  <c r="M32" i="22"/>
  <c r="O32" i="16"/>
  <c r="P32" i="16" s="1"/>
  <c r="J77" i="2"/>
  <c r="J79" i="2" s="1"/>
  <c r="J80" i="2" s="1"/>
  <c r="K75" i="2"/>
  <c r="S37" i="13"/>
  <c r="AR37" i="13"/>
  <c r="M38" i="13"/>
  <c r="P38" i="13" s="1"/>
  <c r="AS38" i="13" s="1"/>
  <c r="N38" i="13"/>
  <c r="Q38" i="13" s="1"/>
  <c r="AT38" i="13" s="1"/>
  <c r="L38" i="13"/>
  <c r="O38" i="13" s="1"/>
  <c r="S38" i="13" s="1"/>
  <c r="AD35" i="13"/>
  <c r="V35" i="13"/>
  <c r="AE35" i="13" s="1"/>
  <c r="J50" i="14"/>
  <c r="K50" i="14" s="1"/>
  <c r="L50" i="14" s="1"/>
  <c r="K6" i="14"/>
  <c r="L49" i="14"/>
  <c r="L6" i="14" s="1"/>
  <c r="I39" i="13"/>
  <c r="V36" i="13"/>
  <c r="AE36" i="13" s="1"/>
  <c r="AF36" i="13" s="1"/>
  <c r="O32" i="22" l="1"/>
  <c r="P32" i="22" s="1"/>
  <c r="K77" i="2"/>
  <c r="K79" i="2" s="1"/>
  <c r="K80" i="2" s="1"/>
  <c r="L75" i="2"/>
  <c r="AR38" i="13"/>
  <c r="AF35" i="13"/>
  <c r="AJ35" i="13" s="1"/>
  <c r="AK35" i="13" s="1"/>
  <c r="T37" i="13"/>
  <c r="AB37" i="13"/>
  <c r="AQ39" i="13"/>
  <c r="G40" i="13"/>
  <c r="H40" i="13" s="1"/>
  <c r="J39" i="13"/>
  <c r="K39" i="13" s="1"/>
  <c r="AM36" i="13"/>
  <c r="AJ36" i="13"/>
  <c r="AK36" i="13" s="1"/>
  <c r="T38" i="13"/>
  <c r="AB38" i="13"/>
  <c r="L77" i="2" l="1"/>
  <c r="L79" i="2" s="1"/>
  <c r="L80" i="2" s="1"/>
  <c r="M75" i="2"/>
  <c r="M77" i="2" s="1"/>
  <c r="M79" i="2" s="1"/>
  <c r="M80" i="2" s="1"/>
  <c r="AM35" i="13"/>
  <c r="M34" i="14" s="1"/>
  <c r="R34" i="14" s="1"/>
  <c r="V34" i="14" s="1"/>
  <c r="X34" i="14" s="1"/>
  <c r="N39" i="13"/>
  <c r="Q39" i="13" s="1"/>
  <c r="AT39" i="13" s="1"/>
  <c r="L39" i="13"/>
  <c r="O39" i="13" s="1"/>
  <c r="M39" i="13"/>
  <c r="P39" i="13" s="1"/>
  <c r="AS39" i="13" s="1"/>
  <c r="AC37" i="13"/>
  <c r="U37" i="13"/>
  <c r="AD37" i="13" s="1"/>
  <c r="M35" i="14"/>
  <c r="R35" i="14" s="1"/>
  <c r="V35" i="14" s="1"/>
  <c r="X35" i="14" s="1"/>
  <c r="L34" i="22"/>
  <c r="L34" i="16"/>
  <c r="M34" i="15"/>
  <c r="R34" i="15" s="1"/>
  <c r="V34" i="15" s="1"/>
  <c r="X34" i="15" s="1"/>
  <c r="AC38" i="13"/>
  <c r="U38" i="13"/>
  <c r="I40" i="13"/>
  <c r="M33" i="15" l="1"/>
  <c r="R33" i="15" s="1"/>
  <c r="V33" i="15" s="1"/>
  <c r="X33" i="15" s="1"/>
  <c r="M33" i="22" s="1"/>
  <c r="L33" i="16"/>
  <c r="L33" i="22"/>
  <c r="V37" i="13"/>
  <c r="AE37" i="13" s="1"/>
  <c r="AF37" i="13" s="1"/>
  <c r="N33" i="22"/>
  <c r="N33" i="16"/>
  <c r="AR39" i="13"/>
  <c r="S39" i="13"/>
  <c r="AD38" i="13"/>
  <c r="V38" i="13"/>
  <c r="AE38" i="13" s="1"/>
  <c r="G41" i="13"/>
  <c r="H41" i="13" s="1"/>
  <c r="I41" i="13" s="1"/>
  <c r="AQ40" i="13"/>
  <c r="J40" i="13"/>
  <c r="K40" i="13" s="1"/>
  <c r="N34" i="22"/>
  <c r="N34" i="16"/>
  <c r="M34" i="22"/>
  <c r="M34" i="16"/>
  <c r="M33" i="16" l="1"/>
  <c r="O33" i="16" s="1"/>
  <c r="P33" i="16" s="1"/>
  <c r="O33" i="22"/>
  <c r="P33" i="22" s="1"/>
  <c r="AF38" i="13"/>
  <c r="AM38" i="13" s="1"/>
  <c r="AB39" i="13"/>
  <c r="T39" i="13"/>
  <c r="AC39" i="13" s="1"/>
  <c r="L40" i="13"/>
  <c r="O40" i="13" s="1"/>
  <c r="N40" i="13"/>
  <c r="Q40" i="13" s="1"/>
  <c r="AT40" i="13" s="1"/>
  <c r="M40" i="13"/>
  <c r="P40" i="13" s="1"/>
  <c r="AS40" i="13" s="1"/>
  <c r="AM37" i="13"/>
  <c r="AJ37" i="13"/>
  <c r="AK37" i="13" s="1"/>
  <c r="O34" i="22"/>
  <c r="P34" i="22" s="1"/>
  <c r="O34" i="16"/>
  <c r="P34" i="16" s="1"/>
  <c r="J41" i="13"/>
  <c r="K41" i="13" s="1"/>
  <c r="G42" i="13"/>
  <c r="H42" i="13" s="1"/>
  <c r="AQ41" i="13"/>
  <c r="AJ38" i="13" l="1"/>
  <c r="AK38" i="13" s="1"/>
  <c r="U39" i="13"/>
  <c r="AR40" i="13"/>
  <c r="S40" i="13"/>
  <c r="L35" i="16"/>
  <c r="L35" i="22"/>
  <c r="M35" i="15"/>
  <c r="R35" i="15" s="1"/>
  <c r="V35" i="15" s="1"/>
  <c r="X35" i="15" s="1"/>
  <c r="M36" i="14"/>
  <c r="R36" i="14" s="1"/>
  <c r="V36" i="14" s="1"/>
  <c r="X36" i="14" s="1"/>
  <c r="L41" i="13"/>
  <c r="M41" i="13"/>
  <c r="N41" i="13"/>
  <c r="I42" i="13"/>
  <c r="M37" i="14"/>
  <c r="R37" i="14" s="1"/>
  <c r="V37" i="14" s="1"/>
  <c r="X37" i="14" s="1"/>
  <c r="L36" i="22"/>
  <c r="M36" i="15"/>
  <c r="R36" i="15" s="1"/>
  <c r="V36" i="15" s="1"/>
  <c r="X36" i="15" s="1"/>
  <c r="L36" i="16"/>
  <c r="AD39" i="13" l="1"/>
  <c r="V39" i="13"/>
  <c r="AE39" i="13" s="1"/>
  <c r="O41" i="13"/>
  <c r="P41" i="13"/>
  <c r="N35" i="22"/>
  <c r="N35" i="16"/>
  <c r="T40" i="13"/>
  <c r="AB40" i="13"/>
  <c r="Q41" i="13"/>
  <c r="M35" i="22"/>
  <c r="M35" i="16"/>
  <c r="N36" i="22"/>
  <c r="N36" i="16"/>
  <c r="AQ42" i="13"/>
  <c r="G43" i="13"/>
  <c r="H43" i="13" s="1"/>
  <c r="J42" i="13"/>
  <c r="K42" i="13" s="1"/>
  <c r="M36" i="16"/>
  <c r="M36" i="22"/>
  <c r="AF39" i="13" l="1"/>
  <c r="AJ39" i="13" s="1"/>
  <c r="AK39" i="13" s="1"/>
  <c r="L42" i="13"/>
  <c r="O42" i="13" s="1"/>
  <c r="N42" i="13"/>
  <c r="Q42" i="13" s="1"/>
  <c r="M42" i="13"/>
  <c r="P42" i="13" s="1"/>
  <c r="O35" i="22"/>
  <c r="P35" i="22" s="1"/>
  <c r="AT41" i="13"/>
  <c r="O35" i="16"/>
  <c r="P35" i="16" s="1"/>
  <c r="AR41" i="13"/>
  <c r="S41" i="13"/>
  <c r="AC40" i="13"/>
  <c r="U40" i="13"/>
  <c r="AD40" i="13" s="1"/>
  <c r="O36" i="22"/>
  <c r="P36" i="22" s="1"/>
  <c r="AS41" i="13"/>
  <c r="O36" i="16"/>
  <c r="P36" i="16" s="1"/>
  <c r="I43" i="13"/>
  <c r="AM39" i="13" l="1"/>
  <c r="M37" i="15" s="1"/>
  <c r="R37" i="15" s="1"/>
  <c r="V37" i="15" s="1"/>
  <c r="X37" i="15" s="1"/>
  <c r="AS42" i="13"/>
  <c r="V40" i="13"/>
  <c r="AE40" i="13" s="1"/>
  <c r="AF40" i="13" s="1"/>
  <c r="AB41" i="13"/>
  <c r="T41" i="13"/>
  <c r="AT42" i="13"/>
  <c r="S42" i="13"/>
  <c r="AR42" i="13"/>
  <c r="J43" i="13"/>
  <c r="K43" i="13" s="1"/>
  <c r="AQ43" i="13"/>
  <c r="G44" i="13"/>
  <c r="H44" i="13" s="1"/>
  <c r="M38" i="14" l="1"/>
  <c r="R38" i="14" s="1"/>
  <c r="V38" i="14" s="1"/>
  <c r="X38" i="14" s="1"/>
  <c r="N37" i="16" s="1"/>
  <c r="L37" i="16"/>
  <c r="L37" i="22"/>
  <c r="M43" i="13"/>
  <c r="L43" i="13"/>
  <c r="N43" i="13"/>
  <c r="M37" i="16"/>
  <c r="M37" i="22"/>
  <c r="T42" i="13"/>
  <c r="AB42" i="13"/>
  <c r="AM40" i="13"/>
  <c r="AJ40" i="13"/>
  <c r="AK40" i="13" s="1"/>
  <c r="U41" i="13"/>
  <c r="AC41" i="13"/>
  <c r="I44" i="13"/>
  <c r="N37" i="22" l="1"/>
  <c r="O37" i="22" s="1"/>
  <c r="P37" i="22" s="1"/>
  <c r="Q43" i="13"/>
  <c r="N9" i="13"/>
  <c r="O43" i="13"/>
  <c r="L9" i="13"/>
  <c r="P43" i="13"/>
  <c r="M9" i="13"/>
  <c r="O37" i="16"/>
  <c r="P37" i="16" s="1"/>
  <c r="M39" i="14"/>
  <c r="R39" i="14" s="1"/>
  <c r="V39" i="14" s="1"/>
  <c r="X39" i="14" s="1"/>
  <c r="M38" i="15"/>
  <c r="R38" i="15" s="1"/>
  <c r="V38" i="15" s="1"/>
  <c r="X38" i="15" s="1"/>
  <c r="L38" i="22"/>
  <c r="L38" i="16"/>
  <c r="AD41" i="13"/>
  <c r="V41" i="13"/>
  <c r="AE41" i="13" s="1"/>
  <c r="AC42" i="13"/>
  <c r="U42" i="13"/>
  <c r="AD42" i="13" s="1"/>
  <c r="G45" i="13"/>
  <c r="H45" i="13" s="1"/>
  <c r="AQ44" i="13"/>
  <c r="J44" i="13"/>
  <c r="S43" i="13" l="1"/>
  <c r="T43" i="13" s="1"/>
  <c r="AC43" i="13" s="1"/>
  <c r="AR43" i="13"/>
  <c r="O44" i="13"/>
  <c r="P44" i="13"/>
  <c r="AS43" i="13"/>
  <c r="AT43" i="13"/>
  <c r="Q44" i="13"/>
  <c r="AF41" i="13"/>
  <c r="M38" i="22"/>
  <c r="M38" i="16"/>
  <c r="N38" i="22"/>
  <c r="N38" i="16"/>
  <c r="V42" i="13"/>
  <c r="AE42" i="13" s="1"/>
  <c r="AF42" i="13" s="1"/>
  <c r="I45" i="13"/>
  <c r="O45" i="13"/>
  <c r="P45" i="13"/>
  <c r="AT44" i="13" l="1"/>
  <c r="AS44" i="13"/>
  <c r="AS45" i="13" s="1"/>
  <c r="Q45" i="13"/>
  <c r="S44" i="13"/>
  <c r="AR44" i="13"/>
  <c r="AR45" i="13" s="1"/>
  <c r="AB43" i="13"/>
  <c r="U43" i="13"/>
  <c r="AJ42" i="13"/>
  <c r="AK42" i="13" s="1"/>
  <c r="AM42" i="13"/>
  <c r="O38" i="16"/>
  <c r="P38" i="16" s="1"/>
  <c r="O38" i="22"/>
  <c r="P38" i="22" s="1"/>
  <c r="AJ41" i="13"/>
  <c r="AK41" i="13" s="1"/>
  <c r="S45" i="13"/>
  <c r="G46" i="13"/>
  <c r="H46" i="13" s="1"/>
  <c r="AQ45" i="13"/>
  <c r="J45" i="13"/>
  <c r="AT45" i="13" l="1"/>
  <c r="V43" i="13"/>
  <c r="AE43" i="13" s="1"/>
  <c r="AD43" i="13"/>
  <c r="T44" i="13"/>
  <c r="AB44" i="13"/>
  <c r="M40" i="15"/>
  <c r="R40" i="15" s="1"/>
  <c r="V40" i="15" s="1"/>
  <c r="X40" i="15" s="1"/>
  <c r="M41" i="14"/>
  <c r="R41" i="14" s="1"/>
  <c r="V41" i="14" s="1"/>
  <c r="X41" i="14" s="1"/>
  <c r="L40" i="22"/>
  <c r="L40" i="16"/>
  <c r="Q46" i="13"/>
  <c r="O46" i="13"/>
  <c r="P46" i="13"/>
  <c r="I46" i="13"/>
  <c r="T45" i="13"/>
  <c r="AB45" i="13"/>
  <c r="AF43" i="13" l="1"/>
  <c r="AJ43" i="13" s="1"/>
  <c r="AK43" i="13" s="1"/>
  <c r="AC44" i="13"/>
  <c r="U44" i="13"/>
  <c r="AD44" i="13" s="1"/>
  <c r="N40" i="16"/>
  <c r="N40" i="22"/>
  <c r="M40" i="22"/>
  <c r="M40" i="16"/>
  <c r="S46" i="13"/>
  <c r="T46" i="13" s="1"/>
  <c r="AC46" i="13" s="1"/>
  <c r="AR46" i="13"/>
  <c r="AC45" i="13"/>
  <c r="U45" i="13"/>
  <c r="AD45" i="13" s="1"/>
  <c r="AT46" i="13"/>
  <c r="G47" i="13"/>
  <c r="H47" i="13" s="1"/>
  <c r="AQ46" i="13"/>
  <c r="J46" i="13"/>
  <c r="AS46" i="13"/>
  <c r="O40" i="16" l="1"/>
  <c r="P40" i="16" s="1"/>
  <c r="V44" i="13"/>
  <c r="AE44" i="13" s="1"/>
  <c r="AF44" i="13" s="1"/>
  <c r="O40" i="22"/>
  <c r="P40" i="22" s="1"/>
  <c r="V45" i="13"/>
  <c r="AE45" i="13" s="1"/>
  <c r="AF45" i="13" s="1"/>
  <c r="AM45" i="13" s="1"/>
  <c r="I47" i="13"/>
  <c r="O47" i="13"/>
  <c r="P47" i="13"/>
  <c r="Q47" i="13"/>
  <c r="U46" i="13"/>
  <c r="AD46" i="13" s="1"/>
  <c r="AB46" i="13"/>
  <c r="AM44" i="13" l="1"/>
  <c r="AJ44" i="13"/>
  <c r="AK44" i="13" s="1"/>
  <c r="AJ45" i="13"/>
  <c r="AK45" i="13" s="1"/>
  <c r="AT47" i="13"/>
  <c r="AS47" i="13"/>
  <c r="V46" i="13"/>
  <c r="AE46" i="13" s="1"/>
  <c r="AF46" i="13" s="1"/>
  <c r="S47" i="13"/>
  <c r="T47" i="13" s="1"/>
  <c r="AC47" i="13" s="1"/>
  <c r="AR47" i="13"/>
  <c r="L43" i="22"/>
  <c r="L43" i="16"/>
  <c r="M43" i="15"/>
  <c r="R43" i="15" s="1"/>
  <c r="M44" i="14"/>
  <c r="R44" i="14" s="1"/>
  <c r="G48" i="13"/>
  <c r="H48" i="13" s="1"/>
  <c r="I48" i="13" s="1"/>
  <c r="J47" i="13"/>
  <c r="AQ47" i="13"/>
  <c r="M43" i="14" l="1"/>
  <c r="R43" i="14" s="1"/>
  <c r="V43" i="14" s="1"/>
  <c r="X43" i="14" s="1"/>
  <c r="L42" i="22"/>
  <c r="L42" i="16"/>
  <c r="M42" i="15"/>
  <c r="R42" i="15" s="1"/>
  <c r="V42" i="15" s="1"/>
  <c r="X42" i="15" s="1"/>
  <c r="AQ48" i="13"/>
  <c r="J48" i="13"/>
  <c r="G49" i="13"/>
  <c r="H49" i="13" s="1"/>
  <c r="AM46" i="13"/>
  <c r="AJ46" i="13"/>
  <c r="AK46" i="13" s="1"/>
  <c r="U47" i="13"/>
  <c r="AD47" i="13" s="1"/>
  <c r="V44" i="14"/>
  <c r="X44" i="14" s="1"/>
  <c r="Q48" i="13"/>
  <c r="P48" i="13"/>
  <c r="O48" i="13"/>
  <c r="V43" i="15"/>
  <c r="X43" i="15" s="1"/>
  <c r="AB47" i="13"/>
  <c r="M42" i="22" l="1"/>
  <c r="M42" i="16"/>
  <c r="N42" i="16"/>
  <c r="N42" i="22"/>
  <c r="V47" i="13"/>
  <c r="AE47" i="13" s="1"/>
  <c r="AF47" i="13" s="1"/>
  <c r="AM47" i="13" s="1"/>
  <c r="AT48" i="13"/>
  <c r="M43" i="22"/>
  <c r="M43" i="16"/>
  <c r="I49" i="13"/>
  <c r="O49" i="13"/>
  <c r="Q49" i="13"/>
  <c r="P49" i="13"/>
  <c r="S48" i="13"/>
  <c r="AR48" i="13"/>
  <c r="N43" i="16"/>
  <c r="N43" i="22"/>
  <c r="AS48" i="13"/>
  <c r="M44" i="15"/>
  <c r="R44" i="15" s="1"/>
  <c r="M45" i="14"/>
  <c r="R45" i="14" s="1"/>
  <c r="L44" i="22"/>
  <c r="L44" i="16"/>
  <c r="O42" i="22" l="1"/>
  <c r="P42" i="22" s="1"/>
  <c r="O42" i="16"/>
  <c r="P42" i="16" s="1"/>
  <c r="AJ47" i="13"/>
  <c r="AK47" i="13" s="1"/>
  <c r="AB48" i="13"/>
  <c r="AT49" i="13"/>
  <c r="O43" i="22"/>
  <c r="P43" i="22" s="1"/>
  <c r="V45" i="14"/>
  <c r="X45" i="14" s="1"/>
  <c r="M45" i="15"/>
  <c r="R45" i="15" s="1"/>
  <c r="L45" i="16"/>
  <c r="L45" i="22"/>
  <c r="M46" i="14"/>
  <c r="R46" i="14" s="1"/>
  <c r="AR49" i="13"/>
  <c r="S49" i="13"/>
  <c r="V44" i="15"/>
  <c r="X44" i="15" s="1"/>
  <c r="AQ49" i="13"/>
  <c r="J49" i="13"/>
  <c r="G50" i="13"/>
  <c r="H50" i="13" s="1"/>
  <c r="T48" i="13"/>
  <c r="AC48" i="13" s="1"/>
  <c r="AS49" i="13"/>
  <c r="O43" i="16"/>
  <c r="P43" i="16" s="1"/>
  <c r="U48" i="13" l="1"/>
  <c r="AD48" i="13" s="1"/>
  <c r="V46" i="14"/>
  <c r="X46" i="14" s="1"/>
  <c r="N44" i="22"/>
  <c r="N44" i="16"/>
  <c r="T49" i="13"/>
  <c r="AB49" i="13"/>
  <c r="I50" i="13"/>
  <c r="P50" i="13"/>
  <c r="Q50" i="13"/>
  <c r="O50" i="13"/>
  <c r="M44" i="22"/>
  <c r="M44" i="16"/>
  <c r="V45" i="15"/>
  <c r="X45" i="15" s="1"/>
  <c r="O44" i="16" l="1"/>
  <c r="P44" i="16" s="1"/>
  <c r="O44" i="22"/>
  <c r="P44" i="22" s="1"/>
  <c r="V48" i="13"/>
  <c r="AE48" i="13" s="1"/>
  <c r="AF48" i="13" s="1"/>
  <c r="AM48" i="13" s="1"/>
  <c r="AS50" i="13"/>
  <c r="G51" i="13"/>
  <c r="AQ50" i="13"/>
  <c r="J50" i="13"/>
  <c r="AC49" i="13"/>
  <c r="U49" i="13"/>
  <c r="AD49" i="13" s="1"/>
  <c r="S50" i="13"/>
  <c r="T50" i="13" s="1"/>
  <c r="AR50" i="13"/>
  <c r="M45" i="16"/>
  <c r="M45" i="22"/>
  <c r="AT50" i="13"/>
  <c r="N45" i="22"/>
  <c r="N45" i="16"/>
  <c r="AJ48" i="13" l="1"/>
  <c r="AK48" i="13" s="1"/>
  <c r="AC50" i="13"/>
  <c r="U50" i="13"/>
  <c r="AD50" i="13" s="1"/>
  <c r="M47" i="14"/>
  <c r="R47" i="14" s="1"/>
  <c r="L46" i="22"/>
  <c r="L46" i="16"/>
  <c r="M46" i="15"/>
  <c r="R46" i="15" s="1"/>
  <c r="H51" i="13"/>
  <c r="G9" i="13"/>
  <c r="V49" i="13"/>
  <c r="AE49" i="13" s="1"/>
  <c r="AF49" i="13" s="1"/>
  <c r="O45" i="22"/>
  <c r="P45" i="22" s="1"/>
  <c r="O45" i="16"/>
  <c r="P45" i="16" s="1"/>
  <c r="AB50" i="13"/>
  <c r="V50" i="13" l="1"/>
  <c r="AE50" i="13" s="1"/>
  <c r="AF50" i="13" s="1"/>
  <c r="O51" i="13"/>
  <c r="P51" i="13"/>
  <c r="AS51" i="13" s="1"/>
  <c r="AS9" i="13" s="1"/>
  <c r="Q51" i="13"/>
  <c r="H9" i="13"/>
  <c r="I51" i="13"/>
  <c r="V47" i="14"/>
  <c r="X47" i="14" s="1"/>
  <c r="V46" i="15"/>
  <c r="X46" i="15" s="1"/>
  <c r="AJ49" i="13"/>
  <c r="AK49" i="13" s="1"/>
  <c r="AM49" i="13"/>
  <c r="AM50" i="13" l="1"/>
  <c r="AJ50" i="13"/>
  <c r="AK50" i="13" s="1"/>
  <c r="AT51" i="13"/>
  <c r="AT9" i="13" s="1"/>
  <c r="N46" i="22"/>
  <c r="N46" i="16"/>
  <c r="J51" i="13"/>
  <c r="AQ51" i="13"/>
  <c r="AQ9" i="13" s="1"/>
  <c r="S51" i="13"/>
  <c r="AR51" i="13"/>
  <c r="AR9" i="13" s="1"/>
  <c r="L47" i="16"/>
  <c r="M47" i="15"/>
  <c r="R47" i="15" s="1"/>
  <c r="M48" i="14"/>
  <c r="R48" i="14" s="1"/>
  <c r="L47" i="22"/>
  <c r="M46" i="16"/>
  <c r="M46" i="22"/>
  <c r="O46" i="16" l="1"/>
  <c r="P46" i="16" s="1"/>
  <c r="O46" i="22"/>
  <c r="P46" i="22" s="1"/>
  <c r="V47" i="15"/>
  <c r="X47" i="15" s="1"/>
  <c r="V48" i="14"/>
  <c r="X48" i="14" s="1"/>
  <c r="T51" i="13"/>
  <c r="AB51" i="13"/>
  <c r="L48" i="22"/>
  <c r="M49" i="14"/>
  <c r="R49" i="14" s="1"/>
  <c r="L48" i="16"/>
  <c r="M48" i="15"/>
  <c r="R48" i="15" s="1"/>
  <c r="AC51" i="13" l="1"/>
  <c r="U51" i="13"/>
  <c r="AD51" i="13" s="1"/>
  <c r="V49" i="14"/>
  <c r="X49" i="14" s="1"/>
  <c r="V48" i="15"/>
  <c r="X48" i="15" s="1"/>
  <c r="N47" i="16"/>
  <c r="N47" i="22"/>
  <c r="M47" i="22"/>
  <c r="M47" i="16"/>
  <c r="O47" i="22" l="1"/>
  <c r="P47" i="22" s="1"/>
  <c r="N48" i="22"/>
  <c r="N48" i="16"/>
  <c r="M48" i="16"/>
  <c r="M48" i="22"/>
  <c r="O47" i="16"/>
  <c r="P47" i="16" s="1"/>
  <c r="V51" i="13"/>
  <c r="AE51" i="13" s="1"/>
  <c r="AF51" i="13" s="1"/>
  <c r="O48" i="22" l="1"/>
  <c r="P48" i="22" s="1"/>
  <c r="O48" i="16"/>
  <c r="P48" i="16" s="1"/>
  <c r="AM51" i="13"/>
  <c r="AJ51" i="13"/>
  <c r="AJ9" i="13" s="1"/>
  <c r="AF9" i="13"/>
  <c r="AK51" i="13" l="1"/>
  <c r="AK9" i="13" s="1"/>
  <c r="L49" i="16"/>
  <c r="M49" i="15"/>
  <c r="R49" i="15" s="1"/>
  <c r="M50" i="14"/>
  <c r="R50" i="14" s="1"/>
  <c r="V50" i="14" s="1"/>
  <c r="X50" i="14" s="1"/>
  <c r="L49" i="22"/>
  <c r="AL4" i="13" l="1"/>
  <c r="AL13" i="13"/>
  <c r="AM13" i="13" s="1"/>
  <c r="V49" i="15"/>
  <c r="X49" i="15" s="1"/>
  <c r="N49" i="16"/>
  <c r="N49" i="22"/>
  <c r="AL41" i="13" l="1"/>
  <c r="AM41" i="13" s="1"/>
  <c r="M40" i="14" s="1"/>
  <c r="R40" i="14" s="1"/>
  <c r="V40" i="14" s="1"/>
  <c r="X40" i="14" s="1"/>
  <c r="AL43" i="13"/>
  <c r="AM43" i="13" s="1"/>
  <c r="L11" i="22"/>
  <c r="L11" i="16"/>
  <c r="M11" i="15"/>
  <c r="M12" i="14"/>
  <c r="M49" i="16"/>
  <c r="O49" i="16" s="1"/>
  <c r="P49" i="16" s="1"/>
  <c r="M49" i="22"/>
  <c r="O49" i="22" s="1"/>
  <c r="P49" i="22" s="1"/>
  <c r="AL9" i="13" l="1"/>
  <c r="M42" i="14"/>
  <c r="R42" i="14" s="1"/>
  <c r="V42" i="14" s="1"/>
  <c r="X42" i="14" s="1"/>
  <c r="L41" i="22"/>
  <c r="L41" i="16"/>
  <c r="M41" i="15"/>
  <c r="R41" i="15" s="1"/>
  <c r="V41" i="15" s="1"/>
  <c r="X41" i="15" s="1"/>
  <c r="L39" i="16"/>
  <c r="AM9" i="13"/>
  <c r="L39" i="22"/>
  <c r="M39" i="15"/>
  <c r="R39" i="15" s="1"/>
  <c r="V39" i="15" s="1"/>
  <c r="X39" i="15" s="1"/>
  <c r="M39" i="22" s="1"/>
  <c r="N39" i="22"/>
  <c r="N39" i="16"/>
  <c r="R11" i="15"/>
  <c r="M6" i="15"/>
  <c r="R12" i="14"/>
  <c r="L8" i="16" l="1"/>
  <c r="L7" i="16"/>
  <c r="M6" i="14"/>
  <c r="L7" i="22"/>
  <c r="L8" i="22"/>
  <c r="M16" i="5" a="1"/>
  <c r="AZ16" i="5" s="1"/>
  <c r="M41" i="16"/>
  <c r="M41" i="22"/>
  <c r="N41" i="16"/>
  <c r="N41" i="22"/>
  <c r="O39" i="22"/>
  <c r="P39" i="22" s="1"/>
  <c r="M39" i="16"/>
  <c r="O39" i="16" s="1"/>
  <c r="P39" i="16" s="1"/>
  <c r="V12" i="14"/>
  <c r="S12" i="14"/>
  <c r="R6" i="14"/>
  <c r="S11" i="15"/>
  <c r="R6" i="15"/>
  <c r="V11" i="15"/>
  <c r="AQ16" i="5" l="1"/>
  <c r="AU16" i="5"/>
  <c r="AN16" i="5"/>
  <c r="U16" i="5"/>
  <c r="O101" i="5" s="1"/>
  <c r="AJ16" i="5"/>
  <c r="AD101" i="5" s="1"/>
  <c r="AV16" i="5"/>
  <c r="AE16" i="5"/>
  <c r="Y101" i="5" s="1"/>
  <c r="X16" i="5"/>
  <c r="R101" i="5" s="1"/>
  <c r="AA16" i="5"/>
  <c r="U101" i="5" s="1"/>
  <c r="T16" i="5"/>
  <c r="N101" i="5" s="1"/>
  <c r="AT16" i="5"/>
  <c r="AI16" i="5"/>
  <c r="AC101" i="5" s="1"/>
  <c r="V16" i="5"/>
  <c r="P101" i="5" s="1"/>
  <c r="AP16" i="5"/>
  <c r="R16" i="5"/>
  <c r="L101" i="5" s="1"/>
  <c r="AD16" i="5"/>
  <c r="X101" i="5" s="1"/>
  <c r="Z16" i="5"/>
  <c r="T101" i="5" s="1"/>
  <c r="AS16" i="5"/>
  <c r="AW16" i="5"/>
  <c r="AO16" i="5"/>
  <c r="AM16" i="5"/>
  <c r="N16" i="5"/>
  <c r="AF16" i="5"/>
  <c r="AG16" i="5"/>
  <c r="O16" i="5"/>
  <c r="AC16" i="5"/>
  <c r="AY16" i="5"/>
  <c r="Q16" i="5"/>
  <c r="K101" i="5" s="1"/>
  <c r="AX16" i="5"/>
  <c r="Y16" i="5"/>
  <c r="S101" i="5" s="1"/>
  <c r="W16" i="5"/>
  <c r="Q101" i="5" s="1"/>
  <c r="AK16" i="5"/>
  <c r="AE101" i="5" s="1"/>
  <c r="P16" i="5"/>
  <c r="AR16" i="5"/>
  <c r="AL16" i="5"/>
  <c r="AF101" i="5" s="1"/>
  <c r="M16" i="5"/>
  <c r="G101" i="5" s="1"/>
  <c r="S16" i="5"/>
  <c r="M101" i="5" s="1"/>
  <c r="AB16" i="5"/>
  <c r="V101" i="5" s="1"/>
  <c r="AH16" i="5"/>
  <c r="AB101" i="5" s="1"/>
  <c r="O41" i="22"/>
  <c r="P41" i="22" s="1"/>
  <c r="O41" i="16"/>
  <c r="P41" i="16" s="1"/>
  <c r="H101" i="5"/>
  <c r="Z101" i="5"/>
  <c r="AA101" i="5"/>
  <c r="I101" i="5"/>
  <c r="W101" i="5"/>
  <c r="X11" i="15"/>
  <c r="V6" i="15"/>
  <c r="U12" i="14"/>
  <c r="T12" i="14"/>
  <c r="S13" i="14" s="1"/>
  <c r="T13" i="14" s="1"/>
  <c r="S14" i="14" s="1"/>
  <c r="T14" i="14" s="1"/>
  <c r="S15" i="14" s="1"/>
  <c r="T15" i="14" s="1"/>
  <c r="S16" i="14" s="1"/>
  <c r="T16" i="14" s="1"/>
  <c r="S17" i="14" s="1"/>
  <c r="T17" i="14" s="1"/>
  <c r="S18" i="14" s="1"/>
  <c r="T18" i="14" s="1"/>
  <c r="S19" i="14" s="1"/>
  <c r="T19" i="14" s="1"/>
  <c r="S20" i="14" s="1"/>
  <c r="T20" i="14" s="1"/>
  <c r="S21" i="14" s="1"/>
  <c r="T21" i="14" s="1"/>
  <c r="S22" i="14" s="1"/>
  <c r="T22" i="14" s="1"/>
  <c r="S23" i="14" s="1"/>
  <c r="T23" i="14" s="1"/>
  <c r="S24" i="14" s="1"/>
  <c r="T24" i="14" s="1"/>
  <c r="S25" i="14" s="1"/>
  <c r="T25" i="14" s="1"/>
  <c r="S26" i="14" s="1"/>
  <c r="T26" i="14" s="1"/>
  <c r="S27" i="14" s="1"/>
  <c r="T27" i="14" s="1"/>
  <c r="S28" i="14" s="1"/>
  <c r="T28" i="14" s="1"/>
  <c r="S29" i="14" s="1"/>
  <c r="T29" i="14" s="1"/>
  <c r="S30" i="14" s="1"/>
  <c r="T30" i="14" s="1"/>
  <c r="S31" i="14" s="1"/>
  <c r="T31" i="14" s="1"/>
  <c r="S32" i="14" s="1"/>
  <c r="T32" i="14" s="1"/>
  <c r="S33" i="14" s="1"/>
  <c r="T33" i="14" s="1"/>
  <c r="S34" i="14" s="1"/>
  <c r="T34" i="14" s="1"/>
  <c r="S35" i="14" s="1"/>
  <c r="T35" i="14" s="1"/>
  <c r="S36" i="14" s="1"/>
  <c r="T36" i="14" s="1"/>
  <c r="S37" i="14" s="1"/>
  <c r="T37" i="14" s="1"/>
  <c r="S38" i="14" s="1"/>
  <c r="T38" i="14" s="1"/>
  <c r="S39" i="14" s="1"/>
  <c r="T39" i="14" s="1"/>
  <c r="S40" i="14" s="1"/>
  <c r="T40" i="14" s="1"/>
  <c r="S41" i="14" s="1"/>
  <c r="T41" i="14" s="1"/>
  <c r="S42" i="14" s="1"/>
  <c r="T42" i="14" s="1"/>
  <c r="S43" i="14" s="1"/>
  <c r="T43" i="14" s="1"/>
  <c r="S44" i="14" s="1"/>
  <c r="T44" i="14" s="1"/>
  <c r="S45" i="14" s="1"/>
  <c r="T45" i="14" s="1"/>
  <c r="S46" i="14" s="1"/>
  <c r="T46" i="14" s="1"/>
  <c r="S47" i="14" s="1"/>
  <c r="T47" i="14" s="1"/>
  <c r="S48" i="14" s="1"/>
  <c r="T48" i="14" s="1"/>
  <c r="S49" i="14" s="1"/>
  <c r="T49" i="14" s="1"/>
  <c r="S50" i="14" s="1"/>
  <c r="T50" i="14" s="1"/>
  <c r="U11" i="15"/>
  <c r="T11" i="15"/>
  <c r="S12" i="15" s="1"/>
  <c r="T12" i="15" s="1"/>
  <c r="S13" i="15" s="1"/>
  <c r="T13" i="15" s="1"/>
  <c r="S14" i="15" s="1"/>
  <c r="T14" i="15" s="1"/>
  <c r="S15" i="15" s="1"/>
  <c r="T15" i="15" s="1"/>
  <c r="S16" i="15" s="1"/>
  <c r="T16" i="15" s="1"/>
  <c r="S17" i="15" s="1"/>
  <c r="T17" i="15" s="1"/>
  <c r="S18" i="15" s="1"/>
  <c r="T18" i="15" s="1"/>
  <c r="S19" i="15" s="1"/>
  <c r="T19" i="15" s="1"/>
  <c r="S20" i="15" s="1"/>
  <c r="T20" i="15" s="1"/>
  <c r="S21" i="15" s="1"/>
  <c r="T21" i="15" s="1"/>
  <c r="S22" i="15" s="1"/>
  <c r="T22" i="15" s="1"/>
  <c r="S23" i="15" s="1"/>
  <c r="T23" i="15" s="1"/>
  <c r="S24" i="15" s="1"/>
  <c r="T24" i="15" s="1"/>
  <c r="S25" i="15" s="1"/>
  <c r="T25" i="15" s="1"/>
  <c r="S26" i="15" s="1"/>
  <c r="T26" i="15" s="1"/>
  <c r="S27" i="15" s="1"/>
  <c r="T27" i="15" s="1"/>
  <c r="S28" i="15" s="1"/>
  <c r="T28" i="15" s="1"/>
  <c r="S29" i="15" s="1"/>
  <c r="T29" i="15" s="1"/>
  <c r="S30" i="15" s="1"/>
  <c r="T30" i="15" s="1"/>
  <c r="S31" i="15" s="1"/>
  <c r="T31" i="15" s="1"/>
  <c r="S32" i="15" s="1"/>
  <c r="T32" i="15" s="1"/>
  <c r="S33" i="15" s="1"/>
  <c r="T33" i="15" s="1"/>
  <c r="S34" i="15" s="1"/>
  <c r="T34" i="15" s="1"/>
  <c r="S35" i="15" s="1"/>
  <c r="T35" i="15" s="1"/>
  <c r="S36" i="15" s="1"/>
  <c r="T36" i="15" s="1"/>
  <c r="S37" i="15" s="1"/>
  <c r="T37" i="15" s="1"/>
  <c r="S38" i="15" s="1"/>
  <c r="T38" i="15" s="1"/>
  <c r="S39" i="15" s="1"/>
  <c r="T39" i="15" s="1"/>
  <c r="S40" i="15" s="1"/>
  <c r="T40" i="15" s="1"/>
  <c r="S41" i="15" s="1"/>
  <c r="T41" i="15" s="1"/>
  <c r="S42" i="15" s="1"/>
  <c r="T42" i="15" s="1"/>
  <c r="S43" i="15" s="1"/>
  <c r="T43" i="15" s="1"/>
  <c r="S44" i="15" s="1"/>
  <c r="T44" i="15" s="1"/>
  <c r="S45" i="15" s="1"/>
  <c r="T45" i="15" s="1"/>
  <c r="S46" i="15" s="1"/>
  <c r="T46" i="15" s="1"/>
  <c r="S47" i="15" s="1"/>
  <c r="T47" i="15" s="1"/>
  <c r="S48" i="15" s="1"/>
  <c r="T48" i="15" s="1"/>
  <c r="S49" i="15" s="1"/>
  <c r="T49" i="15" s="1"/>
  <c r="V6" i="14"/>
  <c r="X12" i="14"/>
  <c r="K16" i="5" l="1"/>
  <c r="H25" i="2" s="1"/>
  <c r="J101" i="5"/>
  <c r="H16" i="5"/>
  <c r="G16" i="5"/>
  <c r="J16" i="5" s="1"/>
  <c r="U13" i="14"/>
  <c r="U14" i="14" s="1"/>
  <c r="U15" i="14" s="1"/>
  <c r="U16" i="14" s="1"/>
  <c r="U17" i="14" s="1"/>
  <c r="U18" i="14" s="1"/>
  <c r="U19" i="14" s="1"/>
  <c r="U20" i="14" s="1"/>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U41" i="14" s="1"/>
  <c r="U42" i="14" s="1"/>
  <c r="U43" i="14" s="1"/>
  <c r="U44" i="14" s="1"/>
  <c r="U45" i="14" s="1"/>
  <c r="U46" i="14" s="1"/>
  <c r="U47" i="14" s="1"/>
  <c r="U48" i="14" s="1"/>
  <c r="U49" i="14" s="1"/>
  <c r="U50" i="14" s="1"/>
  <c r="U12" i="15"/>
  <c r="U13" i="15" s="1"/>
  <c r="U14" i="15" s="1"/>
  <c r="U15" i="15" s="1"/>
  <c r="U16" i="15" s="1"/>
  <c r="U17" i="15" s="1"/>
  <c r="U18" i="15" s="1"/>
  <c r="U19" i="15" s="1"/>
  <c r="U20" i="15" s="1"/>
  <c r="U21" i="15" s="1"/>
  <c r="U22" i="15" s="1"/>
  <c r="U23" i="15" s="1"/>
  <c r="U24" i="15" s="1"/>
  <c r="U25" i="15" s="1"/>
  <c r="U26" i="15" s="1"/>
  <c r="U27" i="15" s="1"/>
  <c r="U28" i="15" s="1"/>
  <c r="U29" i="15" s="1"/>
  <c r="U30" i="15" s="1"/>
  <c r="U31" i="15" s="1"/>
  <c r="U32" i="15" s="1"/>
  <c r="U33" i="15" s="1"/>
  <c r="U34" i="15" s="1"/>
  <c r="U35" i="15" s="1"/>
  <c r="U36" i="15" s="1"/>
  <c r="U37" i="15" s="1"/>
  <c r="U38" i="15" s="1"/>
  <c r="U39" i="15" s="1"/>
  <c r="U40" i="15" s="1"/>
  <c r="U41" i="15" s="1"/>
  <c r="U42" i="15" s="1"/>
  <c r="U43" i="15" s="1"/>
  <c r="U44" i="15" s="1"/>
  <c r="U45" i="15" s="1"/>
  <c r="U46" i="15" s="1"/>
  <c r="U47" i="15" s="1"/>
  <c r="U48" i="15" s="1"/>
  <c r="U49" i="15" s="1"/>
  <c r="N11" i="22"/>
  <c r="X6" i="14"/>
  <c r="N11" i="16"/>
  <c r="S6" i="15"/>
  <c r="M11" i="16"/>
  <c r="M11" i="22"/>
  <c r="S6" i="14"/>
  <c r="N74" i="2" l="1"/>
  <c r="N75" i="2" s="1"/>
  <c r="N77" i="2" s="1"/>
  <c r="N79" i="2" s="1"/>
  <c r="N80" i="2" s="1"/>
  <c r="N7" i="22"/>
  <c r="N8" i="22"/>
  <c r="M8" i="22"/>
  <c r="M7" i="22"/>
  <c r="O11" i="22"/>
  <c r="M17" i="5" a="1"/>
  <c r="M8" i="16"/>
  <c r="M7" i="16"/>
  <c r="O11" i="16"/>
  <c r="N8" i="16"/>
  <c r="N7" i="16"/>
  <c r="M18" i="5" a="1"/>
  <c r="D64" i="3"/>
  <c r="D71" i="3"/>
  <c r="U17" i="5" l="1"/>
  <c r="AK17" i="5"/>
  <c r="N17" i="5"/>
  <c r="AD17" i="5"/>
  <c r="AT17" i="5"/>
  <c r="W17" i="5"/>
  <c r="AM17" i="5"/>
  <c r="P17" i="5"/>
  <c r="AF17" i="5"/>
  <c r="AV17" i="5"/>
  <c r="Y17" i="5"/>
  <c r="AO17" i="5"/>
  <c r="R17" i="5"/>
  <c r="AH17" i="5"/>
  <c r="AX17" i="5"/>
  <c r="AA17" i="5"/>
  <c r="AQ17" i="5"/>
  <c r="T17" i="5"/>
  <c r="AJ17" i="5"/>
  <c r="AZ17" i="5"/>
  <c r="M17" i="5"/>
  <c r="AC17" i="5"/>
  <c r="AS17" i="5"/>
  <c r="V17" i="5"/>
  <c r="AL17" i="5"/>
  <c r="O17" i="5"/>
  <c r="AE17" i="5"/>
  <c r="AU17" i="5"/>
  <c r="X17" i="5"/>
  <c r="AN17" i="5"/>
  <c r="Q17" i="5"/>
  <c r="AG17" i="5"/>
  <c r="AW17" i="5"/>
  <c r="Z17" i="5"/>
  <c r="AP17" i="5"/>
  <c r="S17" i="5"/>
  <c r="AI17" i="5"/>
  <c r="AY17" i="5"/>
  <c r="AB17" i="5"/>
  <c r="AR17" i="5"/>
  <c r="O7" i="16"/>
  <c r="O8" i="16"/>
  <c r="P11" i="16"/>
  <c r="O7" i="22"/>
  <c r="P11" i="22"/>
  <c r="O8" i="22"/>
  <c r="N18" i="5"/>
  <c r="H103" i="5" s="1"/>
  <c r="AD18" i="5"/>
  <c r="X103" i="5" s="1"/>
  <c r="AT18" i="5"/>
  <c r="W18" i="5"/>
  <c r="Q103" i="5" s="1"/>
  <c r="AM18" i="5"/>
  <c r="P18" i="5"/>
  <c r="J103" i="5" s="1"/>
  <c r="AF18" i="5"/>
  <c r="Z103" i="5" s="1"/>
  <c r="AV18" i="5"/>
  <c r="U18" i="5"/>
  <c r="O103" i="5" s="1"/>
  <c r="AK18" i="5"/>
  <c r="AE103" i="5" s="1"/>
  <c r="R18" i="5"/>
  <c r="L103" i="5" s="1"/>
  <c r="AH18" i="5"/>
  <c r="AB103" i="5" s="1"/>
  <c r="AX18" i="5"/>
  <c r="AA18" i="5"/>
  <c r="U103" i="5" s="1"/>
  <c r="AQ18" i="5"/>
  <c r="T18" i="5"/>
  <c r="N103" i="5" s="1"/>
  <c r="AJ18" i="5"/>
  <c r="AD103" i="5" s="1"/>
  <c r="AZ18" i="5"/>
  <c r="Y18" i="5"/>
  <c r="S103" i="5" s="1"/>
  <c r="AO18" i="5"/>
  <c r="V18" i="5"/>
  <c r="P103" i="5" s="1"/>
  <c r="AL18" i="5"/>
  <c r="AF103" i="5" s="1"/>
  <c r="O18" i="5"/>
  <c r="I103" i="5" s="1"/>
  <c r="AE18" i="5"/>
  <c r="Y103" i="5" s="1"/>
  <c r="AU18" i="5"/>
  <c r="X18" i="5"/>
  <c r="R103" i="5" s="1"/>
  <c r="AN18" i="5"/>
  <c r="M18" i="5"/>
  <c r="AC18" i="5"/>
  <c r="W103" i="5" s="1"/>
  <c r="AS18" i="5"/>
  <c r="Z18" i="5"/>
  <c r="T103" i="5" s="1"/>
  <c r="AP18" i="5"/>
  <c r="S18" i="5"/>
  <c r="M103" i="5" s="1"/>
  <c r="AI18" i="5"/>
  <c r="AC103" i="5" s="1"/>
  <c r="AY18" i="5"/>
  <c r="AB18" i="5"/>
  <c r="V103" i="5" s="1"/>
  <c r="AR18" i="5"/>
  <c r="Q18" i="5"/>
  <c r="K103" i="5" s="1"/>
  <c r="AG18" i="5"/>
  <c r="AA103" i="5" s="1"/>
  <c r="AW18" i="5"/>
  <c r="AR20" i="5" l="1"/>
  <c r="AR21" i="5" s="1"/>
  <c r="M102" i="5"/>
  <c r="S20" i="5"/>
  <c r="S21" i="5" s="1"/>
  <c r="M100" i="5" s="1"/>
  <c r="AA102" i="5"/>
  <c r="AG20" i="5"/>
  <c r="AG21" i="5" s="1"/>
  <c r="AA100" i="5" s="1"/>
  <c r="AU20" i="5"/>
  <c r="AU21" i="5" s="1"/>
  <c r="P102" i="5"/>
  <c r="V20" i="5"/>
  <c r="V21" i="5" s="1"/>
  <c r="P100" i="5" s="1"/>
  <c r="AZ20" i="5"/>
  <c r="AZ21" i="5" s="1"/>
  <c r="U102" i="5"/>
  <c r="AA20" i="5"/>
  <c r="AA21" i="5" s="1"/>
  <c r="U100" i="5" s="1"/>
  <c r="AO20" i="5"/>
  <c r="AO21" i="5" s="1"/>
  <c r="J102" i="5"/>
  <c r="P20" i="5"/>
  <c r="P21" i="5" s="1"/>
  <c r="J100" i="5" s="1"/>
  <c r="X102" i="5"/>
  <c r="AD20" i="5"/>
  <c r="AD21" i="5" s="1"/>
  <c r="X100" i="5" s="1"/>
  <c r="G18" i="5"/>
  <c r="J18" i="5" s="1"/>
  <c r="H18" i="5"/>
  <c r="G103" i="5"/>
  <c r="K18" i="5"/>
  <c r="H27" i="2" s="1"/>
  <c r="P74" i="2" s="1"/>
  <c r="S11" i="16"/>
  <c r="P8" i="16"/>
  <c r="P7" i="16"/>
  <c r="V102" i="5"/>
  <c r="AB20" i="5"/>
  <c r="AB21" i="5" s="1"/>
  <c r="V100" i="5" s="1"/>
  <c r="AP20" i="5"/>
  <c r="AP21" i="5" s="1"/>
  <c r="K102" i="5"/>
  <c r="Q20" i="5"/>
  <c r="Q21" i="5" s="1"/>
  <c r="K100" i="5" s="1"/>
  <c r="Y102" i="5"/>
  <c r="AE20" i="5"/>
  <c r="AE21" i="5" s="1"/>
  <c r="Y100" i="5" s="1"/>
  <c r="AS20" i="5"/>
  <c r="AS21" i="5" s="1"/>
  <c r="AD102" i="5"/>
  <c r="AJ20" i="5"/>
  <c r="AJ21" i="5" s="1"/>
  <c r="AD100" i="5" s="1"/>
  <c r="AX20" i="5"/>
  <c r="AX21" i="5" s="1"/>
  <c r="S102" i="5"/>
  <c r="Y20" i="5"/>
  <c r="Y21" i="5" s="1"/>
  <c r="S100" i="5" s="1"/>
  <c r="AM20" i="5"/>
  <c r="AM21" i="5" s="1"/>
  <c r="H102" i="5"/>
  <c r="N20" i="5"/>
  <c r="N21" i="5" s="1"/>
  <c r="AY20" i="5"/>
  <c r="AY21" i="5" s="1"/>
  <c r="T102" i="5"/>
  <c r="Z20" i="5"/>
  <c r="Z21" i="5" s="1"/>
  <c r="T100" i="5" s="1"/>
  <c r="AN20" i="5"/>
  <c r="AN21" i="5" s="1"/>
  <c r="I102" i="5"/>
  <c r="O20" i="5"/>
  <c r="O21" i="5" s="1"/>
  <c r="I100" i="5" s="1"/>
  <c r="W102" i="5"/>
  <c r="AC20" i="5"/>
  <c r="AC21" i="5" s="1"/>
  <c r="W100" i="5" s="1"/>
  <c r="N102" i="5"/>
  <c r="T20" i="5"/>
  <c r="T21" i="5" s="1"/>
  <c r="N100" i="5" s="1"/>
  <c r="AB102" i="5"/>
  <c r="AH20" i="5"/>
  <c r="AH21" i="5" s="1"/>
  <c r="AB100" i="5" s="1"/>
  <c r="AV20" i="5"/>
  <c r="AV21" i="5" s="1"/>
  <c r="Q102" i="5"/>
  <c r="W20" i="5"/>
  <c r="W21" i="5" s="1"/>
  <c r="Q100" i="5" s="1"/>
  <c r="AE102" i="5"/>
  <c r="AK20" i="5"/>
  <c r="AK21" i="5" s="1"/>
  <c r="AE100" i="5" s="1"/>
  <c r="AO8" i="22"/>
  <c r="CD8" i="22"/>
  <c r="BX8" i="22"/>
  <c r="CH8" i="22"/>
  <c r="AW8" i="22"/>
  <c r="CE8" i="22"/>
  <c r="BN8" i="22"/>
  <c r="AM8" i="22"/>
  <c r="BW8" i="22"/>
  <c r="P7" i="22"/>
  <c r="AZ8" i="22"/>
  <c r="BZ8" i="22"/>
  <c r="BQ8" i="22"/>
  <c r="AU8" i="22"/>
  <c r="AY8" i="22"/>
  <c r="AK8" i="22"/>
  <c r="BS8" i="22"/>
  <c r="BE8" i="22"/>
  <c r="AR8" i="22"/>
  <c r="BV8" i="22"/>
  <c r="BM8" i="22"/>
  <c r="BY8" i="22"/>
  <c r="BG8" i="22"/>
  <c r="AT8" i="22"/>
  <c r="BL8" i="22"/>
  <c r="AX8" i="22"/>
  <c r="CB8" i="22"/>
  <c r="AV8" i="22"/>
  <c r="AJ8" i="22"/>
  <c r="BJ8" i="22"/>
  <c r="CC8" i="22"/>
  <c r="CG8" i="22"/>
  <c r="CA8" i="22"/>
  <c r="BU8" i="22"/>
  <c r="AL8" i="22"/>
  <c r="AQ8" i="22"/>
  <c r="P8" i="22"/>
  <c r="H30" i="2" s="1"/>
  <c r="BD8" i="22"/>
  <c r="BA8" i="22"/>
  <c r="AP8" i="22"/>
  <c r="BF8" i="22"/>
  <c r="CF8" i="22"/>
  <c r="BH8" i="22"/>
  <c r="AI8" i="22"/>
  <c r="AI9" i="22" s="1"/>
  <c r="AS8" i="22"/>
  <c r="BP8" i="22"/>
  <c r="BR8" i="22"/>
  <c r="BB8" i="22"/>
  <c r="BT8" i="22"/>
  <c r="AN8" i="22"/>
  <c r="BK8" i="22"/>
  <c r="BO8" i="22"/>
  <c r="BC8" i="22"/>
  <c r="BI8" i="22"/>
  <c r="AC102" i="5"/>
  <c r="AI20" i="5"/>
  <c r="AI21" i="5" s="1"/>
  <c r="AC100" i="5" s="1"/>
  <c r="AW20" i="5"/>
  <c r="AW21" i="5" s="1"/>
  <c r="R102" i="5"/>
  <c r="X20" i="5"/>
  <c r="X21" i="5" s="1"/>
  <c r="R100" i="5" s="1"/>
  <c r="AF102" i="5"/>
  <c r="AL20" i="5"/>
  <c r="AL21" i="5" s="1"/>
  <c r="AF100" i="5" s="1"/>
  <c r="G17" i="5"/>
  <c r="K17" i="5"/>
  <c r="H17" i="5"/>
  <c r="G102" i="5"/>
  <c r="M20" i="5"/>
  <c r="M21" i="5" s="1"/>
  <c r="AQ20" i="5"/>
  <c r="AQ21" i="5" s="1"/>
  <c r="L102" i="5"/>
  <c r="R20" i="5"/>
  <c r="R21" i="5" s="1"/>
  <c r="L100" i="5" s="1"/>
  <c r="Z102" i="5"/>
  <c r="AF20" i="5"/>
  <c r="AF21" i="5" s="1"/>
  <c r="Z100" i="5" s="1"/>
  <c r="AT20" i="5"/>
  <c r="AT21" i="5" s="1"/>
  <c r="O102" i="5"/>
  <c r="U20" i="5"/>
  <c r="U21" i="5" s="1"/>
  <c r="O100" i="5" s="1"/>
  <c r="G24" i="28" l="1"/>
  <c r="J50" i="28"/>
  <c r="G4" i="28"/>
  <c r="R74" i="2"/>
  <c r="D8" i="3"/>
  <c r="H32" i="2"/>
  <c r="J70" i="28" s="1"/>
  <c r="G19" i="28"/>
  <c r="G9" i="28"/>
  <c r="G34" i="28"/>
  <c r="D25" i="3"/>
  <c r="G29" i="28"/>
  <c r="G14" i="28"/>
  <c r="D16" i="3"/>
  <c r="H33" i="2"/>
  <c r="J81" i="28" s="1"/>
  <c r="AJ9" i="22"/>
  <c r="AK9" i="22" s="1"/>
  <c r="AL9" i="22" s="1"/>
  <c r="AM9" i="22" s="1"/>
  <c r="AN9" i="22" s="1"/>
  <c r="AO9" i="22" s="1"/>
  <c r="AP9" i="22" s="1"/>
  <c r="AQ9" i="22" s="1"/>
  <c r="AR9" i="22" s="1"/>
  <c r="AS9" i="22" s="1"/>
  <c r="AT9" i="22" s="1"/>
  <c r="AU9" i="22" s="1"/>
  <c r="AV9" i="22" s="1"/>
  <c r="AW9" i="22" s="1"/>
  <c r="AX9" i="22" s="1"/>
  <c r="AY9" i="22" s="1"/>
  <c r="AZ9" i="22" s="1"/>
  <c r="BA9" i="22" s="1"/>
  <c r="BB9" i="22" s="1"/>
  <c r="BC9" i="22" s="1"/>
  <c r="BD9" i="22" s="1"/>
  <c r="BE9" i="22" s="1"/>
  <c r="BF9" i="22" s="1"/>
  <c r="BG9" i="22" s="1"/>
  <c r="BH9" i="22" s="1"/>
  <c r="BI9" i="22" s="1"/>
  <c r="BJ9" i="22" s="1"/>
  <c r="BK9" i="22" s="1"/>
  <c r="BL9" i="22" s="1"/>
  <c r="BM9" i="22" s="1"/>
  <c r="BN9" i="22" s="1"/>
  <c r="BO9" i="22" s="1"/>
  <c r="BP9" i="22" s="1"/>
  <c r="BQ9" i="22" s="1"/>
  <c r="BR9" i="22" s="1"/>
  <c r="BS9" i="22" s="1"/>
  <c r="BT9" i="22" s="1"/>
  <c r="BU9" i="22" s="1"/>
  <c r="BV9" i="22" s="1"/>
  <c r="BW9" i="22" s="1"/>
  <c r="BX9" i="22" s="1"/>
  <c r="BY9" i="22" s="1"/>
  <c r="BZ9" i="22" s="1"/>
  <c r="CA9" i="22" s="1"/>
  <c r="CB9" i="22" s="1"/>
  <c r="CC9" i="22" s="1"/>
  <c r="CD9" i="22" s="1"/>
  <c r="CE9" i="22" s="1"/>
  <c r="CF9" i="22" s="1"/>
  <c r="CG9" i="22" s="1"/>
  <c r="CH9" i="22" s="1"/>
  <c r="H26" i="2"/>
  <c r="K20" i="5"/>
  <c r="K21" i="5" s="1"/>
  <c r="H100" i="5"/>
  <c r="H20" i="5"/>
  <c r="H21" i="5" s="1"/>
  <c r="P6" i="2"/>
  <c r="M6" i="2" s="1"/>
  <c r="J6" i="2" s="1"/>
  <c r="G6" i="2" s="1"/>
  <c r="D6" i="2" s="1"/>
  <c r="M22" i="5"/>
  <c r="N22" i="5" s="1"/>
  <c r="O22" i="5" s="1"/>
  <c r="P22" i="5" s="1"/>
  <c r="Q22" i="5" s="1"/>
  <c r="R22" i="5" s="1"/>
  <c r="S22" i="5" s="1"/>
  <c r="T22" i="5" s="1"/>
  <c r="U22" i="5" s="1"/>
  <c r="V22" i="5" s="1"/>
  <c r="W22" i="5" s="1"/>
  <c r="X22" i="5" s="1"/>
  <c r="Y22" i="5" s="1"/>
  <c r="Z22" i="5" s="1"/>
  <c r="AA22" i="5" s="1"/>
  <c r="AB22" i="5" s="1"/>
  <c r="AC22" i="5" s="1"/>
  <c r="AD22" i="5" s="1"/>
  <c r="AE22" i="5" s="1"/>
  <c r="AF22" i="5" s="1"/>
  <c r="AG22" i="5" s="1"/>
  <c r="AH22" i="5" s="1"/>
  <c r="AI22" i="5" s="1"/>
  <c r="AJ22" i="5" s="1"/>
  <c r="AK22" i="5" s="1"/>
  <c r="AL22" i="5" s="1"/>
  <c r="AM22" i="5" s="1"/>
  <c r="AN22" i="5" s="1"/>
  <c r="AO22" i="5" s="1"/>
  <c r="AP22" i="5" s="1"/>
  <c r="AQ22" i="5" s="1"/>
  <c r="AR22" i="5" s="1"/>
  <c r="AS22" i="5" s="1"/>
  <c r="AT22" i="5" s="1"/>
  <c r="AU22" i="5" s="1"/>
  <c r="AV22" i="5" s="1"/>
  <c r="AW22" i="5" s="1"/>
  <c r="AX22" i="5" s="1"/>
  <c r="AY22" i="5" s="1"/>
  <c r="AZ22" i="5" s="1"/>
  <c r="G100" i="5"/>
  <c r="J17" i="5"/>
  <c r="G20" i="5"/>
  <c r="G21" i="5" s="1"/>
  <c r="S12" i="16"/>
  <c r="T11" i="16"/>
  <c r="D66" i="3"/>
  <c r="D73" i="3"/>
  <c r="N86" i="28" l="1"/>
  <c r="M87" i="28"/>
  <c r="L87" i="28" s="1"/>
  <c r="M82" i="28"/>
  <c r="L82" i="28" s="1"/>
  <c r="N85" i="28"/>
  <c r="N88" i="28"/>
  <c r="N84" i="28"/>
  <c r="N87" i="28"/>
  <c r="M88" i="28"/>
  <c r="L88" i="28" s="1"/>
  <c r="M84" i="28"/>
  <c r="L84" i="28" s="1"/>
  <c r="M86" i="28"/>
  <c r="L86" i="28" s="1"/>
  <c r="M83" i="28"/>
  <c r="L83" i="28" s="1"/>
  <c r="N82" i="28"/>
  <c r="N83" i="28"/>
  <c r="M85" i="28"/>
  <c r="L85" i="28" s="1"/>
  <c r="G7" i="28"/>
  <c r="G22" i="28"/>
  <c r="G32" i="28"/>
  <c r="G17" i="28"/>
  <c r="G37" i="28"/>
  <c r="G27" i="28"/>
  <c r="G12" i="28"/>
  <c r="R82" i="2"/>
  <c r="R81" i="2"/>
  <c r="N53" i="28"/>
  <c r="M54" i="28"/>
  <c r="L54" i="28" s="1"/>
  <c r="O54" i="28" s="1"/>
  <c r="M56" i="28"/>
  <c r="L56" i="28" s="1"/>
  <c r="O56" i="28" s="1"/>
  <c r="N51" i="28"/>
  <c r="M53" i="28"/>
  <c r="L53" i="28" s="1"/>
  <c r="O53" i="28" s="1"/>
  <c r="N54" i="28"/>
  <c r="M51" i="28"/>
  <c r="L51" i="28" s="1"/>
  <c r="O51" i="28" s="1"/>
  <c r="N56" i="28"/>
  <c r="N55" i="28"/>
  <c r="M55" i="28"/>
  <c r="L55" i="28" s="1"/>
  <c r="O55" i="28" s="1"/>
  <c r="M57" i="28"/>
  <c r="L57" i="28" s="1"/>
  <c r="O57" i="28" s="1"/>
  <c r="M52" i="28"/>
  <c r="L52" i="28" s="1"/>
  <c r="O52" i="28" s="1"/>
  <c r="N57" i="28"/>
  <c r="N52" i="28"/>
  <c r="N75" i="28"/>
  <c r="N73" i="28"/>
  <c r="N72" i="28"/>
  <c r="M74" i="28"/>
  <c r="L74" i="28" s="1"/>
  <c r="N74" i="28"/>
  <c r="M72" i="28"/>
  <c r="L72" i="28" s="1"/>
  <c r="M77" i="28"/>
  <c r="L77" i="28" s="1"/>
  <c r="N71" i="28"/>
  <c r="N76" i="28"/>
  <c r="M75" i="28"/>
  <c r="L75" i="28" s="1"/>
  <c r="M71" i="28"/>
  <c r="L71" i="28" s="1"/>
  <c r="M76" i="28"/>
  <c r="L76" i="28" s="1"/>
  <c r="M73" i="28"/>
  <c r="L73" i="28" s="1"/>
  <c r="N77" i="28"/>
  <c r="G11" i="28"/>
  <c r="G6" i="28"/>
  <c r="G21" i="28"/>
  <c r="G16" i="28"/>
  <c r="G31" i="28"/>
  <c r="G26" i="28"/>
  <c r="G36" i="28"/>
  <c r="T12" i="16"/>
  <c r="S13" i="16"/>
  <c r="O74" i="2"/>
  <c r="O75" i="2" s="1"/>
  <c r="H29" i="2"/>
  <c r="D72" i="3"/>
  <c r="D65" i="3"/>
  <c r="J20" i="5"/>
  <c r="J21" i="5" s="1"/>
  <c r="AI4" i="22"/>
  <c r="AJ4" i="22" s="1"/>
  <c r="H31" i="2" s="1"/>
  <c r="R54" i="28" l="1"/>
  <c r="Q54" i="28"/>
  <c r="S54" i="28"/>
  <c r="P54" i="28"/>
  <c r="S51" i="28"/>
  <c r="R53" i="28"/>
  <c r="Q51" i="28"/>
  <c r="Q55" i="28"/>
  <c r="S57" i="28"/>
  <c r="S56" i="28"/>
  <c r="R56" i="28"/>
  <c r="P56" i="28"/>
  <c r="Q56" i="28"/>
  <c r="S55" i="28"/>
  <c r="S71" i="28"/>
  <c r="R71" i="28"/>
  <c r="O71" i="28"/>
  <c r="Q71" i="28"/>
  <c r="P71" i="28"/>
  <c r="S53" i="28"/>
  <c r="P88" i="28"/>
  <c r="S88" i="28"/>
  <c r="Q88" i="28"/>
  <c r="O88" i="28"/>
  <c r="R88" i="28"/>
  <c r="Q75" i="28"/>
  <c r="P75" i="28"/>
  <c r="O75" i="28"/>
  <c r="S75" i="28"/>
  <c r="R75" i="28"/>
  <c r="P72" i="28"/>
  <c r="R72" i="28"/>
  <c r="S72" i="28"/>
  <c r="O72" i="28"/>
  <c r="Q72" i="28"/>
  <c r="S52" i="28"/>
  <c r="P53" i="28"/>
  <c r="Q57" i="28"/>
  <c r="Q83" i="28"/>
  <c r="O83" i="28"/>
  <c r="R83" i="28"/>
  <c r="S83" i="28"/>
  <c r="P83" i="28"/>
  <c r="R82" i="28"/>
  <c r="Q82" i="28"/>
  <c r="P82" i="28"/>
  <c r="S82" i="28"/>
  <c r="O82" i="28"/>
  <c r="O77" i="28"/>
  <c r="Q77" i="28"/>
  <c r="P77" i="28"/>
  <c r="R77" i="28"/>
  <c r="S77" i="28"/>
  <c r="G5" i="28"/>
  <c r="G25" i="28"/>
  <c r="G35" i="28"/>
  <c r="G20" i="28"/>
  <c r="G30" i="28"/>
  <c r="G10" i="28"/>
  <c r="G15" i="28"/>
  <c r="J60" i="28"/>
  <c r="P73" i="28"/>
  <c r="S73" i="28"/>
  <c r="R73" i="28"/>
  <c r="O73" i="28"/>
  <c r="Q73" i="28"/>
  <c r="R52" i="28"/>
  <c r="R55" i="28"/>
  <c r="O85" i="28"/>
  <c r="Q85" i="28"/>
  <c r="P85" i="28"/>
  <c r="S85" i="28"/>
  <c r="R85" i="28"/>
  <c r="S86" i="28"/>
  <c r="R86" i="28"/>
  <c r="Q86" i="28"/>
  <c r="P86" i="28"/>
  <c r="O86" i="28"/>
  <c r="Q87" i="28"/>
  <c r="P87" i="28"/>
  <c r="R87" i="28"/>
  <c r="O87" i="28"/>
  <c r="S87" i="28"/>
  <c r="Q52" i="28"/>
  <c r="O76" i="28"/>
  <c r="P76" i="28"/>
  <c r="Q76" i="28"/>
  <c r="S76" i="28"/>
  <c r="R76" i="28"/>
  <c r="P74" i="28"/>
  <c r="S74" i="28"/>
  <c r="Q74" i="28"/>
  <c r="R74" i="28"/>
  <c r="O74" i="28"/>
  <c r="R57" i="28"/>
  <c r="P57" i="28"/>
  <c r="P52" i="28"/>
  <c r="Q53" i="28"/>
  <c r="R51" i="28"/>
  <c r="P55" i="28"/>
  <c r="P51" i="28"/>
  <c r="S84" i="28"/>
  <c r="O84" i="28"/>
  <c r="P84" i="28"/>
  <c r="Q84" i="28"/>
  <c r="R84" i="28"/>
  <c r="O77" i="2"/>
  <c r="O79" i="2" s="1"/>
  <c r="O80" i="2" s="1"/>
  <c r="P75" i="2"/>
  <c r="D74" i="3"/>
  <c r="D67" i="3"/>
  <c r="D68" i="3" s="1"/>
  <c r="T13" i="16"/>
  <c r="S14" i="16"/>
  <c r="N63" i="28" l="1"/>
  <c r="N64" i="28"/>
  <c r="M61" i="28"/>
  <c r="L61" i="28" s="1"/>
  <c r="M62" i="28"/>
  <c r="L62" i="28" s="1"/>
  <c r="N61" i="28"/>
  <c r="M65" i="28"/>
  <c r="L65" i="28" s="1"/>
  <c r="M67" i="28"/>
  <c r="L67" i="28" s="1"/>
  <c r="M64" i="28"/>
  <c r="L64" i="28" s="1"/>
  <c r="N62" i="28"/>
  <c r="N66" i="28"/>
  <c r="N65" i="28"/>
  <c r="N67" i="28"/>
  <c r="M63" i="28"/>
  <c r="L63" i="28" s="1"/>
  <c r="M66" i="28"/>
  <c r="L66" i="28" s="1"/>
  <c r="S15" i="16"/>
  <c r="T14" i="16"/>
  <c r="P77" i="2"/>
  <c r="P79" i="2" s="1"/>
  <c r="P80" i="2" s="1"/>
  <c r="Q75" i="2"/>
  <c r="Q64" i="28" l="1"/>
  <c r="P64" i="28"/>
  <c r="R64" i="28"/>
  <c r="O64" i="28"/>
  <c r="S64" i="28"/>
  <c r="O62" i="28"/>
  <c r="P62" i="28"/>
  <c r="R62" i="28"/>
  <c r="Q62" i="28"/>
  <c r="S62" i="28"/>
  <c r="Q67" i="28"/>
  <c r="P67" i="28"/>
  <c r="S67" i="28"/>
  <c r="R67" i="28"/>
  <c r="O67" i="28"/>
  <c r="R61" i="28"/>
  <c r="P61" i="28"/>
  <c r="Q61" i="28"/>
  <c r="S61" i="28"/>
  <c r="O61" i="28"/>
  <c r="Q66" i="28"/>
  <c r="S66" i="28"/>
  <c r="O66" i="28"/>
  <c r="P66" i="28"/>
  <c r="R66" i="28"/>
  <c r="P65" i="28"/>
  <c r="O65" i="28"/>
  <c r="S65" i="28"/>
  <c r="R65" i="28"/>
  <c r="Q65" i="28"/>
  <c r="S63" i="28"/>
  <c r="R63" i="28"/>
  <c r="O63" i="28"/>
  <c r="P63" i="28"/>
  <c r="Q63" i="28"/>
  <c r="Q77" i="2"/>
  <c r="Q79" i="2" s="1"/>
  <c r="T15" i="16"/>
  <c r="S16" i="16"/>
  <c r="Q80" i="2" l="1"/>
  <c r="T16" i="16"/>
  <c r="S17" i="16"/>
  <c r="T17" i="16" l="1"/>
  <c r="S18" i="16"/>
  <c r="S19" i="16" l="1"/>
  <c r="T18" i="16"/>
  <c r="T19" i="16" l="1"/>
  <c r="S20" i="16"/>
  <c r="S21" i="16" l="1"/>
  <c r="T20" i="16"/>
  <c r="S22" i="16" l="1"/>
  <c r="T21" i="16"/>
  <c r="S23" i="16" l="1"/>
  <c r="T22" i="16"/>
  <c r="S24" i="16" l="1"/>
  <c r="T23" i="16"/>
  <c r="S25" i="16" l="1"/>
  <c r="T24" i="16"/>
  <c r="S26" i="16" l="1"/>
  <c r="T25" i="16"/>
  <c r="S27" i="16" l="1"/>
  <c r="T26" i="16"/>
  <c r="T27" i="16" l="1"/>
  <c r="S28" i="16"/>
  <c r="T28" i="16" l="1"/>
  <c r="S29" i="16"/>
  <c r="S30" i="16" l="1"/>
  <c r="T29" i="16"/>
  <c r="T30" i="16" l="1"/>
  <c r="S31" i="16"/>
  <c r="S32" i="16" l="1"/>
  <c r="T31" i="16"/>
  <c r="S33" i="16" l="1"/>
  <c r="T32" i="16"/>
  <c r="S34" i="16" l="1"/>
  <c r="T33" i="16"/>
  <c r="S35" i="16" l="1"/>
  <c r="T34" i="16"/>
  <c r="S36" i="16" l="1"/>
  <c r="T35" i="16"/>
  <c r="T36" i="16" l="1"/>
  <c r="S37" i="16"/>
  <c r="S38" i="16" l="1"/>
  <c r="T37" i="16"/>
  <c r="S39" i="16" l="1"/>
  <c r="T38" i="16"/>
  <c r="S40" i="16" l="1"/>
  <c r="T39" i="16"/>
  <c r="S41" i="16" l="1"/>
  <c r="T40" i="16"/>
  <c r="T41" i="16" l="1"/>
  <c r="S42" i="16"/>
  <c r="S43" i="16" l="1"/>
  <c r="T42" i="16"/>
  <c r="T43" i="16" l="1"/>
  <c r="S44" i="16"/>
  <c r="T44" i="16" l="1"/>
  <c r="S45" i="16"/>
  <c r="T45" i="16" l="1"/>
  <c r="S46" i="16"/>
  <c r="S47" i="16" l="1"/>
  <c r="T46" i="16"/>
  <c r="S48" i="16" l="1"/>
  <c r="T47" i="16"/>
  <c r="S49" i="16" l="1"/>
  <c r="T49" i="16" s="1"/>
  <c r="T48" i="16"/>
  <c r="T6" i="16" l="1"/>
</calcChain>
</file>

<file path=xl/sharedStrings.xml><?xml version="1.0" encoding="utf-8"?>
<sst xmlns="http://schemas.openxmlformats.org/spreadsheetml/2006/main" count="2343" uniqueCount="1091">
  <si>
    <t>Sensitivities</t>
  </si>
  <si>
    <t>Evaluation Parameters</t>
  </si>
  <si>
    <t>K$</t>
  </si>
  <si>
    <t>MMSCFD</t>
  </si>
  <si>
    <t>BCF</t>
  </si>
  <si>
    <t>Discount Date</t>
  </si>
  <si>
    <t>NPV</t>
  </si>
  <si>
    <t>IRR</t>
  </si>
  <si>
    <t>DROI</t>
  </si>
  <si>
    <t>Committed DROI</t>
  </si>
  <si>
    <t>Royalty Calculation ($M)</t>
  </si>
  <si>
    <t>Loss Rec</t>
  </si>
  <si>
    <t>Royalty Rec</t>
  </si>
  <si>
    <t>Total</t>
  </si>
  <si>
    <t>Year</t>
  </si>
  <si>
    <t>Revenue</t>
  </si>
  <si>
    <t>Pre-Devel</t>
  </si>
  <si>
    <t>Capital</t>
  </si>
  <si>
    <t>Operating</t>
  </si>
  <si>
    <t>Abandonment</t>
  </si>
  <si>
    <t>Pre-Payout</t>
  </si>
  <si>
    <t>Allowable</t>
  </si>
  <si>
    <t>Simple Payout</t>
  </si>
  <si>
    <t>Months</t>
  </si>
  <si>
    <t xml:space="preserve">Weighted </t>
  </si>
  <si>
    <t>Return Allowance</t>
  </si>
  <si>
    <t>Payout Balances</t>
  </si>
  <si>
    <t>Cum Prod</t>
  </si>
  <si>
    <t>Months at Royalty Rate</t>
  </si>
  <si>
    <t>Net</t>
  </si>
  <si>
    <t>Full Year Royalty Liability at each Tier</t>
  </si>
  <si>
    <t xml:space="preserve"> Royalty Liability at each Tier</t>
  </si>
  <si>
    <t xml:space="preserve">Royalty </t>
  </si>
  <si>
    <t xml:space="preserve">Loss To </t>
  </si>
  <si>
    <t xml:space="preserve">Profit for </t>
  </si>
  <si>
    <t>Loss</t>
  </si>
  <si>
    <t>Revised</t>
  </si>
  <si>
    <t>Repayment</t>
  </si>
  <si>
    <t>Royalty</t>
  </si>
  <si>
    <t>Royalty with</t>
  </si>
  <si>
    <t>Payout Month</t>
  </si>
  <si>
    <t>Costs</t>
  </si>
  <si>
    <t>Cost</t>
  </si>
  <si>
    <t>Full-year</t>
  </si>
  <si>
    <t>Field Costs</t>
  </si>
  <si>
    <t>Closing</t>
  </si>
  <si>
    <t>Av Bal</t>
  </si>
  <si>
    <t>Primary</t>
  </si>
  <si>
    <t>Secondary</t>
  </si>
  <si>
    <t>Final</t>
  </si>
  <si>
    <t>Pre-Payout GR</t>
  </si>
  <si>
    <t>Post-Payout GR</t>
  </si>
  <si>
    <t>Tier 1 NR</t>
  </si>
  <si>
    <t>Tier 2 NR</t>
  </si>
  <si>
    <t>Liability</t>
  </si>
  <si>
    <t>Carry Back</t>
  </si>
  <si>
    <t>Recovered</t>
  </si>
  <si>
    <t>Index</t>
  </si>
  <si>
    <t>Amount</t>
  </si>
  <si>
    <t>Abandon</t>
  </si>
  <si>
    <t>Simple</t>
  </si>
  <si>
    <t>Balance</t>
  </si>
  <si>
    <t>Receipt</t>
  </si>
  <si>
    <t>Historic</t>
  </si>
  <si>
    <t>Discount Rate</t>
  </si>
  <si>
    <t>Discount To</t>
  </si>
  <si>
    <t>Decision Date</t>
  </si>
  <si>
    <t>Run Seismic</t>
  </si>
  <si>
    <t>Drill Wildcat</t>
  </si>
  <si>
    <t>Appraise Reservoir</t>
  </si>
  <si>
    <t>Plan Development</t>
  </si>
  <si>
    <t>Develop Field</t>
  </si>
  <si>
    <t>Economic Scenario</t>
  </si>
  <si>
    <t>Cost Set</t>
  </si>
  <si>
    <t>Project Parameters</t>
  </si>
  <si>
    <t>Project Name</t>
  </si>
  <si>
    <t>Prospect X</t>
  </si>
  <si>
    <t>Current Project Stage</t>
  </si>
  <si>
    <t>Seismic</t>
  </si>
  <si>
    <t>Start Date</t>
  </si>
  <si>
    <t>Development Method</t>
  </si>
  <si>
    <t>First Production Date</t>
  </si>
  <si>
    <t>Infrastructure Type</t>
  </si>
  <si>
    <t>Abandonment Date</t>
  </si>
  <si>
    <t>Export Distance (km)</t>
  </si>
  <si>
    <t>Risk Parameters</t>
  </si>
  <si>
    <t>Wildcat</t>
  </si>
  <si>
    <t>Appraisal</t>
  </si>
  <si>
    <t>Development Planning</t>
  </si>
  <si>
    <t>Technical Parameters</t>
  </si>
  <si>
    <t>Reservoir Depth (m MSL)</t>
  </si>
  <si>
    <t>Reservoir Complexity</t>
  </si>
  <si>
    <t>Medium</t>
  </si>
  <si>
    <t xml:space="preserve">Areal Extent Factor </t>
  </si>
  <si>
    <t>Reservoir Pressure</t>
  </si>
  <si>
    <t>Normally Pressured</t>
  </si>
  <si>
    <t>Gas Calorific Value (btu/scf)</t>
  </si>
  <si>
    <t>Liquid Yield (bbl/mcf)</t>
  </si>
  <si>
    <t>Gas Type</t>
  </si>
  <si>
    <t>Sweet</t>
  </si>
  <si>
    <t>Water Depth (metres)</t>
  </si>
  <si>
    <t>Total Costs</t>
  </si>
  <si>
    <t>Tax / Royalty Parameters</t>
  </si>
  <si>
    <t>Small Reserves for Royalty</t>
  </si>
  <si>
    <t>No</t>
  </si>
  <si>
    <t>Internal rate of Return</t>
  </si>
  <si>
    <t>High Risk for Royalty</t>
  </si>
  <si>
    <t>Yes</t>
  </si>
  <si>
    <t>Discounted Return on Investment</t>
  </si>
  <si>
    <t>Flow-through for Tax</t>
  </si>
  <si>
    <t>Development Stage</t>
  </si>
  <si>
    <t>Reserves</t>
  </si>
  <si>
    <t>Reservoir Depth</t>
  </si>
  <si>
    <t>Reservoir Depth (metres)</t>
  </si>
  <si>
    <t>Economics Scenario</t>
  </si>
  <si>
    <t>Base</t>
  </si>
  <si>
    <t>Low</t>
  </si>
  <si>
    <t>High</t>
  </si>
  <si>
    <t>Gas Price</t>
  </si>
  <si>
    <t>Exploration Costs</t>
  </si>
  <si>
    <t>Capital Costs</t>
  </si>
  <si>
    <t>Operating Costs</t>
  </si>
  <si>
    <t>Chance of Development</t>
  </si>
  <si>
    <t>Economic Parameters</t>
  </si>
  <si>
    <t>Project Stage</t>
  </si>
  <si>
    <t>Success Case Total ($M)</t>
  </si>
  <si>
    <t>Probability</t>
  </si>
  <si>
    <t>Risked Total ($M)</t>
  </si>
  <si>
    <t>Success Case Cash Flow ($M)</t>
  </si>
  <si>
    <t>Gas Revenue</t>
  </si>
  <si>
    <t>Liquids Revenue</t>
  </si>
  <si>
    <t>Total Revenue</t>
  </si>
  <si>
    <t>Facilities &amp; Pipelines</t>
  </si>
  <si>
    <t>Development Drilling</t>
  </si>
  <si>
    <t>Operations</t>
  </si>
  <si>
    <t>Provincial Income Tax</t>
  </si>
  <si>
    <t>Federal Income Tax</t>
  </si>
  <si>
    <t>Net Cash Flow</t>
  </si>
  <si>
    <t>Overriden Cost and Production</t>
  </si>
  <si>
    <t>All Cost in Today's Money Estimate Year:</t>
  </si>
  <si>
    <t>Seismic Costs &amp; Schedule</t>
  </si>
  <si>
    <t>Model Calculated</t>
  </si>
  <si>
    <t>Exoloration Times and Uninflated Costs</t>
  </si>
  <si>
    <t>Input</t>
  </si>
  <si>
    <t>Input Lag to Next Activity (days)</t>
  </si>
  <si>
    <t xml:space="preserve">Input </t>
  </si>
  <si>
    <t>Duration</t>
  </si>
  <si>
    <t>(days)</t>
  </si>
  <si>
    <t>Seismic Processing</t>
  </si>
  <si>
    <t>Wildcat Costs &amp; Schedule</t>
  </si>
  <si>
    <t>Wildcat Review</t>
  </si>
  <si>
    <t>Appraisal Costs &amp; Schedule</t>
  </si>
  <si>
    <t>Appraisal Well 1</t>
  </si>
  <si>
    <t>Appraisal Well 2</t>
  </si>
  <si>
    <t>Appraisal Well 3</t>
  </si>
  <si>
    <t>Appraisal Well 4</t>
  </si>
  <si>
    <t>Appraisal Well 5</t>
  </si>
  <si>
    <t>Preliminary Engineering Cost</t>
  </si>
  <si>
    <t>Days to Development Start</t>
  </si>
  <si>
    <t>days</t>
  </si>
  <si>
    <t>Development &amp; Production</t>
  </si>
  <si>
    <t>Uninflated Capital Costs, Production and Operating Costs from Development Start (M$)</t>
  </si>
  <si>
    <t>Main</t>
  </si>
  <si>
    <t>Topsides</t>
  </si>
  <si>
    <t>Subsea &amp;</t>
  </si>
  <si>
    <t>Export</t>
  </si>
  <si>
    <t>Engineering</t>
  </si>
  <si>
    <t>Contingency</t>
  </si>
  <si>
    <t>Gas Production</t>
  </si>
  <si>
    <t>Wells</t>
  </si>
  <si>
    <t>Structure</t>
  </si>
  <si>
    <t>Flowlines</t>
  </si>
  <si>
    <t>Pipeline</t>
  </si>
  <si>
    <t>&amp; Proj Man</t>
  </si>
  <si>
    <t>(BCF)</t>
  </si>
  <si>
    <t>Year from Development Start</t>
  </si>
  <si>
    <t>Abandonment Cost</t>
  </si>
  <si>
    <t>Abadonment Cost (M$)</t>
  </si>
  <si>
    <t>Historical Costs</t>
  </si>
  <si>
    <t>Costs for Royalty</t>
  </si>
  <si>
    <t>CDE Opening Balance</t>
  </si>
  <si>
    <t>CEE Opening Balance</t>
  </si>
  <si>
    <t>Exploration Schedule and Costs Model</t>
  </si>
  <si>
    <t>Probabilities</t>
  </si>
  <si>
    <t xml:space="preserve">Development </t>
  </si>
  <si>
    <t>No. of Appraisal Wells</t>
  </si>
  <si>
    <t>Override Seismic?</t>
  </si>
  <si>
    <t>Override Wildcat?</t>
  </si>
  <si>
    <t>Override Appraisal?</t>
  </si>
  <si>
    <t>Pressure Factor</t>
  </si>
  <si>
    <t>Calculated</t>
  </si>
  <si>
    <t>Selected</t>
  </si>
  <si>
    <t>Count</t>
  </si>
  <si>
    <t>Start</t>
  </si>
  <si>
    <t xml:space="preserve">End </t>
  </si>
  <si>
    <t>Start Year</t>
  </si>
  <si>
    <t>End Year</t>
  </si>
  <si>
    <t>appraisal cost risk adjustment factor</t>
  </si>
  <si>
    <t>Depth</t>
  </si>
  <si>
    <t>Lag</t>
  </si>
  <si>
    <t>Cost ($K)</t>
  </si>
  <si>
    <t>End Date</t>
  </si>
  <si>
    <t>Cost ($M)</t>
  </si>
  <si>
    <t>Percent</t>
  </si>
  <si>
    <t>Costs ($M)</t>
  </si>
  <si>
    <t>seismic</t>
  </si>
  <si>
    <t>The cost risk factor for appraisal is adjusted to account for some abortive appraisal programs requiring less wells.  It is assumed that the number of wells in abortive programs is uniformly distributed between 1 and n, where n is the number of wells in the successful program.  The equation for the factor is (where p is the probability of proceeding to development planning) : p+(1-p)*(n+1)/(2*n)</t>
  </si>
  <si>
    <t>wildcat</t>
  </si>
  <si>
    <t>app</t>
  </si>
  <si>
    <t>dev plan</t>
  </si>
  <si>
    <t>total</t>
  </si>
  <si>
    <t>cee</t>
  </si>
  <si>
    <t>cde</t>
  </si>
  <si>
    <t>cca41</t>
  </si>
  <si>
    <t>Unrisked &amp; Uninflated Costs ($M)</t>
  </si>
  <si>
    <t>Inflated Costs ($M)</t>
  </si>
  <si>
    <t>Risked &amp; Inflated Costs ($M)</t>
  </si>
  <si>
    <t>CEE</t>
  </si>
  <si>
    <t>Roy Pre-dev</t>
  </si>
  <si>
    <t>Processing</t>
  </si>
  <si>
    <t>Review</t>
  </si>
  <si>
    <t>Well 1</t>
  </si>
  <si>
    <t>Well 2</t>
  </si>
  <si>
    <t>Well 3</t>
  </si>
  <si>
    <t>Well 4</t>
  </si>
  <si>
    <t>Well 5</t>
  </si>
  <si>
    <t>Exploration</t>
  </si>
  <si>
    <t>Development Schedule and Costs Model</t>
  </si>
  <si>
    <t>Override Prelim Eng</t>
  </si>
  <si>
    <t>Preliminary Engineering</t>
  </si>
  <si>
    <t>Month</t>
  </si>
  <si>
    <t>Submit for Regulatory Approval</t>
  </si>
  <si>
    <t>Development Approval</t>
  </si>
  <si>
    <t>Development Start</t>
  </si>
  <si>
    <t>Year 1</t>
  </si>
  <si>
    <t>Year 2</t>
  </si>
  <si>
    <t>Drilling &amp; Completion</t>
  </si>
  <si>
    <t>drill</t>
  </si>
  <si>
    <t>complete</t>
  </si>
  <si>
    <t>cost ($K)</t>
  </si>
  <si>
    <t>Keeper Appraisal Wells</t>
  </si>
  <si>
    <t>Platform Keeper Wells</t>
  </si>
  <si>
    <t>Subsea Keeper Wells</t>
  </si>
  <si>
    <t>No. Of New D&amp;C wells</t>
  </si>
  <si>
    <t>No. Of Predrill Wells</t>
  </si>
  <si>
    <t>New Subsea Wells (D&amp;C)</t>
  </si>
  <si>
    <t>No. Of  Subsea Wells</t>
  </si>
  <si>
    <t>Depths and Lengths</t>
  </si>
  <si>
    <t>metres</t>
  </si>
  <si>
    <t>Av Subsea Flowline Bundle Length</t>
  </si>
  <si>
    <t>km</t>
  </si>
  <si>
    <t>Export Pipeline Length</t>
  </si>
  <si>
    <t>Well Program and Cost Phasing</t>
  </si>
  <si>
    <t>time</t>
  </si>
  <si>
    <t>wells at</t>
  </si>
  <si>
    <t>Year1</t>
  </si>
  <si>
    <t>Year2</t>
  </si>
  <si>
    <t>Year3</t>
  </si>
  <si>
    <t>Year4</t>
  </si>
  <si>
    <t>Year 5</t>
  </si>
  <si>
    <t>1st prod</t>
  </si>
  <si>
    <t>Completions</t>
  </si>
  <si>
    <t>New Platform D&amp;C Wells</t>
  </si>
  <si>
    <t>Predrill Wells</t>
  </si>
  <si>
    <t>First Production</t>
  </si>
  <si>
    <t>Wells at 1st Production</t>
  </si>
  <si>
    <t>End Drilling</t>
  </si>
  <si>
    <t>Base Times</t>
  </si>
  <si>
    <t>Time</t>
  </si>
  <si>
    <t>Install</t>
  </si>
  <si>
    <t>Jackup Construct</t>
  </si>
  <si>
    <t>Platform Construct</t>
  </si>
  <si>
    <t>Subsea Manifold</t>
  </si>
  <si>
    <t>Topsides (fixed platform)</t>
  </si>
  <si>
    <t>Subsea Flowlines</t>
  </si>
  <si>
    <t>Export Pipeline</t>
  </si>
  <si>
    <t>Selected Times and Costs</t>
  </si>
  <si>
    <t>Onshore</t>
  </si>
  <si>
    <t>Offshore</t>
  </si>
  <si>
    <t>Time before</t>
  </si>
  <si>
    <t>Facilities</t>
  </si>
  <si>
    <t>install</t>
  </si>
  <si>
    <t>1st Third</t>
  </si>
  <si>
    <t>2nd Third</t>
  </si>
  <si>
    <t>MainStructure / Manifold</t>
  </si>
  <si>
    <t>Topside Facilities</t>
  </si>
  <si>
    <t>Subsea Surface &amp; Flowlines</t>
  </si>
  <si>
    <t>Engineering &amp; Project Management</t>
  </si>
  <si>
    <t>max time</t>
  </si>
  <si>
    <t>Overridden Capital Costs ($M)</t>
  </si>
  <si>
    <t>Inflated Capital Costs ($M)</t>
  </si>
  <si>
    <t>Inflated Post Abandon ($M)</t>
  </si>
  <si>
    <t>Tax Classes ($M)</t>
  </si>
  <si>
    <t>Royalty ($M)</t>
  </si>
  <si>
    <t>Risked Development ($M)</t>
  </si>
  <si>
    <t>Unrisked Pre-inflated Capital Costs ($M)</t>
  </si>
  <si>
    <t>Override</t>
  </si>
  <si>
    <t>current</t>
  </si>
  <si>
    <t>prev</t>
  </si>
  <si>
    <t>Main Structure</t>
  </si>
  <si>
    <t>Subsea &amp; Flowline</t>
  </si>
  <si>
    <t>Engineering &amp; Proj Man</t>
  </si>
  <si>
    <t>Devel Year</t>
  </si>
  <si>
    <t>Prelim Eng</t>
  </si>
  <si>
    <t>CDE</t>
  </si>
  <si>
    <t>CCA41</t>
  </si>
  <si>
    <t>CCA8 / CCA 49</t>
  </si>
  <si>
    <t>Capital for Royalty</t>
  </si>
  <si>
    <t>Unrisked Facilities</t>
  </si>
  <si>
    <t>uplift</t>
  </si>
  <si>
    <t>Gas and Liquids Production Model</t>
  </si>
  <si>
    <t>Production Date</t>
  </si>
  <si>
    <t>Production Year</t>
  </si>
  <si>
    <t>Production Month</t>
  </si>
  <si>
    <t>Time to Plateau</t>
  </si>
  <si>
    <t>Days</t>
  </si>
  <si>
    <t>min - no plateau</t>
  </si>
  <si>
    <t>Initial Rate</t>
  </si>
  <si>
    <t>Plateau Rate</t>
  </si>
  <si>
    <t>adjusted Plateau Rate</t>
  </si>
  <si>
    <t>Reserves end Plateau</t>
  </si>
  <si>
    <t>Decline per Year</t>
  </si>
  <si>
    <t>Ramp Rate</t>
  </si>
  <si>
    <t>exponential factor</t>
  </si>
  <si>
    <t>decline length</t>
  </si>
  <si>
    <t>Dates</t>
  </si>
  <si>
    <t>bcf</t>
  </si>
  <si>
    <t>At Plateau</t>
  </si>
  <si>
    <t>End Plateau</t>
  </si>
  <si>
    <t>Override Sales Volumes</t>
  </si>
  <si>
    <t>Sales Volume</t>
  </si>
  <si>
    <t>Risked Sales Post Abandon</t>
  </si>
  <si>
    <t>Unrisked Sales Post Abandonment</t>
  </si>
  <si>
    <t>Post Abandonment</t>
  </si>
  <si>
    <t>Ramp</t>
  </si>
  <si>
    <t>Plateau</t>
  </si>
  <si>
    <t>Decline</t>
  </si>
  <si>
    <t>Av rate</t>
  </si>
  <si>
    <t>Av Rate</t>
  </si>
  <si>
    <t>Prod</t>
  </si>
  <si>
    <t>Gas</t>
  </si>
  <si>
    <t>Devel year</t>
  </si>
  <si>
    <t>Condensate</t>
  </si>
  <si>
    <t>ratio</t>
  </si>
  <si>
    <t>MMBOE</t>
  </si>
  <si>
    <t>MBOE/day</t>
  </si>
  <si>
    <t>Revenue Calculations</t>
  </si>
  <si>
    <t>Unrisked Revenue Pre Abandon</t>
  </si>
  <si>
    <t>Revenue Post Abandon</t>
  </si>
  <si>
    <t>Risked Revenue Post Abandonment</t>
  </si>
  <si>
    <t>Unrisked Post Abandon</t>
  </si>
  <si>
    <t xml:space="preserve">Gas </t>
  </si>
  <si>
    <t>Sales</t>
  </si>
  <si>
    <t>Price</t>
  </si>
  <si>
    <t>$/MCF</t>
  </si>
  <si>
    <t>$M</t>
  </si>
  <si>
    <t>$/BBL</t>
  </si>
  <si>
    <t>Operating Costs Model</t>
  </si>
  <si>
    <t>Facility Type</t>
  </si>
  <si>
    <t>Row</t>
  </si>
  <si>
    <t>Facility Fixed</t>
  </si>
  <si>
    <t>M$/year</t>
  </si>
  <si>
    <t>Facility Variable</t>
  </si>
  <si>
    <t>Export Rate</t>
  </si>
  <si>
    <t>Subsea Intervention</t>
  </si>
  <si>
    <t>M$/year/well</t>
  </si>
  <si>
    <t>Surface Intervention</t>
  </si>
  <si>
    <t>Override Operating Cost</t>
  </si>
  <si>
    <t>Unrisked and Uniflated ($M)</t>
  </si>
  <si>
    <t>Override ($M)</t>
  </si>
  <si>
    <t>Inflated ($M)</t>
  </si>
  <si>
    <t>Post Abandon ($M)</t>
  </si>
  <si>
    <t>Risked Post Abandon ($M)</t>
  </si>
  <si>
    <t>Well</t>
  </si>
  <si>
    <t>Tariff</t>
  </si>
  <si>
    <t>for Royalty</t>
  </si>
  <si>
    <t>Intervention</t>
  </si>
  <si>
    <t>probability</t>
  </si>
  <si>
    <t>Abandonment Schedule &amp; Costs Model</t>
  </si>
  <si>
    <t>Devl Year</t>
  </si>
  <si>
    <t>Abandon Year</t>
  </si>
  <si>
    <t>Abandon Cost</t>
  </si>
  <si>
    <t>Adjusted</t>
  </si>
  <si>
    <t>Resource Life</t>
  </si>
  <si>
    <t>Unrisked Development Cash Flows ($M)</t>
  </si>
  <si>
    <t>Cum</t>
  </si>
  <si>
    <t>Risked</t>
  </si>
  <si>
    <t>Cash Flow</t>
  </si>
  <si>
    <t>Flag</t>
  </si>
  <si>
    <t>Federal Corporate Income Tax Calculation ($M)</t>
  </si>
  <si>
    <t>Adjusted to</t>
  </si>
  <si>
    <t>Costs for</t>
  </si>
  <si>
    <t>Opening</t>
  </si>
  <si>
    <t>CCA8 / CCA49</t>
  </si>
  <si>
    <t>Resource</t>
  </si>
  <si>
    <t>Profit before</t>
  </si>
  <si>
    <t>Loss to cb</t>
  </si>
  <si>
    <t>avail cb</t>
  </si>
  <si>
    <t>Loss to</t>
  </si>
  <si>
    <t>Taxable</t>
  </si>
  <si>
    <t>Tax Rate</t>
  </si>
  <si>
    <t>Tax</t>
  </si>
  <si>
    <t>for CCA41</t>
  </si>
  <si>
    <t>First Prod</t>
  </si>
  <si>
    <t xml:space="preserve"> CCA8 / CCA49</t>
  </si>
  <si>
    <t>Profit</t>
  </si>
  <si>
    <t>For CDE</t>
  </si>
  <si>
    <t>Loss cb/cf</t>
  </si>
  <si>
    <t>next period</t>
  </si>
  <si>
    <t>Carry Forward</t>
  </si>
  <si>
    <t>Provincial Corporate Income Tax Calculation ($M)</t>
  </si>
  <si>
    <t>Provincial</t>
  </si>
  <si>
    <t>Federal</t>
  </si>
  <si>
    <t>Cumulative</t>
  </si>
  <si>
    <t>Payout</t>
  </si>
  <si>
    <t>Before Tax</t>
  </si>
  <si>
    <t>Income Tax</t>
  </si>
  <si>
    <t>Gov. Take</t>
  </si>
  <si>
    <t>After Tax</t>
  </si>
  <si>
    <t>Date</t>
  </si>
  <si>
    <t>% 1st year</t>
  </si>
  <si>
    <t>1st Year</t>
  </si>
  <si>
    <t>year1 df</t>
  </si>
  <si>
    <t>transposed Discount Factor</t>
  </si>
  <si>
    <t>committed</t>
  </si>
  <si>
    <t xml:space="preserve">Discount </t>
  </si>
  <si>
    <t>Investment</t>
  </si>
  <si>
    <t>Factor</t>
  </si>
  <si>
    <t>1st  year</t>
  </si>
  <si>
    <t>Selected Economic Assumptions</t>
  </si>
  <si>
    <t>Scenario</t>
  </si>
  <si>
    <t>Offset</t>
  </si>
  <si>
    <t>Estimate Year</t>
  </si>
  <si>
    <t>Ring Fence</t>
  </si>
  <si>
    <t xml:space="preserve">Ring Fence </t>
  </si>
  <si>
    <t>Exchange Rate</t>
  </si>
  <si>
    <t xml:space="preserve">Cost </t>
  </si>
  <si>
    <t>Long-term</t>
  </si>
  <si>
    <t>Inflation</t>
  </si>
  <si>
    <t xml:space="preserve">Gas Price </t>
  </si>
  <si>
    <t>Bond</t>
  </si>
  <si>
    <t>US$/BBL</t>
  </si>
  <si>
    <t>US$/MMBTU</t>
  </si>
  <si>
    <t>US$/$Cdn</t>
  </si>
  <si>
    <t>Rate</t>
  </si>
  <si>
    <t>General Production and Schedule Assumptions</t>
  </si>
  <si>
    <t>Profile Parameters</t>
  </si>
  <si>
    <t>%</t>
  </si>
  <si>
    <t>on Plateau</t>
  </si>
  <si>
    <t>BOE Factor (MSCF/BBL)</t>
  </si>
  <si>
    <t>Well Productivity Parameters</t>
  </si>
  <si>
    <t>Bcf per well</t>
  </si>
  <si>
    <t>Aerial Extent</t>
  </si>
  <si>
    <t>Multiplier</t>
  </si>
  <si>
    <t>Reservoir Complexity Multiplier on Number of Wells</t>
  </si>
  <si>
    <t>Reservoir Pressure Type</t>
  </si>
  <si>
    <t>Subsea Bundle Length (km)</t>
  </si>
  <si>
    <t>Length</t>
  </si>
  <si>
    <t>Number of Appraisal Wells (Success Case)</t>
  </si>
  <si>
    <t>Number</t>
  </si>
  <si>
    <t>Construct &amp; Installation times</t>
  </si>
  <si>
    <t>Onshore Fabrication</t>
  </si>
  <si>
    <t>Offshore Installation</t>
  </si>
  <si>
    <t>Fixed</t>
  </si>
  <si>
    <t>Variable</t>
  </si>
  <si>
    <t>per</t>
  </si>
  <si>
    <t>metre</t>
  </si>
  <si>
    <t>well</t>
  </si>
  <si>
    <t>Buffer Time</t>
  </si>
  <si>
    <t>General Cost &amp; Time Assumptions</t>
  </si>
  <si>
    <t>Selected Set</t>
  </si>
  <si>
    <t>Set1</t>
  </si>
  <si>
    <t>Set2</t>
  </si>
  <si>
    <t>Set3</t>
  </si>
  <si>
    <t>Set4</t>
  </si>
  <si>
    <t>Name</t>
  </si>
  <si>
    <t>Estimate Date</t>
  </si>
  <si>
    <t>Shallow Water</t>
  </si>
  <si>
    <t>Deep Water</t>
  </si>
  <si>
    <t>Set No.</t>
  </si>
  <si>
    <t>Seismic &amp; Fixed Times</t>
  </si>
  <si>
    <t>Seismic Program Time</t>
  </si>
  <si>
    <t>Seismic Program Cost</t>
  </si>
  <si>
    <t>Seismic Processing Time</t>
  </si>
  <si>
    <t>Seismic Processing Cost</t>
  </si>
  <si>
    <t>Processing to Wildcat Time</t>
  </si>
  <si>
    <t>Wildcat Review Time</t>
  </si>
  <si>
    <t>Widcat Review Cost</t>
  </si>
  <si>
    <t>Wildcat to Appraisal Time</t>
  </si>
  <si>
    <t>Appraisal Review Time</t>
  </si>
  <si>
    <t>Appraisal Review Cost</t>
  </si>
  <si>
    <t>Time Between Appraisal Wells</t>
  </si>
  <si>
    <t>Appraisal to Preliminary Engineering</t>
  </si>
  <si>
    <t>Prelim Eng &amp; Regulatory Prep</t>
  </si>
  <si>
    <t>Regulatory Approval</t>
  </si>
  <si>
    <t xml:space="preserve">Rig Rate </t>
  </si>
  <si>
    <t>$/day</t>
  </si>
  <si>
    <t>Exploration / Appraisal Well Drilling</t>
  </si>
  <si>
    <t>Fixed Cost per well</t>
  </si>
  <si>
    <t>$/metre</t>
  </si>
  <si>
    <t>Variable Cost per day (non-rig)</t>
  </si>
  <si>
    <t>Fixed days</t>
  </si>
  <si>
    <t>Average metres / day</t>
  </si>
  <si>
    <t>metre/day</t>
  </si>
  <si>
    <t>Development Well Drilling</t>
  </si>
  <si>
    <t>Well Completion</t>
  </si>
  <si>
    <t>fixed</t>
  </si>
  <si>
    <t>Fixed Cost per metre</t>
  </si>
  <si>
    <t>var</t>
  </si>
  <si>
    <t>Reenter &amp; clean keeper</t>
  </si>
  <si>
    <t>Renenter predrill</t>
  </si>
  <si>
    <t>Fixed Cost</t>
  </si>
  <si>
    <t>Variable Cost</t>
  </si>
  <si>
    <t>$/mcf</t>
  </si>
  <si>
    <t>Fixed Platform Fixed Cost</t>
  </si>
  <si>
    <t>K$/metre</t>
  </si>
  <si>
    <t>Fixed Platform Topside Fixed Cost</t>
  </si>
  <si>
    <t>Fixed Platform Variable Cost</t>
  </si>
  <si>
    <t>K$/MMSCFD</t>
  </si>
  <si>
    <t>Production Jack-up Fixed Cost</t>
  </si>
  <si>
    <t>Production Jack-up Topside Fixed Cost</t>
  </si>
  <si>
    <t>Jack-up Topside Variable Cost</t>
  </si>
  <si>
    <t>Additional Fixed Process Cost Sour Gas</t>
  </si>
  <si>
    <t>Additional Variable Process Cost Sour Gas</t>
  </si>
  <si>
    <t>Subsea Well Flowline Bundle</t>
  </si>
  <si>
    <t>K$/Km</t>
  </si>
  <si>
    <t>Subsea Manifold Fixed Cost</t>
  </si>
  <si>
    <t xml:space="preserve">Subsea Manifold Cost </t>
  </si>
  <si>
    <t>K$/well</t>
  </si>
  <si>
    <t>Export to Shore Pipeline Fixed Cost</t>
  </si>
  <si>
    <t>Export to Shore Pipeline Variable Cost</t>
  </si>
  <si>
    <t>K$/km</t>
  </si>
  <si>
    <t>Satellite Pipeline Fixed Cost - Sweet</t>
  </si>
  <si>
    <t>Satellite Pipeline Variable Cost - Sweet</t>
  </si>
  <si>
    <t>Satellite Pipeline Fixed Cost - Sour</t>
  </si>
  <si>
    <t>Satellite Pipeline Variable Cost - Sour</t>
  </si>
  <si>
    <t>Subsea Export Bundle Fixed Cost - Sweet</t>
  </si>
  <si>
    <t>Subsea Export Bundle Variable Cost - Sweet</t>
  </si>
  <si>
    <t>Subsea Export Bundle Fixed Cost - Sour</t>
  </si>
  <si>
    <t>Subsea Export Bundle Variable Cost - Sour</t>
  </si>
  <si>
    <t xml:space="preserve">Engineering and Project Management </t>
  </si>
  <si>
    <t>Facilities Contingency</t>
  </si>
  <si>
    <t>Fixed Platform Fixed</t>
  </si>
  <si>
    <t>Fixed Platform per depth</t>
  </si>
  <si>
    <t>Jack-up Fixed Cost</t>
  </si>
  <si>
    <t>Cost per Surface Well</t>
  </si>
  <si>
    <t>Cost per Subsea Well &amp; Flowline Bundle</t>
  </si>
  <si>
    <t>Export Pipeline variable cost</t>
  </si>
  <si>
    <t>Satellite Pipeline variable cost</t>
  </si>
  <si>
    <t>Platform &amp; Jack-up Facilities</t>
  </si>
  <si>
    <t xml:space="preserve">Fixed Cost /Year </t>
  </si>
  <si>
    <t>subsea</t>
  </si>
  <si>
    <t>basic process, water knock out</t>
  </si>
  <si>
    <t>full process, sweet</t>
  </si>
  <si>
    <t>full process, sour</t>
  </si>
  <si>
    <t>Fixed Cost /Year / Capacity</t>
  </si>
  <si>
    <t>$/MMSCFD</t>
  </si>
  <si>
    <t>Transport &amp; Process Tariff</t>
  </si>
  <si>
    <t>Satellite to Main Platform - Sweet</t>
  </si>
  <si>
    <t>Satellite to Main Platform - Sour</t>
  </si>
  <si>
    <t>Subsea Process &amp; Transport - Sweet</t>
  </si>
  <si>
    <t>Subsea Process &amp; Transport - Sour</t>
  </si>
  <si>
    <t>Pipelines</t>
  </si>
  <si>
    <t>K$ / km</t>
  </si>
  <si>
    <t>Subsea Intervention Cost</t>
  </si>
  <si>
    <t>Surface Intervention Cost</t>
  </si>
  <si>
    <t>Intervention Frequency / Well</t>
  </si>
  <si>
    <t>years</t>
  </si>
  <si>
    <t>Economic Scenarios</t>
  </si>
  <si>
    <t>Scenario 1</t>
  </si>
  <si>
    <t>Scenario 2</t>
  </si>
  <si>
    <t>Scenario 3</t>
  </si>
  <si>
    <t>Scenario 4</t>
  </si>
  <si>
    <t>Scenario 5</t>
  </si>
  <si>
    <t xml:space="preserve">Exchange </t>
  </si>
  <si>
    <t>Royalty and Tax Pools</t>
  </si>
  <si>
    <t>Historic Cost For Royalty</t>
  </si>
  <si>
    <t>Capital Cost Set</t>
  </si>
  <si>
    <t>Infrastructure Types</t>
  </si>
  <si>
    <t>A satellite to another platform, that provides processing and compression, platform / jack-up provides basic water knockout</t>
  </si>
  <si>
    <t>Ties-in directly to an export pipeline, delivery processed (and compressed) two phase gas</t>
  </si>
  <si>
    <t>Export to shore of export quality single phase gas</t>
  </si>
  <si>
    <t>Subsea</t>
  </si>
  <si>
    <t>Fixed Platform</t>
  </si>
  <si>
    <t>Facility Finance</t>
  </si>
  <si>
    <t>Purchase</t>
  </si>
  <si>
    <t>All equipment purchased outright</t>
  </si>
  <si>
    <t>Capital Lease</t>
  </si>
  <si>
    <t>Lease of platform / jack-up and topsides facilities</t>
  </si>
  <si>
    <t>Manual Overrides</t>
  </si>
  <si>
    <t>Manual Override</t>
  </si>
  <si>
    <t>YesNo</t>
  </si>
  <si>
    <t>Current Month</t>
  </si>
  <si>
    <t>Current Year</t>
  </si>
  <si>
    <t>Gas Quality</t>
  </si>
  <si>
    <t>Sour</t>
  </si>
  <si>
    <t>devel wells</t>
  </si>
  <si>
    <t>sour gas</t>
  </si>
  <si>
    <t>D&amp;C subsea</t>
  </si>
  <si>
    <t>NA</t>
  </si>
  <si>
    <t>P&amp;C</t>
  </si>
  <si>
    <t>Drill &amp; Process Jack-up</t>
  </si>
  <si>
    <t>Process only Jack-up</t>
  </si>
  <si>
    <t>Facility</t>
  </si>
  <si>
    <t>Basic - with water knockout</t>
  </si>
  <si>
    <t>With processing and compression (phased?)</t>
  </si>
  <si>
    <t>Analysis Type</t>
  </si>
  <si>
    <t>Fully Risked</t>
  </si>
  <si>
    <t>Success Case</t>
  </si>
  <si>
    <t>Economic</t>
  </si>
  <si>
    <t>Uneconomic</t>
  </si>
  <si>
    <t>Gas Pressure Type</t>
  </si>
  <si>
    <t>Discount Type</t>
  </si>
  <si>
    <t>Discount to Current Discount Date</t>
  </si>
  <si>
    <t>Discount to Decision Date</t>
  </si>
  <si>
    <t>Monthtable</t>
  </si>
  <si>
    <t>Jan</t>
  </si>
  <si>
    <t>Feb</t>
  </si>
  <si>
    <t>Mar</t>
  </si>
  <si>
    <t>Apr</t>
  </si>
  <si>
    <t>May</t>
  </si>
  <si>
    <t>Jun</t>
  </si>
  <si>
    <t>Jul</t>
  </si>
  <si>
    <t>Aug</t>
  </si>
  <si>
    <t>Sep</t>
  </si>
  <si>
    <t>Oct</t>
  </si>
  <si>
    <t>Nov</t>
  </si>
  <si>
    <t>Dec</t>
  </si>
  <si>
    <t>Reserves (Bcf)</t>
  </si>
  <si>
    <t>Gas Price Multiplier</t>
  </si>
  <si>
    <t>Exploration Cost Multiplier</t>
  </si>
  <si>
    <t>Capital Cost Multiplier</t>
  </si>
  <si>
    <t>Operating Cost Multiplier</t>
  </si>
  <si>
    <t>Risk Multiplier</t>
  </si>
  <si>
    <t>Reserves Multiplier</t>
  </si>
  <si>
    <t>Capex Multiplier</t>
  </si>
  <si>
    <t>Opex Multiplier</t>
  </si>
  <si>
    <t>Exploration Multiplier</t>
  </si>
  <si>
    <t>Chart Ranges</t>
  </si>
  <si>
    <t>Type</t>
  </si>
  <si>
    <t>Blank</t>
  </si>
  <si>
    <t>Development Costs</t>
  </si>
  <si>
    <t>blue</t>
  </si>
  <si>
    <t>green</t>
  </si>
  <si>
    <t>NPV @ 12.0 % ($M)</t>
  </si>
  <si>
    <t>Product Type</t>
  </si>
  <si>
    <t>Product</t>
  </si>
  <si>
    <t>Oil</t>
  </si>
  <si>
    <t>MMBBL</t>
  </si>
  <si>
    <t>(MMbbls)</t>
  </si>
  <si>
    <t>MMBBLS</t>
  </si>
  <si>
    <t>Value pos</t>
  </si>
  <si>
    <t>Value neg</t>
  </si>
  <si>
    <t>Cost Neg</t>
  </si>
  <si>
    <t>Cost Pos</t>
  </si>
  <si>
    <t>MMBBLs/well</t>
  </si>
  <si>
    <t>Keep Appraisal Wells ?</t>
  </si>
  <si>
    <t>&lt;0</t>
  </si>
  <si>
    <t>&gt;0</t>
  </si>
  <si>
    <t>min</t>
  </si>
  <si>
    <t>max</t>
  </si>
  <si>
    <t>starting point for stack</t>
  </si>
  <si>
    <t>positive portion of min</t>
  </si>
  <si>
    <t>positive portion of max</t>
  </si>
  <si>
    <t>negative portion of max</t>
  </si>
  <si>
    <t>negative portion of min</t>
  </si>
  <si>
    <t>minpos</t>
  </si>
  <si>
    <t>maxpos</t>
  </si>
  <si>
    <t>maxneg</t>
  </si>
  <si>
    <t>lowneg</t>
  </si>
  <si>
    <t>`</t>
  </si>
  <si>
    <t/>
  </si>
  <si>
    <t>OIL</t>
  </si>
  <si>
    <t>GAS</t>
  </si>
  <si>
    <t>Note</t>
  </si>
  <si>
    <t>Release 1</t>
  </si>
  <si>
    <t>No. Of Drilling Centres</t>
  </si>
  <si>
    <t>Platform Centres</t>
  </si>
  <si>
    <t>Subsea Centres</t>
  </si>
  <si>
    <t>Subsea Keeper Wells (location 1)</t>
  </si>
  <si>
    <t>Subsea Keeper Wells (location 2)</t>
  </si>
  <si>
    <t>Subsea Keeper Wells (location 3)</t>
  </si>
  <si>
    <t>Subsea Keeper Wells (location 4)</t>
  </si>
  <si>
    <t>number</t>
  </si>
  <si>
    <t>Location 1 Subsea Keeper Wells</t>
  </si>
  <si>
    <t>Location 2 Subsea Keeper Wells</t>
  </si>
  <si>
    <t>Location 3 Subsea Keeper Wells</t>
  </si>
  <si>
    <t>Location 4 Subsea Keeper Wells</t>
  </si>
  <si>
    <t>Year6</t>
  </si>
  <si>
    <t>Year7</t>
  </si>
  <si>
    <t>Subsea Keeper Wells (location 5)</t>
  </si>
  <si>
    <t>No. Of  Wells</t>
  </si>
  <si>
    <t>No. Of New  Wells</t>
  </si>
  <si>
    <t>Location 5 Subsea Keeper Wells</t>
  </si>
  <si>
    <t>Number of Drilling Centres</t>
  </si>
  <si>
    <t>Jack-up</t>
  </si>
  <si>
    <t>Shuttle Tanker</t>
  </si>
  <si>
    <t>Other</t>
  </si>
  <si>
    <t>Devel Method</t>
  </si>
  <si>
    <t>Devel Options</t>
  </si>
  <si>
    <t>Gas Facilities</t>
  </si>
  <si>
    <t>Tethered Structure Variable Cost</t>
  </si>
  <si>
    <t>Tethered Structure Topside Fixed Cost</t>
  </si>
  <si>
    <t>Oil Facilities</t>
  </si>
  <si>
    <t>Subsea Limit (BCF)</t>
  </si>
  <si>
    <t>WD (Metres)</t>
  </si>
  <si>
    <t>Gas Development Methods</t>
  </si>
  <si>
    <t>Gas Export Methods</t>
  </si>
  <si>
    <t>Selected Export Methods</t>
  </si>
  <si>
    <t>Selected Development Options</t>
  </si>
  <si>
    <t>Oil Development Methods</t>
  </si>
  <si>
    <t>Rent Limit (MMBBL)</t>
  </si>
  <si>
    <t>Topside Facilities Fixed</t>
  </si>
  <si>
    <t>Topside Facilities Variable</t>
  </si>
  <si>
    <t>Main Structure Fixed</t>
  </si>
  <si>
    <t>Main Structure Variable</t>
  </si>
  <si>
    <t>Intrafield Bundles</t>
  </si>
  <si>
    <t>Export Pipeline / satellite bundle</t>
  </si>
  <si>
    <t>K$/MMBBL</t>
  </si>
  <si>
    <t>Satellite Flowlines</t>
  </si>
  <si>
    <t>Straight Well Cost</t>
  </si>
  <si>
    <t>Deviated Well Cost</t>
  </si>
  <si>
    <t>Flowline</t>
  </si>
  <si>
    <t>Drill Time</t>
  </si>
  <si>
    <t>Drill Cost</t>
  </si>
  <si>
    <t>Method</t>
  </si>
  <si>
    <t>Av Deviated Well Measured Depth</t>
  </si>
  <si>
    <t>Av Straight Well Depth</t>
  </si>
  <si>
    <t>Intrafield Bundle Length</t>
  </si>
  <si>
    <t>Shuttle Tankers</t>
  </si>
  <si>
    <t>Oil Costs</t>
  </si>
  <si>
    <t>Fixed Cost/Year</t>
  </si>
  <si>
    <t>$/MBOPD</t>
  </si>
  <si>
    <t>FPSU Construct</t>
  </si>
  <si>
    <t>Tethered Structure</t>
  </si>
  <si>
    <t>Tethered Structure Construct</t>
  </si>
  <si>
    <t>Export Methods</t>
  </si>
  <si>
    <t>Manifolds</t>
  </si>
  <si>
    <t>Surface Wells</t>
  </si>
  <si>
    <t>Subsea Wells</t>
  </si>
  <si>
    <t xml:space="preserve">Fixed Cost /Year / Capacity Sweet </t>
  </si>
  <si>
    <t>Variable Cost Sweet</t>
  </si>
  <si>
    <t>Variable Cost Sour</t>
  </si>
  <si>
    <t>Fixed Cost /Year / Capacity Sour</t>
  </si>
  <si>
    <t>Topsides (mobile)</t>
  </si>
  <si>
    <t>K$/day</t>
  </si>
  <si>
    <t>K$/MMBBL/day</t>
  </si>
  <si>
    <t>Flat Real</t>
  </si>
  <si>
    <t>Tethered Structure Fixed Cost</t>
  </si>
  <si>
    <t>Fixed Platform Cost / Metre Water</t>
  </si>
  <si>
    <t>Tethered Structure Cost /Metr e Water</t>
  </si>
  <si>
    <t>OIL (includes water injection / gas disposal)</t>
  </si>
  <si>
    <t>Beta including Large Oil and Gas</t>
  </si>
  <si>
    <t>% at start-up</t>
  </si>
  <si>
    <t>% wells at start up</t>
  </si>
  <si>
    <t>Start-up</t>
  </si>
  <si>
    <t>Revision for Training Course</t>
  </si>
  <si>
    <t>Revision Following Training Cost</t>
  </si>
  <si>
    <t>Market</t>
  </si>
  <si>
    <t>Oil Price</t>
  </si>
  <si>
    <t>Netback Differential</t>
  </si>
  <si>
    <t>Oilfield Fuel Requirement</t>
  </si>
  <si>
    <t>Gas Field Shrinkage Fuel and Other</t>
  </si>
  <si>
    <t>mmbbl</t>
  </si>
  <si>
    <t>Energy Equivalence Factor (MSCF/BBL)</t>
  </si>
  <si>
    <t>for Gas @ 1000BTU/SCF</t>
  </si>
  <si>
    <t>Fuel &amp; Shrinkage</t>
  </si>
  <si>
    <t>Introduction</t>
  </si>
  <si>
    <t>Committed Disc. Return on Investment</t>
  </si>
  <si>
    <t>Guide</t>
  </si>
  <si>
    <t>Cost Assumptions</t>
  </si>
  <si>
    <t>Economic Assumptions</t>
  </si>
  <si>
    <t>Economics</t>
  </si>
  <si>
    <t>Overall Chance of Development</t>
  </si>
  <si>
    <t>Risked Discounted Values ($M)</t>
  </si>
  <si>
    <t>HyperLink</t>
  </si>
  <si>
    <t>Overrides</t>
  </si>
  <si>
    <t>No.</t>
  </si>
  <si>
    <t>Description</t>
  </si>
  <si>
    <t>Production and Schedule Assumptions</t>
  </si>
  <si>
    <t>Reservoir Pressure Multiplier on Well Time</t>
  </si>
  <si>
    <t>Reservoir Pressure Multiplier on Well Tangibles</t>
  </si>
  <si>
    <t>Schedule</t>
  </si>
  <si>
    <t>NS Dept of Energy</t>
  </si>
  <si>
    <t xml:space="preserve">Switch from Shallow to Deepwater </t>
  </si>
  <si>
    <t>Deflator</t>
  </si>
  <si>
    <t>Real Nymex</t>
  </si>
  <si>
    <t>Real HH Gas Price US$ / MMBTU</t>
  </si>
  <si>
    <t>How to Interpret:</t>
  </si>
  <si>
    <t>Oil Price Multiplier</t>
  </si>
  <si>
    <t>The Charts show the results of applying conventional sensitivity analysis to  multipliers (where appropriate over the full time range) to the various factors in the model.    The sensitivity multipliers may be adjusted in the input cells in the upper left hand corner of this sheet, depending on the speed of processor the charts may take a few seconds to respond to the changes.</t>
  </si>
  <si>
    <t>Page</t>
  </si>
  <si>
    <t>Evaluation Section</t>
  </si>
  <si>
    <t>Basic Model Inputs</t>
  </si>
  <si>
    <t>Evaluation</t>
  </si>
  <si>
    <t>Thresholds</t>
  </si>
  <si>
    <t>Government Take</t>
  </si>
  <si>
    <t>Assumptions and Overrides</t>
  </si>
  <si>
    <t>Model Calculation Pages</t>
  </si>
  <si>
    <t>Development</t>
  </si>
  <si>
    <t>Production</t>
  </si>
  <si>
    <t>Federal Tax</t>
  </si>
  <si>
    <t>Provincial Tax</t>
  </si>
  <si>
    <t>Success Case Cash Flow</t>
  </si>
  <si>
    <t>Risked Cash Flow</t>
  </si>
  <si>
    <t>Selected Economics</t>
  </si>
  <si>
    <t>User Calculation Pages</t>
  </si>
  <si>
    <t>User Pages</t>
  </si>
  <si>
    <t>The model works at a number of levels.  Before making an evaluation you may wish to first adjust the Economic Scenarios for Gas and Oil Prices and Inflation in page Economic Assumptions (see below).  You may also wish to create your own Cost Set (set of unit costs) for the cost model in page Cost Assumptions, and further can adjust the schedule and production assumptions used for development in page Sched &amp; Prod Assumptions.  Finally, for specific prospects if you have more firm estimates you can override the costs and production profile for the next or subsequent stage (i.e. Seismic, Wildcat, Appraisal, Development) or if you wish all future stages, to do this go to page Overrides.</t>
  </si>
  <si>
    <t>The cost sub-model utilises unit rates from the page Cost Assumptions.  The unit rates are organised in cost sets, the cost sets are definable by the user of the model and each unit rate is defined separately for shallow and deep water. The Base Nova Scotia Department of Energy cost set provided is based on actual costs experienced and drilling performance for shallow water developments from the three developments to date adjusted for industry and raw materials cost inflation.  For deep water developments greater than 200 metre water depth they are based on a screening development study which compared developments worldwide and developed scenarios for possible development.  The Base NS Dept of Energy Cost Set is thus highly representative of likely costs in the Nova Scotia offshore.   Users / companies are also able to set up their own cost set(s) if they wish to modify certain of the unit rates, particularly for market sensitive resources such as drilling rigs.</t>
  </si>
  <si>
    <t>The Threshold page shows the expected value of the current case varying for Recoverable Reserves, Reservoir Depth and Economics Scenario and by exploration stage.  For each exploration stage it shows the threshold field size, reservoir depth and economic scenario at which it economic to proceed.</t>
  </si>
  <si>
    <t>Government_Take</t>
  </si>
  <si>
    <t>Cashflow</t>
  </si>
  <si>
    <t>The Sensitivity Page enables Sensitivity Multipliers to be defined for critical parameters and displays "tornado" plots of the range of outcomes for NPV, IRR, Discounted Return on Investment Ratio (the ratio of the risked discounted cash flow to the risked discounted total project investment) and Committed Discounted Return on Investment Ratio (the ratio of the discounted cash flow to the discounted commitment for the next exploration stage)</t>
  </si>
  <si>
    <t>The Exploration Page shows the calculation of seismic, wildcat and appraisal exploration costs and schedule</t>
  </si>
  <si>
    <t>The Development Page shows the calculation of development costs and schedule</t>
  </si>
  <si>
    <t>The Production Page shows the calculation of production profiles</t>
  </si>
  <si>
    <t>The Revenue Page shows the calculation of revenues</t>
  </si>
  <si>
    <t>The Operations Page shows the calculation of Operating costs</t>
  </si>
  <si>
    <t>The Federal Tax Page shows the calculation of Federal Tax</t>
  </si>
  <si>
    <t>The Provincial Tax Page shows the calculation of Provincial Tax</t>
  </si>
  <si>
    <t>The Success Case Cash Flow Page shows the calculation of Cash flow in the case the project proceeds to development and production</t>
  </si>
  <si>
    <t>The risked Cash Flow show the cash flow risked by the probability of the appropriate stage occurring</t>
  </si>
  <si>
    <t>The Selected Economics Page show the prices, exchange rate, inflation and interest rate for the selected economic scenario</t>
  </si>
  <si>
    <t>Federal_Tax</t>
  </si>
  <si>
    <t>Provincial_Tax</t>
  </si>
  <si>
    <t>Success_Cash</t>
  </si>
  <si>
    <t>Risked_Cash</t>
  </si>
  <si>
    <t>Selected_Economics</t>
  </si>
  <si>
    <t>User_Area</t>
  </si>
  <si>
    <t>Five User Pages are provided for user's own calculations</t>
  </si>
  <si>
    <t>Nominal Oil Price</t>
  </si>
  <si>
    <t>Real Oil Price</t>
  </si>
  <si>
    <t>Nominal Henry Hub Gas Price</t>
  </si>
  <si>
    <t>Real Henry Hub Gas Price</t>
  </si>
  <si>
    <t>Price_Charts</t>
  </si>
  <si>
    <t>Price Charts</t>
  </si>
  <si>
    <t>The Price Charts Page compares the Nominal and Real Oil and Henry Hub Cas Price Scenarios</t>
  </si>
  <si>
    <t>The Cash Flow page shows a chart of the contribution of each revenue and cost category to cash flow for the success case, and to the left show the contribution of each to success case and fully risked cases (weighted by the probability of occurrence) both undiscounted and discounted</t>
  </si>
  <si>
    <t>This model provides screening economics for evaluation of exploration prospects in the Nova Scotia offshore.  The model incorporates a development schedule and cost estimation sub-model that is linked to a production profile sub-model that is dependent on the timing of the wells from the development model.  Pre-tax cash flows are calculated and used to calculate royalties and taxes and to Evaluate the prospect at the specified discount rate.  You can navigate this model using the Tabs, and on each page you can also click on the blue link to navigate to this Guide or the main Input page, you can also navigate from this Page to all Other Pages.  The model is organised in five Sections that are color coded, the Introduction and Guide are in Yellow, the main Evaluation section is in Red, the Assumptions and Overrides are in Orange, the Model Calculation pages are in Light Blue and the last pages are for User Modelling and are in Green</t>
  </si>
  <si>
    <r>
      <t>Risk Parameters (</t>
    </r>
    <r>
      <rPr>
        <sz val="14"/>
        <color indexed="8"/>
        <rFont val="Calibri"/>
        <family val="2"/>
      </rPr>
      <t>Chance of Proceeding to Next Stage</t>
    </r>
    <r>
      <rPr>
        <b/>
        <sz val="14"/>
        <color indexed="8"/>
        <rFont val="Calibri"/>
        <family val="2"/>
      </rPr>
      <t>)</t>
    </r>
  </si>
  <si>
    <t>K$ / well</t>
  </si>
  <si>
    <t>Subsea Well  Equipment</t>
  </si>
  <si>
    <t>Subsea Manifolds &amp; Trees</t>
  </si>
  <si>
    <t>K$/BCF</t>
  </si>
  <si>
    <t xml:space="preserve">Pipeline Percent Selected </t>
  </si>
  <si>
    <t>shallow</t>
  </si>
  <si>
    <t>Selected Cost</t>
  </si>
  <si>
    <t>Shallow Cost</t>
  </si>
  <si>
    <t>Gas Export Distance (km)</t>
  </si>
  <si>
    <t>Gas Disposal</t>
  </si>
  <si>
    <t>FPSO</t>
  </si>
  <si>
    <t>Semi / SPAR</t>
  </si>
  <si>
    <t>Leased FPS0</t>
  </si>
  <si>
    <t>Subsea to Infrastructure</t>
  </si>
  <si>
    <t>To Infrastructure</t>
  </si>
  <si>
    <t>To Shore</t>
  </si>
  <si>
    <t xml:space="preserve">Beta with Oil Extension </t>
  </si>
  <si>
    <t>Gas Export Type</t>
  </si>
  <si>
    <t>Pipeline Percent Deepwater</t>
  </si>
  <si>
    <t>Re-inject</t>
  </si>
  <si>
    <t>None (Tariff)</t>
  </si>
  <si>
    <t>Gas Volume</t>
  </si>
  <si>
    <t>Gas Reserve per Reinjection Well (bcf)</t>
  </si>
  <si>
    <t>Minimal Processing Platform</t>
  </si>
  <si>
    <t>Shuttle</t>
  </si>
  <si>
    <t>Tankers</t>
  </si>
  <si>
    <t>Gas Tariff Rate</t>
  </si>
  <si>
    <t>FPSO &amp; Tanker Rental</t>
  </si>
  <si>
    <t>(1% for Lease)</t>
  </si>
  <si>
    <t>Lease</t>
  </si>
  <si>
    <t>©</t>
  </si>
  <si>
    <t>www.indeva.com</t>
  </si>
  <si>
    <t>Purchase Shuttle Tanker</t>
  </si>
  <si>
    <t>Additional Gas Cost</t>
  </si>
  <si>
    <t>Topside Facilities Gas</t>
  </si>
  <si>
    <t>Gas Rate</t>
  </si>
  <si>
    <t>Pipe Size (in)</t>
  </si>
  <si>
    <t>K$/in</t>
  </si>
  <si>
    <t>Export to Shore Pipeline size Cost</t>
  </si>
  <si>
    <t>K$/km/in</t>
  </si>
  <si>
    <t>Gas Export Pipeline Size</t>
  </si>
  <si>
    <t>a</t>
  </si>
  <si>
    <t>b</t>
  </si>
  <si>
    <t>Minimum Facilities Platform Fixed Cost</t>
  </si>
  <si>
    <t>Minimum Facilities Platform / Metre Water</t>
  </si>
  <si>
    <t>Minimum Facilities Platform Variable Cost</t>
  </si>
  <si>
    <t>Min Process Limit</t>
  </si>
  <si>
    <t>Areal Extent Multiplier on Well Length</t>
  </si>
  <si>
    <t>Areal Extent</t>
  </si>
  <si>
    <t>The production and cost models utilises the logic in the Sched &amp;Prod page  to determine a number of factors including production rate, the number wells and construction rates.  If desired these factors can be adjusted to reflect a company's experience and judgement.</t>
  </si>
  <si>
    <t>Development Options</t>
  </si>
  <si>
    <t xml:space="preserve">Dependent on the whether the main product is oil or gas and whether the prospect is in deep or shallow water, the user can select from a number of development options.  The available development options are described on the Page Devel Options </t>
  </si>
  <si>
    <t>Developments</t>
  </si>
  <si>
    <t xml:space="preserve">Jack-up </t>
  </si>
  <si>
    <t>The field is produced wholly subsea and connected to a mother platform, which performs primary processing and exports via an existing pipeline.  It is assumed that all processing on the mother field is charged by a tariff to the sending field.</t>
  </si>
  <si>
    <t>Minimum Processing Platform</t>
  </si>
  <si>
    <t>The field is produced through a minimum facility platform with water knock-out and methanol injection capability and exported to a mother facility for export by pipeline to shore.  The mother facility charges a tariff to the sending facility for transport, secondary processing and possibly compression</t>
  </si>
  <si>
    <t>Shallow Water Oil Field Less than 200 metre water depth</t>
  </si>
  <si>
    <t>Leased FPSO</t>
  </si>
  <si>
    <t>Shallow and Deep Water area of Nova Scotia Offshore</t>
  </si>
  <si>
    <t>Shallow Water Gas Field Options Less than 200 metres water depth options</t>
  </si>
  <si>
    <t>Deepwater Gas Field Greater than 200 metre water depth options</t>
  </si>
  <si>
    <t>For shorter life fields a leased Floating Production and Storage System is considered, the production vessel and shuttle tankers are leased for the duration of the field</t>
  </si>
  <si>
    <t>The basic Model Evaluation is also displayed on the Inputs Page.  Dependent on the current exploration stage, the expected value of proceeding together with the cost of the next stage is shown on the Decision Flow diagram.  The Evaluation Table shows the Discounted and Risked (weighted by the change of occurrence) contributions of each revenue and cost category to the expected value, and the "Waterfall" chart show visually how these contribute to NPV</t>
  </si>
  <si>
    <t>As a company gets close to executing an exploration stage, for instance seismic or a wildcat well, the company's estimate of that stage may become refined as detail cost estimates are made and later proposals are requested and contracts awarded.  At this point the model provides for a Company to Override the Costs and in some case the timings of a stage, for the development stage the production profile may also be overridden.  Typically it would be expected that only the currently proposed stage is overridden and the remainder of the model is calculated from the assumptions set in the costs, and schedule and production pages.  Overrides are  set in the page Overrides, for each stage the costs can be set to "Model Calculated" or "Model Override"</t>
  </si>
  <si>
    <t xml:space="preserve">The Abandonment Page shows the calculation of the field abandonment date </t>
  </si>
  <si>
    <t>The Royalty Page shows the calculation of Royalty</t>
  </si>
  <si>
    <t xml:space="preserve">The basic model inputs are defined in the page Input.  Input cells are shown with blue text against a white background. Most inputs have an associated floating note that appears when the cell is selected.   Changing these inputs will automatically adjust the evaluated results of the model.  The model can be run simply by selecting parameters in this page, or after refining the model to different levels as detailed in the next section.  A basic evaluation requires that you define the current Stage of the Prospect - Seismic, Wildcat, Appraisal Development Plan or Development and assign the relevant probabilities of going from one stage to the next.  </t>
  </si>
  <si>
    <t>The Government Take Page shows the percentage Government Take for three categories, Royalty, Federal Tax and Provincial Tax for Varying Price and Reserves Cases</t>
  </si>
  <si>
    <t>2. Deepwater Exploration.  These lie principally on the continental slope to the South West and West South West of Sable Island, the prospects closest to Sable Island are most likely to be gas prone and those further to the West are more likely to be oil prone.  The deepwater exploration lies in water depths of between 1500 metres and 3500 metres and environmental conditions are similar to the Northern North Sea / Norwegian Sea with 100 year return period maximum wave heights reported to be in the range 26 to 28 metre (OceanWeather Inc).  Potential export routes for gas are either to existing offshore infrastructure at SOEP or Deep Panuke, or directly to Shore possibly close to Halifax or to Goldboro.</t>
  </si>
  <si>
    <t>This model provides costing and economic analysis for a number of development alternatives dependent on principle product and water depth, with the Sable Island area being classified as less than 200 metres and the deepwater as more than 200 metres as described below</t>
  </si>
  <si>
    <t>This is a full production facility with gas processing, it is intended for larger discoveries above 500bcf,  gas can be exported to shore or to existing infrastructure, in which case the model assumes a tariff is paid to the infrastructure owners.</t>
  </si>
  <si>
    <t>This is a full production facility with the same options as the Fixed Platform, it is moveable and has the possibility of reuse after field cessation</t>
  </si>
  <si>
    <t>This option flows gas from a deepwater field subsea to an existing infrastructure and for onward processing and transport to Goldboro.  There are a number of fields worldwide that flow gas subsea directly to shore up to 140 kilometres and a number of others are being planned.  Deepwater gas offshore Nova Scotia will most likely be discovered within 80 kilometres of existing infrastructure and this option assumes the gas is exported to infrastructure, the gas will require to be dry, less than 10 - 15 bbls / mscf .  As with the shallow water gas a tariff is paid to the transporting and processing facility.</t>
  </si>
  <si>
    <t>This is a Floating Production and Storage System, most likely ship-shaped although a cylindrical SEVAN design system would be an alternative cost competitive design.   Oil is produced from subsea wells and is offloaded onto dedicated shuttle tankers, since there are no existing tankers operating off Nova Scotia it is assumed that the tanker(s) are purchased and dedicated to the operation.</t>
  </si>
  <si>
    <t xml:space="preserve">As with shallow water a Floating Production and Storage System is utilised, it has a detachable turret and mooring system and is of double hulled design, most likely a new built ship-shaped design similar to BP's Skarv FPSO due to shortly commence production in the Norwegian Sea, although a cylindrical SEVAN design system would be an alternative cost competitive design.   Oil is produced from subsea wells and is stored on the vessel (assumed 1 million barrels) and offloaded onto dedicated shuttle tankers, since there are no existing tankers operating off Nova Scotia it is assumed that the tanker(s) are purchased and dedicated to the operation.   </t>
  </si>
  <si>
    <t>Deepwater Oil Field Greater than 200 Metres</t>
  </si>
  <si>
    <t>Deviated</t>
  </si>
  <si>
    <t>Not used - always deviated in clusters!</t>
  </si>
  <si>
    <t>Over Pressure</t>
  </si>
  <si>
    <t>Geo Pressure</t>
  </si>
  <si>
    <t>Overpressure</t>
  </si>
  <si>
    <t>Geopressure</t>
  </si>
  <si>
    <t>Water Depth</t>
  </si>
  <si>
    <t>Shallow</t>
  </si>
  <si>
    <t>Deep</t>
  </si>
  <si>
    <t>The Table Below shows the Analysis of Well Exploration Drilling in the Nova Scotia Offshore from 2000 to 2006, Base Drilling Times in Page Cost Assumptions and  the Well Time Multiplier (based on Pressure) on Page Sched &amp; Prod Assumptions are based on an analysis of this data. Source: Nova Scotia Department of Energy, Exploration Drilling Performance Review 2012</t>
  </si>
  <si>
    <t>Depth Range</t>
  </si>
  <si>
    <t>Well Type</t>
  </si>
  <si>
    <t>Field /  Prospect</t>
  </si>
  <si>
    <t>Operator</t>
  </si>
  <si>
    <t>Rig</t>
  </si>
  <si>
    <t>Latitude</t>
  </si>
  <si>
    <t>Longitude</t>
  </si>
  <si>
    <t>Spud Date</t>
  </si>
  <si>
    <t>Water Depth (m)</t>
  </si>
  <si>
    <t>MD (m)</t>
  </si>
  <si>
    <t>Total days</t>
  </si>
  <si>
    <t>Pre-spud days</t>
  </si>
  <si>
    <t>Spud to TD days</t>
  </si>
  <si>
    <t>Post Drill days</t>
  </si>
  <si>
    <t>No of Hole Sections</t>
  </si>
  <si>
    <t>ROP (m/day)</t>
  </si>
  <si>
    <t>Normal Pressure</t>
  </si>
  <si>
    <t>Panuke</t>
  </si>
  <si>
    <t>F-09</t>
  </si>
  <si>
    <t>PanCanadian</t>
  </si>
  <si>
    <t>RG 3</t>
  </si>
  <si>
    <t>43048'22.47"</t>
  </si>
  <si>
    <t>60045'57.64"</t>
  </si>
  <si>
    <t>M-79</t>
  </si>
  <si>
    <t>RG 4</t>
  </si>
  <si>
    <t>43048'48.81"</t>
  </si>
  <si>
    <t>60041'47.42"</t>
  </si>
  <si>
    <t>MusquodoboitE-23</t>
  </si>
  <si>
    <t>RG 5</t>
  </si>
  <si>
    <t>43042'15.82"</t>
  </si>
  <si>
    <t>60049'09.99"</t>
  </si>
  <si>
    <t>Queensland</t>
  </si>
  <si>
    <t>M-88</t>
  </si>
  <si>
    <t>PanCanadian-</t>
  </si>
  <si>
    <t>43047'55.26"</t>
  </si>
  <si>
    <t>60043'11.90"</t>
  </si>
  <si>
    <t>Marquis</t>
  </si>
  <si>
    <t>L-35</t>
  </si>
  <si>
    <t>Canadian</t>
  </si>
  <si>
    <t>44004'37.57"</t>
  </si>
  <si>
    <t>60020'52.72"</t>
  </si>
  <si>
    <t>Margaree</t>
  </si>
  <si>
    <t>F-70</t>
  </si>
  <si>
    <t>EnCana</t>
  </si>
  <si>
    <t>43049'16.94"</t>
  </si>
  <si>
    <t>60040'20.18"</t>
  </si>
  <si>
    <t>MarCoh</t>
  </si>
  <si>
    <t>D-41</t>
  </si>
  <si>
    <t>43050'09.48"</t>
  </si>
  <si>
    <t>60037'21.56"</t>
  </si>
  <si>
    <t>Dominion</t>
  </si>
  <si>
    <t>J-14</t>
  </si>
  <si>
    <t>Encana-Marauder</t>
  </si>
  <si>
    <t>RG 6</t>
  </si>
  <si>
    <t>43053'33.58"</t>
  </si>
  <si>
    <t>60031'54.21"</t>
  </si>
  <si>
    <t>Over-Pressure</t>
  </si>
  <si>
    <t>Emma</t>
  </si>
  <si>
    <t>N-03</t>
  </si>
  <si>
    <t>Mobil</t>
  </si>
  <si>
    <t>Galaxy II</t>
  </si>
  <si>
    <t>44002'47.78"</t>
  </si>
  <si>
    <t>60000'53.78"</t>
  </si>
  <si>
    <t>Adamant</t>
  </si>
  <si>
    <t>N-97</t>
  </si>
  <si>
    <t>43056'48.08"</t>
  </si>
  <si>
    <t>60014'27.66"</t>
  </si>
  <si>
    <t>Southampton</t>
  </si>
  <si>
    <t>A-25</t>
  </si>
  <si>
    <t>43034'09.66"</t>
  </si>
  <si>
    <t>60018'16.67"</t>
  </si>
  <si>
    <t>Mariner</t>
  </si>
  <si>
    <t>I-85</t>
  </si>
  <si>
    <t>Candian</t>
  </si>
  <si>
    <t>44004'30.74"</t>
  </si>
  <si>
    <t>59042'07.20"</t>
  </si>
  <si>
    <t>Cree</t>
  </si>
  <si>
    <t>I-34</t>
  </si>
  <si>
    <t>ExxonMobil</t>
  </si>
  <si>
    <t>43043'41.48"</t>
  </si>
  <si>
    <t>60034'42.62"</t>
  </si>
  <si>
    <t>Geo-Pressure</t>
  </si>
  <si>
    <t>Onondaga</t>
  </si>
  <si>
    <t>B-84</t>
  </si>
  <si>
    <t>Shell</t>
  </si>
  <si>
    <t>43043'08.92"</t>
  </si>
  <si>
    <t>60012'41.51"</t>
  </si>
  <si>
    <t>Low Complexity</t>
  </si>
  <si>
    <t>Annapolis</t>
  </si>
  <si>
    <t>B-24</t>
  </si>
  <si>
    <t>Marathon</t>
  </si>
  <si>
    <t>West Navion</t>
  </si>
  <si>
    <t>43023'07.91"</t>
  </si>
  <si>
    <t>59048'38.15"</t>
  </si>
  <si>
    <t>Torbrook</t>
  </si>
  <si>
    <t>C-15</t>
  </si>
  <si>
    <t>Eirik Raude</t>
  </si>
  <si>
    <t>42034'02.60"</t>
  </si>
  <si>
    <t>62017'35.64"</t>
  </si>
  <si>
    <t>Balvenie</t>
  </si>
  <si>
    <t>B-79</t>
  </si>
  <si>
    <t>Imperial</t>
  </si>
  <si>
    <t>43008'01.29"</t>
  </si>
  <si>
    <t>60010'56.84"</t>
  </si>
  <si>
    <t>High Complexity</t>
  </si>
  <si>
    <t>Newburn</t>
  </si>
  <si>
    <t>H-23</t>
  </si>
  <si>
    <t>Chevron</t>
  </si>
  <si>
    <t xml:space="preserve">DW </t>
  </si>
  <si>
    <t>43012'16.43"</t>
  </si>
  <si>
    <t>60048'21.20"</t>
  </si>
  <si>
    <t>G-24</t>
  </si>
  <si>
    <t>43023'22.94"</t>
  </si>
  <si>
    <t>59048'29.19"</t>
  </si>
  <si>
    <t>Weymouth</t>
  </si>
  <si>
    <t>A-45</t>
  </si>
  <si>
    <t>43004'01.38"</t>
  </si>
  <si>
    <t>60036'14.07"</t>
  </si>
  <si>
    <t>Crimson</t>
  </si>
  <si>
    <t>F-81</t>
  </si>
  <si>
    <t>DW Pathfinder</t>
  </si>
  <si>
    <t>43020'22.29"</t>
  </si>
  <si>
    <t>59042'57.03"</t>
  </si>
  <si>
    <t xml:space="preserve">This is a floating production facility solution with subsea production wells connected to one or more manifolds and tied back to the surface facility via risers.  Export is assumed via a steel catenary riser although other solutions are possible.  Export is either to existing infrastructure or direct to shore.  The base plan is for a deep draft semisubmersible as the floating production facility but a likely cost-competitive alternative is a SPAR, possibly one being designed for the Aasta Hansteen  development in 1400 metres water depth in the Norwegian Sea.   It has been assumed that the facility will be a pure production facility, and that any wellwork is preformed by a separate vessel.  Another possibility that could be considered would be a larger system with a drilling rig and mooring system designed to reposition the facility over the wells for reentry and wellwork such as employed by Shell on Perdido the world's deepest producing facility.  </t>
  </si>
  <si>
    <t>1. Sable Island area.  This is a mature area with two producing projects: 1. the Sable Offshore Energy Project, which produces gas from four gas fields, with a central facility at the Thebaud field and an export  pipeline to a gas plant at Goldboro, which in turn sends gas through the Maritimes and North East pipeline to the USA, and liquids to the Point Tupper fractionation Plant;  2. the Deep Panuke project which produces gas through a parallel pipeline to Goldboro and which also flows into with the Maritimes and North east pipeline.  There are a number of smaller and gas discoveries prospects in the region of Sable Island that could potentially produce into the existing infrastructure.  There is also potential for small to medium sized oil discoveries.  The Sable Island area lies on the continental shelf and water depths are in the main in the range 40 metres to 100 metres, environmental conditions are relatively similar to the Central North Sea with 100 year maximum wave height reported to be in the range 20 to 24 metres (OceanWeather Inc), the area to the south of Sable Island remains free of sea ice all year round.</t>
  </si>
  <si>
    <t>These tables show the NPV (at the selected discount rate) that would be assessed for the different stages of exploration / development for variations about the currently defined case for each of recoverable reserves, reservoir depth and economics scenario.   Negative NPVs are shown in yellow, positive NPVs in green, given a suitable discount rate, the boundary between the two may be seen as the Threshold at which it is financially viable to proceed with the next stage of exploration / development.   The order of the economic scenarios can be changed .</t>
  </si>
  <si>
    <t>Example</t>
  </si>
  <si>
    <t>Scenario 5 : Flat Real</t>
  </si>
  <si>
    <t>NS DOE</t>
  </si>
  <si>
    <t>NS Dept of Energy : NS DOE</t>
  </si>
  <si>
    <t>Gas Liquids</t>
  </si>
  <si>
    <t>Cumulative Cash Flow</t>
  </si>
  <si>
    <t>FPSO Fixed Cost</t>
  </si>
  <si>
    <t>FPSO Platform Cost /MetreWater</t>
  </si>
  <si>
    <t>FPSO Platform Topside Fixed Cost</t>
  </si>
  <si>
    <t>FPSO Platform Variable Cost</t>
  </si>
  <si>
    <t>Rented FPSO Fixed Cost</t>
  </si>
  <si>
    <t>Rented FPSO Variable Cost inc Tankers</t>
  </si>
  <si>
    <t>Base +1.5% /y</t>
  </si>
  <si>
    <t>Base + 3%/y</t>
  </si>
  <si>
    <t>Base - 1.5%/y</t>
  </si>
  <si>
    <t>The economic model allows the development of five independent scenarios for the oil, gas and gas liquids (liquids associated with gas) prices, US$ / CAD exchange rate, cost inflation and interest rates.  These can then be selected from within the main model, and the results for each Scenario are compared in the Thresholds and Sensitivities pages.   This page also allows the definition of the netback differentials, in order to calculate the gas, oil and condensate prices at the field export point.</t>
  </si>
  <si>
    <t>Direct Pipeline Tie-in (subsea) - not used</t>
  </si>
  <si>
    <t>Update for Deepwater Leases for Approval</t>
  </si>
  <si>
    <t>Update for Deepwater Leases for Release</t>
  </si>
  <si>
    <t>Question</t>
  </si>
  <si>
    <t>Answer</t>
  </si>
  <si>
    <t>How do I Evaluate a Prospect in Basic Mode?</t>
  </si>
  <si>
    <t>How do I change the Prices in the Model?</t>
  </si>
  <si>
    <t>How are the Costs Derived in the model and how can I change the assumptions?</t>
  </si>
  <si>
    <t>How does the model determine the number of Wells?  How do I adjust the assumptions?</t>
  </si>
  <si>
    <t>The model has algorithms for the number of appraisal and development wells, these can be adjusted by adjusting the parameters and tables in sheet Sched &amp; Cost Assumptions</t>
  </si>
  <si>
    <t>Can I override Costs derived by the Model?</t>
  </si>
  <si>
    <t>Yes, but it is only recommended for the current phase where you have cost estimates, e.g. if you are in Wildcat phase, you may have a cost estimate for the Well and the model algorithms can be overwritten in Sheet Overrides.  It is not recommended that you adjust subsequent phases (although it is not prevented) because you will lose the benefits of the Thresholds and Sensitivities sheets.</t>
  </si>
  <si>
    <t>Does the model calculate Tariffs?  How do I define Tariff Rates in the model?</t>
  </si>
  <si>
    <t>The model calculates tariffs for cases where the prospect gas is sent through a third party facility and / or pipeline.  The rates for the tariffs are defined in the Rows 139 to 143 of the Sheet Cost Assumptions, the Tariffs Rates can be varied by type of service provided.</t>
  </si>
  <si>
    <t>How are the well drilling and completion times calculated?  Can I adjust these?</t>
  </si>
  <si>
    <t>Well drilling times per metre are input in rows 27 to 38 of the Sheet Cost Assumptions, these can vary for deep and shallow water.  An additional multiplier factor on well times is defined in Rows 63 to 65 of Sheet Sched &amp; Prod Assumptions, which adjusts for whether the reservoir is Normally Pressured, OverPressured or GeoPressured.  These times and factors are derived from the drilling history Sheet with adjustments for assumed performance improvements</t>
  </si>
  <si>
    <t>Go to the Sheet Input, and adjust the parameters for the Prospect in the second column according to the instructions in each cell.  The expected discounted values are shown in the right hand side of the Sheet.  You can adjust the Parameters and see how this affects the expected value.  The Cash flow for the Success Case is shown on the Next Sheet and Sensitivities on the subsequent Three Sheets</t>
  </si>
  <si>
    <t xml:space="preserve">There are five economics scenarios, that define assumptions for prices, inflation, interest rates and exchange rates.  Different Scenarios can be selected in the fourth row of Sheet Input.  Each of the scenarios can be modified and renamed in the sheet Economic Assumptions </t>
  </si>
  <si>
    <t>The model has algorithms for exploration, development and operations dependent on the parameters entered in Sheet Input and the Units Costs entered in Sheet Cost Assumptions.  There are five available set of Unit Costs defined in Cost Assumptions, the first is not modifiable (it is the Nova Scotia DOE set), the other four can be modified by the user, and selected in the fifth row of Sheet Input</t>
  </si>
  <si>
    <t>Fix for Historic Costs</t>
  </si>
  <si>
    <t>Protect Workbook</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</si>
</sst>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quot;£&quot;#,##0.00;[Red]\-&quot;£&quot;#,##0.00"/>
    <numFmt numFmtId="165" formatCode="_-* #,##0.00_-;\-* #,##0.00_-;_-* &quot;-&quot;??_-;_-@_-"/>
    <numFmt numFmtId="166" formatCode="0.0%"/>
    <numFmt numFmtId="167" formatCode="0.0"/>
    <numFmt numFmtId="168" formatCode="#,##0.0"/>
    <numFmt numFmtId="169" formatCode="[$-409]d\-mmm\-yy;@"/>
    <numFmt numFmtId="170" formatCode="[$-409]mmmm\-yy;@"/>
    <numFmt numFmtId="171" formatCode="0.000%"/>
    <numFmt numFmtId="172" formatCode="0.000"/>
    <numFmt numFmtId="173" formatCode="[$-409]dd\-mmm\-yy;@"/>
    <numFmt numFmtId="174" formatCode="0.00000"/>
    <numFmt numFmtId="175" formatCode="0.0000000"/>
    <numFmt numFmtId="176" formatCode="0.0000"/>
    <numFmt numFmtId="177" formatCode="[$-409]mmm\-yy;@"/>
    <numFmt numFmtId="178" formatCode="dd/mm/yyyy;@"/>
    <numFmt numFmtId="179" formatCode="_-* #,##0.0_-;\-* #,##0.0_-;_-* &quot;-&quot;??_-;_-@_-"/>
    <numFmt numFmtId="180" formatCode="_-* #,##0_-;\-* #,##0_-;_-* &quot;-&quot;??_-;_-@_-"/>
    <numFmt numFmtId="181" formatCode="_-* #,##0.0_-;\-* #,##0.0_-;_-* &quot;-&quot;?_-;_-@_-"/>
    <numFmt numFmtId="182" formatCode="[$-409]d\-mmm\-yyyy;@"/>
    <numFmt numFmtId="183" formatCode="_-[$$-409]* #,##0.0_ ;_-[$$-409]* \-#,##0.0\ ;_-[$$-409]* &quot;-&quot;??_ ;_-@_ "/>
  </numFmts>
  <fonts count="42" x14ac:knownFonts="1">
    <font>
      <sz val="11"/>
      <color theme="1"/>
      <name val="Calibri"/>
      <family val="2"/>
      <scheme val="minor"/>
    </font>
    <font>
      <sz val="14"/>
      <color indexed="8"/>
      <name val="Calibri"/>
      <family val="2"/>
    </font>
    <font>
      <b/>
      <sz val="14"/>
      <color indexed="8"/>
      <name val="Calibri"/>
      <family val="2"/>
    </font>
    <font>
      <sz val="11"/>
      <color theme="1"/>
      <name val="Calibri"/>
      <family val="2"/>
      <scheme val="minor"/>
    </font>
    <font>
      <u/>
      <sz val="11"/>
      <color theme="10"/>
      <name val="Calibri"/>
      <family val="2"/>
    </font>
    <font>
      <sz val="11"/>
      <color theme="3" tint="0.39997558519241921"/>
      <name val="Calibri"/>
      <family val="2"/>
      <scheme val="minor"/>
    </font>
    <font>
      <b/>
      <sz val="11"/>
      <color theme="1"/>
      <name val="Calibri"/>
      <family val="2"/>
      <scheme val="minor"/>
    </font>
    <font>
      <sz val="11"/>
      <color rgb="FFFF0000"/>
      <name val="Calibri"/>
      <family val="2"/>
      <scheme val="minor"/>
    </font>
    <font>
      <b/>
      <u/>
      <sz val="14"/>
      <color theme="1"/>
      <name val="Calibri"/>
      <family val="2"/>
      <scheme val="minor"/>
    </font>
    <font>
      <sz val="14"/>
      <color theme="1"/>
      <name val="Calibri"/>
      <family val="2"/>
      <scheme val="minor"/>
    </font>
    <font>
      <b/>
      <sz val="14"/>
      <color theme="1"/>
      <name val="Calibri"/>
      <family val="2"/>
      <scheme val="minor"/>
    </font>
    <font>
      <b/>
      <u/>
      <sz val="18"/>
      <color theme="1"/>
      <name val="Calibri"/>
      <family val="2"/>
      <scheme val="minor"/>
    </font>
    <font>
      <sz val="12"/>
      <color theme="1"/>
      <name val="Calibri"/>
      <family val="2"/>
      <scheme val="minor"/>
    </font>
    <font>
      <b/>
      <sz val="14"/>
      <color rgb="FFFF0000"/>
      <name val="Calibri"/>
      <family val="2"/>
      <scheme val="minor"/>
    </font>
    <font>
      <b/>
      <u/>
      <sz val="16"/>
      <color theme="1"/>
      <name val="Calibri"/>
      <family val="2"/>
      <scheme val="minor"/>
    </font>
    <font>
      <u/>
      <sz val="12"/>
      <color theme="1"/>
      <name val="Calibri"/>
      <family val="2"/>
      <scheme val="minor"/>
    </font>
    <font>
      <sz val="12"/>
      <color theme="3" tint="0.39997558519241921"/>
      <name val="Calibri"/>
      <family val="2"/>
      <scheme val="minor"/>
    </font>
    <font>
      <sz val="12"/>
      <name val="Calibri"/>
      <family val="2"/>
      <scheme val="minor"/>
    </font>
    <font>
      <sz val="12"/>
      <color theme="2"/>
      <name val="Calibri"/>
      <family val="2"/>
      <scheme val="minor"/>
    </font>
    <font>
      <sz val="12"/>
      <color theme="3" tint="0.39991454817346722"/>
      <name val="Calibri"/>
      <family val="2"/>
      <scheme val="minor"/>
    </font>
    <font>
      <b/>
      <sz val="18"/>
      <color theme="1"/>
      <name val="Calibri"/>
      <family val="2"/>
      <scheme val="minor"/>
    </font>
    <font>
      <i/>
      <sz val="11"/>
      <color theme="1"/>
      <name val="Calibri"/>
      <family val="2"/>
      <scheme val="minor"/>
    </font>
    <font>
      <u/>
      <sz val="11"/>
      <color theme="1"/>
      <name val="Calibri"/>
      <family val="2"/>
      <scheme val="minor"/>
    </font>
    <font>
      <b/>
      <u/>
      <sz val="11"/>
      <color theme="1"/>
      <name val="Calibri"/>
      <family val="2"/>
      <scheme val="minor"/>
    </font>
    <font>
      <b/>
      <u/>
      <sz val="12"/>
      <color theme="1"/>
      <name val="Calibri"/>
      <family val="2"/>
      <scheme val="minor"/>
    </font>
    <font>
      <b/>
      <i/>
      <u/>
      <sz val="11"/>
      <color theme="1"/>
      <name val="Calibri"/>
      <family val="2"/>
      <scheme val="minor"/>
    </font>
    <font>
      <i/>
      <u/>
      <sz val="11"/>
      <color theme="1"/>
      <name val="Calibri"/>
      <family val="2"/>
      <scheme val="minor"/>
    </font>
    <font>
      <sz val="11"/>
      <color theme="0" tint="-4.9989318521683403E-2"/>
      <name val="Calibri"/>
      <family val="2"/>
      <scheme val="minor"/>
    </font>
    <font>
      <u/>
      <sz val="12"/>
      <color theme="10"/>
      <name val="Calibri"/>
      <family val="2"/>
    </font>
    <font>
      <b/>
      <u/>
      <sz val="14"/>
      <color theme="10"/>
      <name val="Calibri"/>
      <family val="2"/>
    </font>
    <font>
      <b/>
      <u/>
      <sz val="14"/>
      <color theme="7" tint="-0.249977111117893"/>
      <name val="Calibri"/>
      <family val="2"/>
    </font>
    <font>
      <sz val="10"/>
      <color theme="1"/>
      <name val="Calibri"/>
      <family val="2"/>
      <scheme val="minor"/>
    </font>
    <font>
      <sz val="14"/>
      <color theme="0" tint="-4.9989318521683403E-2"/>
      <name val="Calibri"/>
      <family val="2"/>
      <scheme val="minor"/>
    </font>
    <font>
      <sz val="20"/>
      <color theme="1"/>
      <name val="Calibri"/>
      <family val="2"/>
      <scheme val="minor"/>
    </font>
    <font>
      <b/>
      <sz val="28"/>
      <color theme="1"/>
      <name val="Calibri"/>
      <family val="2"/>
      <scheme val="minor"/>
    </font>
    <font>
      <sz val="36"/>
      <color theme="1"/>
      <name val="Calibri"/>
      <family val="2"/>
    </font>
    <font>
      <u/>
      <sz val="16"/>
      <color theme="10"/>
      <name val="Calibri"/>
      <family val="2"/>
    </font>
    <font>
      <sz val="16"/>
      <color theme="0"/>
      <name val="Calibri"/>
      <family val="2"/>
      <scheme val="minor"/>
    </font>
    <font>
      <b/>
      <sz val="18"/>
      <color rgb="FF000000"/>
      <name val="Calibri"/>
      <family val="2"/>
      <scheme val="minor"/>
    </font>
    <font>
      <sz val="11"/>
      <color theme="2"/>
      <name val="Calibri"/>
      <family val="2"/>
      <scheme val="minor"/>
    </font>
    <font>
      <sz val="12"/>
      <color theme="0" tint="-4.9989318521683403E-2"/>
      <name val="Calibri"/>
      <family val="2"/>
      <scheme val="minor"/>
    </font>
    <font>
      <u/>
      <sz val="14"/>
      <color theme="10"/>
      <name val="Calibri"/>
      <family val="2"/>
    </font>
  </fonts>
  <fills count="1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0000"/>
        <bgColor indexed="64"/>
      </patternFill>
    </fill>
    <fill>
      <patternFill patternType="solid">
        <fgColor theme="9" tint="-0.249977111117893"/>
        <bgColor indexed="64"/>
      </patternFill>
    </fill>
    <fill>
      <patternFill patternType="solid">
        <fgColor theme="6"/>
        <bgColor indexed="64"/>
      </patternFill>
    </fill>
    <fill>
      <patternFill patternType="solid">
        <fgColor rgb="FFFFC0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165" fontId="3" fillId="0" borderId="0" applyFont="0" applyFill="0" applyBorder="0" applyAlignment="0" applyProtection="0"/>
    <xf numFmtId="0" fontId="4" fillId="0" borderId="0" applyNumberFormat="0" applyFill="0" applyBorder="0" applyAlignment="0" applyProtection="0">
      <alignment vertical="top"/>
      <protection locked="0"/>
    </xf>
    <xf numFmtId="0" fontId="5" fillId="2" borderId="1">
      <alignment horizontal="center"/>
      <protection locked="0"/>
    </xf>
    <xf numFmtId="9" fontId="3" fillId="0" borderId="0" applyFont="0" applyFill="0" applyBorder="0" applyAlignment="0" applyProtection="0"/>
    <xf numFmtId="165" fontId="3" fillId="0" borderId="1"/>
  </cellStyleXfs>
  <cellXfs count="592">
    <xf numFmtId="0" fontId="0" fillId="0" borderId="0" xfId="0"/>
    <xf numFmtId="0" fontId="0" fillId="3" borderId="0" xfId="0" applyFill="1"/>
    <xf numFmtId="0" fontId="8" fillId="4" borderId="0" xfId="0" applyFont="1" applyFill="1"/>
    <xf numFmtId="0" fontId="9" fillId="4" borderId="0" xfId="0" applyFont="1" applyFill="1"/>
    <xf numFmtId="0" fontId="0" fillId="2" borderId="0" xfId="0" applyFill="1"/>
    <xf numFmtId="0" fontId="8" fillId="3" borderId="0" xfId="0" applyFont="1" applyFill="1"/>
    <xf numFmtId="2" fontId="0" fillId="3" borderId="1" xfId="0" applyNumberFormat="1" applyFill="1" applyBorder="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3" xfId="0" applyFill="1" applyBorder="1"/>
    <xf numFmtId="0" fontId="11" fillId="3" borderId="0" xfId="0" applyFont="1" applyFill="1"/>
    <xf numFmtId="0" fontId="0" fillId="3" borderId="0" xfId="0" applyFill="1" applyBorder="1"/>
    <xf numFmtId="0" fontId="5" fillId="2" borderId="1" xfId="3">
      <alignment horizontal="center"/>
      <protection locked="0"/>
    </xf>
    <xf numFmtId="0" fontId="12" fillId="3" borderId="0" xfId="0" applyFont="1" applyFill="1"/>
    <xf numFmtId="0" fontId="0" fillId="4" borderId="0" xfId="0" applyFill="1"/>
    <xf numFmtId="0" fontId="5" fillId="4" borderId="1" xfId="0" applyFont="1" applyFill="1" applyBorder="1" applyAlignment="1" applyProtection="1">
      <alignment horizontal="center"/>
      <protection locked="0"/>
    </xf>
    <xf numFmtId="0" fontId="12" fillId="4" borderId="0" xfId="0" applyFont="1" applyFill="1"/>
    <xf numFmtId="0" fontId="16" fillId="2" borderId="12" xfId="3" applyFont="1" applyBorder="1">
      <alignment horizontal="center"/>
      <protection locked="0"/>
    </xf>
    <xf numFmtId="9" fontId="19" fillId="2" borderId="1" xfId="4" applyFont="1" applyFill="1" applyBorder="1" applyAlignment="1" applyProtection="1">
      <alignment horizontal="center" vertical="center"/>
      <protection locked="0"/>
    </xf>
    <xf numFmtId="9" fontId="19" fillId="2" borderId="1" xfId="4" applyNumberFormat="1" applyFont="1" applyFill="1" applyBorder="1" applyAlignment="1" applyProtection="1">
      <alignment horizontal="center" vertical="center"/>
      <protection locked="0"/>
    </xf>
    <xf numFmtId="0" fontId="0" fillId="4" borderId="0" xfId="0" applyFill="1" applyBorder="1" applyProtection="1">
      <protection hidden="1"/>
    </xf>
    <xf numFmtId="0" fontId="0" fillId="4" borderId="0" xfId="0" applyFill="1" applyProtection="1">
      <protection hidden="1"/>
    </xf>
    <xf numFmtId="0" fontId="0" fillId="4" borderId="0" xfId="0" applyFill="1" applyBorder="1" applyAlignment="1" applyProtection="1">
      <alignment horizontal="center"/>
      <protection hidden="1"/>
    </xf>
    <xf numFmtId="0" fontId="12" fillId="5" borderId="1" xfId="0" applyFont="1" applyFill="1" applyBorder="1" applyAlignment="1">
      <alignment horizontal="center"/>
    </xf>
    <xf numFmtId="167" fontId="12" fillId="4" borderId="1" xfId="0" applyNumberFormat="1" applyFont="1" applyFill="1" applyBorder="1" applyAlignment="1">
      <alignment horizontal="center"/>
    </xf>
    <xf numFmtId="0" fontId="0" fillId="4" borderId="0" xfId="0" applyFill="1" applyBorder="1"/>
    <xf numFmtId="0" fontId="0" fillId="4" borderId="0" xfId="0" applyFill="1" applyAlignment="1">
      <alignment horizontal="center"/>
    </xf>
    <xf numFmtId="0" fontId="0" fillId="4" borderId="1" xfId="0" applyFill="1" applyBorder="1"/>
    <xf numFmtId="0" fontId="22" fillId="4" borderId="0" xfId="0" applyFont="1" applyFill="1"/>
    <xf numFmtId="0" fontId="0" fillId="4" borderId="3" xfId="0" applyFill="1" applyBorder="1"/>
    <xf numFmtId="0" fontId="0" fillId="4" borderId="3" xfId="0" applyFill="1" applyBorder="1" applyAlignment="1">
      <alignment horizontal="center"/>
    </xf>
    <xf numFmtId="0" fontId="0" fillId="4" borderId="4" xfId="0" applyFill="1" applyBorder="1"/>
    <xf numFmtId="0" fontId="0" fillId="4" borderId="4" xfId="0" applyFill="1" applyBorder="1" applyAlignment="1">
      <alignment horizontal="center"/>
    </xf>
    <xf numFmtId="0" fontId="0" fillId="4" borderId="5" xfId="0" applyFill="1" applyBorder="1"/>
    <xf numFmtId="0" fontId="0" fillId="4" borderId="5" xfId="0" applyFill="1" applyBorder="1" applyAlignment="1">
      <alignment horizontal="center"/>
    </xf>
    <xf numFmtId="0" fontId="5" fillId="2" borderId="1" xfId="3" applyBorder="1">
      <alignment horizontal="center"/>
      <protection locked="0"/>
    </xf>
    <xf numFmtId="3" fontId="5" fillId="2" borderId="1" xfId="3" applyNumberFormat="1" applyBorder="1">
      <alignment horizontal="center"/>
      <protection locked="0"/>
    </xf>
    <xf numFmtId="3" fontId="5" fillId="2" borderId="3" xfId="3" applyNumberFormat="1" applyBorder="1">
      <alignment horizontal="center"/>
      <protection locked="0"/>
    </xf>
    <xf numFmtId="0" fontId="0" fillId="4" borderId="10" xfId="0" applyFill="1" applyBorder="1"/>
    <xf numFmtId="3" fontId="5" fillId="4" borderId="0" xfId="3" applyNumberFormat="1" applyFill="1" applyBorder="1">
      <alignment horizontal="center"/>
      <protection locked="0"/>
    </xf>
    <xf numFmtId="0" fontId="0" fillId="4" borderId="0" xfId="0" applyFill="1" applyBorder="1" applyAlignment="1">
      <alignment horizontal="center" vertical="top" wrapText="1"/>
    </xf>
    <xf numFmtId="167" fontId="0" fillId="4" borderId="4" xfId="0" applyNumberFormat="1" applyFill="1" applyBorder="1"/>
    <xf numFmtId="167" fontId="0" fillId="4" borderId="1" xfId="0" applyNumberFormat="1" applyFill="1" applyBorder="1"/>
    <xf numFmtId="167" fontId="0" fillId="4" borderId="0" xfId="0" applyNumberFormat="1" applyFill="1" applyBorder="1"/>
    <xf numFmtId="0" fontId="0" fillId="3" borderId="10" xfId="0" applyFont="1" applyFill="1" applyBorder="1"/>
    <xf numFmtId="0" fontId="23" fillId="3" borderId="0" xfId="0" applyFont="1" applyFill="1"/>
    <xf numFmtId="0" fontId="0" fillId="3" borderId="4" xfId="0" applyFill="1" applyBorder="1"/>
    <xf numFmtId="0" fontId="0" fillId="3" borderId="5" xfId="0" applyFill="1" applyBorder="1"/>
    <xf numFmtId="0" fontId="22" fillId="3" borderId="0" xfId="0" applyFont="1" applyFill="1"/>
    <xf numFmtId="0" fontId="0" fillId="3" borderId="1" xfId="0" applyFill="1" applyBorder="1" applyAlignment="1">
      <alignment horizontal="center" wrapText="1"/>
    </xf>
    <xf numFmtId="0" fontId="0" fillId="3" borderId="15" xfId="0" applyFill="1" applyBorder="1"/>
    <xf numFmtId="0" fontId="0" fillId="3" borderId="18" xfId="0" applyFill="1" applyBorder="1"/>
    <xf numFmtId="0" fontId="23" fillId="4" borderId="0" xfId="0" applyFont="1" applyFill="1"/>
    <xf numFmtId="166" fontId="5" fillId="2" borderId="1" xfId="4" applyNumberFormat="1" applyFont="1"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0" fontId="0" fillId="4" borderId="1" xfId="0" applyFill="1" applyBorder="1" applyAlignment="1">
      <alignment horizontal="center"/>
    </xf>
    <xf numFmtId="2" fontId="0" fillId="4" borderId="1" xfId="0" applyNumberFormat="1" applyFill="1" applyBorder="1"/>
    <xf numFmtId="9" fontId="5" fillId="2" borderId="1" xfId="4" applyFont="1" applyFill="1" applyBorder="1" applyAlignment="1" applyProtection="1">
      <alignment horizontal="center"/>
      <protection locked="0"/>
    </xf>
    <xf numFmtId="0" fontId="6" fillId="4" borderId="0" xfId="0" applyFont="1" applyFill="1"/>
    <xf numFmtId="0" fontId="5" fillId="3" borderId="1" xfId="3" applyFill="1">
      <alignment horizontal="center"/>
      <protection locked="0"/>
    </xf>
    <xf numFmtId="2" fontId="5" fillId="2" borderId="1" xfId="3" applyNumberFormat="1" applyFill="1">
      <alignment horizontal="center"/>
      <protection locked="0"/>
    </xf>
    <xf numFmtId="2" fontId="5" fillId="2" borderId="1" xfId="3" applyNumberFormat="1" applyFill="1" applyProtection="1">
      <alignment horizontal="center"/>
      <protection locked="0"/>
    </xf>
    <xf numFmtId="0" fontId="25" fillId="3" borderId="0" xfId="0" applyFont="1" applyFill="1"/>
    <xf numFmtId="0" fontId="26" fillId="3" borderId="0" xfId="0" applyFont="1" applyFill="1"/>
    <xf numFmtId="0" fontId="3" fillId="3" borderId="0" xfId="3" applyFont="1" applyFill="1" applyBorder="1" applyProtection="1">
      <alignment horizontal="center"/>
    </xf>
    <xf numFmtId="167" fontId="0" fillId="3" borderId="0" xfId="0" applyNumberFormat="1" applyFill="1" applyAlignment="1">
      <alignment horizontal="left"/>
    </xf>
    <xf numFmtId="0" fontId="0" fillId="3" borderId="0" xfId="0" applyFill="1" applyAlignment="1">
      <alignment horizontal="left"/>
    </xf>
    <xf numFmtId="0" fontId="12" fillId="5" borderId="3" xfId="0" applyFont="1" applyFill="1" applyBorder="1" applyAlignment="1">
      <alignment horizontal="center"/>
    </xf>
    <xf numFmtId="9" fontId="12" fillId="5" borderId="1" xfId="0" applyNumberFormat="1" applyFont="1" applyFill="1" applyBorder="1" applyAlignment="1">
      <alignment horizontal="center"/>
    </xf>
    <xf numFmtId="0" fontId="12" fillId="5" borderId="1" xfId="0" applyFont="1" applyFill="1" applyBorder="1"/>
    <xf numFmtId="167" fontId="18" fillId="5" borderId="0" xfId="0" applyNumberFormat="1" applyFont="1" applyFill="1" applyBorder="1" applyAlignment="1" applyProtection="1">
      <alignment horizontal="center"/>
      <protection hidden="1"/>
    </xf>
    <xf numFmtId="166" fontId="12" fillId="4" borderId="1" xfId="4" applyNumberFormat="1" applyFont="1" applyFill="1" applyBorder="1" applyAlignment="1">
      <alignment horizontal="center"/>
    </xf>
    <xf numFmtId="167" fontId="18" fillId="5" borderId="4" xfId="0" applyNumberFormat="1" applyFont="1" applyFill="1" applyBorder="1" applyAlignment="1" applyProtection="1">
      <alignment horizontal="center"/>
      <protection hidden="1"/>
    </xf>
    <xf numFmtId="2" fontId="12" fillId="4" borderId="1" xfId="0" applyNumberFormat="1" applyFont="1" applyFill="1" applyBorder="1" applyAlignment="1">
      <alignment horizontal="center"/>
    </xf>
    <xf numFmtId="2" fontId="12" fillId="5" borderId="3" xfId="0" applyNumberFormat="1" applyFont="1" applyFill="1" applyBorder="1" applyAlignment="1">
      <alignment horizontal="center"/>
    </xf>
    <xf numFmtId="9" fontId="12" fillId="4" borderId="1" xfId="4" applyFont="1" applyFill="1" applyBorder="1" applyAlignment="1">
      <alignment horizontal="center"/>
    </xf>
    <xf numFmtId="0" fontId="0" fillId="4" borderId="0" xfId="0" applyFill="1" applyAlignment="1" applyProtection="1">
      <alignment horizontal="center"/>
      <protection hidden="1"/>
    </xf>
    <xf numFmtId="167" fontId="0" fillId="4" borderId="0" xfId="0" applyNumberFormat="1" applyFill="1" applyProtection="1">
      <protection hidden="1"/>
    </xf>
    <xf numFmtId="9" fontId="0" fillId="4" borderId="0" xfId="0" applyNumberFormat="1" applyFill="1" applyProtection="1">
      <protection hidden="1"/>
    </xf>
    <xf numFmtId="166" fontId="3" fillId="4" borderId="0" xfId="4" applyNumberFormat="1" applyFont="1" applyFill="1" applyProtection="1">
      <protection hidden="1"/>
    </xf>
    <xf numFmtId="2" fontId="0" fillId="4" borderId="0" xfId="0" applyNumberFormat="1" applyFill="1" applyProtection="1">
      <protection hidden="1"/>
    </xf>
    <xf numFmtId="0" fontId="0" fillId="4" borderId="1" xfId="0" applyFill="1" applyBorder="1" applyAlignment="1">
      <alignment horizontal="center"/>
    </xf>
    <xf numFmtId="0" fontId="5" fillId="2" borderId="1" xfId="3">
      <alignment horizontal="center"/>
      <protection locked="0"/>
    </xf>
    <xf numFmtId="0" fontId="0" fillId="4" borderId="0" xfId="0" applyFill="1" applyAlignment="1" applyProtection="1">
      <alignment horizontal="right"/>
      <protection hidden="1"/>
    </xf>
    <xf numFmtId="0" fontId="0" fillId="4" borderId="0" xfId="0" applyFill="1" applyAlignment="1">
      <alignment horizontal="right"/>
    </xf>
    <xf numFmtId="0" fontId="0" fillId="3" borderId="0" xfId="0" quotePrefix="1" applyFill="1"/>
    <xf numFmtId="0" fontId="0" fillId="4" borderId="1" xfId="0" applyFill="1" applyBorder="1" applyAlignment="1">
      <alignment horizontal="center"/>
    </xf>
    <xf numFmtId="0" fontId="5" fillId="2" borderId="1" xfId="3">
      <alignment horizontal="center"/>
      <protection locked="0"/>
    </xf>
    <xf numFmtId="0" fontId="5" fillId="2" borderId="1" xfId="3">
      <alignment horizontal="center"/>
      <protection locked="0"/>
    </xf>
    <xf numFmtId="0" fontId="22" fillId="3" borderId="0" xfId="0" applyFont="1" applyFill="1" applyAlignment="1">
      <alignment horizontal="center"/>
    </xf>
    <xf numFmtId="2" fontId="0" fillId="3" borderId="10" xfId="0" applyNumberFormat="1" applyFill="1" applyBorder="1"/>
    <xf numFmtId="0" fontId="5" fillId="2" borderId="1" xfId="3">
      <alignment horizontal="center"/>
      <protection locked="0"/>
    </xf>
    <xf numFmtId="0" fontId="0" fillId="3" borderId="0" xfId="0" applyFill="1" applyProtection="1">
      <protection hidden="1"/>
    </xf>
    <xf numFmtId="0" fontId="27" fillId="3" borderId="0" xfId="0" applyFont="1" applyFill="1" applyProtection="1">
      <protection hidden="1"/>
    </xf>
    <xf numFmtId="178" fontId="5" fillId="3" borderId="1" xfId="3" applyNumberFormat="1" applyFill="1">
      <alignment horizontal="center"/>
      <protection locked="0"/>
    </xf>
    <xf numFmtId="0" fontId="22" fillId="4" borderId="0" xfId="0" applyFont="1" applyFill="1" applyBorder="1"/>
    <xf numFmtId="9" fontId="5" fillId="2" borderId="5" xfId="4" applyFont="1" applyFill="1" applyBorder="1" applyAlignment="1" applyProtection="1">
      <alignment horizontal="center"/>
      <protection locked="0"/>
    </xf>
    <xf numFmtId="0" fontId="5" fillId="2" borderId="1" xfId="3">
      <alignment horizontal="center"/>
      <protection locked="0"/>
    </xf>
    <xf numFmtId="179" fontId="5" fillId="2" borderId="1" xfId="1" applyNumberFormat="1" applyFont="1" applyFill="1" applyBorder="1" applyAlignment="1" applyProtection="1">
      <alignment horizontal="center"/>
      <protection locked="0"/>
    </xf>
    <xf numFmtId="0" fontId="0" fillId="4" borderId="12" xfId="0" applyFill="1" applyBorder="1"/>
    <xf numFmtId="0" fontId="0" fillId="3" borderId="14" xfId="0" applyFill="1" applyBorder="1" applyAlignment="1">
      <alignment horizontal="center"/>
    </xf>
    <xf numFmtId="0" fontId="12" fillId="3" borderId="1" xfId="0" applyFont="1" applyFill="1" applyBorder="1"/>
    <xf numFmtId="9" fontId="16" fillId="2" borderId="12" xfId="0" applyNumberFormat="1" applyFont="1" applyFill="1" applyBorder="1" applyAlignment="1" applyProtection="1">
      <alignment horizontal="center"/>
      <protection locked="0"/>
    </xf>
    <xf numFmtId="0" fontId="16" fillId="2" borderId="12" xfId="0" applyFont="1" applyFill="1" applyBorder="1" applyAlignment="1" applyProtection="1">
      <alignment horizontal="center"/>
      <protection locked="0"/>
    </xf>
    <xf numFmtId="0" fontId="28" fillId="3" borderId="1" xfId="2" applyFont="1" applyFill="1" applyBorder="1" applyAlignment="1" applyProtection="1"/>
    <xf numFmtId="0" fontId="29" fillId="6" borderId="1" xfId="2" applyFont="1" applyFill="1" applyBorder="1" applyAlignment="1" applyProtection="1">
      <alignment horizontal="center" vertical="center"/>
    </xf>
    <xf numFmtId="0" fontId="30" fillId="6" borderId="1" xfId="2" applyFont="1" applyFill="1" applyBorder="1" applyAlignment="1" applyProtection="1">
      <alignment horizontal="center" vertical="center"/>
    </xf>
    <xf numFmtId="10" fontId="0" fillId="3" borderId="1" xfId="0" applyNumberFormat="1" applyFill="1" applyBorder="1"/>
    <xf numFmtId="182" fontId="16" fillId="2" borderId="12" xfId="0" applyNumberFormat="1" applyFont="1" applyFill="1" applyBorder="1" applyAlignment="1" applyProtection="1">
      <alignment horizontal="center"/>
      <protection locked="0"/>
    </xf>
    <xf numFmtId="0" fontId="0" fillId="3" borderId="13" xfId="0" applyFill="1" applyBorder="1" applyAlignment="1">
      <alignment horizontal="center"/>
    </xf>
    <xf numFmtId="0" fontId="0" fillId="3" borderId="2" xfId="0" applyFill="1" applyBorder="1" applyAlignment="1">
      <alignment horizontal="center"/>
    </xf>
    <xf numFmtId="2" fontId="5" fillId="2" borderId="1" xfId="3" applyNumberFormat="1" applyFill="1" applyBorder="1" applyProtection="1">
      <alignment horizontal="center"/>
      <protection locked="0"/>
    </xf>
    <xf numFmtId="0" fontId="0" fillId="4" borderId="0" xfId="0" applyFill="1" applyBorder="1" applyAlignment="1" applyProtection="1">
      <alignment horizontal="right"/>
      <protection hidden="1"/>
    </xf>
    <xf numFmtId="0" fontId="12" fillId="5" borderId="0" xfId="0" applyFont="1" applyFill="1" applyBorder="1"/>
    <xf numFmtId="9" fontId="12" fillId="2" borderId="1" xfId="0" applyNumberFormat="1" applyFont="1" applyFill="1" applyBorder="1" applyAlignment="1">
      <alignment horizontal="center"/>
    </xf>
    <xf numFmtId="0" fontId="0" fillId="8" borderId="0" xfId="0" applyFill="1"/>
    <xf numFmtId="0" fontId="5" fillId="2" borderId="1" xfId="3">
      <alignment horizontal="center"/>
      <protection locked="0"/>
    </xf>
    <xf numFmtId="9" fontId="16" fillId="2" borderId="1" xfId="4" applyFont="1" applyFill="1" applyBorder="1" applyAlignment="1" applyProtection="1">
      <alignment horizontal="center"/>
      <protection locked="0"/>
    </xf>
    <xf numFmtId="0" fontId="0" fillId="9" borderId="0" xfId="0" applyFill="1"/>
    <xf numFmtId="0" fontId="5" fillId="2" borderId="1" xfId="3">
      <alignment horizontal="center"/>
      <protection locked="0"/>
    </xf>
    <xf numFmtId="0" fontId="0" fillId="4" borderId="1" xfId="0" applyFill="1" applyBorder="1" applyAlignment="1">
      <alignment horizontal="center"/>
    </xf>
    <xf numFmtId="167" fontId="5" fillId="2" borderId="1" xfId="3" applyNumberFormat="1" applyProtection="1">
      <alignment horizontal="center"/>
      <protection locked="0"/>
    </xf>
    <xf numFmtId="0" fontId="39" fillId="4" borderId="0" xfId="0" applyFont="1" applyFill="1" applyProtection="1">
      <protection hidden="1"/>
    </xf>
    <xf numFmtId="167" fontId="18" fillId="4" borderId="19" xfId="0" applyNumberFormat="1" applyFont="1" applyFill="1" applyBorder="1" applyAlignment="1" applyProtection="1">
      <alignment horizontal="center"/>
      <protection hidden="1"/>
    </xf>
    <xf numFmtId="0" fontId="0" fillId="0" borderId="0" xfId="0" applyProtection="1">
      <protection hidden="1"/>
    </xf>
    <xf numFmtId="166" fontId="39" fillId="4" borderId="0" xfId="4" applyNumberFormat="1" applyFont="1" applyFill="1" applyProtection="1">
      <protection hidden="1"/>
    </xf>
    <xf numFmtId="0" fontId="39" fillId="0" borderId="0" xfId="0" applyFont="1" applyProtection="1">
      <protection hidden="1"/>
    </xf>
    <xf numFmtId="0" fontId="27" fillId="3" borderId="0" xfId="0" applyFont="1" applyFill="1" applyBorder="1" applyProtection="1">
      <protection hidden="1"/>
    </xf>
    <xf numFmtId="9" fontId="27" fillId="3" borderId="0" xfId="0" applyNumberFormat="1" applyFont="1" applyFill="1" applyBorder="1" applyProtection="1">
      <protection hidden="1"/>
    </xf>
    <xf numFmtId="9" fontId="27" fillId="3" borderId="0" xfId="4" applyFont="1" applyFill="1" applyBorder="1" applyProtection="1">
      <protection hidden="1"/>
    </xf>
    <xf numFmtId="167" fontId="27" fillId="3" borderId="0" xfId="0" applyNumberFormat="1" applyFont="1" applyFill="1" applyBorder="1" applyProtection="1">
      <protection hidden="1"/>
    </xf>
    <xf numFmtId="0" fontId="40" fillId="3" borderId="0" xfId="0" applyFont="1" applyFill="1" applyBorder="1" applyProtection="1">
      <protection hidden="1"/>
    </xf>
    <xf numFmtId="167" fontId="40" fillId="3" borderId="0" xfId="0" applyNumberFormat="1" applyFont="1" applyFill="1" applyBorder="1" applyProtection="1">
      <protection hidden="1"/>
    </xf>
    <xf numFmtId="0" fontId="23" fillId="3" borderId="0" xfId="0" applyFont="1" applyFill="1" applyProtection="1">
      <protection hidden="1"/>
    </xf>
    <xf numFmtId="0" fontId="0" fillId="3" borderId="1" xfId="0" applyFill="1" applyBorder="1" applyProtection="1">
      <protection hidden="1"/>
    </xf>
    <xf numFmtId="166" fontId="3" fillId="3" borderId="1" xfId="4" applyNumberFormat="1" applyFont="1" applyFill="1" applyBorder="1" applyAlignment="1" applyProtection="1">
      <alignment horizontal="center"/>
      <protection hidden="1"/>
    </xf>
    <xf numFmtId="0" fontId="0" fillId="3" borderId="10" xfId="0" applyFont="1" applyFill="1" applyBorder="1" applyProtection="1">
      <protection hidden="1"/>
    </xf>
    <xf numFmtId="166" fontId="23" fillId="3" borderId="1" xfId="4" applyNumberFormat="1" applyFont="1" applyFill="1" applyBorder="1" applyAlignment="1" applyProtection="1">
      <alignment horizontal="center"/>
      <protection hidden="1"/>
    </xf>
    <xf numFmtId="0" fontId="0" fillId="3" borderId="1" xfId="0" applyFill="1" applyBorder="1" applyAlignment="1" applyProtection="1">
      <protection hidden="1"/>
    </xf>
    <xf numFmtId="0" fontId="0" fillId="3" borderId="3" xfId="0" applyFill="1" applyBorder="1" applyAlignment="1" applyProtection="1">
      <alignment horizontal="center"/>
      <protection hidden="1"/>
    </xf>
    <xf numFmtId="0" fontId="0" fillId="3" borderId="4" xfId="0" applyFill="1" applyBorder="1" applyAlignment="1" applyProtection="1">
      <alignment horizontal="center"/>
      <protection hidden="1"/>
    </xf>
    <xf numFmtId="180" fontId="3" fillId="3" borderId="1" xfId="1" applyNumberFormat="1" applyFont="1" applyFill="1" applyBorder="1" applyProtection="1">
      <protection hidden="1"/>
    </xf>
    <xf numFmtId="0" fontId="8" fillId="3" borderId="0" xfId="0" applyFont="1" applyFill="1" applyProtection="1">
      <protection hidden="1"/>
    </xf>
    <xf numFmtId="0" fontId="30" fillId="6" borderId="1" xfId="2" applyFont="1" applyFill="1" applyBorder="1" applyAlignment="1" applyProtection="1">
      <alignment horizontal="center" vertical="center"/>
      <protection hidden="1"/>
    </xf>
    <xf numFmtId="0" fontId="0" fillId="3" borderId="10" xfId="0" applyFill="1" applyBorder="1" applyProtection="1">
      <protection hidden="1"/>
    </xf>
    <xf numFmtId="0" fontId="0" fillId="3" borderId="11" xfId="0" applyFill="1" applyBorder="1" applyProtection="1">
      <protection hidden="1"/>
    </xf>
    <xf numFmtId="0" fontId="0" fillId="3" borderId="12" xfId="0" applyFill="1" applyBorder="1" applyProtection="1">
      <protection hidden="1"/>
    </xf>
    <xf numFmtId="166" fontId="3" fillId="3" borderId="1" xfId="4" applyNumberFormat="1" applyFont="1" applyFill="1" applyBorder="1" applyProtection="1">
      <protection hidden="1"/>
    </xf>
    <xf numFmtId="0" fontId="0" fillId="3" borderId="5" xfId="0" applyFill="1" applyBorder="1" applyAlignment="1" applyProtection="1">
      <alignment horizontal="center"/>
      <protection hidden="1"/>
    </xf>
    <xf numFmtId="15" fontId="0" fillId="3" borderId="1" xfId="0" applyNumberFormat="1" applyFill="1" applyBorder="1" applyProtection="1">
      <protection hidden="1"/>
    </xf>
    <xf numFmtId="1" fontId="0" fillId="3" borderId="1" xfId="0" applyNumberFormat="1" applyFill="1" applyBorder="1" applyProtection="1">
      <protection hidden="1"/>
    </xf>
    <xf numFmtId="179" fontId="3" fillId="3" borderId="1" xfId="1" applyNumberFormat="1" applyFont="1" applyFill="1" applyBorder="1" applyProtection="1">
      <protection hidden="1"/>
    </xf>
    <xf numFmtId="167" fontId="0" fillId="3" borderId="1" xfId="0" applyNumberFormat="1" applyFill="1" applyBorder="1" applyProtection="1">
      <protection hidden="1"/>
    </xf>
    <xf numFmtId="172" fontId="0" fillId="3" borderId="0" xfId="0" applyNumberFormat="1" applyFill="1" applyProtection="1">
      <protection hidden="1"/>
    </xf>
    <xf numFmtId="166" fontId="3" fillId="3" borderId="5" xfId="4" applyNumberFormat="1" applyFont="1" applyFill="1" applyBorder="1" applyAlignment="1" applyProtection="1">
      <alignment horizontal="center"/>
      <protection hidden="1"/>
    </xf>
    <xf numFmtId="0" fontId="0" fillId="3" borderId="1" xfId="0" applyFill="1" applyBorder="1" applyAlignment="1" applyProtection="1">
      <alignment horizontal="center"/>
      <protection hidden="1"/>
    </xf>
    <xf numFmtId="179" fontId="3" fillId="3" borderId="0" xfId="1" applyNumberFormat="1" applyFont="1" applyFill="1" applyProtection="1">
      <protection hidden="1"/>
    </xf>
    <xf numFmtId="0" fontId="0" fillId="3" borderId="3" xfId="0" applyFill="1" applyBorder="1" applyProtection="1">
      <protection hidden="1"/>
    </xf>
    <xf numFmtId="179" fontId="3" fillId="3" borderId="3" xfId="1" applyNumberFormat="1" applyFont="1" applyFill="1" applyBorder="1" applyProtection="1">
      <protection hidden="1"/>
    </xf>
    <xf numFmtId="0" fontId="0" fillId="3" borderId="4" xfId="0" applyFill="1" applyBorder="1" applyProtection="1">
      <protection hidden="1"/>
    </xf>
    <xf numFmtId="179" fontId="3" fillId="3" borderId="4" xfId="1" applyNumberFormat="1" applyFont="1" applyFill="1" applyBorder="1" applyProtection="1">
      <protection hidden="1"/>
    </xf>
    <xf numFmtId="0" fontId="0" fillId="3" borderId="5" xfId="0" applyFill="1" applyBorder="1" applyProtection="1">
      <protection hidden="1"/>
    </xf>
    <xf numFmtId="179" fontId="3" fillId="3" borderId="5" xfId="1" applyNumberFormat="1" applyFont="1" applyFill="1" applyBorder="1" applyProtection="1">
      <protection hidden="1"/>
    </xf>
    <xf numFmtId="0" fontId="9" fillId="3" borderId="0" xfId="0" applyFont="1" applyFill="1" applyProtection="1">
      <protection hidden="1"/>
    </xf>
    <xf numFmtId="15" fontId="0" fillId="3" borderId="0" xfId="0" applyNumberFormat="1" applyFill="1" applyProtection="1">
      <protection hidden="1"/>
    </xf>
    <xf numFmtId="14" fontId="0" fillId="3" borderId="0" xfId="0" applyNumberFormat="1" applyFill="1" applyProtection="1">
      <protection hidden="1"/>
    </xf>
    <xf numFmtId="0" fontId="0" fillId="3" borderId="0" xfId="0" applyFill="1" applyAlignment="1" applyProtection="1">
      <alignment horizontal="center"/>
      <protection hidden="1"/>
    </xf>
    <xf numFmtId="0" fontId="0" fillId="3" borderId="0" xfId="0" applyFill="1" applyBorder="1" applyProtection="1">
      <protection hidden="1"/>
    </xf>
    <xf numFmtId="0" fontId="7" fillId="3" borderId="1" xfId="0" applyFont="1" applyFill="1" applyBorder="1" applyProtection="1">
      <protection hidden="1"/>
    </xf>
    <xf numFmtId="0" fontId="0" fillId="3" borderId="18" xfId="0" applyFill="1" applyBorder="1" applyProtection="1">
      <protection hidden="1"/>
    </xf>
    <xf numFmtId="9" fontId="3" fillId="3" borderId="0" xfId="4" applyFont="1" applyFill="1" applyProtection="1">
      <protection hidden="1"/>
    </xf>
    <xf numFmtId="169" fontId="0" fillId="3" borderId="1" xfId="0" applyNumberFormat="1" applyFill="1" applyBorder="1" applyProtection="1">
      <protection hidden="1"/>
    </xf>
    <xf numFmtId="1" fontId="0" fillId="3" borderId="0" xfId="0" applyNumberFormat="1" applyFill="1" applyProtection="1">
      <protection hidden="1"/>
    </xf>
    <xf numFmtId="2" fontId="0" fillId="3" borderId="0" xfId="0" applyNumberFormat="1" applyFill="1" applyProtection="1">
      <protection hidden="1"/>
    </xf>
    <xf numFmtId="167" fontId="0" fillId="3" borderId="0" xfId="0" applyNumberFormat="1" applyFill="1" applyProtection="1">
      <protection hidden="1"/>
    </xf>
    <xf numFmtId="0" fontId="0" fillId="3" borderId="1" xfId="0" applyFill="1" applyBorder="1" applyAlignment="1" applyProtection="1">
      <alignment horizontal="left"/>
      <protection hidden="1"/>
    </xf>
    <xf numFmtId="169" fontId="0" fillId="3" borderId="1" xfId="0" applyNumberFormat="1" applyFill="1" applyBorder="1" applyAlignment="1" applyProtection="1">
      <alignment horizontal="center"/>
      <protection hidden="1"/>
    </xf>
    <xf numFmtId="1" fontId="0" fillId="3" borderId="1" xfId="0" applyNumberFormat="1" applyFill="1" applyBorder="1" applyAlignment="1" applyProtection="1">
      <alignment horizontal="center"/>
      <protection hidden="1"/>
    </xf>
    <xf numFmtId="2" fontId="0" fillId="3" borderId="10" xfId="0" applyNumberFormat="1" applyFill="1" applyBorder="1" applyProtection="1">
      <protection hidden="1"/>
    </xf>
    <xf numFmtId="0" fontId="23" fillId="3" borderId="0" xfId="0" applyFont="1" applyFill="1" applyAlignment="1" applyProtection="1">
      <alignment horizontal="left"/>
      <protection hidden="1"/>
    </xf>
    <xf numFmtId="0" fontId="0" fillId="3" borderId="1" xfId="0" applyNumberFormat="1" applyFill="1" applyBorder="1" applyProtection="1">
      <protection hidden="1"/>
    </xf>
    <xf numFmtId="9" fontId="3" fillId="3" borderId="1" xfId="4" applyFont="1" applyFill="1" applyBorder="1" applyProtection="1">
      <protection hidden="1"/>
    </xf>
    <xf numFmtId="2" fontId="0" fillId="3" borderId="1" xfId="0" applyNumberFormat="1" applyFill="1" applyBorder="1" applyProtection="1">
      <protection hidden="1"/>
    </xf>
    <xf numFmtId="173" fontId="0" fillId="3" borderId="0" xfId="0" applyNumberFormat="1" applyFill="1" applyProtection="1">
      <protection hidden="1"/>
    </xf>
    <xf numFmtId="9" fontId="3" fillId="3" borderId="3" xfId="4" applyFont="1" applyFill="1" applyBorder="1" applyProtection="1">
      <protection hidden="1"/>
    </xf>
    <xf numFmtId="180" fontId="3" fillId="3" borderId="0" xfId="1" applyNumberFormat="1" applyFont="1" applyFill="1" applyProtection="1">
      <protection hidden="1"/>
    </xf>
    <xf numFmtId="165" fontId="0" fillId="3" borderId="0" xfId="0" applyNumberFormat="1" applyFill="1" applyProtection="1">
      <protection hidden="1"/>
    </xf>
    <xf numFmtId="0" fontId="22" fillId="3" borderId="0" xfId="0" applyFont="1" applyFill="1" applyProtection="1">
      <protection hidden="1"/>
    </xf>
    <xf numFmtId="166" fontId="0" fillId="3" borderId="1" xfId="0" applyNumberFormat="1" applyFill="1" applyBorder="1" applyProtection="1">
      <protection hidden="1"/>
    </xf>
    <xf numFmtId="0" fontId="0" fillId="3" borderId="1" xfId="0" applyFill="1" applyBorder="1" applyAlignment="1" applyProtection="1">
      <alignment horizontal="center" wrapText="1"/>
      <protection hidden="1"/>
    </xf>
    <xf numFmtId="0" fontId="0" fillId="3" borderId="1" xfId="0" applyFill="1" applyBorder="1" applyAlignment="1" applyProtection="1">
      <alignment wrapText="1"/>
      <protection hidden="1"/>
    </xf>
    <xf numFmtId="0" fontId="0" fillId="3" borderId="12" xfId="0" applyFill="1" applyBorder="1" applyAlignment="1" applyProtection="1">
      <alignment horizontal="center"/>
      <protection hidden="1"/>
    </xf>
    <xf numFmtId="0" fontId="0" fillId="3" borderId="3" xfId="0" applyFill="1" applyBorder="1" applyAlignment="1" applyProtection="1">
      <alignment horizontal="center" wrapText="1"/>
      <protection hidden="1"/>
    </xf>
    <xf numFmtId="0" fontId="0" fillId="3" borderId="0" xfId="0" applyFill="1" applyBorder="1" applyAlignment="1" applyProtection="1">
      <alignment horizontal="center" wrapText="1"/>
      <protection hidden="1"/>
    </xf>
    <xf numFmtId="0" fontId="0" fillId="3" borderId="3" xfId="0" applyFill="1" applyBorder="1" applyAlignment="1" applyProtection="1">
      <alignment wrapText="1"/>
      <protection hidden="1"/>
    </xf>
    <xf numFmtId="0" fontId="0" fillId="3" borderId="0" xfId="0" applyFill="1" applyAlignment="1" applyProtection="1">
      <alignment horizontal="center" wrapText="1"/>
      <protection hidden="1"/>
    </xf>
    <xf numFmtId="166" fontId="3" fillId="3" borderId="0" xfId="4" applyNumberFormat="1" applyFont="1" applyFill="1" applyProtection="1">
      <protection hidden="1"/>
    </xf>
    <xf numFmtId="9" fontId="0" fillId="3" borderId="1" xfId="0" applyNumberFormat="1" applyFill="1" applyBorder="1" applyProtection="1">
      <protection hidden="1"/>
    </xf>
    <xf numFmtId="9" fontId="0" fillId="3" borderId="0" xfId="0" applyNumberFormat="1" applyFill="1" applyBorder="1" applyProtection="1">
      <protection hidden="1"/>
    </xf>
    <xf numFmtId="179" fontId="0" fillId="3" borderId="0" xfId="0" applyNumberFormat="1" applyFill="1" applyProtection="1">
      <protection hidden="1"/>
    </xf>
    <xf numFmtId="179" fontId="3" fillId="3" borderId="0" xfId="1" applyNumberFormat="1" applyFont="1" applyFill="1" applyBorder="1" applyProtection="1">
      <protection hidden="1"/>
    </xf>
    <xf numFmtId="1" fontId="0" fillId="3" borderId="3" xfId="0" applyNumberFormat="1" applyFill="1" applyBorder="1" applyProtection="1">
      <protection hidden="1"/>
    </xf>
    <xf numFmtId="2" fontId="0" fillId="3" borderId="3" xfId="0" applyNumberFormat="1" applyFill="1" applyBorder="1" applyProtection="1">
      <protection hidden="1"/>
    </xf>
    <xf numFmtId="1" fontId="0" fillId="3" borderId="4" xfId="0" applyNumberFormat="1" applyFill="1" applyBorder="1" applyProtection="1">
      <protection hidden="1"/>
    </xf>
    <xf numFmtId="2" fontId="0" fillId="3" borderId="4" xfId="0" applyNumberFormat="1" applyFill="1" applyBorder="1" applyProtection="1">
      <protection hidden="1"/>
    </xf>
    <xf numFmtId="1" fontId="0" fillId="3" borderId="5" xfId="0" applyNumberFormat="1" applyFill="1" applyBorder="1" applyProtection="1">
      <protection hidden="1"/>
    </xf>
    <xf numFmtId="2" fontId="0" fillId="3" borderId="5" xfId="0" applyNumberFormat="1" applyFill="1" applyBorder="1" applyProtection="1">
      <protection hidden="1"/>
    </xf>
    <xf numFmtId="0" fontId="8" fillId="3" borderId="14" xfId="0" applyFont="1" applyFill="1" applyBorder="1" applyProtection="1">
      <protection hidden="1"/>
    </xf>
    <xf numFmtId="0" fontId="8" fillId="3" borderId="15" xfId="0" applyFont="1" applyFill="1" applyBorder="1" applyProtection="1">
      <protection hidden="1"/>
    </xf>
    <xf numFmtId="0" fontId="0" fillId="3" borderId="15" xfId="0" applyFill="1" applyBorder="1" applyProtection="1">
      <protection hidden="1"/>
    </xf>
    <xf numFmtId="0" fontId="0" fillId="3" borderId="16" xfId="0" applyFill="1" applyBorder="1" applyProtection="1">
      <protection hidden="1"/>
    </xf>
    <xf numFmtId="0" fontId="0" fillId="3" borderId="2" xfId="0" applyFill="1" applyBorder="1" applyProtection="1">
      <protection hidden="1"/>
    </xf>
    <xf numFmtId="0" fontId="0" fillId="3" borderId="19" xfId="0" applyFill="1" applyBorder="1" applyProtection="1">
      <protection hidden="1"/>
    </xf>
    <xf numFmtId="15" fontId="0" fillId="3" borderId="5" xfId="0" applyNumberFormat="1" applyFill="1" applyBorder="1" applyProtection="1">
      <protection hidden="1"/>
    </xf>
    <xf numFmtId="9" fontId="0" fillId="3" borderId="0" xfId="0" applyNumberFormat="1" applyFill="1" applyProtection="1">
      <protection hidden="1"/>
    </xf>
    <xf numFmtId="174" fontId="0" fillId="3" borderId="1" xfId="0" applyNumberFormat="1" applyFill="1" applyBorder="1" applyProtection="1">
      <protection hidden="1"/>
    </xf>
    <xf numFmtId="175" fontId="0" fillId="3" borderId="0" xfId="0" applyNumberFormat="1" applyFill="1" applyProtection="1">
      <protection hidden="1"/>
    </xf>
    <xf numFmtId="167" fontId="0" fillId="3" borderId="0" xfId="0" applyNumberFormat="1" applyFill="1" applyBorder="1" applyProtection="1">
      <protection hidden="1"/>
    </xf>
    <xf numFmtId="10" fontId="3" fillId="3" borderId="1" xfId="4" applyNumberFormat="1" applyFont="1" applyFill="1" applyBorder="1" applyProtection="1">
      <protection hidden="1"/>
    </xf>
    <xf numFmtId="10" fontId="0" fillId="3" borderId="3" xfId="0" applyNumberFormat="1" applyFill="1" applyBorder="1" applyProtection="1">
      <protection hidden="1"/>
    </xf>
    <xf numFmtId="169" fontId="0" fillId="3" borderId="0" xfId="0" applyNumberFormat="1" applyFill="1" applyProtection="1">
      <protection hidden="1"/>
    </xf>
    <xf numFmtId="169" fontId="23" fillId="3" borderId="0" xfId="0" applyNumberFormat="1" applyFont="1" applyFill="1" applyProtection="1">
      <protection hidden="1"/>
    </xf>
    <xf numFmtId="0" fontId="0" fillId="3" borderId="0" xfId="0" applyFill="1" applyBorder="1" applyAlignment="1" applyProtection="1">
      <alignment horizontal="center"/>
      <protection hidden="1"/>
    </xf>
    <xf numFmtId="2" fontId="0" fillId="3" borderId="1" xfId="0" applyNumberFormat="1" applyFill="1" applyBorder="1" applyAlignment="1" applyProtection="1">
      <alignment horizontal="center"/>
      <protection hidden="1"/>
    </xf>
    <xf numFmtId="0" fontId="0" fillId="3" borderId="11" xfId="0" applyFill="1" applyBorder="1" applyAlignment="1" applyProtection="1">
      <alignment horizontal="center"/>
      <protection hidden="1"/>
    </xf>
    <xf numFmtId="2" fontId="0" fillId="3" borderId="11" xfId="0" applyNumberFormat="1" applyFill="1" applyBorder="1" applyAlignment="1" applyProtection="1">
      <alignment horizontal="center"/>
      <protection hidden="1"/>
    </xf>
    <xf numFmtId="166" fontId="3" fillId="3" borderId="0" xfId="4" applyNumberFormat="1" applyFont="1" applyFill="1" applyBorder="1" applyProtection="1">
      <protection hidden="1"/>
    </xf>
    <xf numFmtId="2" fontId="0" fillId="3" borderId="0" xfId="0" applyNumberFormat="1" applyFill="1" applyBorder="1" applyProtection="1">
      <protection hidden="1"/>
    </xf>
    <xf numFmtId="0" fontId="0" fillId="3" borderId="14" xfId="0" applyFill="1" applyBorder="1" applyProtection="1">
      <protection hidden="1"/>
    </xf>
    <xf numFmtId="0" fontId="24" fillId="3" borderId="0" xfId="0" applyFont="1" applyFill="1" applyProtection="1">
      <protection hidden="1"/>
    </xf>
    <xf numFmtId="179" fontId="3" fillId="3" borderId="1" xfId="1" applyNumberFormat="1" applyFont="1" applyFill="1" applyBorder="1" applyAlignment="1" applyProtection="1">
      <alignment horizontal="center"/>
      <protection hidden="1"/>
    </xf>
    <xf numFmtId="179" fontId="3" fillId="3" borderId="0" xfId="1" applyNumberFormat="1" applyFont="1" applyFill="1" applyBorder="1" applyAlignment="1" applyProtection="1">
      <alignment horizontal="center"/>
      <protection hidden="1"/>
    </xf>
    <xf numFmtId="9" fontId="22" fillId="3" borderId="0" xfId="0" applyNumberFormat="1" applyFont="1" applyFill="1" applyProtection="1">
      <protection hidden="1"/>
    </xf>
    <xf numFmtId="167" fontId="0" fillId="3" borderId="0" xfId="0" applyNumberFormat="1" applyFill="1" applyAlignment="1" applyProtection="1">
      <alignment horizontal="left"/>
      <protection hidden="1"/>
    </xf>
    <xf numFmtId="0" fontId="0" fillId="3" borderId="0" xfId="0" applyFill="1" applyAlignment="1" applyProtection="1">
      <alignment horizontal="left"/>
      <protection hidden="1"/>
    </xf>
    <xf numFmtId="9" fontId="0" fillId="3" borderId="1" xfId="0" applyNumberFormat="1" applyFill="1" applyBorder="1" applyAlignment="1" applyProtection="1">
      <protection hidden="1"/>
    </xf>
    <xf numFmtId="181" fontId="3" fillId="3" borderId="4" xfId="1" applyNumberFormat="1" applyFont="1" applyFill="1" applyBorder="1" applyProtection="1">
      <protection hidden="1"/>
    </xf>
    <xf numFmtId="181" fontId="3" fillId="3" borderId="5" xfId="1" applyNumberFormat="1" applyFont="1" applyFill="1" applyBorder="1" applyProtection="1">
      <protection hidden="1"/>
    </xf>
    <xf numFmtId="0" fontId="21" fillId="3" borderId="0" xfId="0" applyFont="1" applyFill="1" applyProtection="1">
      <protection hidden="1"/>
    </xf>
    <xf numFmtId="2" fontId="0" fillId="3" borderId="1" xfId="0" applyNumberFormat="1" applyFill="1" applyBorder="1" applyAlignment="1" applyProtection="1">
      <alignment horizontal="right"/>
      <protection hidden="1"/>
    </xf>
    <xf numFmtId="9" fontId="0" fillId="3" borderId="5" xfId="0" applyNumberFormat="1" applyFill="1" applyBorder="1" applyAlignment="1" applyProtection="1">
      <alignment horizontal="center"/>
      <protection hidden="1"/>
    </xf>
    <xf numFmtId="0" fontId="0" fillId="3" borderId="5" xfId="0" applyFill="1" applyBorder="1" applyAlignment="1" applyProtection="1">
      <protection hidden="1"/>
    </xf>
    <xf numFmtId="9" fontId="0" fillId="3" borderId="1" xfId="0" applyNumberFormat="1" applyFill="1" applyBorder="1" applyAlignment="1" applyProtection="1">
      <alignment horizontal="center"/>
      <protection hidden="1"/>
    </xf>
    <xf numFmtId="9" fontId="3" fillId="3" borderId="1" xfId="4" applyFont="1" applyFill="1" applyBorder="1" applyAlignment="1" applyProtection="1">
      <alignment horizontal="center"/>
      <protection hidden="1"/>
    </xf>
    <xf numFmtId="170" fontId="0" fillId="3" borderId="1" xfId="0" applyNumberFormat="1" applyFill="1" applyBorder="1" applyAlignment="1" applyProtection="1">
      <alignment horizontal="center"/>
      <protection hidden="1"/>
    </xf>
    <xf numFmtId="170" fontId="0" fillId="3" borderId="4" xfId="0" applyNumberFormat="1" applyFill="1" applyBorder="1" applyProtection="1">
      <protection hidden="1"/>
    </xf>
    <xf numFmtId="170" fontId="0" fillId="3" borderId="5" xfId="0" applyNumberFormat="1" applyFill="1" applyBorder="1" applyProtection="1">
      <protection hidden="1"/>
    </xf>
    <xf numFmtId="179" fontId="3" fillId="3" borderId="12" xfId="1" applyNumberFormat="1" applyFont="1" applyFill="1" applyBorder="1" applyProtection="1">
      <protection hidden="1"/>
    </xf>
    <xf numFmtId="179" fontId="3" fillId="3" borderId="16" xfId="1" applyNumberFormat="1" applyFont="1" applyFill="1" applyBorder="1" applyProtection="1">
      <protection hidden="1"/>
    </xf>
    <xf numFmtId="166" fontId="3" fillId="3" borderId="3" xfId="4" applyNumberFormat="1" applyFont="1" applyFill="1" applyBorder="1" applyProtection="1">
      <protection hidden="1"/>
    </xf>
    <xf numFmtId="166" fontId="3" fillId="3" borderId="4" xfId="4" applyNumberFormat="1" applyFont="1" applyFill="1" applyBorder="1" applyProtection="1">
      <protection hidden="1"/>
    </xf>
    <xf numFmtId="166" fontId="3" fillId="3" borderId="5" xfId="4" applyNumberFormat="1" applyFont="1" applyFill="1" applyBorder="1" applyProtection="1">
      <protection hidden="1"/>
    </xf>
    <xf numFmtId="168" fontId="0" fillId="3" borderId="1" xfId="0" applyNumberFormat="1" applyFill="1" applyBorder="1" applyProtection="1">
      <protection hidden="1"/>
    </xf>
    <xf numFmtId="168" fontId="0" fillId="3" borderId="1" xfId="0" applyNumberFormat="1" applyFill="1" applyBorder="1" applyAlignment="1" applyProtection="1">
      <alignment horizontal="center"/>
      <protection hidden="1"/>
    </xf>
    <xf numFmtId="168" fontId="0" fillId="3" borderId="0" xfId="0" applyNumberFormat="1" applyFill="1" applyProtection="1">
      <protection hidden="1"/>
    </xf>
    <xf numFmtId="168" fontId="0" fillId="3" borderId="3" xfId="0" applyNumberFormat="1" applyFill="1" applyBorder="1" applyProtection="1">
      <protection hidden="1"/>
    </xf>
    <xf numFmtId="10" fontId="3" fillId="3" borderId="3" xfId="4" applyNumberFormat="1" applyFont="1" applyFill="1" applyBorder="1" applyProtection="1">
      <protection hidden="1"/>
    </xf>
    <xf numFmtId="168" fontId="0" fillId="3" borderId="4" xfId="0" applyNumberFormat="1" applyFill="1" applyBorder="1" applyProtection="1">
      <protection hidden="1"/>
    </xf>
    <xf numFmtId="10" fontId="3" fillId="3" borderId="4" xfId="4" applyNumberFormat="1" applyFont="1" applyFill="1" applyBorder="1" applyProtection="1">
      <protection hidden="1"/>
    </xf>
    <xf numFmtId="168" fontId="0" fillId="3" borderId="5" xfId="0" applyNumberFormat="1" applyFill="1" applyBorder="1" applyProtection="1">
      <protection hidden="1"/>
    </xf>
    <xf numFmtId="10" fontId="3" fillId="3" borderId="5" xfId="4" applyNumberFormat="1" applyFont="1" applyFill="1" applyBorder="1" applyProtection="1">
      <protection hidden="1"/>
    </xf>
    <xf numFmtId="0" fontId="8" fillId="3" borderId="0" xfId="0" applyFont="1" applyFill="1" applyBorder="1" applyProtection="1">
      <protection hidden="1"/>
    </xf>
    <xf numFmtId="176" fontId="0" fillId="3" borderId="0" xfId="0" applyNumberFormat="1" applyFill="1" applyProtection="1">
      <protection hidden="1"/>
    </xf>
    <xf numFmtId="0" fontId="4" fillId="3" borderId="3" xfId="2" applyFill="1" applyBorder="1" applyAlignment="1" applyProtection="1">
      <alignment horizontal="center"/>
      <protection hidden="1"/>
    </xf>
    <xf numFmtId="10" fontId="0" fillId="3" borderId="0" xfId="0" applyNumberFormat="1" applyFill="1" applyProtection="1">
      <protection hidden="1"/>
    </xf>
    <xf numFmtId="168" fontId="0" fillId="3" borderId="13" xfId="0" applyNumberFormat="1" applyFill="1" applyBorder="1" applyProtection="1">
      <protection hidden="1"/>
    </xf>
    <xf numFmtId="168" fontId="0" fillId="3" borderId="17" xfId="0" applyNumberFormat="1" applyFill="1" applyBorder="1" applyProtection="1">
      <protection hidden="1"/>
    </xf>
    <xf numFmtId="169" fontId="0" fillId="3" borderId="3" xfId="0" applyNumberFormat="1" applyFill="1" applyBorder="1" applyProtection="1">
      <protection hidden="1"/>
    </xf>
    <xf numFmtId="164" fontId="0" fillId="3" borderId="0" xfId="0" applyNumberFormat="1" applyFill="1" applyProtection="1">
      <protection hidden="1"/>
    </xf>
    <xf numFmtId="169" fontId="0" fillId="3" borderId="4" xfId="0" applyNumberFormat="1" applyFill="1" applyBorder="1" applyProtection="1">
      <protection hidden="1"/>
    </xf>
    <xf numFmtId="169" fontId="0" fillId="3" borderId="5" xfId="0" applyNumberFormat="1" applyFill="1" applyBorder="1" applyProtection="1">
      <protection hidden="1"/>
    </xf>
    <xf numFmtId="0" fontId="0" fillId="0" borderId="0" xfId="0" applyBorder="1" applyProtection="1">
      <protection hidden="1"/>
    </xf>
    <xf numFmtId="167" fontId="0" fillId="3" borderId="5" xfId="0" applyNumberFormat="1" applyFill="1" applyBorder="1" applyProtection="1">
      <protection hidden="1"/>
    </xf>
    <xf numFmtId="1" fontId="27" fillId="3" borderId="0" xfId="0" applyNumberFormat="1" applyFont="1" applyFill="1" applyProtection="1">
      <protection hidden="1"/>
    </xf>
    <xf numFmtId="176" fontId="27" fillId="3" borderId="0" xfId="0" applyNumberFormat="1" applyFont="1" applyFill="1" applyProtection="1">
      <protection hidden="1"/>
    </xf>
    <xf numFmtId="0" fontId="27" fillId="3" borderId="0" xfId="0" applyFont="1" applyFill="1" applyAlignment="1" applyProtection="1">
      <alignment horizontal="center"/>
      <protection hidden="1"/>
    </xf>
    <xf numFmtId="9" fontId="27" fillId="3" borderId="0" xfId="0" applyNumberFormat="1" applyFont="1" applyFill="1" applyProtection="1">
      <protection hidden="1"/>
    </xf>
    <xf numFmtId="10" fontId="27" fillId="3" borderId="0" xfId="0" applyNumberFormat="1" applyFont="1" applyFill="1" applyProtection="1">
      <protection hidden="1"/>
    </xf>
    <xf numFmtId="167" fontId="27" fillId="3" borderId="0" xfId="0" applyNumberFormat="1" applyFont="1" applyFill="1" applyProtection="1">
      <protection hidden="1"/>
    </xf>
    <xf numFmtId="2" fontId="27" fillId="3" borderId="0" xfId="0" applyNumberFormat="1" applyFont="1" applyFill="1" applyProtection="1">
      <protection hidden="1"/>
    </xf>
    <xf numFmtId="11" fontId="27" fillId="3" borderId="0" xfId="0" applyNumberFormat="1" applyFont="1" applyFill="1" applyProtection="1">
      <protection hidden="1"/>
    </xf>
    <xf numFmtId="1" fontId="0" fillId="3" borderId="1" xfId="0" applyNumberFormat="1" applyFill="1" applyBorder="1" applyAlignment="1" applyProtection="1">
      <alignment horizontal="right"/>
      <protection hidden="1"/>
    </xf>
    <xf numFmtId="172" fontId="0" fillId="3" borderId="3" xfId="0" applyNumberFormat="1" applyFill="1" applyBorder="1" applyProtection="1">
      <protection hidden="1"/>
    </xf>
    <xf numFmtId="176" fontId="0" fillId="3" borderId="3" xfId="0" applyNumberFormat="1" applyFill="1" applyBorder="1" applyProtection="1">
      <protection hidden="1"/>
    </xf>
    <xf numFmtId="176" fontId="3" fillId="3" borderId="3" xfId="4" applyNumberFormat="1" applyFont="1" applyFill="1" applyBorder="1" applyProtection="1">
      <protection hidden="1"/>
    </xf>
    <xf numFmtId="172" fontId="0" fillId="3" borderId="4" xfId="0" applyNumberFormat="1" applyFill="1" applyBorder="1" applyProtection="1">
      <protection hidden="1"/>
    </xf>
    <xf numFmtId="176" fontId="0" fillId="3" borderId="4" xfId="0" applyNumberFormat="1" applyFill="1" applyBorder="1" applyProtection="1">
      <protection hidden="1"/>
    </xf>
    <xf numFmtId="172" fontId="0" fillId="3" borderId="5" xfId="0" applyNumberFormat="1" applyFill="1" applyBorder="1" applyProtection="1">
      <protection hidden="1"/>
    </xf>
    <xf numFmtId="176" fontId="0" fillId="3" borderId="5" xfId="0" applyNumberFormat="1" applyFill="1" applyBorder="1" applyProtection="1">
      <protection hidden="1"/>
    </xf>
    <xf numFmtId="0" fontId="0" fillId="4" borderId="1" xfId="0" applyFill="1" applyBorder="1" applyAlignment="1" applyProtection="1">
      <alignment horizontal="center"/>
      <protection hidden="1"/>
    </xf>
    <xf numFmtId="177" fontId="0" fillId="4" borderId="1"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4" borderId="1" xfId="0" applyFill="1" applyBorder="1" applyProtection="1">
      <protection hidden="1"/>
    </xf>
    <xf numFmtId="167" fontId="0" fillId="4" borderId="3" xfId="0" applyNumberFormat="1" applyFill="1" applyBorder="1" applyProtection="1">
      <protection hidden="1"/>
    </xf>
    <xf numFmtId="167" fontId="0" fillId="4" borderId="4" xfId="0" applyNumberFormat="1" applyFill="1" applyBorder="1" applyProtection="1">
      <protection hidden="1"/>
    </xf>
    <xf numFmtId="167" fontId="0" fillId="4" borderId="5" xfId="0" applyNumberFormat="1" applyFill="1" applyBorder="1" applyProtection="1">
      <protection hidden="1"/>
    </xf>
    <xf numFmtId="179" fontId="3" fillId="4" borderId="0" xfId="1" applyNumberFormat="1" applyFont="1" applyFill="1" applyProtection="1">
      <protection hidden="1"/>
    </xf>
    <xf numFmtId="179" fontId="3" fillId="4" borderId="4" xfId="1" applyNumberFormat="1" applyFont="1" applyFill="1" applyBorder="1" applyProtection="1">
      <protection hidden="1"/>
    </xf>
    <xf numFmtId="179" fontId="3" fillId="4" borderId="5" xfId="1" applyNumberFormat="1" applyFont="1" applyFill="1" applyBorder="1" applyProtection="1">
      <protection hidden="1"/>
    </xf>
    <xf numFmtId="179" fontId="3" fillId="4" borderId="0" xfId="1" applyNumberFormat="1" applyFont="1" applyFill="1" applyBorder="1" applyProtection="1">
      <protection hidden="1"/>
    </xf>
    <xf numFmtId="179" fontId="3" fillId="4" borderId="3" xfId="1" applyNumberFormat="1" applyFont="1" applyFill="1" applyBorder="1" applyProtection="1">
      <protection hidden="1"/>
    </xf>
    <xf numFmtId="179" fontId="3" fillId="4" borderId="1" xfId="1" applyNumberFormat="1" applyFont="1" applyFill="1" applyBorder="1" applyProtection="1">
      <protection hidden="1"/>
    </xf>
    <xf numFmtId="0" fontId="11" fillId="4" borderId="0" xfId="0" applyFont="1" applyFill="1" applyProtection="1">
      <protection hidden="1"/>
    </xf>
    <xf numFmtId="0" fontId="0" fillId="5" borderId="1" xfId="0" applyFill="1" applyBorder="1" applyProtection="1">
      <protection hidden="1"/>
    </xf>
    <xf numFmtId="0" fontId="12" fillId="5" borderId="10" xfId="0" applyFont="1" applyFill="1" applyBorder="1" applyAlignment="1" applyProtection="1">
      <alignment horizontal="left"/>
      <protection hidden="1"/>
    </xf>
    <xf numFmtId="0" fontId="12" fillId="5" borderId="11" xfId="0" applyFont="1" applyFill="1" applyBorder="1" applyAlignment="1" applyProtection="1">
      <alignment horizontal="left"/>
      <protection hidden="1"/>
    </xf>
    <xf numFmtId="0" fontId="12" fillId="5" borderId="12" xfId="0" applyFont="1" applyFill="1" applyBorder="1" applyAlignment="1" applyProtection="1">
      <alignment horizontal="left"/>
      <protection hidden="1"/>
    </xf>
    <xf numFmtId="0" fontId="12" fillId="4" borderId="1" xfId="0" applyFont="1" applyFill="1" applyBorder="1" applyProtection="1">
      <protection hidden="1"/>
    </xf>
    <xf numFmtId="9" fontId="12" fillId="4" borderId="1" xfId="0" applyNumberFormat="1" applyFont="1" applyFill="1" applyBorder="1" applyAlignment="1" applyProtection="1">
      <alignment horizontal="center" vertical="center"/>
      <protection hidden="1"/>
    </xf>
    <xf numFmtId="167" fontId="12" fillId="4" borderId="0" xfId="0" applyNumberFormat="1" applyFont="1" applyFill="1" applyBorder="1" applyAlignment="1" applyProtection="1">
      <alignment horizontal="left"/>
      <protection hidden="1"/>
    </xf>
    <xf numFmtId="0" fontId="12" fillId="5" borderId="1" xfId="0" applyFont="1" applyFill="1" applyBorder="1" applyAlignment="1" applyProtection="1">
      <alignment horizontal="center"/>
      <protection hidden="1"/>
    </xf>
    <xf numFmtId="0" fontId="12" fillId="5" borderId="11" xfId="0" applyFont="1" applyFill="1" applyBorder="1" applyProtection="1">
      <protection hidden="1"/>
    </xf>
    <xf numFmtId="169" fontId="12" fillId="4" borderId="1" xfId="0" applyNumberFormat="1" applyFont="1" applyFill="1" applyBorder="1" applyAlignment="1" applyProtection="1">
      <alignment horizontal="center" vertical="center"/>
      <protection hidden="1"/>
    </xf>
    <xf numFmtId="0" fontId="12" fillId="5" borderId="10" xfId="0" applyFont="1" applyFill="1" applyBorder="1" applyProtection="1">
      <protection hidden="1"/>
    </xf>
    <xf numFmtId="169" fontId="12" fillId="5" borderId="1" xfId="4" applyNumberFormat="1" applyFont="1" applyFill="1" applyBorder="1" applyAlignment="1" applyProtection="1">
      <alignment horizontal="center"/>
      <protection hidden="1"/>
    </xf>
    <xf numFmtId="179" fontId="12" fillId="4" borderId="1" xfId="1" applyNumberFormat="1" applyFont="1" applyFill="1" applyBorder="1" applyAlignment="1" applyProtection="1">
      <alignment horizontal="center"/>
      <protection hidden="1"/>
    </xf>
    <xf numFmtId="166" fontId="12" fillId="5" borderId="1" xfId="4" applyNumberFormat="1" applyFont="1" applyFill="1" applyBorder="1" applyAlignment="1" applyProtection="1">
      <alignment horizontal="center"/>
      <protection hidden="1"/>
    </xf>
    <xf numFmtId="179" fontId="12" fillId="4" borderId="3" xfId="1" applyNumberFormat="1" applyFont="1" applyFill="1" applyBorder="1" applyProtection="1">
      <protection hidden="1"/>
    </xf>
    <xf numFmtId="179" fontId="12" fillId="4" borderId="4" xfId="1" applyNumberFormat="1" applyFont="1" applyFill="1" applyBorder="1" applyProtection="1">
      <protection hidden="1"/>
    </xf>
    <xf numFmtId="179" fontId="12" fillId="4" borderId="0" xfId="1" applyNumberFormat="1" applyFont="1" applyFill="1" applyProtection="1">
      <protection hidden="1"/>
    </xf>
    <xf numFmtId="0" fontId="12" fillId="4" borderId="1" xfId="0" applyFont="1" applyFill="1" applyBorder="1" applyAlignment="1" applyProtection="1">
      <alignment horizontal="center" vertical="center"/>
      <protection hidden="1"/>
    </xf>
    <xf numFmtId="179" fontId="12" fillId="4" borderId="5" xfId="1" applyNumberFormat="1" applyFont="1" applyFill="1" applyBorder="1" applyProtection="1">
      <protection hidden="1"/>
    </xf>
    <xf numFmtId="179" fontId="12" fillId="4" borderId="15" xfId="1" applyNumberFormat="1" applyFont="1" applyFill="1" applyBorder="1" applyProtection="1">
      <protection hidden="1"/>
    </xf>
    <xf numFmtId="179" fontId="12" fillId="4" borderId="1" xfId="1" applyNumberFormat="1" applyFont="1" applyFill="1" applyBorder="1" applyProtection="1">
      <protection hidden="1"/>
    </xf>
    <xf numFmtId="179" fontId="12" fillId="4" borderId="11" xfId="1" applyNumberFormat="1" applyFont="1" applyFill="1" applyBorder="1" applyProtection="1">
      <protection hidden="1"/>
    </xf>
    <xf numFmtId="179" fontId="12" fillId="4" borderId="16" xfId="1" applyNumberFormat="1" applyFont="1" applyFill="1" applyBorder="1" applyProtection="1">
      <protection hidden="1"/>
    </xf>
    <xf numFmtId="179" fontId="12" fillId="4" borderId="17" xfId="1" applyNumberFormat="1" applyFont="1" applyFill="1" applyBorder="1" applyProtection="1">
      <protection hidden="1"/>
    </xf>
    <xf numFmtId="179" fontId="12" fillId="4" borderId="0" xfId="1" applyNumberFormat="1" applyFont="1" applyFill="1" applyBorder="1" applyProtection="1">
      <protection hidden="1"/>
    </xf>
    <xf numFmtId="0" fontId="12" fillId="4" borderId="4" xfId="0" applyFont="1" applyFill="1" applyBorder="1" applyProtection="1">
      <protection hidden="1"/>
    </xf>
    <xf numFmtId="9" fontId="12" fillId="4" borderId="1" xfId="0" applyNumberFormat="1" applyFont="1" applyFill="1" applyBorder="1" applyAlignment="1" applyProtection="1">
      <alignment horizontal="center"/>
      <protection hidden="1"/>
    </xf>
    <xf numFmtId="9" fontId="12" fillId="4" borderId="1" xfId="4" applyFont="1" applyFill="1" applyBorder="1" applyAlignment="1" applyProtection="1">
      <alignment horizontal="center" vertical="center"/>
      <protection hidden="1"/>
    </xf>
    <xf numFmtId="169" fontId="12" fillId="5" borderId="1" xfId="0" applyNumberFormat="1" applyFont="1" applyFill="1" applyBorder="1" applyAlignment="1" applyProtection="1">
      <alignment horizontal="center"/>
      <protection hidden="1"/>
    </xf>
    <xf numFmtId="0" fontId="12" fillId="4" borderId="0" xfId="0" applyFont="1" applyFill="1" applyAlignment="1" applyProtection="1">
      <alignment horizontal="left"/>
      <protection hidden="1"/>
    </xf>
    <xf numFmtId="167" fontId="12" fillId="4" borderId="0" xfId="0" applyNumberFormat="1" applyFont="1" applyFill="1" applyAlignment="1" applyProtection="1">
      <alignment horizontal="left"/>
      <protection hidden="1"/>
    </xf>
    <xf numFmtId="9" fontId="3" fillId="4" borderId="0" xfId="4" applyFont="1" applyFill="1" applyProtection="1">
      <protection hidden="1"/>
    </xf>
    <xf numFmtId="167" fontId="3" fillId="4" borderId="0" xfId="4" applyNumberFormat="1" applyFont="1" applyFill="1" applyProtection="1">
      <protection hidden="1"/>
    </xf>
    <xf numFmtId="0" fontId="27" fillId="4" borderId="0" xfId="0" applyFont="1" applyFill="1" applyProtection="1">
      <protection hidden="1"/>
    </xf>
    <xf numFmtId="167" fontId="27" fillId="4" borderId="0" xfId="0" applyNumberFormat="1" applyFont="1" applyFill="1" applyProtection="1">
      <protection hidden="1"/>
    </xf>
    <xf numFmtId="0" fontId="14" fillId="4" borderId="0" xfId="0" applyFont="1" applyFill="1" applyProtection="1">
      <protection hidden="1"/>
    </xf>
    <xf numFmtId="15" fontId="9" fillId="4" borderId="0" xfId="0" applyNumberFormat="1" applyFont="1" applyFill="1" applyAlignment="1" applyProtection="1">
      <alignment horizontal="left"/>
      <protection hidden="1"/>
    </xf>
    <xf numFmtId="0" fontId="15" fillId="4" borderId="0" xfId="0" applyFont="1" applyFill="1" applyProtection="1">
      <protection hidden="1"/>
    </xf>
    <xf numFmtId="0" fontId="0" fillId="4" borderId="0" xfId="0" applyFont="1" applyFill="1" applyProtection="1">
      <protection hidden="1"/>
    </xf>
    <xf numFmtId="0" fontId="12" fillId="4" borderId="0" xfId="0" applyFont="1" applyFill="1" applyBorder="1" applyProtection="1">
      <protection hidden="1"/>
    </xf>
    <xf numFmtId="0" fontId="12" fillId="4" borderId="0" xfId="0" applyFont="1" applyFill="1" applyProtection="1">
      <protection hidden="1"/>
    </xf>
    <xf numFmtId="169" fontId="12" fillId="4" borderId="1" xfId="0" applyNumberFormat="1" applyFont="1" applyFill="1" applyBorder="1" applyAlignment="1" applyProtection="1">
      <alignment horizontal="center"/>
      <protection hidden="1"/>
    </xf>
    <xf numFmtId="0" fontId="12" fillId="4" borderId="10" xfId="1" applyNumberFormat="1" applyFont="1" applyFill="1" applyBorder="1" applyAlignment="1" applyProtection="1">
      <alignment horizontal="center"/>
      <protection hidden="1"/>
    </xf>
    <xf numFmtId="0" fontId="12" fillId="4" borderId="11" xfId="1" applyNumberFormat="1" applyFont="1" applyFill="1" applyBorder="1" applyAlignment="1" applyProtection="1">
      <alignment horizontal="center"/>
      <protection hidden="1"/>
    </xf>
    <xf numFmtId="0" fontId="12" fillId="4" borderId="12" xfId="1" applyNumberFormat="1" applyFont="1" applyFill="1" applyBorder="1" applyAlignment="1" applyProtection="1">
      <alignment horizontal="center"/>
      <protection hidden="1"/>
    </xf>
    <xf numFmtId="0" fontId="0" fillId="4" borderId="13" xfId="0" applyFill="1" applyBorder="1" applyProtection="1">
      <protection hidden="1"/>
    </xf>
    <xf numFmtId="0" fontId="12" fillId="4" borderId="1" xfId="0" applyFont="1" applyFill="1" applyBorder="1" applyAlignment="1" applyProtection="1">
      <alignment horizontal="center"/>
      <protection hidden="1"/>
    </xf>
    <xf numFmtId="167" fontId="17" fillId="5" borderId="1" xfId="0" applyNumberFormat="1" applyFont="1" applyFill="1" applyBorder="1" applyAlignment="1" applyProtection="1">
      <alignment horizontal="center"/>
      <protection hidden="1"/>
    </xf>
    <xf numFmtId="167" fontId="12" fillId="4" borderId="14" xfId="0" applyNumberFormat="1" applyFont="1" applyFill="1" applyBorder="1" applyAlignment="1" applyProtection="1">
      <alignment horizontal="center"/>
      <protection hidden="1"/>
    </xf>
    <xf numFmtId="167" fontId="12" fillId="4" borderId="15" xfId="0" applyNumberFormat="1" applyFont="1" applyFill="1" applyBorder="1" applyAlignment="1" applyProtection="1">
      <alignment horizontal="center"/>
      <protection hidden="1"/>
    </xf>
    <xf numFmtId="167" fontId="12" fillId="4" borderId="16" xfId="0" applyNumberFormat="1" applyFont="1" applyFill="1" applyBorder="1" applyAlignment="1" applyProtection="1">
      <alignment horizontal="center"/>
      <protection hidden="1"/>
    </xf>
    <xf numFmtId="167" fontId="12" fillId="4" borderId="13" xfId="0" applyNumberFormat="1" applyFont="1" applyFill="1" applyBorder="1" applyAlignment="1" applyProtection="1">
      <alignment horizontal="center"/>
      <protection hidden="1"/>
    </xf>
    <xf numFmtId="167" fontId="12" fillId="4" borderId="0" xfId="0" applyNumberFormat="1" applyFont="1" applyFill="1" applyBorder="1" applyAlignment="1" applyProtection="1">
      <alignment horizontal="center"/>
      <protection hidden="1"/>
    </xf>
    <xf numFmtId="167" fontId="12" fillId="4" borderId="17" xfId="0" applyNumberFormat="1" applyFont="1" applyFill="1" applyBorder="1" applyAlignment="1" applyProtection="1">
      <alignment horizontal="center"/>
      <protection hidden="1"/>
    </xf>
    <xf numFmtId="15" fontId="12" fillId="4" borderId="1" xfId="0" applyNumberFormat="1" applyFont="1" applyFill="1" applyBorder="1" applyAlignment="1" applyProtection="1">
      <alignment horizontal="center"/>
      <protection hidden="1"/>
    </xf>
    <xf numFmtId="167" fontId="12" fillId="4" borderId="2" xfId="0" applyNumberFormat="1" applyFont="1" applyFill="1" applyBorder="1" applyAlignment="1" applyProtection="1">
      <alignment horizontal="center"/>
      <protection hidden="1"/>
    </xf>
    <xf numFmtId="167" fontId="12" fillId="4" borderId="18" xfId="0" applyNumberFormat="1" applyFont="1" applyFill="1" applyBorder="1" applyAlignment="1" applyProtection="1">
      <alignment horizontal="center"/>
      <protection hidden="1"/>
    </xf>
    <xf numFmtId="167" fontId="12" fillId="4" borderId="19" xfId="0" applyNumberFormat="1" applyFont="1" applyFill="1" applyBorder="1" applyAlignment="1" applyProtection="1">
      <alignment horizontal="center"/>
      <protection hidden="1"/>
    </xf>
    <xf numFmtId="0" fontId="12" fillId="4" borderId="0" xfId="0" applyFont="1" applyFill="1" applyAlignment="1" applyProtection="1">
      <alignment horizontal="center"/>
      <protection hidden="1"/>
    </xf>
    <xf numFmtId="1" fontId="12" fillId="4" borderId="1" xfId="0" applyNumberFormat="1" applyFont="1" applyFill="1" applyBorder="1" applyAlignment="1" applyProtection="1">
      <alignment horizontal="center"/>
      <protection hidden="1"/>
    </xf>
    <xf numFmtId="0" fontId="12" fillId="4" borderId="10" xfId="5" applyNumberFormat="1" applyFont="1" applyFill="1" applyBorder="1" applyAlignment="1" applyProtection="1">
      <alignment horizontal="center"/>
      <protection hidden="1"/>
    </xf>
    <xf numFmtId="0" fontId="12" fillId="4" borderId="11" xfId="5" applyNumberFormat="1" applyFont="1" applyFill="1" applyBorder="1" applyAlignment="1" applyProtection="1">
      <alignment horizontal="center"/>
      <protection hidden="1"/>
    </xf>
    <xf numFmtId="0" fontId="12" fillId="4" borderId="12" xfId="5" applyNumberFormat="1" applyFont="1" applyFill="1" applyBorder="1" applyAlignment="1" applyProtection="1">
      <alignment horizontal="center"/>
      <protection hidden="1"/>
    </xf>
    <xf numFmtId="0" fontId="12" fillId="4" borderId="13" xfId="0" applyFont="1" applyFill="1" applyBorder="1" applyProtection="1">
      <protection hidden="1"/>
    </xf>
    <xf numFmtId="0" fontId="12" fillId="4" borderId="17" xfId="0" applyFont="1" applyFill="1" applyBorder="1" applyAlignment="1" applyProtection="1">
      <alignment horizontal="center"/>
      <protection hidden="1"/>
    </xf>
    <xf numFmtId="0" fontId="16" fillId="2" borderId="10" xfId="3" applyFont="1" applyBorder="1" applyProtection="1">
      <alignment horizontal="center"/>
      <protection locked="0" hidden="1"/>
    </xf>
    <xf numFmtId="0" fontId="16" fillId="2" borderId="11" xfId="3" applyFont="1" applyBorder="1" applyProtection="1">
      <alignment horizontal="center"/>
      <protection locked="0" hidden="1"/>
    </xf>
    <xf numFmtId="0" fontId="16" fillId="2" borderId="12" xfId="3" applyFont="1" applyBorder="1" applyProtection="1">
      <alignment horizontal="center"/>
      <protection locked="0" hidden="1"/>
    </xf>
    <xf numFmtId="0" fontId="18" fillId="4" borderId="0" xfId="0" applyFont="1" applyFill="1" applyAlignment="1" applyProtection="1">
      <alignment horizontal="center"/>
      <protection hidden="1"/>
    </xf>
    <xf numFmtId="167" fontId="12" fillId="5" borderId="1" xfId="0" applyNumberFormat="1" applyFont="1" applyFill="1" applyBorder="1" applyAlignment="1" applyProtection="1">
      <alignment horizontal="center"/>
      <protection hidden="1"/>
    </xf>
    <xf numFmtId="0" fontId="8" fillId="7" borderId="20" xfId="0" applyFont="1" applyFill="1" applyBorder="1" applyProtection="1">
      <protection hidden="1"/>
    </xf>
    <xf numFmtId="0" fontId="12" fillId="7" borderId="21" xfId="0" applyFont="1" applyFill="1" applyBorder="1" applyProtection="1">
      <protection hidden="1"/>
    </xf>
    <xf numFmtId="0" fontId="12" fillId="7" borderId="22" xfId="0" applyFont="1" applyFill="1" applyBorder="1" applyProtection="1">
      <protection hidden="1"/>
    </xf>
    <xf numFmtId="0" fontId="20" fillId="4" borderId="1" xfId="0" applyFont="1" applyFill="1" applyBorder="1" applyProtection="1">
      <protection hidden="1"/>
    </xf>
    <xf numFmtId="0" fontId="10" fillId="4" borderId="1" xfId="0" applyFont="1" applyFill="1" applyBorder="1" applyProtection="1">
      <protection hidden="1"/>
    </xf>
    <xf numFmtId="0" fontId="9" fillId="4" borderId="1" xfId="0" applyFont="1" applyFill="1" applyBorder="1" applyAlignment="1" applyProtection="1">
      <alignment horizontal="center"/>
      <protection hidden="1"/>
    </xf>
    <xf numFmtId="9" fontId="19" fillId="4" borderId="0" xfId="4" applyFont="1" applyFill="1" applyBorder="1" applyAlignment="1" applyProtection="1">
      <alignment horizontal="center" vertical="center"/>
      <protection locked="0" hidden="1"/>
    </xf>
    <xf numFmtId="9" fontId="19" fillId="4" borderId="0" xfId="4" applyNumberFormat="1" applyFont="1" applyFill="1" applyBorder="1" applyAlignment="1" applyProtection="1">
      <alignment horizontal="center" vertical="center"/>
      <protection locked="0" hidden="1"/>
    </xf>
    <xf numFmtId="9" fontId="12" fillId="4" borderId="0" xfId="4" applyFont="1" applyFill="1" applyBorder="1" applyAlignment="1" applyProtection="1">
      <alignment horizontal="center"/>
      <protection hidden="1"/>
    </xf>
    <xf numFmtId="0" fontId="20" fillId="4" borderId="0" xfId="0" applyFont="1" applyFill="1" applyAlignment="1" applyProtection="1">
      <alignment horizontal="center" vertical="top" wrapText="1"/>
      <protection hidden="1"/>
    </xf>
    <xf numFmtId="0" fontId="0" fillId="0" borderId="0" xfId="0" applyAlignment="1" applyProtection="1">
      <alignment vertical="top"/>
      <protection hidden="1"/>
    </xf>
    <xf numFmtId="169" fontId="12" fillId="4" borderId="0" xfId="0" applyNumberFormat="1" applyFont="1" applyFill="1" applyBorder="1" applyAlignment="1" applyProtection="1">
      <alignment horizontal="center"/>
      <protection hidden="1"/>
    </xf>
    <xf numFmtId="0" fontId="12" fillId="4" borderId="0" xfId="0" applyFont="1" applyFill="1" applyBorder="1" applyAlignment="1" applyProtection="1">
      <alignment horizontal="center"/>
      <protection hidden="1"/>
    </xf>
    <xf numFmtId="15" fontId="12" fillId="4" borderId="0" xfId="0" applyNumberFormat="1" applyFont="1" applyFill="1" applyBorder="1" applyAlignment="1" applyProtection="1">
      <alignment horizontal="center"/>
      <protection hidden="1"/>
    </xf>
    <xf numFmtId="1" fontId="12" fillId="4" borderId="0" xfId="0" applyNumberFormat="1" applyFont="1" applyFill="1" applyBorder="1" applyAlignment="1" applyProtection="1">
      <alignment horizontal="center"/>
      <protection hidden="1"/>
    </xf>
    <xf numFmtId="0" fontId="0" fillId="2" borderId="0" xfId="0" applyFill="1" applyProtection="1">
      <protection hidden="1"/>
    </xf>
    <xf numFmtId="0" fontId="10" fillId="4" borderId="0" xfId="0" applyFont="1" applyFill="1" applyProtection="1">
      <protection hidden="1"/>
    </xf>
    <xf numFmtId="0" fontId="0" fillId="3" borderId="3" xfId="0" applyFill="1" applyBorder="1" applyAlignment="1" applyProtection="1">
      <alignment vertical="top" wrapText="1"/>
      <protection hidden="1"/>
    </xf>
    <xf numFmtId="0" fontId="0" fillId="3" borderId="0" xfId="0" applyFill="1" applyBorder="1" applyAlignment="1" applyProtection="1">
      <alignment vertical="top" wrapText="1"/>
      <protection hidden="1"/>
    </xf>
    <xf numFmtId="2" fontId="0" fillId="3" borderId="3" xfId="0" applyNumberFormat="1" applyFont="1" applyFill="1" applyBorder="1" applyProtection="1">
      <protection hidden="1"/>
    </xf>
    <xf numFmtId="2" fontId="0" fillId="3" borderId="4" xfId="0" applyNumberFormat="1" applyFont="1" applyFill="1" applyBorder="1" applyProtection="1">
      <protection hidden="1"/>
    </xf>
    <xf numFmtId="2" fontId="0" fillId="3" borderId="5" xfId="0" applyNumberFormat="1" applyFont="1" applyFill="1" applyBorder="1" applyProtection="1">
      <protection hidden="1"/>
    </xf>
    <xf numFmtId="0" fontId="8" fillId="4" borderId="0" xfId="0" applyFont="1" applyFill="1" applyProtection="1">
      <protection hidden="1"/>
    </xf>
    <xf numFmtId="0" fontId="23" fillId="4" borderId="0" xfId="0" applyFont="1" applyFill="1" applyAlignment="1" applyProtection="1">
      <alignment horizontal="center"/>
      <protection hidden="1"/>
    </xf>
    <xf numFmtId="17" fontId="0" fillId="4" borderId="0" xfId="0" applyNumberFormat="1" applyFill="1" applyAlignment="1" applyProtection="1">
      <protection hidden="1"/>
    </xf>
    <xf numFmtId="0" fontId="6" fillId="4" borderId="0" xfId="0" applyFont="1" applyFill="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23" fillId="4" borderId="0" xfId="0" applyFont="1" applyFill="1" applyProtection="1">
      <protection hidden="1"/>
    </xf>
    <xf numFmtId="0" fontId="21" fillId="4" borderId="0" xfId="0" applyFont="1" applyFill="1" applyProtection="1">
      <protection hidden="1"/>
    </xf>
    <xf numFmtId="167" fontId="0" fillId="4" borderId="3" xfId="0" applyNumberFormat="1" applyFill="1" applyBorder="1" applyAlignment="1" applyProtection="1">
      <alignment horizontal="right"/>
      <protection hidden="1"/>
    </xf>
    <xf numFmtId="167" fontId="0" fillId="4" borderId="4" xfId="0" applyNumberFormat="1" applyFill="1" applyBorder="1" applyAlignment="1" applyProtection="1">
      <alignment horizontal="right"/>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right"/>
      <protection hidden="1"/>
    </xf>
    <xf numFmtId="0" fontId="0" fillId="4" borderId="3" xfId="0" applyFill="1" applyBorder="1" applyAlignment="1" applyProtection="1">
      <alignment horizontal="right"/>
      <protection hidden="1"/>
    </xf>
    <xf numFmtId="0" fontId="0" fillId="4" borderId="14" xfId="0" applyFill="1" applyBorder="1" applyProtection="1">
      <protection hidden="1"/>
    </xf>
    <xf numFmtId="0" fontId="0" fillId="4" borderId="2" xfId="0" applyFill="1" applyBorder="1" applyProtection="1">
      <protection hidden="1"/>
    </xf>
    <xf numFmtId="0" fontId="0" fillId="4" borderId="1" xfId="0" applyFill="1" applyBorder="1" applyProtection="1"/>
    <xf numFmtId="0" fontId="0" fillId="4" borderId="0" xfId="0" applyFill="1" applyProtection="1"/>
    <xf numFmtId="179" fontId="3" fillId="4" borderId="0" xfId="1" applyNumberFormat="1" applyFont="1" applyFill="1" applyProtection="1"/>
    <xf numFmtId="179" fontId="3" fillId="4" borderId="0" xfId="1" applyNumberFormat="1" applyFont="1" applyFill="1" applyBorder="1" applyProtection="1"/>
    <xf numFmtId="0" fontId="5" fillId="2" borderId="1" xfId="3" applyProtection="1">
      <alignment horizontal="center"/>
      <protection locked="0"/>
    </xf>
    <xf numFmtId="0" fontId="14" fillId="3" borderId="0" xfId="0" applyFont="1" applyFill="1" applyProtection="1">
      <protection hidden="1"/>
    </xf>
    <xf numFmtId="182" fontId="0" fillId="3" borderId="0" xfId="0" applyNumberFormat="1" applyFill="1" applyBorder="1" applyProtection="1">
      <protection hidden="1"/>
    </xf>
    <xf numFmtId="0" fontId="0" fillId="3" borderId="6" xfId="0" applyFill="1" applyBorder="1" applyAlignment="1" applyProtection="1">
      <alignment horizontal="center"/>
      <protection hidden="1"/>
    </xf>
    <xf numFmtId="0" fontId="0" fillId="3" borderId="7" xfId="0" applyFont="1" applyFill="1" applyBorder="1" applyAlignment="1" applyProtection="1">
      <alignment horizontal="center"/>
      <protection hidden="1"/>
    </xf>
    <xf numFmtId="167" fontId="0" fillId="3" borderId="8" xfId="0" applyNumberFormat="1" applyFont="1" applyFill="1" applyBorder="1" applyAlignment="1" applyProtection="1">
      <alignment horizontal="center"/>
      <protection hidden="1"/>
    </xf>
    <xf numFmtId="167" fontId="0" fillId="3" borderId="9" xfId="0" applyNumberFormat="1" applyFont="1" applyFill="1" applyBorder="1" applyAlignment="1" applyProtection="1">
      <alignment horizontal="center"/>
      <protection hidden="1"/>
    </xf>
    <xf numFmtId="0" fontId="0" fillId="3" borderId="0" xfId="0" applyFont="1" applyFill="1" applyBorder="1" applyProtection="1">
      <protection hidden="1"/>
    </xf>
    <xf numFmtId="0" fontId="13" fillId="3" borderId="0" xfId="0"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182" fontId="12" fillId="5" borderId="1" xfId="4" applyNumberFormat="1" applyFont="1" applyFill="1" applyBorder="1" applyAlignment="1" applyProtection="1">
      <alignment horizontal="center"/>
      <protection hidden="1"/>
    </xf>
    <xf numFmtId="182" fontId="12" fillId="5" borderId="1" xfId="0" applyNumberFormat="1" applyFont="1" applyFill="1" applyBorder="1" applyAlignment="1" applyProtection="1">
      <alignment horizontal="center"/>
      <protection hidden="1"/>
    </xf>
    <xf numFmtId="0" fontId="10" fillId="5" borderId="10" xfId="0" applyFont="1" applyFill="1" applyBorder="1" applyProtection="1">
      <protection hidden="1"/>
    </xf>
    <xf numFmtId="167" fontId="12" fillId="5" borderId="12" xfId="0" applyNumberFormat="1" applyFont="1" applyFill="1" applyBorder="1" applyAlignment="1" applyProtection="1">
      <alignment horizontal="center"/>
      <protection hidden="1"/>
    </xf>
    <xf numFmtId="183" fontId="12" fillId="5" borderId="1" xfId="1" applyNumberFormat="1" applyFont="1" applyFill="1" applyBorder="1" applyAlignment="1" applyProtection="1">
      <alignment horizontal="center"/>
      <protection hidden="1"/>
    </xf>
    <xf numFmtId="0" fontId="10" fillId="5" borderId="11" xfId="0" applyFont="1" applyFill="1" applyBorder="1" applyProtection="1">
      <protection hidden="1"/>
    </xf>
    <xf numFmtId="183" fontId="10" fillId="5" borderId="1" xfId="1" applyNumberFormat="1" applyFont="1" applyFill="1" applyBorder="1" applyAlignment="1" applyProtection="1">
      <alignment horizontal="center"/>
      <protection hidden="1"/>
    </xf>
    <xf numFmtId="9" fontId="12" fillId="5" borderId="1" xfId="4" applyFont="1" applyFill="1" applyBorder="1" applyAlignment="1" applyProtection="1">
      <alignment horizontal="center"/>
      <protection hidden="1"/>
    </xf>
    <xf numFmtId="2" fontId="12" fillId="5" borderId="1" xfId="0" applyNumberFormat="1" applyFont="1" applyFill="1" applyBorder="1" applyAlignment="1" applyProtection="1">
      <alignment horizontal="center"/>
      <protection hidden="1"/>
    </xf>
    <xf numFmtId="0" fontId="0" fillId="9" borderId="1" xfId="0" applyFill="1" applyBorder="1" applyAlignment="1" applyProtection="1">
      <alignment horizontal="center" vertical="top"/>
      <protection hidden="1"/>
    </xf>
    <xf numFmtId="0" fontId="0" fillId="9" borderId="1" xfId="0" applyFill="1" applyBorder="1" applyAlignment="1" applyProtection="1">
      <alignment horizontal="center" vertical="top" wrapText="1"/>
      <protection hidden="1"/>
    </xf>
    <xf numFmtId="15" fontId="0" fillId="3" borderId="3" xfId="0" applyNumberFormat="1" applyFill="1" applyBorder="1" applyProtection="1">
      <protection hidden="1"/>
    </xf>
    <xf numFmtId="15" fontId="0" fillId="3" borderId="4" xfId="0" applyNumberFormat="1" applyFill="1" applyBorder="1" applyProtection="1">
      <protection hidden="1"/>
    </xf>
    <xf numFmtId="0" fontId="0" fillId="9" borderId="0" xfId="0" applyFill="1" applyProtection="1">
      <protection hidden="1"/>
    </xf>
    <xf numFmtId="0" fontId="22" fillId="10" borderId="0" xfId="0" applyFont="1" applyFill="1" applyProtection="1">
      <protection hidden="1"/>
    </xf>
    <xf numFmtId="0" fontId="0" fillId="10" borderId="0" xfId="0" applyFill="1" applyProtection="1">
      <protection hidden="1"/>
    </xf>
    <xf numFmtId="0" fontId="0" fillId="9" borderId="0" xfId="0" applyFill="1" applyAlignment="1" applyProtection="1">
      <alignment vertical="top" wrapText="1"/>
      <protection hidden="1"/>
    </xf>
    <xf numFmtId="0" fontId="15" fillId="10" borderId="0" xfId="0" applyFont="1" applyFill="1" applyAlignment="1" applyProtection="1">
      <protection hidden="1"/>
    </xf>
    <xf numFmtId="0" fontId="12" fillId="10" borderId="0" xfId="0" applyFont="1" applyFill="1" applyAlignment="1" applyProtection="1">
      <protection hidden="1"/>
    </xf>
    <xf numFmtId="0" fontId="22" fillId="9" borderId="0" xfId="0" applyFont="1" applyFill="1" applyProtection="1">
      <protection hidden="1"/>
    </xf>
    <xf numFmtId="0" fontId="0" fillId="10" borderId="0" xfId="0" applyFill="1" applyAlignment="1" applyProtection="1">
      <alignment vertical="top"/>
      <protection hidden="1"/>
    </xf>
    <xf numFmtId="0" fontId="0" fillId="9" borderId="0" xfId="0" applyFill="1" applyAlignment="1" applyProtection="1">
      <alignment horizontal="left" vertical="top" wrapText="1"/>
      <protection hidden="1"/>
    </xf>
    <xf numFmtId="0" fontId="0" fillId="10" borderId="0" xfId="0" applyFill="1" applyAlignment="1" applyProtection="1">
      <alignment horizontal="left" vertical="top" wrapText="1"/>
      <protection hidden="1"/>
    </xf>
    <xf numFmtId="0" fontId="32" fillId="6" borderId="10" xfId="0" applyFont="1" applyFill="1" applyBorder="1" applyAlignment="1" applyProtection="1">
      <alignment horizontal="center" vertical="center"/>
      <protection hidden="1"/>
    </xf>
    <xf numFmtId="0" fontId="32" fillId="6" borderId="11" xfId="0" applyFont="1" applyFill="1" applyBorder="1" applyAlignment="1" applyProtection="1">
      <alignment horizontal="center" vertical="center"/>
      <protection hidden="1"/>
    </xf>
    <xf numFmtId="0" fontId="32" fillId="6" borderId="1" xfId="0" applyFont="1" applyFill="1" applyBorder="1" applyAlignment="1" applyProtection="1">
      <alignment horizontal="center" vertical="center"/>
      <protection hidden="1"/>
    </xf>
    <xf numFmtId="0" fontId="0" fillId="6" borderId="1" xfId="0" applyFill="1" applyBorder="1" applyAlignment="1" applyProtection="1">
      <alignment horizontal="center" vertical="center"/>
      <protection hidden="1"/>
    </xf>
    <xf numFmtId="0" fontId="31" fillId="7" borderId="1" xfId="0" applyFont="1" applyFill="1" applyBorder="1" applyAlignment="1" applyProtection="1">
      <alignment wrapText="1"/>
      <protection hidden="1"/>
    </xf>
    <xf numFmtId="0" fontId="0" fillId="6" borderId="1" xfId="0" applyFill="1" applyBorder="1" applyProtection="1">
      <protection hidden="1"/>
    </xf>
    <xf numFmtId="0" fontId="0" fillId="6" borderId="1" xfId="0" applyFill="1" applyBorder="1" applyAlignment="1" applyProtection="1">
      <alignment horizontal="center" vertical="center" wrapText="1"/>
      <protection hidden="1"/>
    </xf>
    <xf numFmtId="0" fontId="31" fillId="3" borderId="1" xfId="0" applyFont="1" applyFill="1" applyBorder="1" applyAlignment="1" applyProtection="1">
      <alignment wrapText="1"/>
      <protection hidden="1"/>
    </xf>
    <xf numFmtId="0" fontId="4" fillId="6" borderId="1" xfId="2" applyFill="1" applyBorder="1" applyAlignment="1" applyProtection="1">
      <alignment horizontal="center" vertical="center"/>
      <protection hidden="1"/>
    </xf>
    <xf numFmtId="0" fontId="31" fillId="3" borderId="1" xfId="0" applyFont="1" applyFill="1" applyBorder="1" applyAlignment="1" applyProtection="1">
      <alignment vertical="top" wrapText="1"/>
      <protection hidden="1"/>
    </xf>
    <xf numFmtId="0" fontId="31" fillId="7" borderId="1" xfId="0" applyFont="1" applyFill="1" applyBorder="1" applyAlignment="1" applyProtection="1">
      <alignment horizontal="left" vertical="top" wrapText="1"/>
      <protection hidden="1"/>
    </xf>
    <xf numFmtId="0" fontId="31" fillId="3" borderId="1" xfId="0" applyFont="1" applyFill="1" applyBorder="1" applyAlignment="1" applyProtection="1">
      <alignment horizontal="left" vertical="top" wrapText="1"/>
      <protection hidden="1"/>
    </xf>
    <xf numFmtId="0" fontId="35" fillId="2" borderId="0" xfId="0" applyFont="1" applyFill="1" applyProtection="1">
      <protection hidden="1"/>
    </xf>
    <xf numFmtId="0" fontId="36" fillId="2" borderId="0" xfId="2" applyFont="1" applyFill="1" applyAlignment="1" applyProtection="1">
      <protection hidden="1"/>
    </xf>
    <xf numFmtId="0" fontId="0" fillId="8" borderId="0" xfId="0" applyFill="1" applyProtection="1">
      <protection hidden="1"/>
    </xf>
    <xf numFmtId="0" fontId="33" fillId="8" borderId="0" xfId="0" applyFont="1" applyFill="1" applyProtection="1">
      <protection hidden="1"/>
    </xf>
    <xf numFmtId="0" fontId="20" fillId="8" borderId="0" xfId="0" applyFont="1" applyFill="1" applyProtection="1">
      <protection hidden="1"/>
    </xf>
    <xf numFmtId="0" fontId="34" fillId="8" borderId="0" xfId="0" applyFont="1" applyFill="1" applyProtection="1">
      <protection hidden="1"/>
    </xf>
    <xf numFmtId="0" fontId="0" fillId="8" borderId="1" xfId="0" applyFill="1" applyBorder="1" applyAlignment="1" applyProtection="1">
      <alignment horizontal="center"/>
      <protection hidden="1"/>
    </xf>
    <xf numFmtId="0" fontId="0" fillId="8" borderId="10" xfId="0" applyFill="1" applyBorder="1" applyAlignment="1" applyProtection="1">
      <alignment horizontal="center"/>
      <protection hidden="1"/>
    </xf>
    <xf numFmtId="0" fontId="0" fillId="8" borderId="11" xfId="0" applyFill="1" applyBorder="1" applyAlignment="1" applyProtection="1">
      <alignment horizontal="center"/>
      <protection hidden="1"/>
    </xf>
    <xf numFmtId="0" fontId="0" fillId="8" borderId="12" xfId="0" applyFill="1" applyBorder="1" applyAlignment="1" applyProtection="1">
      <alignment horizontal="center"/>
      <protection hidden="1"/>
    </xf>
    <xf numFmtId="15" fontId="0" fillId="8" borderId="1" xfId="0" applyNumberFormat="1" applyFill="1" applyBorder="1" applyProtection="1">
      <protection hidden="1"/>
    </xf>
    <xf numFmtId="2" fontId="0" fillId="8" borderId="1" xfId="0" applyNumberFormat="1" applyFill="1" applyBorder="1" applyProtection="1">
      <protection hidden="1"/>
    </xf>
    <xf numFmtId="0" fontId="0" fillId="8" borderId="10" xfId="0" applyFill="1" applyBorder="1" applyProtection="1">
      <protection hidden="1"/>
    </xf>
    <xf numFmtId="0" fontId="0" fillId="8" borderId="11" xfId="0" applyFill="1" applyBorder="1" applyProtection="1">
      <protection hidden="1"/>
    </xf>
    <xf numFmtId="0" fontId="0" fillId="8" borderId="12" xfId="0" applyFill="1" applyBorder="1" applyProtection="1">
      <protection hidden="1"/>
    </xf>
    <xf numFmtId="2" fontId="0" fillId="8" borderId="1" xfId="0" applyNumberFormat="1" applyFill="1" applyBorder="1" applyAlignment="1" applyProtection="1">
      <alignment horizontal="right"/>
      <protection hidden="1"/>
    </xf>
    <xf numFmtId="0" fontId="0" fillId="8" borderId="1" xfId="0" applyFill="1" applyBorder="1" applyProtection="1">
      <protection hidden="1"/>
    </xf>
    <xf numFmtId="0" fontId="0" fillId="8" borderId="1" xfId="0" applyFill="1" applyBorder="1" applyAlignment="1" applyProtection="1">
      <alignment vertical="top" wrapText="1"/>
      <protection hidden="1"/>
    </xf>
    <xf numFmtId="2" fontId="0" fillId="8" borderId="1" xfId="0" applyNumberFormat="1" applyFill="1" applyBorder="1" applyAlignment="1" applyProtection="1">
      <alignment vertical="top" wrapText="1"/>
      <protection hidden="1"/>
    </xf>
    <xf numFmtId="0" fontId="0" fillId="8" borderId="10" xfId="0" applyFill="1" applyBorder="1" applyAlignment="1" applyProtection="1">
      <alignment vertical="top" wrapText="1"/>
      <protection hidden="1"/>
    </xf>
    <xf numFmtId="0" fontId="0" fillId="8" borderId="11" xfId="0" applyFill="1" applyBorder="1" applyAlignment="1" applyProtection="1">
      <alignment vertical="top" wrapText="1"/>
      <protection hidden="1"/>
    </xf>
    <xf numFmtId="2" fontId="0" fillId="3" borderId="3" xfId="0" applyNumberFormat="1" applyFill="1" applyBorder="1"/>
    <xf numFmtId="2" fontId="0" fillId="3" borderId="4" xfId="0" applyNumberFormat="1" applyFill="1" applyBorder="1"/>
    <xf numFmtId="2" fontId="0" fillId="3" borderId="5" xfId="0" applyNumberFormat="1" applyFill="1" applyBorder="1"/>
    <xf numFmtId="166" fontId="3" fillId="3" borderId="1" xfId="4" applyNumberFormat="1" applyFont="1" applyFill="1" applyBorder="1"/>
    <xf numFmtId="179" fontId="3" fillId="3" borderId="3" xfId="1" applyNumberFormat="1" applyFont="1" applyFill="1" applyBorder="1"/>
    <xf numFmtId="179" fontId="3" fillId="3" borderId="4" xfId="1" applyNumberFormat="1" applyFont="1" applyFill="1" applyBorder="1"/>
    <xf numFmtId="179" fontId="3" fillId="3" borderId="5" xfId="1" applyNumberFormat="1" applyFont="1" applyFill="1" applyBorder="1"/>
    <xf numFmtId="165" fontId="3" fillId="4" borderId="1" xfId="1" applyFont="1" applyFill="1" applyBorder="1" applyProtection="1">
      <protection hidden="1"/>
    </xf>
    <xf numFmtId="165" fontId="3" fillId="4" borderId="1" xfId="5" applyFill="1" applyProtection="1">
      <protection hidden="1"/>
    </xf>
    <xf numFmtId="0" fontId="30" fillId="4" borderId="0" xfId="2" applyFont="1" applyFill="1" applyBorder="1" applyAlignment="1" applyProtection="1">
      <alignment horizontal="center" vertical="center"/>
    </xf>
    <xf numFmtId="0" fontId="0" fillId="4" borderId="10" xfId="0" applyFill="1" applyBorder="1" applyProtection="1">
      <protection hidden="1"/>
    </xf>
    <xf numFmtId="0" fontId="0" fillId="4" borderId="11" xfId="0" applyFill="1" applyBorder="1" applyProtection="1">
      <protection hidden="1"/>
    </xf>
    <xf numFmtId="0" fontId="0" fillId="4" borderId="12" xfId="0" applyFill="1" applyBorder="1" applyProtection="1">
      <protection hidden="1"/>
    </xf>
    <xf numFmtId="180" fontId="12" fillId="4" borderId="10" xfId="1" applyNumberFormat="1" applyFont="1" applyFill="1" applyBorder="1" applyProtection="1">
      <protection hidden="1"/>
    </xf>
    <xf numFmtId="180" fontId="12" fillId="4" borderId="11" xfId="1" applyNumberFormat="1" applyFont="1" applyFill="1" applyBorder="1" applyProtection="1">
      <protection hidden="1"/>
    </xf>
    <xf numFmtId="180" fontId="12" fillId="4" borderId="12" xfId="1" applyNumberFormat="1" applyFont="1" applyFill="1" applyBorder="1" applyProtection="1">
      <protection hidden="1"/>
    </xf>
    <xf numFmtId="0" fontId="9" fillId="6" borderId="1" xfId="0" applyFont="1" applyFill="1" applyBorder="1" applyAlignment="1" applyProtection="1">
      <alignment horizontal="center" vertical="center" wrapText="1"/>
      <protection locked="0"/>
    </xf>
    <xf numFmtId="0" fontId="31" fillId="7" borderId="1" xfId="0" applyFont="1" applyFill="1" applyBorder="1" applyAlignment="1" applyProtection="1">
      <alignment vertical="center" wrapText="1"/>
      <protection locked="0"/>
    </xf>
    <xf numFmtId="0" fontId="41" fillId="6" borderId="1" xfId="2" applyFont="1" applyFill="1" applyBorder="1" applyAlignment="1" applyProtection="1">
      <alignment horizontal="center" vertical="center"/>
      <protection locked="0"/>
    </xf>
    <xf numFmtId="0" fontId="5" fillId="2" borderId="1" xfId="3" applyBorder="1">
      <alignment horizontal="center"/>
      <protection locked="0"/>
    </xf>
    <xf numFmtId="0" fontId="5" fillId="2" borderId="1" xfId="3">
      <alignment horizontal="center"/>
      <protection locked="0"/>
    </xf>
    <xf numFmtId="15" fontId="0" fillId="8" borderId="1" xfId="0" applyNumberFormat="1" applyFill="1" applyBorder="1" applyAlignment="1" applyProtection="1">
      <alignment vertical="top" wrapText="1"/>
      <protection hidden="1"/>
    </xf>
    <xf numFmtId="0" fontId="37" fillId="11" borderId="10" xfId="0" applyFont="1" applyFill="1" applyBorder="1" applyAlignment="1" applyProtection="1">
      <alignment horizontal="center" vertical="center"/>
      <protection hidden="1"/>
    </xf>
    <xf numFmtId="0" fontId="37" fillId="11" borderId="11" xfId="0" applyFont="1" applyFill="1" applyBorder="1" applyAlignment="1" applyProtection="1">
      <alignment horizontal="center" vertical="center"/>
      <protection hidden="1"/>
    </xf>
    <xf numFmtId="0" fontId="37" fillId="11" borderId="12" xfId="0" applyFont="1" applyFill="1" applyBorder="1" applyAlignment="1" applyProtection="1">
      <alignment horizontal="center" vertical="center"/>
      <protection hidden="1"/>
    </xf>
    <xf numFmtId="0" fontId="37" fillId="12" borderId="10" xfId="0" applyFont="1" applyFill="1" applyBorder="1" applyAlignment="1" applyProtection="1">
      <alignment horizontal="center" vertical="center"/>
      <protection hidden="1"/>
    </xf>
    <xf numFmtId="0" fontId="0" fillId="12" borderId="11" xfId="0" applyFill="1" applyBorder="1" applyAlignment="1" applyProtection="1">
      <alignment horizontal="center" vertical="center"/>
      <protection hidden="1"/>
    </xf>
    <xf numFmtId="0" fontId="0" fillId="12" borderId="12" xfId="0" applyFill="1" applyBorder="1" applyAlignment="1" applyProtection="1">
      <alignment horizontal="center" vertical="center"/>
      <protection hidden="1"/>
    </xf>
    <xf numFmtId="0" fontId="37" fillId="9" borderId="10" xfId="0" applyFont="1" applyFill="1" applyBorder="1" applyAlignment="1" applyProtection="1">
      <alignment horizontal="center" vertical="center"/>
      <protection hidden="1"/>
    </xf>
    <xf numFmtId="0" fontId="37" fillId="9" borderId="11" xfId="0" applyFont="1" applyFill="1" applyBorder="1" applyAlignment="1" applyProtection="1">
      <alignment horizontal="center" vertical="center"/>
      <protection hidden="1"/>
    </xf>
    <xf numFmtId="0" fontId="37" fillId="9" borderId="12" xfId="0" applyFont="1" applyFill="1" applyBorder="1" applyAlignment="1" applyProtection="1">
      <alignment horizontal="center" vertical="center"/>
      <protection hidden="1"/>
    </xf>
    <xf numFmtId="0" fontId="37" fillId="13" borderId="10" xfId="0" applyFont="1" applyFill="1" applyBorder="1" applyAlignment="1" applyProtection="1">
      <alignment horizontal="center"/>
      <protection hidden="1"/>
    </xf>
    <xf numFmtId="0" fontId="37" fillId="13" borderId="11" xfId="0" applyFont="1" applyFill="1" applyBorder="1" applyAlignment="1" applyProtection="1">
      <alignment horizontal="center"/>
      <protection hidden="1"/>
    </xf>
    <xf numFmtId="0" fontId="37" fillId="13" borderId="12" xfId="0" applyFont="1" applyFill="1" applyBorder="1" applyAlignment="1" applyProtection="1">
      <alignment horizontal="center"/>
      <protection hidden="1"/>
    </xf>
    <xf numFmtId="0" fontId="0" fillId="9" borderId="0" xfId="0" applyFill="1" applyAlignment="1" applyProtection="1">
      <alignment horizontal="left" vertical="top" wrapText="1"/>
      <protection hidden="1"/>
    </xf>
    <xf numFmtId="0" fontId="0" fillId="9" borderId="14" xfId="0" applyFill="1" applyBorder="1" applyAlignment="1" applyProtection="1">
      <alignment horizontal="left" wrapText="1"/>
      <protection hidden="1"/>
    </xf>
    <xf numFmtId="0" fontId="0" fillId="9" borderId="15" xfId="0" applyFill="1" applyBorder="1" applyAlignment="1" applyProtection="1">
      <alignment horizontal="left" wrapText="1"/>
      <protection hidden="1"/>
    </xf>
    <xf numFmtId="0" fontId="0" fillId="9" borderId="16" xfId="0" applyFill="1" applyBorder="1" applyAlignment="1" applyProtection="1">
      <alignment horizontal="left" wrapText="1"/>
      <protection hidden="1"/>
    </xf>
    <xf numFmtId="0" fontId="0" fillId="9" borderId="2" xfId="0" applyFill="1" applyBorder="1" applyAlignment="1" applyProtection="1">
      <alignment horizontal="left" wrapText="1"/>
      <protection hidden="1"/>
    </xf>
    <xf numFmtId="0" fontId="0" fillId="9" borderId="18" xfId="0" applyFill="1" applyBorder="1" applyAlignment="1" applyProtection="1">
      <alignment horizontal="left" wrapText="1"/>
      <protection hidden="1"/>
    </xf>
    <xf numFmtId="0" fontId="0" fillId="9" borderId="19" xfId="0" applyFill="1" applyBorder="1" applyAlignment="1" applyProtection="1">
      <alignment horizontal="left" wrapText="1"/>
      <protection hidden="1"/>
    </xf>
    <xf numFmtId="9" fontId="0" fillId="3" borderId="0" xfId="0" applyNumberFormat="1" applyFont="1" applyFill="1" applyBorder="1" applyAlignment="1" applyProtection="1">
      <alignment horizontal="center" vertical="center"/>
      <protection hidden="1"/>
    </xf>
    <xf numFmtId="0" fontId="0" fillId="14" borderId="5" xfId="0" applyFont="1" applyFill="1" applyBorder="1" applyAlignment="1" applyProtection="1">
      <alignment horizontal="center" vertical="center"/>
      <protection hidden="1"/>
    </xf>
    <xf numFmtId="0" fontId="10" fillId="3" borderId="10" xfId="0" applyFont="1" applyFill="1" applyBorder="1" applyAlignment="1">
      <alignment horizontal="center"/>
    </xf>
    <xf numFmtId="0" fontId="10" fillId="3" borderId="11" xfId="0" applyFont="1" applyFill="1" applyBorder="1" applyAlignment="1">
      <alignment horizontal="center"/>
    </xf>
    <xf numFmtId="169" fontId="0" fillId="14" borderId="14" xfId="0" applyNumberFormat="1" applyFill="1" applyBorder="1" applyAlignment="1" applyProtection="1">
      <alignment horizontal="center"/>
      <protection hidden="1"/>
    </xf>
    <xf numFmtId="169" fontId="0" fillId="14" borderId="16" xfId="0" applyNumberFormat="1" applyFill="1" applyBorder="1" applyAlignment="1" applyProtection="1">
      <alignment horizontal="center"/>
      <protection hidden="1"/>
    </xf>
    <xf numFmtId="182" fontId="0" fillId="14" borderId="14" xfId="0" applyNumberFormat="1" applyFill="1" applyBorder="1" applyAlignment="1" applyProtection="1">
      <alignment horizontal="center"/>
      <protection hidden="1"/>
    </xf>
    <xf numFmtId="182" fontId="0" fillId="14" borderId="16" xfId="0" applyNumberFormat="1" applyFill="1" applyBorder="1" applyAlignment="1" applyProtection="1">
      <alignment horizontal="center"/>
      <protection hidden="1"/>
    </xf>
    <xf numFmtId="182" fontId="0" fillId="14" borderId="3" xfId="0" applyNumberFormat="1" applyFill="1" applyBorder="1" applyAlignment="1" applyProtection="1">
      <alignment horizontal="center"/>
      <protection hidden="1"/>
    </xf>
    <xf numFmtId="0" fontId="0" fillId="14" borderId="2" xfId="0" applyFont="1" applyFill="1" applyBorder="1" applyAlignment="1" applyProtection="1">
      <alignment horizontal="center" vertical="center"/>
      <protection hidden="1"/>
    </xf>
    <xf numFmtId="0" fontId="0" fillId="14" borderId="19" xfId="0" applyFont="1" applyFill="1" applyBorder="1" applyAlignment="1" applyProtection="1">
      <alignment horizontal="center" vertical="center"/>
      <protection hidden="1"/>
    </xf>
    <xf numFmtId="0" fontId="10" fillId="3" borderId="18" xfId="0" applyFont="1" applyFill="1" applyBorder="1" applyAlignment="1">
      <alignment horizontal="center"/>
    </xf>
    <xf numFmtId="0" fontId="10" fillId="3" borderId="2" xfId="0" applyFont="1" applyFill="1" applyBorder="1" applyAlignment="1">
      <alignment horizontal="center"/>
    </xf>
    <xf numFmtId="0" fontId="10" fillId="3" borderId="19" xfId="0" applyFont="1" applyFill="1" applyBorder="1" applyAlignment="1">
      <alignment horizontal="center"/>
    </xf>
    <xf numFmtId="0" fontId="12" fillId="5" borderId="3" xfId="0" applyFont="1" applyFill="1" applyBorder="1" applyAlignment="1" applyProtection="1">
      <alignment horizontal="center" vertical="top" wrapText="1"/>
      <protection hidden="1"/>
    </xf>
    <xf numFmtId="0" fontId="12" fillId="5" borderId="5" xfId="0" applyFont="1" applyFill="1" applyBorder="1" applyAlignment="1" applyProtection="1">
      <alignment horizontal="center" vertical="top" wrapText="1"/>
      <protection hidden="1"/>
    </xf>
    <xf numFmtId="0" fontId="12" fillId="5" borderId="3" xfId="0" applyFont="1" applyFill="1" applyBorder="1" applyAlignment="1" applyProtection="1">
      <alignment horizontal="center" vertical="top"/>
      <protection hidden="1"/>
    </xf>
    <xf numFmtId="0" fontId="12" fillId="5" borderId="5" xfId="0" applyFont="1" applyFill="1" applyBorder="1" applyAlignment="1" applyProtection="1">
      <alignment horizontal="center" vertical="top"/>
      <protection hidden="1"/>
    </xf>
    <xf numFmtId="0" fontId="10" fillId="4" borderId="10" xfId="0" applyFont="1" applyFill="1" applyBorder="1" applyAlignment="1" applyProtection="1">
      <alignment horizontal="center"/>
      <protection hidden="1"/>
    </xf>
    <xf numFmtId="0" fontId="10" fillId="4" borderId="12" xfId="0" applyFont="1" applyFill="1" applyBorder="1" applyAlignment="1" applyProtection="1">
      <alignment horizontal="center"/>
      <protection hidden="1"/>
    </xf>
    <xf numFmtId="0" fontId="12" fillId="7" borderId="23" xfId="0" applyFont="1" applyFill="1" applyBorder="1" applyAlignment="1" applyProtection="1">
      <alignment horizontal="left" vertical="top" wrapText="1"/>
      <protection hidden="1"/>
    </xf>
    <xf numFmtId="0" fontId="12" fillId="7" borderId="0" xfId="0" applyFont="1" applyFill="1" applyBorder="1" applyAlignment="1" applyProtection="1">
      <alignment horizontal="left" vertical="top" wrapText="1"/>
      <protection hidden="1"/>
    </xf>
    <xf numFmtId="0" fontId="12" fillId="7" borderId="24" xfId="0" applyFont="1" applyFill="1" applyBorder="1" applyAlignment="1" applyProtection="1">
      <alignment horizontal="left" vertical="top" wrapText="1"/>
      <protection hidden="1"/>
    </xf>
    <xf numFmtId="0" fontId="12" fillId="7" borderId="25" xfId="0" applyFont="1" applyFill="1" applyBorder="1" applyAlignment="1" applyProtection="1">
      <alignment horizontal="left" vertical="top" wrapText="1"/>
      <protection hidden="1"/>
    </xf>
    <xf numFmtId="0" fontId="12" fillId="7" borderId="26" xfId="0" applyFont="1" applyFill="1" applyBorder="1" applyAlignment="1" applyProtection="1">
      <alignment horizontal="left" vertical="top" wrapText="1"/>
      <protection hidden="1"/>
    </xf>
    <xf numFmtId="0" fontId="12" fillId="7" borderId="27" xfId="0" applyFont="1" applyFill="1" applyBorder="1" applyAlignment="1" applyProtection="1">
      <alignment horizontal="left" vertical="top" wrapText="1"/>
      <protection hidden="1"/>
    </xf>
    <xf numFmtId="9" fontId="12" fillId="4" borderId="10" xfId="4" applyFont="1" applyFill="1" applyBorder="1" applyAlignment="1" applyProtection="1">
      <alignment horizontal="center"/>
      <protection hidden="1"/>
    </xf>
    <xf numFmtId="9" fontId="12" fillId="4" borderId="12" xfId="4" applyFont="1" applyFill="1" applyBorder="1" applyAlignment="1" applyProtection="1">
      <alignment horizontal="center"/>
      <protection hidden="1"/>
    </xf>
    <xf numFmtId="0" fontId="12" fillId="4" borderId="10" xfId="0" applyFont="1" applyFill="1" applyBorder="1" applyAlignment="1" applyProtection="1">
      <alignment horizontal="center"/>
      <protection hidden="1"/>
    </xf>
    <xf numFmtId="0" fontId="12" fillId="4" borderId="12" xfId="0" applyFont="1" applyFill="1" applyBorder="1" applyAlignment="1" applyProtection="1">
      <alignment horizontal="center"/>
      <protection hidden="1"/>
    </xf>
    <xf numFmtId="0" fontId="10" fillId="4" borderId="11" xfId="0" applyFont="1" applyFill="1" applyBorder="1" applyAlignment="1" applyProtection="1">
      <alignment horizontal="center"/>
      <protection hidden="1"/>
    </xf>
    <xf numFmtId="15" fontId="12" fillId="4" borderId="10" xfId="0" applyNumberFormat="1" applyFont="1" applyFill="1" applyBorder="1" applyAlignment="1" applyProtection="1">
      <alignment horizontal="center"/>
      <protection hidden="1"/>
    </xf>
    <xf numFmtId="15" fontId="12" fillId="4" borderId="12" xfId="0" applyNumberFormat="1" applyFont="1" applyFill="1" applyBorder="1" applyAlignment="1" applyProtection="1">
      <alignment horizontal="center"/>
      <protection hidden="1"/>
    </xf>
    <xf numFmtId="9" fontId="12" fillId="4" borderId="1" xfId="4" applyFont="1" applyFill="1" applyBorder="1" applyAlignment="1" applyProtection="1">
      <alignment horizontal="center"/>
      <protection hidden="1"/>
    </xf>
    <xf numFmtId="0" fontId="12" fillId="7" borderId="20" xfId="0" applyFont="1" applyFill="1" applyBorder="1" applyAlignment="1" applyProtection="1">
      <alignment horizontal="left" vertical="top" wrapText="1"/>
      <protection hidden="1"/>
    </xf>
    <xf numFmtId="0" fontId="12" fillId="7" borderId="21" xfId="0" applyFont="1" applyFill="1" applyBorder="1" applyAlignment="1" applyProtection="1">
      <alignment horizontal="left" vertical="top" wrapText="1"/>
      <protection hidden="1"/>
    </xf>
    <xf numFmtId="0" fontId="12" fillId="7" borderId="22" xfId="0" applyFont="1" applyFill="1" applyBorder="1" applyAlignment="1" applyProtection="1">
      <alignment horizontal="left" vertical="top" wrapText="1"/>
      <protection hidden="1"/>
    </xf>
    <xf numFmtId="169" fontId="12" fillId="4" borderId="10" xfId="0" applyNumberFormat="1" applyFont="1" applyFill="1" applyBorder="1" applyAlignment="1" applyProtection="1">
      <alignment horizontal="center"/>
      <protection hidden="1"/>
    </xf>
    <xf numFmtId="169" fontId="12" fillId="4" borderId="12" xfId="0" applyNumberFormat="1" applyFont="1" applyFill="1" applyBorder="1" applyAlignment="1" applyProtection="1">
      <alignment horizontal="center"/>
      <protection hidden="1"/>
    </xf>
    <xf numFmtId="1" fontId="12" fillId="4" borderId="10" xfId="0" applyNumberFormat="1" applyFont="1" applyFill="1" applyBorder="1" applyAlignment="1" applyProtection="1">
      <alignment horizontal="center"/>
      <protection hidden="1"/>
    </xf>
    <xf numFmtId="1" fontId="12" fillId="4" borderId="12" xfId="0" applyNumberFormat="1" applyFont="1" applyFill="1" applyBorder="1" applyAlignment="1" applyProtection="1">
      <alignment horizontal="center"/>
      <protection hidden="1"/>
    </xf>
    <xf numFmtId="0" fontId="38" fillId="4" borderId="0" xfId="0" applyFont="1" applyFill="1" applyAlignment="1" applyProtection="1">
      <alignment horizontal="center" wrapText="1"/>
      <protection hidden="1"/>
    </xf>
    <xf numFmtId="0" fontId="0" fillId="4" borderId="3" xfId="0" applyFill="1" applyBorder="1" applyAlignment="1">
      <alignment horizontal="center" wrapText="1"/>
    </xf>
    <xf numFmtId="0" fontId="0" fillId="4" borderId="4" xfId="0" applyFill="1" applyBorder="1" applyAlignment="1">
      <alignment horizontal="center" wrapText="1"/>
    </xf>
    <xf numFmtId="0" fontId="0" fillId="4" borderId="5" xfId="0" applyFill="1" applyBorder="1" applyAlignment="1">
      <alignment horizontal="center" wrapText="1"/>
    </xf>
    <xf numFmtId="0" fontId="0" fillId="3" borderId="3" xfId="0" applyFill="1" applyBorder="1" applyAlignment="1">
      <alignment horizontal="center" wrapText="1"/>
    </xf>
    <xf numFmtId="0" fontId="0" fillId="3" borderId="4" xfId="0" applyFill="1" applyBorder="1" applyAlignment="1">
      <alignment horizontal="center" wrapText="1"/>
    </xf>
    <xf numFmtId="0" fontId="0" fillId="3" borderId="5" xfId="0" applyFill="1" applyBorder="1" applyAlignment="1">
      <alignment horizontal="center" wrapText="1"/>
    </xf>
    <xf numFmtId="169" fontId="0" fillId="4" borderId="10" xfId="0" applyNumberFormat="1" applyFill="1" applyBorder="1" applyAlignment="1" applyProtection="1">
      <alignment horizontal="center"/>
      <protection hidden="1"/>
    </xf>
    <xf numFmtId="169" fontId="0" fillId="4" borderId="12" xfId="0" applyNumberFormat="1" applyFill="1" applyBorder="1" applyAlignment="1" applyProtection="1">
      <alignment horizontal="center"/>
      <protection hidden="1"/>
    </xf>
    <xf numFmtId="169" fontId="5" fillId="2" borderId="1" xfId="3" applyNumberFormat="1" applyProtection="1">
      <alignment horizontal="center"/>
      <protection locked="0"/>
    </xf>
    <xf numFmtId="0" fontId="0" fillId="4" borderId="10" xfId="0" applyFill="1" applyBorder="1" applyAlignment="1" applyProtection="1">
      <alignment horizontal="center"/>
      <protection hidden="1"/>
    </xf>
    <xf numFmtId="0" fontId="0" fillId="4" borderId="12" xfId="0" applyFill="1" applyBorder="1" applyAlignment="1" applyProtection="1">
      <alignment horizontal="center"/>
      <protection hidden="1"/>
    </xf>
    <xf numFmtId="0" fontId="5" fillId="2" borderId="1" xfId="3" applyProtection="1">
      <alignment horizontal="center"/>
      <protection locked="0"/>
    </xf>
    <xf numFmtId="0" fontId="0" fillId="4" borderId="1" xfId="0" applyFill="1" applyBorder="1" applyAlignment="1" applyProtection="1">
      <alignment horizontal="center"/>
      <protection hidden="1"/>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3" borderId="0" xfId="0" applyFill="1" applyAlignment="1" applyProtection="1">
      <alignment horizontal="left" wrapText="1"/>
      <protection hidden="1"/>
    </xf>
    <xf numFmtId="0" fontId="0" fillId="3" borderId="0" xfId="0" applyFill="1" applyAlignment="1" applyProtection="1">
      <alignment horizontal="center"/>
      <protection hidden="1"/>
    </xf>
    <xf numFmtId="0" fontId="0" fillId="3" borderId="10" xfId="0" applyFill="1" applyBorder="1" applyAlignment="1" applyProtection="1">
      <alignment horizontal="center"/>
      <protection hidden="1"/>
    </xf>
    <xf numFmtId="0" fontId="0" fillId="3" borderId="11" xfId="0" applyFill="1" applyBorder="1" applyAlignment="1" applyProtection="1">
      <alignment horizontal="center"/>
      <protection hidden="1"/>
    </xf>
    <xf numFmtId="0" fontId="0" fillId="3" borderId="12" xfId="0" applyFill="1" applyBorder="1" applyAlignment="1" applyProtection="1">
      <alignment horizontal="center"/>
      <protection hidden="1"/>
    </xf>
    <xf numFmtId="0" fontId="0" fillId="3" borderId="3" xfId="0" applyFill="1" applyBorder="1" applyAlignment="1" applyProtection="1">
      <alignment horizontal="center" vertical="top" wrapText="1"/>
      <protection hidden="1"/>
    </xf>
    <xf numFmtId="0" fontId="0" fillId="3" borderId="5" xfId="0" applyFill="1" applyBorder="1" applyAlignment="1" applyProtection="1">
      <alignment horizontal="center" vertical="top" wrapText="1"/>
      <protection hidden="1"/>
    </xf>
    <xf numFmtId="0" fontId="0" fillId="3" borderId="14" xfId="0" applyFill="1" applyBorder="1" applyAlignment="1" applyProtection="1">
      <alignment horizontal="center"/>
      <protection hidden="1"/>
    </xf>
    <xf numFmtId="0" fontId="0" fillId="3" borderId="15" xfId="0" applyFill="1" applyBorder="1" applyAlignment="1" applyProtection="1">
      <alignment horizontal="center"/>
      <protection hidden="1"/>
    </xf>
    <xf numFmtId="0" fontId="0" fillId="3" borderId="16" xfId="0" applyFill="1" applyBorder="1" applyAlignment="1" applyProtection="1">
      <alignment horizontal="center"/>
      <protection hidden="1"/>
    </xf>
  </cellXfs>
  <cellStyles count="6">
    <cellStyle name="Comma" xfId="1" builtinId="3"/>
    <cellStyle name="Hyperlink" xfId="2" builtinId="8"/>
    <cellStyle name="inputns" xfId="3"/>
    <cellStyle name="Normal" xfId="0" builtinId="0"/>
    <cellStyle name="Percent" xfId="4" builtinId="5"/>
    <cellStyle name="protected" xfId="5"/>
  </cellStyles>
  <dxfs count="32">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lor theme="4"/>
      </font>
      <fill>
        <patternFill>
          <bgColor theme="3" tint="0.79998168889431442"/>
        </patternFill>
      </fill>
    </dxf>
    <dxf>
      <fill>
        <patternFill>
          <bgColor rgb="FFFF0000"/>
        </patternFill>
      </fill>
    </dxf>
    <dxf>
      <font>
        <color theme="0" tint="-4.9989318521683403E-2"/>
      </font>
      <fill>
        <patternFill>
          <bgColor theme="0" tint="-4.9989318521683403E-2"/>
        </patternFill>
      </fill>
    </dxf>
    <dxf>
      <fill>
        <patternFill>
          <bgColor rgb="FFFF0000"/>
        </patternFill>
      </fill>
    </dxf>
    <dxf>
      <font>
        <color theme="0" tint="-4.9989318521683403E-2"/>
      </font>
      <fill>
        <patternFill>
          <bgColor theme="0" tint="-4.9989318521683403E-2"/>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lor theme="2"/>
      </font>
      <fill>
        <patternFill>
          <bgColor theme="0" tint="-4.9989318521683403E-2"/>
        </patternFill>
      </fill>
      <border>
        <left style="hair">
          <color indexed="64"/>
        </left>
        <right style="hair">
          <color indexed="64"/>
        </right>
        <top style="hair">
          <color indexed="64"/>
        </top>
        <bottom style="hair">
          <color indexed="64"/>
        </bottom>
      </border>
    </dxf>
    <dxf>
      <font>
        <color theme="2"/>
      </font>
      <fill>
        <patternFill>
          <bgColor theme="0" tint="-4.9989318521683403E-2"/>
        </patternFill>
      </fill>
      <border>
        <left style="hair">
          <color indexed="64"/>
        </left>
        <right style="hair">
          <color indexed="64"/>
        </right>
        <top style="hair">
          <color indexed="64"/>
        </top>
        <bottom style="hair">
          <color indexed="64"/>
        </bottom>
      </border>
    </dxf>
    <dxf>
      <font>
        <color theme="2"/>
      </font>
      <fill>
        <patternFill>
          <bgColor theme="0" tint="-4.9989318521683403E-2"/>
        </patternFill>
      </fill>
      <border>
        <left style="hair">
          <color indexed="64"/>
        </left>
        <right style="hair">
          <color indexed="64"/>
        </right>
        <top style="hair">
          <color indexed="64"/>
        </top>
        <bottom style="hair">
          <color indexed="64"/>
        </bottom>
      </border>
    </dxf>
    <dxf>
      <font>
        <color theme="2"/>
      </font>
      <fill>
        <patternFill>
          <bgColor theme="0" tint="-4.9989318521683403E-2"/>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Input!$D$77</c:f>
              <c:strCache>
                <c:ptCount val="1"/>
                <c:pt idx="0">
                  <c:v>Blank</c:v>
                </c:pt>
              </c:strCache>
            </c:strRef>
          </c:tx>
          <c:spPr>
            <a:noFill/>
            <a:ln>
              <a:noFill/>
            </a:ln>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Input!$E$77:$R$77</c:f>
              <c:numCache>
                <c:formatCode>0.0</c:formatCode>
                <c:ptCount val="14"/>
                <c:pt idx="0">
                  <c:v>0</c:v>
                </c:pt>
                <c:pt idx="1">
                  <c:v>214.41345707506025</c:v>
                </c:pt>
                <c:pt idx="2">
                  <c:v>3650.7136764861411</c:v>
                </c:pt>
                <c:pt idx="3">
                  <c:v>3606.5140628396739</c:v>
                </c:pt>
                <c:pt idx="4">
                  <c:v>3546.1995638411486</c:v>
                </c:pt>
                <c:pt idx="5">
                  <c:v>3543.8096428919707</c:v>
                </c:pt>
                <c:pt idx="6">
                  <c:v>2949.5345715418998</c:v>
                </c:pt>
                <c:pt idx="7">
                  <c:v>2710.7314816177395</c:v>
                </c:pt>
                <c:pt idx="8">
                  <c:v>2255.9303089609725</c:v>
                </c:pt>
                <c:pt idx="9">
                  <c:v>1519.8142134810155</c:v>
                </c:pt>
                <c:pt idx="10">
                  <c:v>1235.8687762895158</c:v>
                </c:pt>
                <c:pt idx="11">
                  <c:v>885.94426961668023</c:v>
                </c:pt>
                <c:pt idx="12">
                  <c:v>880.94035964761406</c:v>
                </c:pt>
              </c:numCache>
            </c:numRef>
          </c:val>
        </c:ser>
        <c:ser>
          <c:idx val="0"/>
          <c:order val="1"/>
          <c:tx>
            <c:strRef>
              <c:f>Input!$D$78</c:f>
              <c:strCache>
                <c:ptCount val="1"/>
                <c:pt idx="0">
                  <c:v>Revenue</c:v>
                </c:pt>
              </c:strCache>
            </c:strRef>
          </c:tx>
          <c:spPr>
            <a:solidFill>
              <a:schemeClr val="tx2">
                <a:lumMod val="60000"/>
                <a:lumOff val="40000"/>
              </a:schemeClr>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Input!$E$78:$R$78</c:f>
              <c:numCache>
                <c:formatCode>General</c:formatCode>
                <c:ptCount val="14"/>
                <c:pt idx="0">
                  <c:v>214.41345707506042</c:v>
                </c:pt>
                <c:pt idx="1">
                  <c:v>3436.3002194110809</c:v>
                </c:pt>
              </c:numCache>
            </c:numRef>
          </c:val>
        </c:ser>
        <c:ser>
          <c:idx val="2"/>
          <c:order val="2"/>
          <c:tx>
            <c:strRef>
              <c:f>Input!$D$79</c:f>
              <c:strCache>
                <c:ptCount val="1"/>
                <c:pt idx="0">
                  <c:v>Cost Pos</c:v>
                </c:pt>
              </c:strCache>
            </c:strRef>
          </c:tx>
          <c:spPr>
            <a:solidFill>
              <a:srgbClr val="FFC000"/>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Input!$E$79:$R$79</c:f>
              <c:numCache>
                <c:formatCode>General</c:formatCode>
                <c:ptCount val="14"/>
                <c:pt idx="2">
                  <c:v>0</c:v>
                </c:pt>
                <c:pt idx="3">
                  <c:v>44.199613646467391</c:v>
                </c:pt>
                <c:pt idx="4">
                  <c:v>60.314498998525302</c:v>
                </c:pt>
                <c:pt idx="5">
                  <c:v>2.3899209491780415</c:v>
                </c:pt>
                <c:pt idx="6">
                  <c:v>594.27507135007113</c:v>
                </c:pt>
                <c:pt idx="7">
                  <c:v>238.8030899241601</c:v>
                </c:pt>
                <c:pt idx="8">
                  <c:v>454.80117265676682</c:v>
                </c:pt>
                <c:pt idx="9">
                  <c:v>736.11609547995715</c:v>
                </c:pt>
                <c:pt idx="10">
                  <c:v>283.94543719149959</c:v>
                </c:pt>
                <c:pt idx="11">
                  <c:v>349.92450667283555</c:v>
                </c:pt>
                <c:pt idx="12">
                  <c:v>5.0039099690662274</c:v>
                </c:pt>
              </c:numCache>
            </c:numRef>
          </c:val>
        </c:ser>
        <c:ser>
          <c:idx val="4"/>
          <c:order val="3"/>
          <c:tx>
            <c:strRef>
              <c:f>Input!$D$80</c:f>
              <c:strCache>
                <c:ptCount val="1"/>
                <c:pt idx="0">
                  <c:v>Cost Neg</c:v>
                </c:pt>
              </c:strCache>
            </c:strRef>
          </c:tx>
          <c:spPr>
            <a:solidFill>
              <a:srgbClr val="FFC000"/>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Input!$E$80:$R$80</c:f>
              <c:numCache>
                <c:formatCode>General</c:formatCode>
                <c:ptCount val="14"/>
                <c:pt idx="2">
                  <c:v>0</c:v>
                </c:pt>
                <c:pt idx="3">
                  <c:v>0</c:v>
                </c:pt>
                <c:pt idx="4">
                  <c:v>0</c:v>
                </c:pt>
                <c:pt idx="5">
                  <c:v>0</c:v>
                </c:pt>
                <c:pt idx="6">
                  <c:v>0</c:v>
                </c:pt>
                <c:pt idx="7">
                  <c:v>0</c:v>
                </c:pt>
                <c:pt idx="8">
                  <c:v>0</c:v>
                </c:pt>
                <c:pt idx="9">
                  <c:v>0</c:v>
                </c:pt>
                <c:pt idx="10">
                  <c:v>0</c:v>
                </c:pt>
                <c:pt idx="11">
                  <c:v>0</c:v>
                </c:pt>
                <c:pt idx="12">
                  <c:v>0</c:v>
                </c:pt>
              </c:numCache>
            </c:numRef>
          </c:val>
        </c:ser>
        <c:ser>
          <c:idx val="3"/>
          <c:order val="4"/>
          <c:tx>
            <c:strRef>
              <c:f>Input!$D$81</c:f>
              <c:strCache>
                <c:ptCount val="1"/>
                <c:pt idx="0">
                  <c:v>Value pos</c:v>
                </c:pt>
              </c:strCache>
            </c:strRef>
          </c:tx>
          <c:spPr>
            <a:solidFill>
              <a:srgbClr val="00B050"/>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Input!$E$81:$R$81</c:f>
              <c:numCache>
                <c:formatCode>General</c:formatCode>
                <c:ptCount val="14"/>
                <c:pt idx="13">
                  <c:v>880.9403596476144</c:v>
                </c:pt>
              </c:numCache>
            </c:numRef>
          </c:val>
        </c:ser>
        <c:ser>
          <c:idx val="5"/>
          <c:order val="5"/>
          <c:tx>
            <c:strRef>
              <c:f>Input!$D$82</c:f>
              <c:strCache>
                <c:ptCount val="1"/>
                <c:pt idx="0">
                  <c:v>Value neg</c:v>
                </c:pt>
              </c:strCache>
            </c:strRef>
          </c:tx>
          <c:spPr>
            <a:solidFill>
              <a:srgbClr val="FF0000"/>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Input!$E$82:$R$82</c:f>
              <c:numCache>
                <c:formatCode>General</c:formatCode>
                <c:ptCount val="14"/>
                <c:pt idx="13">
                  <c:v>0</c:v>
                </c:pt>
              </c:numCache>
            </c:numRef>
          </c:val>
        </c:ser>
        <c:dLbls>
          <c:showLegendKey val="0"/>
          <c:showVal val="0"/>
          <c:showCatName val="0"/>
          <c:showSerName val="0"/>
          <c:showPercent val="0"/>
          <c:showBubbleSize val="0"/>
        </c:dLbls>
        <c:gapWidth val="0"/>
        <c:overlap val="100"/>
        <c:axId val="144539008"/>
        <c:axId val="144553088"/>
      </c:barChart>
      <c:catAx>
        <c:axId val="144539008"/>
        <c:scaling>
          <c:orientation val="minMax"/>
        </c:scaling>
        <c:delete val="0"/>
        <c:axPos val="b"/>
        <c:numFmt formatCode="General" sourceLinked="1"/>
        <c:majorTickMark val="none"/>
        <c:minorTickMark val="none"/>
        <c:tickLblPos val="low"/>
        <c:spPr>
          <a:ln>
            <a:noFill/>
          </a:ln>
        </c:spPr>
        <c:txPr>
          <a:bodyPr rot="-2700000" vert="horz"/>
          <a:lstStyle/>
          <a:p>
            <a:pPr>
              <a:defRPr sz="1100" b="0" i="0" u="none" strike="noStrike" baseline="0">
                <a:solidFill>
                  <a:srgbClr val="000000"/>
                </a:solidFill>
                <a:latin typeface="Calibri"/>
                <a:ea typeface="Calibri"/>
                <a:cs typeface="Calibri"/>
              </a:defRPr>
            </a:pPr>
            <a:endParaRPr lang="en-US"/>
          </a:p>
        </c:txPr>
        <c:crossAx val="144553088"/>
        <c:crosses val="autoZero"/>
        <c:auto val="1"/>
        <c:lblAlgn val="ctr"/>
        <c:lblOffset val="100"/>
        <c:noMultiLvlLbl val="0"/>
      </c:catAx>
      <c:valAx>
        <c:axId val="144553088"/>
        <c:scaling>
          <c:orientation val="minMax"/>
        </c:scaling>
        <c:delete val="0"/>
        <c:axPos val="l"/>
        <c:majorGridlines>
          <c:spPr>
            <a:ln>
              <a:solidFill>
                <a:sysClr val="windowText" lastClr="000000"/>
              </a:solidFill>
            </a:ln>
            <a:effectLst/>
          </c:spPr>
        </c:majorGridlines>
        <c:numFmt formatCode="0.0" sourceLinked="1"/>
        <c:majorTickMark val="none"/>
        <c:minorTickMark val="none"/>
        <c:tickLblPos val="nextTo"/>
        <c:spPr>
          <a:ln>
            <a:noFill/>
          </a:ln>
        </c:spPr>
        <c:txPr>
          <a:bodyPr rot="0" vert="horz"/>
          <a:lstStyle/>
          <a:p>
            <a:pPr>
              <a:defRPr sz="1100" b="0" i="0" u="none" strike="noStrike" baseline="0">
                <a:solidFill>
                  <a:srgbClr val="000000"/>
                </a:solidFill>
                <a:latin typeface="Calibri"/>
                <a:ea typeface="Calibri"/>
                <a:cs typeface="Calibri"/>
              </a:defRPr>
            </a:pPr>
            <a:endParaRPr lang="en-US"/>
          </a:p>
        </c:txPr>
        <c:crossAx val="144539008"/>
        <c:crosses val="autoZero"/>
        <c:crossBetween val="between"/>
      </c:valAx>
      <c:spPr>
        <a:solidFill>
          <a:schemeClr val="bg1">
            <a:lumMod val="95000"/>
          </a:schemeClr>
        </a:solidFill>
        <a:ln>
          <a:noFill/>
        </a:ln>
      </c:spPr>
    </c:plotArea>
    <c:plotVisOnly val="1"/>
    <c:dispBlanksAs val="gap"/>
    <c:showDLblsOverMax val="0"/>
  </c:chart>
  <c:spPr>
    <a:solidFill>
      <a:schemeClr val="bg1">
        <a:lumMod val="95000"/>
      </a:schemeClr>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Real Oil Price $US / BBL</a:t>
            </a:r>
          </a:p>
        </c:rich>
      </c:tx>
      <c:overlay val="0"/>
    </c:title>
    <c:autoTitleDeleted val="0"/>
    <c:plotArea>
      <c:layout/>
      <c:scatterChart>
        <c:scatterStyle val="smoothMarker"/>
        <c:varyColors val="0"/>
        <c:ser>
          <c:idx val="0"/>
          <c:order val="0"/>
          <c:tx>
            <c:strRef>
              <c:f>'Price Charts'!$I$34</c:f>
              <c:strCache>
                <c:ptCount val="1"/>
                <c:pt idx="0">
                  <c:v>Base</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Charts'!$I$35:$I$63</c:f>
              <c:numCache>
                <c:formatCode>0.00</c:formatCode>
                <c:ptCount val="29"/>
                <c:pt idx="0">
                  <c:v>104</c:v>
                </c:pt>
                <c:pt idx="1">
                  <c:v>101.46341463414635</c:v>
                </c:pt>
                <c:pt idx="2">
                  <c:v>93.277810826888768</c:v>
                </c:pt>
                <c:pt idx="3">
                  <c:v>87.288344626456407</c:v>
                </c:pt>
                <c:pt idx="4">
                  <c:v>84.253409966377234</c:v>
                </c:pt>
                <c:pt idx="5">
                  <c:v>80.430740172466074</c:v>
                </c:pt>
                <c:pt idx="6">
                  <c:v>77.606717936445435</c:v>
                </c:pt>
                <c:pt idx="7">
                  <c:v>75.713871157507754</c:v>
                </c:pt>
                <c:pt idx="8">
                  <c:v>73.046444802365201</c:v>
                </c:pt>
                <c:pt idx="9">
                  <c:v>73.046444802365215</c:v>
                </c:pt>
                <c:pt idx="10">
                  <c:v>73.046444802365201</c:v>
                </c:pt>
                <c:pt idx="11">
                  <c:v>73.046444802365201</c:v>
                </c:pt>
                <c:pt idx="12">
                  <c:v>73.046444802365201</c:v>
                </c:pt>
                <c:pt idx="13">
                  <c:v>73.046444802365201</c:v>
                </c:pt>
                <c:pt idx="14">
                  <c:v>73.046444802365201</c:v>
                </c:pt>
                <c:pt idx="15">
                  <c:v>73.046444802365215</c:v>
                </c:pt>
                <c:pt idx="16">
                  <c:v>73.046444802365215</c:v>
                </c:pt>
                <c:pt idx="17">
                  <c:v>73.046444802365215</c:v>
                </c:pt>
                <c:pt idx="18">
                  <c:v>73.046444802365215</c:v>
                </c:pt>
                <c:pt idx="19">
                  <c:v>73.046444802365215</c:v>
                </c:pt>
                <c:pt idx="20">
                  <c:v>73.046444802365215</c:v>
                </c:pt>
                <c:pt idx="21">
                  <c:v>73.046444802365215</c:v>
                </c:pt>
                <c:pt idx="22">
                  <c:v>73.046444802365215</c:v>
                </c:pt>
                <c:pt idx="23">
                  <c:v>73.046444802365215</c:v>
                </c:pt>
                <c:pt idx="24">
                  <c:v>73.046444802365201</c:v>
                </c:pt>
                <c:pt idx="25">
                  <c:v>73.046444802365201</c:v>
                </c:pt>
                <c:pt idx="26">
                  <c:v>73.046444802365201</c:v>
                </c:pt>
                <c:pt idx="27">
                  <c:v>73.046444802365201</c:v>
                </c:pt>
                <c:pt idx="28">
                  <c:v>73.046444802365201</c:v>
                </c:pt>
              </c:numCache>
            </c:numRef>
          </c:yVal>
          <c:smooth val="1"/>
        </c:ser>
        <c:ser>
          <c:idx val="1"/>
          <c:order val="1"/>
          <c:tx>
            <c:strRef>
              <c:f>'Price Charts'!$J$34</c:f>
              <c:strCache>
                <c:ptCount val="1"/>
                <c:pt idx="0">
                  <c:v>Base +1.5% /y</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Charts'!$J$35:$J$63</c:f>
              <c:numCache>
                <c:formatCode>0.00</c:formatCode>
                <c:ptCount val="29"/>
                <c:pt idx="0">
                  <c:v>104</c:v>
                </c:pt>
                <c:pt idx="1">
                  <c:v>102.98536585365854</c:v>
                </c:pt>
                <c:pt idx="2">
                  <c:v>96.269744199881004</c:v>
                </c:pt>
                <c:pt idx="3">
                  <c:v>91.616129539617802</c:v>
                </c:pt>
                <c:pt idx="4">
                  <c:v>89.816362996870566</c:v>
                </c:pt>
                <c:pt idx="5">
                  <c:v>87.172397221682061</c:v>
                </c:pt>
                <c:pt idx="6">
                  <c:v>85.459637943802718</c:v>
                </c:pt>
                <c:pt idx="7">
                  <c:v>84.62588537849733</c:v>
                </c:pt>
                <c:pt idx="8">
                  <c:v>82.979520413747679</c:v>
                </c:pt>
                <c:pt idx="9">
                  <c:v>83.951584721963911</c:v>
                </c:pt>
                <c:pt idx="10">
                  <c:v>84.914165475953652</c:v>
                </c:pt>
                <c:pt idx="11">
                  <c:v>85.867355198197146</c:v>
                </c:pt>
                <c:pt idx="12">
                  <c:v>86.811245508516308</c:v>
                </c:pt>
                <c:pt idx="13">
                  <c:v>87.745927132881164</c:v>
                </c:pt>
                <c:pt idx="14">
                  <c:v>88.671489912130241</c:v>
                </c:pt>
                <c:pt idx="15">
                  <c:v>89.588022810606162</c:v>
                </c:pt>
                <c:pt idx="16">
                  <c:v>90.495613924706717</c:v>
                </c:pt>
                <c:pt idx="17">
                  <c:v>91.394350491352625</c:v>
                </c:pt>
                <c:pt idx="18">
                  <c:v>92.28431889637271</c:v>
                </c:pt>
                <c:pt idx="19">
                  <c:v>93.165604682807256</c:v>
                </c:pt>
                <c:pt idx="20">
                  <c:v>94.038292559130241</c:v>
                </c:pt>
                <c:pt idx="21">
                  <c:v>94.902466407391529</c:v>
                </c:pt>
                <c:pt idx="22">
                  <c:v>95.758209291279556</c:v>
                </c:pt>
                <c:pt idx="23">
                  <c:v>96.605603464105243</c:v>
                </c:pt>
                <c:pt idx="24">
                  <c:v>97.444730376708222</c:v>
                </c:pt>
                <c:pt idx="25">
                  <c:v>98.275670685285831</c:v>
                </c:pt>
                <c:pt idx="26">
                  <c:v>99.098504259145585</c:v>
                </c:pt>
                <c:pt idx="27">
                  <c:v>99.913310188382326</c:v>
                </c:pt>
                <c:pt idx="28">
                  <c:v>100.72016679148018</c:v>
                </c:pt>
              </c:numCache>
            </c:numRef>
          </c:yVal>
          <c:smooth val="1"/>
        </c:ser>
        <c:ser>
          <c:idx val="2"/>
          <c:order val="2"/>
          <c:tx>
            <c:strRef>
              <c:f>'Price Charts'!$K$34</c:f>
              <c:strCache>
                <c:ptCount val="1"/>
                <c:pt idx="0">
                  <c:v>Base + 3%/y</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Charts'!$K$35:$K$63</c:f>
              <c:numCache>
                <c:formatCode>0.00</c:formatCode>
                <c:ptCount val="29"/>
                <c:pt idx="0">
                  <c:v>104</c:v>
                </c:pt>
                <c:pt idx="1">
                  <c:v>104.50731707317074</c:v>
                </c:pt>
                <c:pt idx="2">
                  <c:v>99.306222486615127</c:v>
                </c:pt>
                <c:pt idx="3">
                  <c:v>96.076245440431833</c:v>
                </c:pt>
                <c:pt idx="4">
                  <c:v>95.638959407536646</c:v>
                </c:pt>
                <c:pt idx="5">
                  <c:v>94.337782341622685</c:v>
                </c:pt>
                <c:pt idx="6">
                  <c:v>93.935669779767665</c:v>
                </c:pt>
                <c:pt idx="7">
                  <c:v>94.393892559181168</c:v>
                </c:pt>
                <c:pt idx="8">
                  <c:v>94.033604000851909</c:v>
                </c:pt>
                <c:pt idx="9">
                  <c:v>96.273925113108888</c:v>
                </c:pt>
                <c:pt idx="10">
                  <c:v>98.52517462103539</c:v>
                </c:pt>
                <c:pt idx="11">
                  <c:v>100.78740583387864</c:v>
                </c:pt>
                <c:pt idx="12">
                  <c:v>103.06067232093083</c:v>
                </c:pt>
                <c:pt idx="13">
                  <c:v>105.34502791279795</c:v>
                </c:pt>
                <c:pt idx="14">
                  <c:v>107.64052670267417</c:v>
                </c:pt>
                <c:pt idx="15">
                  <c:v>109.94722304762297</c:v>
                </c:pt>
                <c:pt idx="16">
                  <c:v>112.26517156986418</c:v>
                </c:pt>
                <c:pt idx="17">
                  <c:v>114.59442715806756</c:v>
                </c:pt>
                <c:pt idx="18">
                  <c:v>116.93504496865243</c:v>
                </c:pt>
                <c:pt idx="19">
                  <c:v>119.28708042709378</c:v>
                </c:pt>
                <c:pt idx="20">
                  <c:v>121.65058922923485</c:v>
                </c:pt>
                <c:pt idx="21">
                  <c:v>124.0256273426059</c:v>
                </c:pt>
                <c:pt idx="22">
                  <c:v>126.41225100774946</c:v>
                </c:pt>
                <c:pt idx="23">
                  <c:v>128.81051673955227</c:v>
                </c:pt>
                <c:pt idx="24">
                  <c:v>131.22048132858339</c:v>
                </c:pt>
                <c:pt idx="25">
                  <c:v>133.64220184243905</c:v>
                </c:pt>
                <c:pt idx="26">
                  <c:v>136.07573562709402</c:v>
                </c:pt>
                <c:pt idx="27">
                  <c:v>138.52114030825948</c:v>
                </c:pt>
                <c:pt idx="28">
                  <c:v>140.97847379274774</c:v>
                </c:pt>
              </c:numCache>
            </c:numRef>
          </c:yVal>
          <c:smooth val="1"/>
        </c:ser>
        <c:ser>
          <c:idx val="3"/>
          <c:order val="3"/>
          <c:tx>
            <c:strRef>
              <c:f>'Price Charts'!$L$34</c:f>
              <c:strCache>
                <c:ptCount val="1"/>
                <c:pt idx="0">
                  <c:v>Base - 1.5%/y</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Charts'!$L$35:$L$63</c:f>
              <c:numCache>
                <c:formatCode>0.00</c:formatCode>
                <c:ptCount val="29"/>
                <c:pt idx="0">
                  <c:v>104</c:v>
                </c:pt>
                <c:pt idx="1">
                  <c:v>99.941463414634157</c:v>
                </c:pt>
                <c:pt idx="2">
                  <c:v>90.33042236763832</c:v>
                </c:pt>
                <c:pt idx="3">
                  <c:v>83.090935070588074</c:v>
                </c:pt>
                <c:pt idx="4">
                  <c:v>78.942411349862937</c:v>
                </c:pt>
                <c:pt idx="5">
                  <c:v>74.094023307332193</c:v>
                </c:pt>
                <c:pt idx="6">
                  <c:v>70.340252361085561</c:v>
                </c:pt>
                <c:pt idx="7">
                  <c:v>67.595266903091982</c:v>
                </c:pt>
                <c:pt idx="8">
                  <c:v>64.136656258011897</c:v>
                </c:pt>
                <c:pt idx="9">
                  <c:v>63.415382960195942</c:v>
                </c:pt>
                <c:pt idx="10">
                  <c:v>62.722256913026463</c:v>
                </c:pt>
                <c:pt idx="11">
                  <c:v>62.056179687209948</c:v>
                </c:pt>
                <c:pt idx="12">
                  <c:v>61.41609571898627</c:v>
                </c:pt>
                <c:pt idx="13">
                  <c:v>60.800990637327423</c:v>
                </c:pt>
                <c:pt idx="14">
                  <c:v>60.209889656416223</c:v>
                </c:pt>
                <c:pt idx="15">
                  <c:v>59.641856030857674</c:v>
                </c:pt>
                <c:pt idx="16">
                  <c:v>59.09598957117457</c:v>
                </c:pt>
                <c:pt idx="17">
                  <c:v>58.571425217235202</c:v>
                </c:pt>
                <c:pt idx="18">
                  <c:v>58.067331667352001</c:v>
                </c:pt>
                <c:pt idx="19">
                  <c:v>57.582910060878881</c:v>
                </c:pt>
                <c:pt idx="20">
                  <c:v>57.117392712219342</c:v>
                </c:pt>
                <c:pt idx="21">
                  <c:v>56.670041894239198</c:v>
                </c:pt>
                <c:pt idx="22">
                  <c:v>56.24014866915585</c:v>
                </c:pt>
                <c:pt idx="23">
                  <c:v>55.827031765051352</c:v>
                </c:pt>
                <c:pt idx="24">
                  <c:v>55.430036496228972</c:v>
                </c:pt>
                <c:pt idx="25">
                  <c:v>55.048533725702121</c:v>
                </c:pt>
                <c:pt idx="26">
                  <c:v>54.681918868171429</c:v>
                </c:pt>
                <c:pt idx="27">
                  <c:v>54.329610931910238</c:v>
                </c:pt>
                <c:pt idx="28">
                  <c:v>53.991051598039718</c:v>
                </c:pt>
              </c:numCache>
            </c:numRef>
          </c:yVal>
          <c:smooth val="1"/>
        </c:ser>
        <c:ser>
          <c:idx val="4"/>
          <c:order val="4"/>
          <c:tx>
            <c:strRef>
              <c:f>'Price Charts'!$M$34</c:f>
              <c:strCache>
                <c:ptCount val="1"/>
                <c:pt idx="0">
                  <c:v>Flat Real</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Charts'!$M$35:$M$63</c:f>
              <c:numCache>
                <c:formatCode>0.00</c:formatCode>
                <c:ptCount val="29"/>
                <c:pt idx="0">
                  <c:v>104</c:v>
                </c:pt>
                <c:pt idx="1">
                  <c:v>104</c:v>
                </c:pt>
                <c:pt idx="2">
                  <c:v>104</c:v>
                </c:pt>
                <c:pt idx="3">
                  <c:v>104.00000000000001</c:v>
                </c:pt>
                <c:pt idx="4">
                  <c:v>104</c:v>
                </c:pt>
                <c:pt idx="5">
                  <c:v>104</c:v>
                </c:pt>
                <c:pt idx="6">
                  <c:v>104.00000000000001</c:v>
                </c:pt>
                <c:pt idx="7">
                  <c:v>104.00000000000001</c:v>
                </c:pt>
                <c:pt idx="8">
                  <c:v>104.00000000000003</c:v>
                </c:pt>
                <c:pt idx="9">
                  <c:v>104.00000000000001</c:v>
                </c:pt>
                <c:pt idx="10">
                  <c:v>104.00000000000001</c:v>
                </c:pt>
                <c:pt idx="11">
                  <c:v>104.00000000000001</c:v>
                </c:pt>
                <c:pt idx="12">
                  <c:v>104.00000000000001</c:v>
                </c:pt>
                <c:pt idx="13">
                  <c:v>104.00000000000003</c:v>
                </c:pt>
                <c:pt idx="14">
                  <c:v>104.00000000000001</c:v>
                </c:pt>
                <c:pt idx="15">
                  <c:v>104.00000000000003</c:v>
                </c:pt>
                <c:pt idx="16">
                  <c:v>104.00000000000003</c:v>
                </c:pt>
                <c:pt idx="17">
                  <c:v>104.00000000000003</c:v>
                </c:pt>
                <c:pt idx="18">
                  <c:v>104.00000000000004</c:v>
                </c:pt>
                <c:pt idx="19">
                  <c:v>104.00000000000004</c:v>
                </c:pt>
                <c:pt idx="20">
                  <c:v>104.00000000000004</c:v>
                </c:pt>
                <c:pt idx="21">
                  <c:v>104.00000000000004</c:v>
                </c:pt>
                <c:pt idx="22">
                  <c:v>104.00000000000004</c:v>
                </c:pt>
                <c:pt idx="23">
                  <c:v>104.00000000000004</c:v>
                </c:pt>
                <c:pt idx="24">
                  <c:v>104.00000000000004</c:v>
                </c:pt>
                <c:pt idx="25">
                  <c:v>104.00000000000004</c:v>
                </c:pt>
                <c:pt idx="26">
                  <c:v>104.00000000000003</c:v>
                </c:pt>
                <c:pt idx="27">
                  <c:v>104.00000000000001</c:v>
                </c:pt>
                <c:pt idx="28">
                  <c:v>104.00000000000001</c:v>
                </c:pt>
              </c:numCache>
            </c:numRef>
          </c:yVal>
          <c:smooth val="1"/>
        </c:ser>
        <c:dLbls>
          <c:showLegendKey val="0"/>
          <c:showVal val="0"/>
          <c:showCatName val="0"/>
          <c:showSerName val="0"/>
          <c:showPercent val="0"/>
          <c:showBubbleSize val="0"/>
        </c:dLbls>
        <c:axId val="149485440"/>
        <c:axId val="149486976"/>
      </c:scatterChart>
      <c:valAx>
        <c:axId val="1494854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486976"/>
        <c:crosses val="autoZero"/>
        <c:crossBetween val="midCat"/>
      </c:valAx>
      <c:valAx>
        <c:axId val="149486976"/>
        <c:scaling>
          <c:orientation val="minMax"/>
        </c:scaling>
        <c:delete val="0"/>
        <c:axPos val="l"/>
        <c:majorGridlines/>
        <c:numFmt formatCode="0" sourceLinked="0"/>
        <c:majorTickMark val="out"/>
        <c:minorTickMark val="none"/>
        <c:tickLblPos val="nextTo"/>
        <c:crossAx val="149485440"/>
        <c:crosses val="autoZero"/>
        <c:crossBetween val="midCat"/>
      </c:valAx>
      <c:spPr>
        <a:solidFill>
          <a:schemeClr val="bg1">
            <a:lumMod val="95000"/>
          </a:schemeClr>
        </a:solidFill>
      </c:spPr>
    </c:plotArea>
    <c:legend>
      <c:legendPos val="b"/>
      <c:overlay val="0"/>
    </c:legend>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Nominal HH Gas Price $US / MMBTU</a:t>
            </a:r>
          </a:p>
        </c:rich>
      </c:tx>
      <c:overlay val="0"/>
    </c:title>
    <c:autoTitleDeleted val="0"/>
    <c:plotArea>
      <c:layout/>
      <c:scatterChart>
        <c:scatterStyle val="smoothMarker"/>
        <c:varyColors val="0"/>
        <c:ser>
          <c:idx val="0"/>
          <c:order val="0"/>
          <c:tx>
            <c:strRef>
              <c:f>'Price Charts'!$P$34</c:f>
              <c:strCache>
                <c:ptCount val="1"/>
                <c:pt idx="0">
                  <c:v>Base</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Charts'!$P$35:$P$63</c:f>
              <c:numCache>
                <c:formatCode>0.00</c:formatCode>
                <c:ptCount val="29"/>
                <c:pt idx="0">
                  <c:v>2.6</c:v>
                </c:pt>
                <c:pt idx="1">
                  <c:v>3.6</c:v>
                </c:pt>
                <c:pt idx="2">
                  <c:v>3.9</c:v>
                </c:pt>
                <c:pt idx="3">
                  <c:v>4.0999999999999996</c:v>
                </c:pt>
                <c:pt idx="4">
                  <c:v>4.4000000000000004</c:v>
                </c:pt>
                <c:pt idx="5">
                  <c:v>4.7</c:v>
                </c:pt>
                <c:pt idx="6">
                  <c:v>4.9000000000000004</c:v>
                </c:pt>
                <c:pt idx="7">
                  <c:v>5.0999999999999996</c:v>
                </c:pt>
                <c:pt idx="8">
                  <c:v>5.4</c:v>
                </c:pt>
                <c:pt idx="9">
                  <c:v>5.5350000000000001</c:v>
                </c:pt>
                <c:pt idx="10">
                  <c:v>5.6733750000000001</c:v>
                </c:pt>
                <c:pt idx="11">
                  <c:v>5.8152093749999993</c:v>
                </c:pt>
                <c:pt idx="12">
                  <c:v>5.960589609374999</c:v>
                </c:pt>
                <c:pt idx="13">
                  <c:v>6.1096043496093735</c:v>
                </c:pt>
                <c:pt idx="14">
                  <c:v>6.2623444583496068</c:v>
                </c:pt>
                <c:pt idx="15">
                  <c:v>6.418903069808346</c:v>
                </c:pt>
                <c:pt idx="16">
                  <c:v>6.5793756465535544</c:v>
                </c:pt>
                <c:pt idx="17">
                  <c:v>6.7438600377173925</c:v>
                </c:pt>
                <c:pt idx="18">
                  <c:v>6.9124565386603267</c:v>
                </c:pt>
                <c:pt idx="19">
                  <c:v>7.0852679521268342</c:v>
                </c:pt>
                <c:pt idx="20">
                  <c:v>7.2623996509300044</c:v>
                </c:pt>
                <c:pt idx="21">
                  <c:v>7.4439596422032537</c:v>
                </c:pt>
                <c:pt idx="22">
                  <c:v>7.6300586332583347</c:v>
                </c:pt>
                <c:pt idx="23">
                  <c:v>7.8208100990897922</c:v>
                </c:pt>
                <c:pt idx="24">
                  <c:v>8.0163303515670368</c:v>
                </c:pt>
                <c:pt idx="25">
                  <c:v>8.2167386103562112</c:v>
                </c:pt>
                <c:pt idx="26">
                  <c:v>8.4221570756151163</c:v>
                </c:pt>
                <c:pt idx="27">
                  <c:v>8.6327110025054932</c:v>
                </c:pt>
                <c:pt idx="28">
                  <c:v>8.8485287775681289</c:v>
                </c:pt>
              </c:numCache>
            </c:numRef>
          </c:yVal>
          <c:smooth val="1"/>
        </c:ser>
        <c:ser>
          <c:idx val="1"/>
          <c:order val="1"/>
          <c:tx>
            <c:strRef>
              <c:f>'Price Charts'!$Q$34</c:f>
              <c:strCache>
                <c:ptCount val="1"/>
                <c:pt idx="0">
                  <c:v>Base +1.5% /y</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Charts'!$Q$35:$Q$63</c:f>
              <c:numCache>
                <c:formatCode>0.00</c:formatCode>
                <c:ptCount val="29"/>
                <c:pt idx="0">
                  <c:v>2.6</c:v>
                </c:pt>
                <c:pt idx="1">
                  <c:v>3.6389999999999998</c:v>
                </c:pt>
                <c:pt idx="2">
                  <c:v>3.9935849999999991</c:v>
                </c:pt>
                <c:pt idx="3">
                  <c:v>4.2534887749999992</c:v>
                </c:pt>
                <c:pt idx="4">
                  <c:v>4.6172911066249993</c:v>
                </c:pt>
                <c:pt idx="5">
                  <c:v>4.9865504732243737</c:v>
                </c:pt>
                <c:pt idx="6">
                  <c:v>5.2613487303227391</c:v>
                </c:pt>
                <c:pt idx="7">
                  <c:v>5.5402689612775786</c:v>
                </c:pt>
                <c:pt idx="8">
                  <c:v>5.9233729956967425</c:v>
                </c:pt>
                <c:pt idx="9">
                  <c:v>6.1472235906321933</c:v>
                </c:pt>
                <c:pt idx="10">
                  <c:v>6.3778069444916756</c:v>
                </c:pt>
                <c:pt idx="11">
                  <c:v>6.6153084236590498</c:v>
                </c:pt>
                <c:pt idx="12">
                  <c:v>6.859918284388935</c:v>
                </c:pt>
                <c:pt idx="13">
                  <c:v>7.1118317988891429</c:v>
                </c:pt>
                <c:pt idx="14">
                  <c:v>7.371249384612713</c:v>
                </c:pt>
                <c:pt idx="15">
                  <c:v>7.6383767368406419</c:v>
                </c:pt>
                <c:pt idx="16">
                  <c:v>7.9134249646384589</c:v>
                </c:pt>
                <c:pt idx="17">
                  <c:v>8.1966107302718747</c:v>
                </c:pt>
                <c:pt idx="18">
                  <c:v>8.4881563921688858</c:v>
                </c:pt>
                <c:pt idx="19">
                  <c:v>8.788290151517927</c:v>
                </c:pt>
                <c:pt idx="20">
                  <c:v>9.0972462025938654</c:v>
                </c:pt>
                <c:pt idx="21">
                  <c:v>9.4152648869060229</c:v>
                </c:pt>
                <c:pt idx="22">
                  <c:v>9.7425928512646927</c:v>
                </c:pt>
                <c:pt idx="23">
                  <c:v>10.079483209865119</c:v>
                </c:pt>
                <c:pt idx="24">
                  <c:v>10.426195710490338</c:v>
                </c:pt>
                <c:pt idx="25">
                  <c:v>10.782996904936867</c:v>
                </c:pt>
                <c:pt idx="26">
                  <c:v>11.150160323769825</c:v>
                </c:pt>
                <c:pt idx="27">
                  <c:v>11.527966655516748</c:v>
                </c:pt>
                <c:pt idx="28">
                  <c:v>11.916703930412133</c:v>
                </c:pt>
              </c:numCache>
            </c:numRef>
          </c:yVal>
          <c:smooth val="1"/>
        </c:ser>
        <c:ser>
          <c:idx val="2"/>
          <c:order val="2"/>
          <c:tx>
            <c:strRef>
              <c:f>'Price Charts'!$R$34</c:f>
              <c:strCache>
                <c:ptCount val="1"/>
                <c:pt idx="0">
                  <c:v>Base + 3%/y</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Charts'!$R$35:$R$63</c:f>
              <c:numCache>
                <c:formatCode>0.00</c:formatCode>
                <c:ptCount val="29"/>
                <c:pt idx="0">
                  <c:v>2.6</c:v>
                </c:pt>
                <c:pt idx="1">
                  <c:v>3.6780000000000004</c:v>
                </c:pt>
                <c:pt idx="2">
                  <c:v>4.0883400000000005</c:v>
                </c:pt>
                <c:pt idx="3">
                  <c:v>4.4109902000000005</c:v>
                </c:pt>
                <c:pt idx="4">
                  <c:v>4.8433199060000014</c:v>
                </c:pt>
                <c:pt idx="5">
                  <c:v>5.2886195031800014</c:v>
                </c:pt>
                <c:pt idx="6">
                  <c:v>5.6472780882754021</c:v>
                </c:pt>
                <c:pt idx="7">
                  <c:v>6.0166964309236635</c:v>
                </c:pt>
                <c:pt idx="8">
                  <c:v>6.4971973238513741</c:v>
                </c:pt>
                <c:pt idx="9">
                  <c:v>6.8271132435669148</c:v>
                </c:pt>
                <c:pt idx="10">
                  <c:v>7.1703016408739222</c:v>
                </c:pt>
                <c:pt idx="11">
                  <c:v>7.5272450651001392</c:v>
                </c:pt>
                <c:pt idx="12">
                  <c:v>7.8984426514281436</c:v>
                </c:pt>
                <c:pt idx="13">
                  <c:v>8.2844106712053627</c:v>
                </c:pt>
                <c:pt idx="14">
                  <c:v>8.6856831000817571</c:v>
                </c:pt>
                <c:pt idx="15">
                  <c:v>9.1028122045429498</c:v>
                </c:pt>
                <c:pt idx="16">
                  <c:v>9.5363691474244465</c:v>
                </c:pt>
                <c:pt idx="17">
                  <c:v>9.9869446130110191</c:v>
                </c:pt>
                <c:pt idx="18">
                  <c:v>10.455149452344283</c:v>
                </c:pt>
                <c:pt idx="19">
                  <c:v>10.94161534938112</c:v>
                </c:pt>
                <c:pt idx="20">
                  <c:v>11.446995508665726</c:v>
                </c:pt>
                <c:pt idx="21">
                  <c:v>11.971965365198947</c:v>
                </c:pt>
                <c:pt idx="22">
                  <c:v>12.517223317209996</c:v>
                </c:pt>
                <c:pt idx="23">
                  <c:v>13.083491482557754</c:v>
                </c:pt>
                <c:pt idx="24">
                  <c:v>13.671516479511732</c:v>
                </c:pt>
                <c:pt idx="25">
                  <c:v>14.282070232686259</c:v>
                </c:pt>
                <c:pt idx="26">
                  <c:v>14.915950804925751</c:v>
                </c:pt>
                <c:pt idx="27">
                  <c:v>15.573983255963901</c:v>
                </c:pt>
                <c:pt idx="28">
                  <c:v>16.257020528705453</c:v>
                </c:pt>
              </c:numCache>
            </c:numRef>
          </c:yVal>
          <c:smooth val="1"/>
        </c:ser>
        <c:ser>
          <c:idx val="3"/>
          <c:order val="3"/>
          <c:tx>
            <c:strRef>
              <c:f>'Price Charts'!$S$34</c:f>
              <c:strCache>
                <c:ptCount val="1"/>
                <c:pt idx="0">
                  <c:v>Base - 1.5%/y</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Charts'!$S$35:$S$63</c:f>
              <c:numCache>
                <c:formatCode>0.00</c:formatCode>
                <c:ptCount val="29"/>
                <c:pt idx="0">
                  <c:v>2.6</c:v>
                </c:pt>
                <c:pt idx="1">
                  <c:v>3.5609999999999999</c:v>
                </c:pt>
                <c:pt idx="2">
                  <c:v>3.8075849999999996</c:v>
                </c:pt>
                <c:pt idx="3">
                  <c:v>3.9504712249999994</c:v>
                </c:pt>
                <c:pt idx="4">
                  <c:v>4.1912141566249996</c:v>
                </c:pt>
                <c:pt idx="5">
                  <c:v>4.4283459442756241</c:v>
                </c:pt>
                <c:pt idx="6">
                  <c:v>4.5619207551114895</c:v>
                </c:pt>
                <c:pt idx="7">
                  <c:v>4.6934919437848164</c:v>
                </c:pt>
                <c:pt idx="8">
                  <c:v>4.9230895646280448</c:v>
                </c:pt>
                <c:pt idx="9">
                  <c:v>4.9842432211586241</c:v>
                </c:pt>
                <c:pt idx="10">
                  <c:v>5.0478545728412447</c:v>
                </c:pt>
                <c:pt idx="11">
                  <c:v>5.1139711292486254</c:v>
                </c:pt>
                <c:pt idx="12">
                  <c:v>5.1826417966848952</c:v>
                </c:pt>
                <c:pt idx="13">
                  <c:v>5.2539169099689964</c:v>
                </c:pt>
                <c:pt idx="14">
                  <c:v>5.3278482650596946</c:v>
                </c:pt>
                <c:pt idx="15">
                  <c:v>5.4044891525425385</c:v>
                </c:pt>
                <c:pt idx="16">
                  <c:v>5.483894391999609</c:v>
                </c:pt>
                <c:pt idx="17">
                  <c:v>5.5661203672834532</c:v>
                </c:pt>
                <c:pt idx="18">
                  <c:v>5.6512250627171356</c:v>
                </c:pt>
                <c:pt idx="19">
                  <c:v>5.739268100242886</c:v>
                </c:pt>
                <c:pt idx="20">
                  <c:v>5.8303107775424126</c:v>
                </c:pt>
                <c:pt idx="21">
                  <c:v>5.9244161071525259</c:v>
                </c:pt>
                <c:pt idx="22">
                  <c:v>6.0216488566003186</c:v>
                </c:pt>
                <c:pt idx="23">
                  <c:v>6.1220755895827716</c:v>
                </c:pt>
                <c:pt idx="24">
                  <c:v>6.2257647082162748</c:v>
                </c:pt>
                <c:pt idx="25">
                  <c:v>6.3327864963822051</c:v>
                </c:pt>
                <c:pt idx="26">
                  <c:v>6.4432131641953774</c:v>
                </c:pt>
                <c:pt idx="27">
                  <c:v>6.5571188936228237</c:v>
                </c:pt>
                <c:pt idx="28">
                  <c:v>6.6745798852811173</c:v>
                </c:pt>
              </c:numCache>
            </c:numRef>
          </c:yVal>
          <c:smooth val="1"/>
        </c:ser>
        <c:ser>
          <c:idx val="4"/>
          <c:order val="4"/>
          <c:tx>
            <c:strRef>
              <c:f>'Price Charts'!$T$34</c:f>
              <c:strCache>
                <c:ptCount val="1"/>
                <c:pt idx="0">
                  <c:v>Flat Real</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Charts'!$T$35:$T$63</c:f>
              <c:numCache>
                <c:formatCode>0.00</c:formatCode>
                <c:ptCount val="29"/>
                <c:pt idx="0">
                  <c:v>2.6</c:v>
                </c:pt>
                <c:pt idx="1">
                  <c:v>2.665</c:v>
                </c:pt>
                <c:pt idx="2">
                  <c:v>2.7316249999999997</c:v>
                </c:pt>
                <c:pt idx="3">
                  <c:v>2.7999156249999997</c:v>
                </c:pt>
                <c:pt idx="4">
                  <c:v>2.8699135156249995</c:v>
                </c:pt>
                <c:pt idx="5">
                  <c:v>2.9416613535156242</c:v>
                </c:pt>
                <c:pt idx="6">
                  <c:v>3.0152028873535146</c:v>
                </c:pt>
                <c:pt idx="7">
                  <c:v>3.0905829595373522</c:v>
                </c:pt>
                <c:pt idx="8">
                  <c:v>3.1678475335257859</c:v>
                </c:pt>
                <c:pt idx="9">
                  <c:v>3.2470437218639301</c:v>
                </c:pt>
                <c:pt idx="10">
                  <c:v>3.3282198149105282</c:v>
                </c:pt>
                <c:pt idx="11">
                  <c:v>3.411425310283291</c:v>
                </c:pt>
                <c:pt idx="12">
                  <c:v>3.4967109430403731</c:v>
                </c:pt>
                <c:pt idx="13">
                  <c:v>3.584128716616382</c:v>
                </c:pt>
                <c:pt idx="14">
                  <c:v>3.6737319345317911</c:v>
                </c:pt>
                <c:pt idx="15">
                  <c:v>3.7655752328950856</c:v>
                </c:pt>
                <c:pt idx="16">
                  <c:v>3.8597146137174625</c:v>
                </c:pt>
                <c:pt idx="17">
                  <c:v>3.9562074790603989</c:v>
                </c:pt>
                <c:pt idx="18">
                  <c:v>4.0551126660369086</c:v>
                </c:pt>
                <c:pt idx="19">
                  <c:v>4.1564904826878308</c:v>
                </c:pt>
                <c:pt idx="20">
                  <c:v>4.2604027447550266</c:v>
                </c:pt>
                <c:pt idx="21">
                  <c:v>4.3669128133739017</c:v>
                </c:pt>
                <c:pt idx="22">
                  <c:v>4.4760856337082489</c:v>
                </c:pt>
                <c:pt idx="23">
                  <c:v>4.587987774550955</c:v>
                </c:pt>
                <c:pt idx="24">
                  <c:v>4.7026874689147284</c:v>
                </c:pt>
                <c:pt idx="25">
                  <c:v>4.820254655637596</c:v>
                </c:pt>
                <c:pt idx="26">
                  <c:v>4.9407610220285356</c:v>
                </c:pt>
                <c:pt idx="27">
                  <c:v>5.0642800475792482</c:v>
                </c:pt>
                <c:pt idx="28">
                  <c:v>5.1908870487687286</c:v>
                </c:pt>
              </c:numCache>
            </c:numRef>
          </c:yVal>
          <c:smooth val="1"/>
        </c:ser>
        <c:dLbls>
          <c:showLegendKey val="0"/>
          <c:showVal val="0"/>
          <c:showCatName val="0"/>
          <c:showSerName val="0"/>
          <c:showPercent val="0"/>
          <c:showBubbleSize val="0"/>
        </c:dLbls>
        <c:axId val="149523072"/>
        <c:axId val="149528960"/>
      </c:scatterChart>
      <c:valAx>
        <c:axId val="1495230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528960"/>
        <c:crosses val="autoZero"/>
        <c:crossBetween val="midCat"/>
      </c:valAx>
      <c:valAx>
        <c:axId val="149528960"/>
        <c:scaling>
          <c:orientation val="minMax"/>
        </c:scaling>
        <c:delete val="0"/>
        <c:axPos val="l"/>
        <c:majorGridlines/>
        <c:numFmt formatCode="0.00" sourceLinked="1"/>
        <c:majorTickMark val="out"/>
        <c:minorTickMark val="none"/>
        <c:tickLblPos val="nextTo"/>
        <c:crossAx val="149523072"/>
        <c:crosses val="autoZero"/>
        <c:crossBetween val="midCat"/>
      </c:valAx>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Real HH Gas Price $US / MMBTU</a:t>
            </a:r>
          </a:p>
        </c:rich>
      </c:tx>
      <c:overlay val="0"/>
    </c:title>
    <c:autoTitleDeleted val="0"/>
    <c:plotArea>
      <c:layout/>
      <c:scatterChart>
        <c:scatterStyle val="smoothMarker"/>
        <c:varyColors val="0"/>
        <c:ser>
          <c:idx val="0"/>
          <c:order val="0"/>
          <c:tx>
            <c:strRef>
              <c:f>'Price Charts'!$W$34</c:f>
              <c:strCache>
                <c:ptCount val="1"/>
                <c:pt idx="0">
                  <c:v>Base</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Charts'!$W$35:$W$63</c:f>
              <c:numCache>
                <c:formatCode>0.00</c:formatCode>
                <c:ptCount val="29"/>
                <c:pt idx="0">
                  <c:v>2.6</c:v>
                </c:pt>
                <c:pt idx="1">
                  <c:v>3.51219512195122</c:v>
                </c:pt>
                <c:pt idx="2">
                  <c:v>3.7120761451516957</c:v>
                </c:pt>
                <c:pt idx="3">
                  <c:v>3.8072575847709702</c:v>
                </c:pt>
                <c:pt idx="4">
                  <c:v>3.986182837118923</c:v>
                </c:pt>
                <c:pt idx="5">
                  <c:v>4.1541151517647315</c:v>
                </c:pt>
                <c:pt idx="6">
                  <c:v>4.2252546432064735</c:v>
                </c:pt>
                <c:pt idx="7">
                  <c:v>4.2904526989254386</c:v>
                </c:pt>
                <c:pt idx="8">
                  <c:v>4.4320314823906983</c:v>
                </c:pt>
                <c:pt idx="9">
                  <c:v>4.4320314823906983</c:v>
                </c:pt>
                <c:pt idx="10">
                  <c:v>4.4320314823906992</c:v>
                </c:pt>
                <c:pt idx="11">
                  <c:v>4.4320314823906983</c:v>
                </c:pt>
                <c:pt idx="12">
                  <c:v>4.4320314823906992</c:v>
                </c:pt>
                <c:pt idx="13">
                  <c:v>4.4320314823906992</c:v>
                </c:pt>
                <c:pt idx="14">
                  <c:v>4.4320314823906983</c:v>
                </c:pt>
                <c:pt idx="15">
                  <c:v>4.4320314823906983</c:v>
                </c:pt>
                <c:pt idx="16">
                  <c:v>4.4320314823906983</c:v>
                </c:pt>
                <c:pt idx="17">
                  <c:v>4.4320314823906983</c:v>
                </c:pt>
                <c:pt idx="18">
                  <c:v>4.4320314823906992</c:v>
                </c:pt>
                <c:pt idx="19">
                  <c:v>4.4320314823906992</c:v>
                </c:pt>
                <c:pt idx="20">
                  <c:v>4.4320314823906992</c:v>
                </c:pt>
                <c:pt idx="21">
                  <c:v>4.4320314823906992</c:v>
                </c:pt>
                <c:pt idx="22">
                  <c:v>4.4320314823906992</c:v>
                </c:pt>
                <c:pt idx="23">
                  <c:v>4.4320314823906992</c:v>
                </c:pt>
                <c:pt idx="24">
                  <c:v>4.4320314823906992</c:v>
                </c:pt>
                <c:pt idx="25">
                  <c:v>4.4320314823906992</c:v>
                </c:pt>
                <c:pt idx="26">
                  <c:v>4.4320314823906992</c:v>
                </c:pt>
                <c:pt idx="27">
                  <c:v>4.4320314823906983</c:v>
                </c:pt>
                <c:pt idx="28">
                  <c:v>4.4320314823906983</c:v>
                </c:pt>
              </c:numCache>
            </c:numRef>
          </c:yVal>
          <c:smooth val="1"/>
        </c:ser>
        <c:ser>
          <c:idx val="1"/>
          <c:order val="1"/>
          <c:tx>
            <c:strRef>
              <c:f>'Price Charts'!$X$34</c:f>
              <c:strCache>
                <c:ptCount val="1"/>
                <c:pt idx="0">
                  <c:v>Base +1.5% /y</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Charts'!$X$35:$X$63</c:f>
              <c:numCache>
                <c:formatCode>0.00</c:formatCode>
                <c:ptCount val="29"/>
                <c:pt idx="0">
                  <c:v>2.6</c:v>
                </c:pt>
                <c:pt idx="1">
                  <c:v>3.5502439024390244</c:v>
                </c:pt>
                <c:pt idx="2">
                  <c:v>3.8011516954193927</c:v>
                </c:pt>
                <c:pt idx="3">
                  <c:v>3.9497871708187637</c:v>
                </c:pt>
                <c:pt idx="4">
                  <c:v>4.1830378552750931</c:v>
                </c:pt>
                <c:pt idx="5">
                  <c:v>4.4073840161406306</c:v>
                </c:pt>
                <c:pt idx="6">
                  <c:v>4.5368445208825792</c:v>
                </c:pt>
                <c:pt idx="7">
                  <c:v>4.6608356701345546</c:v>
                </c:pt>
                <c:pt idx="8">
                  <c:v>4.8615880738649748</c:v>
                </c:pt>
                <c:pt idx="9">
                  <c:v>4.9222562751538703</c:v>
                </c:pt>
                <c:pt idx="10">
                  <c:v>4.9823325915521419</c:v>
                </c:pt>
                <c:pt idx="11">
                  <c:v>5.0418227975465282</c:v>
                </c:pt>
                <c:pt idx="12">
                  <c:v>5.1007326112873113</c:v>
                </c:pt>
                <c:pt idx="13">
                  <c:v>5.1590676951379395</c:v>
                </c:pt>
                <c:pt idx="14">
                  <c:v>5.2168336562192925</c:v>
                </c:pt>
                <c:pt idx="15">
                  <c:v>5.2740360469486331</c:v>
                </c:pt>
                <c:pt idx="16">
                  <c:v>5.3306803655732971</c:v>
                </c:pt>
                <c:pt idx="17">
                  <c:v>5.3867720566991855</c:v>
                </c:pt>
                <c:pt idx="18">
                  <c:v>5.4423165118140879</c:v>
                </c:pt>
                <c:pt idx="19">
                  <c:v>5.4973190698059193</c:v>
                </c:pt>
                <c:pt idx="20">
                  <c:v>5.5517850174758783</c:v>
                </c:pt>
                <c:pt idx="21">
                  <c:v>5.6057195900466192</c:v>
                </c:pt>
                <c:pt idx="22">
                  <c:v>5.6591279716654483</c:v>
                </c:pt>
                <c:pt idx="23">
                  <c:v>5.7120152959026314</c:v>
                </c:pt>
                <c:pt idx="24">
                  <c:v>5.7643866462448168</c:v>
                </c:pt>
                <c:pt idx="25">
                  <c:v>5.8162470565836646</c:v>
                </c:pt>
                <c:pt idx="26">
                  <c:v>5.8676015116996947</c:v>
                </c:pt>
                <c:pt idx="27">
                  <c:v>5.9184549477414201</c:v>
                </c:pt>
                <c:pt idx="28">
                  <c:v>5.9688122526998129</c:v>
                </c:pt>
              </c:numCache>
            </c:numRef>
          </c:yVal>
          <c:smooth val="1"/>
        </c:ser>
        <c:ser>
          <c:idx val="2"/>
          <c:order val="2"/>
          <c:tx>
            <c:strRef>
              <c:f>'Price Charts'!$Y$34</c:f>
              <c:strCache>
                <c:ptCount val="1"/>
                <c:pt idx="0">
                  <c:v>Base + 3%/y</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Charts'!$Y$35:$Y$63</c:f>
              <c:numCache>
                <c:formatCode>0.00</c:formatCode>
                <c:ptCount val="29"/>
                <c:pt idx="0">
                  <c:v>2.6</c:v>
                </c:pt>
                <c:pt idx="1">
                  <c:v>3.5882926829268298</c:v>
                </c:pt>
                <c:pt idx="2">
                  <c:v>3.8913408685306377</c:v>
                </c:pt>
                <c:pt idx="3">
                  <c:v>4.0960429012927859</c:v>
                </c:pt>
                <c:pt idx="4">
                  <c:v>4.3878087918121906</c:v>
                </c:pt>
                <c:pt idx="5">
                  <c:v>4.6743690234209598</c:v>
                </c:pt>
                <c:pt idx="6">
                  <c:v>4.8696301967273099</c:v>
                </c:pt>
                <c:pt idx="7">
                  <c:v>5.0616375373865665</c:v>
                </c:pt>
                <c:pt idx="8">
                  <c:v>5.332552423447015</c:v>
                </c:pt>
                <c:pt idx="9">
                  <c:v>5.4666632031318958</c:v>
                </c:pt>
                <c:pt idx="10">
                  <c:v>5.6014281817420688</c:v>
                </c:pt>
                <c:pt idx="11">
                  <c:v>5.7368505504918028</c:v>
                </c:pt>
                <c:pt idx="12">
                  <c:v>5.8729335161622691</c:v>
                </c:pt>
                <c:pt idx="13">
                  <c:v>6.0096803011774682</c:v>
                </c:pt>
                <c:pt idx="14">
                  <c:v>6.1470941436805457</c:v>
                </c:pt>
                <c:pt idx="15">
                  <c:v>6.2851782976104689</c:v>
                </c:pt>
                <c:pt idx="16">
                  <c:v>6.423936032779074</c:v>
                </c:pt>
                <c:pt idx="17">
                  <c:v>6.5633706349485017</c:v>
                </c:pt>
                <c:pt idx="18">
                  <c:v>6.7034854059089994</c:v>
                </c:pt>
                <c:pt idx="19">
                  <c:v>6.8442836635571096</c:v>
                </c:pt>
                <c:pt idx="20">
                  <c:v>6.985768741974236</c:v>
                </c:pt>
                <c:pt idx="21">
                  <c:v>7.1279439915055924</c:v>
                </c:pt>
                <c:pt idx="22">
                  <c:v>7.2708127788395389</c:v>
                </c:pt>
                <c:pt idx="23">
                  <c:v>7.4143784870873102</c:v>
                </c:pt>
                <c:pt idx="24">
                  <c:v>7.5586445158631195</c:v>
                </c:pt>
                <c:pt idx="25">
                  <c:v>7.703614281364664</c:v>
                </c:pt>
                <c:pt idx="26">
                  <c:v>7.8492912164540209</c:v>
                </c:pt>
                <c:pt idx="27">
                  <c:v>7.9956787707389356</c:v>
                </c:pt>
                <c:pt idx="28">
                  <c:v>8.1427804106545079</c:v>
                </c:pt>
              </c:numCache>
            </c:numRef>
          </c:yVal>
          <c:smooth val="1"/>
        </c:ser>
        <c:ser>
          <c:idx val="3"/>
          <c:order val="3"/>
          <c:tx>
            <c:strRef>
              <c:f>'Price Charts'!$Z$34</c:f>
              <c:strCache>
                <c:ptCount val="1"/>
                <c:pt idx="0">
                  <c:v>Base - 1.5%/y</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Charts'!$Z$35:$Z$63</c:f>
              <c:numCache>
                <c:formatCode>0.00</c:formatCode>
                <c:ptCount val="29"/>
                <c:pt idx="0">
                  <c:v>2.6</c:v>
                </c:pt>
                <c:pt idx="1">
                  <c:v>3.4741463414634151</c:v>
                </c:pt>
                <c:pt idx="2">
                  <c:v>3.6241142177275432</c:v>
                </c:pt>
                <c:pt idx="3">
                  <c:v>3.6684052523904183</c:v>
                </c:pt>
                <c:pt idx="4">
                  <c:v>3.7970331676882805</c:v>
                </c:pt>
                <c:pt idx="5">
                  <c:v>3.9140125498662273</c:v>
                </c:pt>
                <c:pt idx="6">
                  <c:v>3.9337299698928172</c:v>
                </c:pt>
                <c:pt idx="7">
                  <c:v>3.9484716034502689</c:v>
                </c:pt>
                <c:pt idx="8">
                  <c:v>4.0406088779741873</c:v>
                </c:pt>
                <c:pt idx="9">
                  <c:v>3.9910249091359433</c:v>
                </c:pt>
                <c:pt idx="10">
                  <c:v>3.9433759244474849</c:v>
                </c:pt>
                <c:pt idx="11">
                  <c:v>3.8975864123322341</c:v>
                </c:pt>
                <c:pt idx="12">
                  <c:v>3.8535838080068467</c:v>
                </c:pt>
                <c:pt idx="13">
                  <c:v>3.8112983784844015</c:v>
                </c:pt>
                <c:pt idx="14">
                  <c:v>3.7706631120652707</c:v>
                </c:pt>
                <c:pt idx="15">
                  <c:v>3.7316136121405452</c:v>
                </c:pt>
                <c:pt idx="16">
                  <c:v>3.6940879951397121</c:v>
                </c:pt>
                <c:pt idx="17">
                  <c:v>3.6580267924608623</c:v>
                </c:pt>
                <c:pt idx="18">
                  <c:v>3.6233728562280167</c:v>
                </c:pt>
                <c:pt idx="19">
                  <c:v>3.5900712687262084</c:v>
                </c:pt>
                <c:pt idx="20">
                  <c:v>3.5580692553708122</c:v>
                </c:pt>
                <c:pt idx="21">
                  <c:v>3.5273161010731879</c:v>
                </c:pt>
                <c:pt idx="22">
                  <c:v>3.4977630698701048</c:v>
                </c:pt>
                <c:pt idx="23">
                  <c:v>3.4693633276895812</c:v>
                </c:pt>
                <c:pt idx="24">
                  <c:v>3.4420718681307365</c:v>
                </c:pt>
                <c:pt idx="25">
                  <c:v>3.4158454411400418</c:v>
                </c:pt>
                <c:pt idx="26">
                  <c:v>3.3906424844709351</c:v>
                </c:pt>
                <c:pt idx="27">
                  <c:v>3.3664230578181837</c:v>
                </c:pt>
                <c:pt idx="28">
                  <c:v>3.3431487795226125</c:v>
                </c:pt>
              </c:numCache>
            </c:numRef>
          </c:yVal>
          <c:smooth val="1"/>
        </c:ser>
        <c:ser>
          <c:idx val="4"/>
          <c:order val="4"/>
          <c:tx>
            <c:strRef>
              <c:f>'Price Charts'!$AA$34</c:f>
              <c:strCache>
                <c:ptCount val="1"/>
                <c:pt idx="0">
                  <c:v>Flat Real</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Charts'!$AA$35:$AA$63</c:f>
              <c:numCache>
                <c:formatCode>0.00</c:formatCode>
                <c:ptCount val="29"/>
                <c:pt idx="0">
                  <c:v>2.6</c:v>
                </c:pt>
                <c:pt idx="1">
                  <c:v>2.6</c:v>
                </c:pt>
                <c:pt idx="2">
                  <c:v>2.6</c:v>
                </c:pt>
                <c:pt idx="3">
                  <c:v>2.6000000000000005</c:v>
                </c:pt>
                <c:pt idx="4">
                  <c:v>2.6000000000000005</c:v>
                </c:pt>
                <c:pt idx="5">
                  <c:v>2.6000000000000005</c:v>
                </c:pt>
                <c:pt idx="6">
                  <c:v>2.6000000000000005</c:v>
                </c:pt>
                <c:pt idx="7">
                  <c:v>2.600000000000001</c:v>
                </c:pt>
                <c:pt idx="8">
                  <c:v>2.600000000000001</c:v>
                </c:pt>
                <c:pt idx="9">
                  <c:v>2.600000000000001</c:v>
                </c:pt>
                <c:pt idx="10">
                  <c:v>2.600000000000001</c:v>
                </c:pt>
                <c:pt idx="11">
                  <c:v>2.600000000000001</c:v>
                </c:pt>
                <c:pt idx="12">
                  <c:v>2.600000000000001</c:v>
                </c:pt>
                <c:pt idx="13">
                  <c:v>2.600000000000001</c:v>
                </c:pt>
                <c:pt idx="14">
                  <c:v>2.600000000000001</c:v>
                </c:pt>
                <c:pt idx="15">
                  <c:v>2.600000000000001</c:v>
                </c:pt>
                <c:pt idx="16">
                  <c:v>2.600000000000001</c:v>
                </c:pt>
                <c:pt idx="17">
                  <c:v>2.6000000000000014</c:v>
                </c:pt>
                <c:pt idx="18">
                  <c:v>2.6000000000000014</c:v>
                </c:pt>
                <c:pt idx="19">
                  <c:v>2.6000000000000014</c:v>
                </c:pt>
                <c:pt idx="20">
                  <c:v>2.6000000000000014</c:v>
                </c:pt>
                <c:pt idx="21">
                  <c:v>2.6000000000000014</c:v>
                </c:pt>
                <c:pt idx="22">
                  <c:v>2.6000000000000014</c:v>
                </c:pt>
                <c:pt idx="23">
                  <c:v>2.6000000000000019</c:v>
                </c:pt>
                <c:pt idx="24">
                  <c:v>2.6000000000000019</c:v>
                </c:pt>
                <c:pt idx="25">
                  <c:v>2.6000000000000019</c:v>
                </c:pt>
                <c:pt idx="26">
                  <c:v>2.6000000000000014</c:v>
                </c:pt>
                <c:pt idx="27">
                  <c:v>2.600000000000001</c:v>
                </c:pt>
                <c:pt idx="28">
                  <c:v>2.600000000000001</c:v>
                </c:pt>
              </c:numCache>
            </c:numRef>
          </c:yVal>
          <c:smooth val="1"/>
        </c:ser>
        <c:dLbls>
          <c:showLegendKey val="0"/>
          <c:showVal val="0"/>
          <c:showCatName val="0"/>
          <c:showSerName val="0"/>
          <c:showPercent val="0"/>
          <c:showBubbleSize val="0"/>
        </c:dLbls>
        <c:axId val="150174720"/>
        <c:axId val="150184704"/>
      </c:scatterChart>
      <c:valAx>
        <c:axId val="150174720"/>
        <c:scaling>
          <c:orientation val="minMax"/>
          <c:max val="2040"/>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184704"/>
        <c:crosses val="autoZero"/>
        <c:crossBetween val="midCat"/>
      </c:valAx>
      <c:valAx>
        <c:axId val="150184704"/>
        <c:scaling>
          <c:orientation val="minMax"/>
        </c:scaling>
        <c:delete val="0"/>
        <c:axPos val="l"/>
        <c:majorGridlines/>
        <c:numFmt formatCode="0.00" sourceLinked="1"/>
        <c:majorTickMark val="out"/>
        <c:minorTickMark val="none"/>
        <c:tickLblPos val="nextTo"/>
        <c:crossAx val="150174720"/>
        <c:crosses val="autoZero"/>
        <c:crossBetween val="midCat"/>
      </c:valAx>
      <c:spPr>
        <a:solidFill>
          <a:schemeClr val="bg1">
            <a:lumMod val="95000"/>
          </a:schemeClr>
        </a:solidFill>
      </c:spPr>
    </c:plotArea>
    <c:legend>
      <c:legendPos val="b"/>
      <c:overlay val="0"/>
    </c:legend>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CashFlow!$F$100</c:f>
              <c:strCache>
                <c:ptCount val="1"/>
                <c:pt idx="0">
                  <c:v>Net Cash Flow</c:v>
                </c:pt>
              </c:strCache>
            </c:strRef>
          </c:tx>
          <c:spPr>
            <a:solidFill>
              <a:schemeClr val="accent4"/>
            </a:solidFill>
          </c:spPr>
          <c:invertIfNegative val="0"/>
          <c:cat>
            <c:numRef>
              <c:f>CashFlow!$G$99:$AF$99</c:f>
              <c:numCache>
                <c:formatCode>General</c:formatCode>
                <c:ptCount val="2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numCache>
            </c:numRef>
          </c:cat>
          <c:val>
            <c:numRef>
              <c:f>CashFlow!$G$100:$AF$100</c:f>
              <c:numCache>
                <c:formatCode>0.0</c:formatCode>
                <c:ptCount val="26"/>
                <c:pt idx="0">
                  <c:v>-41.910761454544662</c:v>
                </c:pt>
                <c:pt idx="1">
                  <c:v>-123.64114868181585</c:v>
                </c:pt>
                <c:pt idx="2">
                  <c:v>-55.495569754544441</c:v>
                </c:pt>
                <c:pt idx="3">
                  <c:v>3.2179363431815853</c:v>
                </c:pt>
                <c:pt idx="4">
                  <c:v>-94.764066808111195</c:v>
                </c:pt>
                <c:pt idx="5">
                  <c:v>-1214.0684290145402</c:v>
                </c:pt>
                <c:pt idx="6">
                  <c:v>-3068.1099234462295</c:v>
                </c:pt>
                <c:pt idx="7">
                  <c:v>1924.0010324917207</c:v>
                </c:pt>
                <c:pt idx="8">
                  <c:v>2523.1248966122325</c:v>
                </c:pt>
                <c:pt idx="9">
                  <c:v>2108.4622041638959</c:v>
                </c:pt>
                <c:pt idx="10">
                  <c:v>1740.8920123105527</c:v>
                </c:pt>
                <c:pt idx="11">
                  <c:v>1600.9860411659979</c:v>
                </c:pt>
                <c:pt idx="12">
                  <c:v>1371.554022765119</c:v>
                </c:pt>
                <c:pt idx="13">
                  <c:v>1178.4996016935152</c:v>
                </c:pt>
                <c:pt idx="14">
                  <c:v>1006.2624635394959</c:v>
                </c:pt>
                <c:pt idx="15">
                  <c:v>865.86021310876868</c:v>
                </c:pt>
                <c:pt idx="16">
                  <c:v>739.26988650183011</c:v>
                </c:pt>
                <c:pt idx="17">
                  <c:v>631.71509873339301</c:v>
                </c:pt>
                <c:pt idx="18">
                  <c:v>535.01613976410147</c:v>
                </c:pt>
                <c:pt idx="19">
                  <c:v>455.60765559739434</c:v>
                </c:pt>
                <c:pt idx="20">
                  <c:v>383.58278255092955</c:v>
                </c:pt>
                <c:pt idx="21">
                  <c:v>321.9359250921276</c:v>
                </c:pt>
                <c:pt idx="22">
                  <c:v>266.25310007460052</c:v>
                </c:pt>
                <c:pt idx="23">
                  <c:v>220.18821103532707</c:v>
                </c:pt>
                <c:pt idx="24">
                  <c:v>178.22848995188036</c:v>
                </c:pt>
                <c:pt idx="25">
                  <c:v>142.03806918813245</c:v>
                </c:pt>
              </c:numCache>
            </c:numRef>
          </c:val>
        </c:ser>
        <c:ser>
          <c:idx val="1"/>
          <c:order val="1"/>
          <c:tx>
            <c:strRef>
              <c:f>CashFlow!$F$101</c:f>
              <c:strCache>
                <c:ptCount val="1"/>
                <c:pt idx="0">
                  <c:v>Royalty</c:v>
                </c:pt>
              </c:strCache>
            </c:strRef>
          </c:tx>
          <c:spPr>
            <a:solidFill>
              <a:srgbClr val="00B0F0"/>
            </a:solidFill>
          </c:spPr>
          <c:invertIfNegative val="0"/>
          <c:cat>
            <c:numRef>
              <c:f>CashFlow!$G$99:$AF$99</c:f>
              <c:numCache>
                <c:formatCode>General</c:formatCode>
                <c:ptCount val="2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numCache>
            </c:numRef>
          </c:cat>
          <c:val>
            <c:numRef>
              <c:f>CashFlow!$G$101:$AF$101</c:f>
              <c:numCache>
                <c:formatCode>0.0</c:formatCode>
                <c:ptCount val="26"/>
                <c:pt idx="0">
                  <c:v>0</c:v>
                </c:pt>
                <c:pt idx="1">
                  <c:v>0</c:v>
                </c:pt>
                <c:pt idx="2">
                  <c:v>0</c:v>
                </c:pt>
                <c:pt idx="3">
                  <c:v>0</c:v>
                </c:pt>
                <c:pt idx="4">
                  <c:v>0</c:v>
                </c:pt>
                <c:pt idx="5">
                  <c:v>0</c:v>
                </c:pt>
                <c:pt idx="6">
                  <c:v>7.202229353926362</c:v>
                </c:pt>
                <c:pt idx="7">
                  <c:v>75.550803769244823</c:v>
                </c:pt>
                <c:pt idx="8">
                  <c:v>93.405416106083948</c:v>
                </c:pt>
                <c:pt idx="9">
                  <c:v>724.8964966412409</c:v>
                </c:pt>
                <c:pt idx="10">
                  <c:v>1291.6672974370558</c:v>
                </c:pt>
                <c:pt idx="11">
                  <c:v>1200.2757369225428</c:v>
                </c:pt>
                <c:pt idx="12">
                  <c:v>1039.3674076519876</c:v>
                </c:pt>
                <c:pt idx="13">
                  <c:v>893.10946766897075</c:v>
                </c:pt>
                <c:pt idx="14">
                  <c:v>768.38923785918871</c:v>
                </c:pt>
                <c:pt idx="15">
                  <c:v>659.483427991231</c:v>
                </c:pt>
                <c:pt idx="16">
                  <c:v>566.01466119392944</c:v>
                </c:pt>
                <c:pt idx="17">
                  <c:v>480.9637726209059</c:v>
                </c:pt>
                <c:pt idx="18">
                  <c:v>408.29695394106562</c:v>
                </c:pt>
                <c:pt idx="19">
                  <c:v>344.71741984238264</c:v>
                </c:pt>
                <c:pt idx="20">
                  <c:v>290.00730151550187</c:v>
                </c:pt>
                <c:pt idx="21">
                  <c:v>240.12344089161505</c:v>
                </c:pt>
                <c:pt idx="22">
                  <c:v>197.34958076066093</c:v>
                </c:pt>
                <c:pt idx="23">
                  <c:v>159.7864059436626</c:v>
                </c:pt>
                <c:pt idx="24">
                  <c:v>127.30786062001607</c:v>
                </c:pt>
                <c:pt idx="25">
                  <c:v>97.584734677661416</c:v>
                </c:pt>
              </c:numCache>
            </c:numRef>
          </c:val>
        </c:ser>
        <c:ser>
          <c:idx val="2"/>
          <c:order val="2"/>
          <c:tx>
            <c:strRef>
              <c:f>CashFlow!$F$102</c:f>
              <c:strCache>
                <c:ptCount val="1"/>
                <c:pt idx="0">
                  <c:v>Provincial Income Tax</c:v>
                </c:pt>
              </c:strCache>
            </c:strRef>
          </c:tx>
          <c:spPr>
            <a:solidFill>
              <a:srgbClr val="FF0000"/>
            </a:solidFill>
          </c:spPr>
          <c:invertIfNegative val="0"/>
          <c:cat>
            <c:numRef>
              <c:f>CashFlow!$G$99:$AF$99</c:f>
              <c:numCache>
                <c:formatCode>General</c:formatCode>
                <c:ptCount val="2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numCache>
            </c:numRef>
          </c:cat>
          <c:val>
            <c:numRef>
              <c:f>CashFlow!$G$102:$AF$102</c:f>
              <c:numCache>
                <c:formatCode>0.0</c:formatCode>
                <c:ptCount val="26"/>
                <c:pt idx="0">
                  <c:v>-10.836654545454342</c:v>
                </c:pt>
                <c:pt idx="1">
                  <c:v>-6.6645425454544203</c:v>
                </c:pt>
                <c:pt idx="2">
                  <c:v>-8.0807578363634853</c:v>
                </c:pt>
                <c:pt idx="3">
                  <c:v>-5.6565304854544385</c:v>
                </c:pt>
                <c:pt idx="4">
                  <c:v>-3.9595713398181074</c:v>
                </c:pt>
                <c:pt idx="5">
                  <c:v>-2.771699937872675</c:v>
                </c:pt>
                <c:pt idx="6">
                  <c:v>-88.374715244039223</c:v>
                </c:pt>
                <c:pt idx="7">
                  <c:v>336.01982550810629</c:v>
                </c:pt>
                <c:pt idx="8">
                  <c:v>409.09063363359701</c:v>
                </c:pt>
                <c:pt idx="9">
                  <c:v>359.35664901963804</c:v>
                </c:pt>
                <c:pt idx="10">
                  <c:v>311.25594915059656</c:v>
                </c:pt>
                <c:pt idx="11">
                  <c:v>304.72473141164016</c:v>
                </c:pt>
                <c:pt idx="12">
                  <c:v>271.79841442348089</c:v>
                </c:pt>
                <c:pt idx="13">
                  <c:v>239.22428869678217</c:v>
                </c:pt>
                <c:pt idx="14">
                  <c:v>210.13646356381116</c:v>
                </c:pt>
                <c:pt idx="15">
                  <c:v>183.61567252894042</c:v>
                </c:pt>
                <c:pt idx="16">
                  <c:v>160.12485807047892</c:v>
                </c:pt>
                <c:pt idx="17">
                  <c:v>137.99192731020153</c:v>
                </c:pt>
                <c:pt idx="18">
                  <c:v>118.70804619557124</c:v>
                </c:pt>
                <c:pt idx="19">
                  <c:v>101.51543659865267</c:v>
                </c:pt>
                <c:pt idx="20">
                  <c:v>86.514423697519348</c:v>
                </c:pt>
                <c:pt idx="21">
                  <c:v>72.6207071370672</c:v>
                </c:pt>
                <c:pt idx="22">
                  <c:v>60.604559626910316</c:v>
                </c:pt>
                <c:pt idx="23">
                  <c:v>49.964804271841587</c:v>
                </c:pt>
                <c:pt idx="24">
                  <c:v>40.711823575318171</c:v>
                </c:pt>
                <c:pt idx="25">
                  <c:v>32.186372965053451</c:v>
                </c:pt>
              </c:numCache>
            </c:numRef>
          </c:val>
        </c:ser>
        <c:ser>
          <c:idx val="3"/>
          <c:order val="3"/>
          <c:tx>
            <c:strRef>
              <c:f>CashFlow!$F$103</c:f>
              <c:strCache>
                <c:ptCount val="1"/>
                <c:pt idx="0">
                  <c:v>Federal Income Tax</c:v>
                </c:pt>
              </c:strCache>
            </c:strRef>
          </c:tx>
          <c:spPr>
            <a:solidFill>
              <a:srgbClr val="92D050"/>
            </a:solidFill>
          </c:spPr>
          <c:invertIfNegative val="0"/>
          <c:cat>
            <c:numRef>
              <c:f>CashFlow!$G$99:$AF$99</c:f>
              <c:numCache>
                <c:formatCode>General</c:formatCode>
                <c:ptCount val="2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numCache>
            </c:numRef>
          </c:cat>
          <c:val>
            <c:numRef>
              <c:f>CashFlow!$G$103:$AF$103</c:f>
              <c:numCache>
                <c:formatCode>0.0</c:formatCode>
                <c:ptCount val="26"/>
                <c:pt idx="0">
                  <c:v>-14.981674909090628</c:v>
                </c:pt>
                <c:pt idx="1">
                  <c:v>-8.5389451363634752</c:v>
                </c:pt>
                <c:pt idx="2">
                  <c:v>-10.100947295454356</c:v>
                </c:pt>
                <c:pt idx="3">
                  <c:v>-6.7171299514771459</c:v>
                </c:pt>
                <c:pt idx="4">
                  <c:v>-4.7019909660340025</c:v>
                </c:pt>
                <c:pt idx="5">
                  <c:v>-3.2913936762238016</c:v>
                </c:pt>
                <c:pt idx="6">
                  <c:v>-104.94497435229657</c:v>
                </c:pt>
                <c:pt idx="7">
                  <c:v>466.98504476415587</c:v>
                </c:pt>
                <c:pt idx="8">
                  <c:v>536.76625391985613</c:v>
                </c:pt>
                <c:pt idx="9">
                  <c:v>447.97399007747009</c:v>
                </c:pt>
                <c:pt idx="10">
                  <c:v>385.54491664132081</c:v>
                </c:pt>
                <c:pt idx="11">
                  <c:v>361.0641947000733</c:v>
                </c:pt>
                <c:pt idx="12">
                  <c:v>322.16329923944653</c:v>
                </c:pt>
                <c:pt idx="13">
                  <c:v>274.07376819610852</c:v>
                </c:pt>
                <c:pt idx="14">
                  <c:v>242.0332445085356</c:v>
                </c:pt>
                <c:pt idx="15">
                  <c:v>205.24794198675477</c:v>
                </c:pt>
                <c:pt idx="16">
                  <c:v>180.55151710267225</c:v>
                </c:pt>
                <c:pt idx="17">
                  <c:v>151.29198879291496</c:v>
                </c:pt>
                <c:pt idx="18">
                  <c:v>131.53573619127886</c:v>
                </c:pt>
                <c:pt idx="19">
                  <c:v>109.44513371447857</c:v>
                </c:pt>
                <c:pt idx="20">
                  <c:v>94.407542705988135</c:v>
                </c:pt>
                <c:pt idx="21">
                  <c:v>76.966916338942781</c:v>
                </c:pt>
                <c:pt idx="22">
                  <c:v>65.015284517212621</c:v>
                </c:pt>
                <c:pt idx="23">
                  <c:v>51.850791185345003</c:v>
                </c:pt>
                <c:pt idx="24">
                  <c:v>42.733480080090168</c:v>
                </c:pt>
                <c:pt idx="25">
                  <c:v>32.311504066056344</c:v>
                </c:pt>
              </c:numCache>
            </c:numRef>
          </c:val>
        </c:ser>
        <c:dLbls>
          <c:showLegendKey val="0"/>
          <c:showVal val="0"/>
          <c:showCatName val="0"/>
          <c:showSerName val="0"/>
          <c:showPercent val="0"/>
          <c:showBubbleSize val="0"/>
        </c:dLbls>
        <c:gapWidth val="72"/>
        <c:overlap val="100"/>
        <c:axId val="146417920"/>
        <c:axId val="146427904"/>
      </c:barChart>
      <c:catAx>
        <c:axId val="146417920"/>
        <c:scaling>
          <c:orientation val="minMax"/>
        </c:scaling>
        <c:delete val="0"/>
        <c:axPos val="b"/>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46427904"/>
        <c:crosses val="autoZero"/>
        <c:auto val="1"/>
        <c:lblAlgn val="ctr"/>
        <c:lblOffset val="100"/>
        <c:tickLblSkip val="2"/>
        <c:tickMarkSkip val="2"/>
        <c:noMultiLvlLbl val="0"/>
      </c:catAx>
      <c:valAx>
        <c:axId val="146427904"/>
        <c:scaling>
          <c:orientation val="minMax"/>
        </c:scaling>
        <c:delete val="0"/>
        <c:axPos val="l"/>
        <c:majorGridlines/>
        <c:numFmt formatCode="0.0"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146417920"/>
        <c:crosses val="autoZero"/>
        <c:crossBetween val="between"/>
      </c:valAx>
      <c:spPr>
        <a:solidFill>
          <a:schemeClr val="bg2"/>
        </a:solidFill>
      </c:spPr>
    </c:plotArea>
    <c:legend>
      <c:legendPos val="tr"/>
      <c:layout>
        <c:manualLayout>
          <c:xMode val="edge"/>
          <c:yMode val="edge"/>
          <c:x val="0.74287499817524205"/>
          <c:y val="0.51227508326165117"/>
          <c:w val="0.24104180354939075"/>
          <c:h val="0.34078514863753617"/>
        </c:manualLayout>
      </c:layout>
      <c:overlay val="1"/>
      <c:spPr>
        <a:solidFill>
          <a:schemeClr val="bg2"/>
        </a:solidFill>
        <a:ln>
          <a:solidFill>
            <a:schemeClr val="tx1"/>
          </a:solid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IRR </a:t>
            </a:r>
          </a:p>
        </c:rich>
      </c:tx>
      <c:layout>
        <c:manualLayout>
          <c:xMode val="edge"/>
          <c:yMode val="edge"/>
          <c:x val="0.34594594594594597"/>
          <c:y val="3.1579063088318149E-2"/>
        </c:manualLayout>
      </c:layout>
      <c:overlay val="0"/>
    </c:title>
    <c:autoTitleDeleted val="0"/>
    <c:plotArea>
      <c:layout>
        <c:manualLayout>
          <c:layoutTarget val="inner"/>
          <c:xMode val="edge"/>
          <c:yMode val="edge"/>
          <c:x val="0.38738806902461509"/>
          <c:y val="0.24736842105263168"/>
          <c:w val="0.55855954138432817"/>
          <c:h val="0.7131578947368421"/>
        </c:manualLayout>
      </c:layout>
      <c:barChart>
        <c:barDir val="bar"/>
        <c:grouping val="stacked"/>
        <c:varyColors val="0"/>
        <c:ser>
          <c:idx val="0"/>
          <c:order val="0"/>
          <c:spPr>
            <a:no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Ranges'!$O$61:$O$67</c:f>
              <c:numCache>
                <c:formatCode>General</c:formatCode>
                <c:ptCount val="7"/>
                <c:pt idx="0">
                  <c:v>0.24691103341369289</c:v>
                </c:pt>
                <c:pt idx="1">
                  <c:v>0.20263568236147569</c:v>
                </c:pt>
                <c:pt idx="2">
                  <c:v>0.27884845683263143</c:v>
                </c:pt>
                <c:pt idx="3">
                  <c:v>0.26800074279702946</c:v>
                </c:pt>
                <c:pt idx="4">
                  <c:v>0.2378049299993753</c:v>
                </c:pt>
                <c:pt idx="5">
                  <c:v>0.26934828608077827</c:v>
                </c:pt>
                <c:pt idx="6">
                  <c:v>0.27558810129268707</c:v>
                </c:pt>
              </c:numCache>
            </c:numRef>
          </c:val>
        </c:ser>
        <c:ser>
          <c:idx val="1"/>
          <c:order val="1"/>
          <c:spPr>
            <a:solidFill>
              <a:srgbClr val="00B0F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Ranges'!$P$61:$P$67</c:f>
              <c:numCache>
                <c:formatCode>General</c:formatCode>
                <c:ptCount val="7"/>
                <c:pt idx="0">
                  <c:v>3.586880461885969E-2</c:v>
                </c:pt>
                <c:pt idx="1">
                  <c:v>8.0144155671076883E-2</c:v>
                </c:pt>
                <c:pt idx="2">
                  <c:v>3.9313811999211468E-3</c:v>
                </c:pt>
                <c:pt idx="3">
                  <c:v>1.4779095235523121E-2</c:v>
                </c:pt>
                <c:pt idx="4">
                  <c:v>4.4974908033177274E-2</c:v>
                </c:pt>
                <c:pt idx="5">
                  <c:v>1.3431551951774312E-2</c:v>
                </c:pt>
                <c:pt idx="6">
                  <c:v>7.1917367398655063E-3</c:v>
                </c:pt>
              </c:numCache>
            </c:numRef>
          </c:val>
        </c:ser>
        <c:ser>
          <c:idx val="2"/>
          <c:order val="2"/>
          <c:spPr>
            <a:solidFill>
              <a:srgbClr val="92D05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Ranges'!$Q$61:$Q$67</c:f>
              <c:numCache>
                <c:formatCode>General</c:formatCode>
                <c:ptCount val="7"/>
                <c:pt idx="0">
                  <c:v>4.6922506031360556E-2</c:v>
                </c:pt>
                <c:pt idx="1">
                  <c:v>6.2235677453740479E-2</c:v>
                </c:pt>
                <c:pt idx="2">
                  <c:v>3.5161833430344402E-3</c:v>
                </c:pt>
                <c:pt idx="3">
                  <c:v>1.3064498215881626E-2</c:v>
                </c:pt>
                <c:pt idx="4">
                  <c:v>4.582741860376971E-2</c:v>
                </c:pt>
                <c:pt idx="5">
                  <c:v>1.11762507313381E-2</c:v>
                </c:pt>
                <c:pt idx="6">
                  <c:v>6.6265325704790712E-3</c:v>
                </c:pt>
              </c:numCache>
            </c:numRef>
          </c:val>
        </c:ser>
        <c:ser>
          <c:idx val="3"/>
          <c:order val="3"/>
          <c:spPr>
            <a:solidFill>
              <a:srgbClr val="92D05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Ranges'!$R$61:$R$67</c:f>
              <c:numCache>
                <c:formatCode>General</c:formatCode>
                <c:ptCount val="7"/>
                <c:pt idx="0">
                  <c:v>0</c:v>
                </c:pt>
                <c:pt idx="1">
                  <c:v>0</c:v>
                </c:pt>
                <c:pt idx="2">
                  <c:v>0</c:v>
                </c:pt>
                <c:pt idx="3">
                  <c:v>0</c:v>
                </c:pt>
                <c:pt idx="4">
                  <c:v>0</c:v>
                </c:pt>
                <c:pt idx="5">
                  <c:v>0</c:v>
                </c:pt>
                <c:pt idx="6">
                  <c:v>0</c:v>
                </c:pt>
              </c:numCache>
            </c:numRef>
          </c:val>
        </c:ser>
        <c:ser>
          <c:idx val="4"/>
          <c:order val="4"/>
          <c:spPr>
            <a:solidFill>
              <a:srgbClr val="00B0F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Ranges'!$S$61:$S$67</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6484608"/>
        <c:axId val="146519168"/>
      </c:barChart>
      <c:catAx>
        <c:axId val="146484608"/>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146519168"/>
        <c:crosses val="autoZero"/>
        <c:auto val="1"/>
        <c:lblAlgn val="ctr"/>
        <c:lblOffset val="100"/>
        <c:noMultiLvlLbl val="0"/>
      </c:catAx>
      <c:valAx>
        <c:axId val="146519168"/>
        <c:scaling>
          <c:orientation val="minMax"/>
        </c:scaling>
        <c:delete val="0"/>
        <c:axPos val="t"/>
        <c:majorGridlines/>
        <c:numFmt formatCode="0%" sourceLinked="0"/>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146484608"/>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NPV </a:t>
            </a:r>
          </a:p>
        </c:rich>
      </c:tx>
      <c:layout>
        <c:manualLayout>
          <c:xMode val="edge"/>
          <c:yMode val="edge"/>
          <c:x val="0.3327205882352941"/>
          <c:y val="3.1496062992125984E-2"/>
        </c:manualLayout>
      </c:layout>
      <c:overlay val="0"/>
    </c:title>
    <c:autoTitleDeleted val="0"/>
    <c:plotArea>
      <c:layout>
        <c:manualLayout>
          <c:layoutTarget val="inner"/>
          <c:xMode val="edge"/>
          <c:yMode val="edge"/>
          <c:x val="0.39705917992013373"/>
          <c:y val="0.2467197924863449"/>
          <c:w val="0.54963284627833331"/>
          <c:h val="0.71391259102431659"/>
        </c:manualLayout>
      </c:layout>
      <c:barChart>
        <c:barDir val="bar"/>
        <c:grouping val="stacked"/>
        <c:varyColors val="0"/>
        <c:ser>
          <c:idx val="0"/>
          <c:order val="0"/>
          <c:spPr>
            <a:no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Ranges'!$O$51:$O$57</c:f>
              <c:numCache>
                <c:formatCode>General</c:formatCode>
                <c:ptCount val="7"/>
                <c:pt idx="0">
                  <c:v>641.23889182220466</c:v>
                </c:pt>
                <c:pt idx="1">
                  <c:v>450.44565260703843</c:v>
                </c:pt>
                <c:pt idx="2">
                  <c:v>855.3498925466821</c:v>
                </c:pt>
                <c:pt idx="3">
                  <c:v>861.76060438975628</c:v>
                </c:pt>
                <c:pt idx="4">
                  <c:v>762.94515377990695</c:v>
                </c:pt>
                <c:pt idx="5">
                  <c:v>789.75136282471942</c:v>
                </c:pt>
                <c:pt idx="6">
                  <c:v>695.91236498879766</c:v>
                </c:pt>
              </c:numCache>
            </c:numRef>
          </c:val>
        </c:ser>
        <c:ser>
          <c:idx val="1"/>
          <c:order val="1"/>
          <c:spPr>
            <a:solidFill>
              <a:srgbClr val="00B0F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Ranges'!$P$51:$P$57</c:f>
              <c:numCache>
                <c:formatCode>General</c:formatCode>
                <c:ptCount val="7"/>
                <c:pt idx="0">
                  <c:v>239.70146782540974</c:v>
                </c:pt>
                <c:pt idx="1">
                  <c:v>430.49470704057597</c:v>
                </c:pt>
                <c:pt idx="2">
                  <c:v>25.590467100932301</c:v>
                </c:pt>
                <c:pt idx="3">
                  <c:v>19.179755257858119</c:v>
                </c:pt>
                <c:pt idx="4">
                  <c:v>117.99520586770745</c:v>
                </c:pt>
                <c:pt idx="5">
                  <c:v>91.188996822894978</c:v>
                </c:pt>
                <c:pt idx="6">
                  <c:v>185.02799465881674</c:v>
                </c:pt>
              </c:numCache>
            </c:numRef>
          </c:val>
        </c:ser>
        <c:ser>
          <c:idx val="2"/>
          <c:order val="2"/>
          <c:spPr>
            <a:solidFill>
              <a:srgbClr val="92D05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Ranges'!$Q$51:$Q$57</c:f>
              <c:numCache>
                <c:formatCode>General</c:formatCode>
                <c:ptCount val="7"/>
                <c:pt idx="0">
                  <c:v>470.23994957763978</c:v>
                </c:pt>
                <c:pt idx="1">
                  <c:v>436.20745743295049</c:v>
                </c:pt>
                <c:pt idx="2">
                  <c:v>24.52092253600199</c:v>
                </c:pt>
                <c:pt idx="3">
                  <c:v>20.599642507868452</c:v>
                </c:pt>
                <c:pt idx="4">
                  <c:v>99.327887456934718</c:v>
                </c:pt>
                <c:pt idx="5">
                  <c:v>93.938314067472334</c:v>
                </c:pt>
                <c:pt idx="6">
                  <c:v>277.54199198822437</c:v>
                </c:pt>
              </c:numCache>
            </c:numRef>
          </c:val>
        </c:ser>
        <c:ser>
          <c:idx val="3"/>
          <c:order val="3"/>
          <c:spPr>
            <a:solidFill>
              <a:srgbClr val="92D05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Ranges'!$R$51:$R$57</c:f>
              <c:numCache>
                <c:formatCode>General</c:formatCode>
                <c:ptCount val="7"/>
                <c:pt idx="0">
                  <c:v>0</c:v>
                </c:pt>
                <c:pt idx="1">
                  <c:v>0</c:v>
                </c:pt>
                <c:pt idx="2">
                  <c:v>0</c:v>
                </c:pt>
                <c:pt idx="3">
                  <c:v>0</c:v>
                </c:pt>
                <c:pt idx="4">
                  <c:v>0</c:v>
                </c:pt>
                <c:pt idx="5">
                  <c:v>0</c:v>
                </c:pt>
                <c:pt idx="6">
                  <c:v>0</c:v>
                </c:pt>
              </c:numCache>
            </c:numRef>
          </c:val>
        </c:ser>
        <c:ser>
          <c:idx val="4"/>
          <c:order val="4"/>
          <c:spPr>
            <a:solidFill>
              <a:srgbClr val="00B0F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Ranges'!$S$51:$S$57</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8606976"/>
        <c:axId val="148608512"/>
      </c:barChart>
      <c:catAx>
        <c:axId val="148606976"/>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148608512"/>
        <c:crosses val="autoZero"/>
        <c:auto val="1"/>
        <c:lblAlgn val="ctr"/>
        <c:lblOffset val="100"/>
        <c:noMultiLvlLbl val="0"/>
      </c:catAx>
      <c:valAx>
        <c:axId val="148608512"/>
        <c:scaling>
          <c:orientation val="minMax"/>
        </c:scaling>
        <c:delete val="0"/>
        <c:axPos val="t"/>
        <c:majorGridlines/>
        <c:numFmt formatCode="General" sourceLinked="1"/>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148606976"/>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DROI</a:t>
            </a:r>
          </a:p>
        </c:rich>
      </c:tx>
      <c:layout>
        <c:manualLayout>
          <c:xMode val="edge"/>
          <c:yMode val="edge"/>
          <c:x val="0.32536764705882354"/>
          <c:y val="3.3519553072625698E-2"/>
        </c:manualLayout>
      </c:layout>
      <c:overlay val="0"/>
    </c:title>
    <c:autoTitleDeleted val="0"/>
    <c:plotArea>
      <c:layout>
        <c:manualLayout>
          <c:layoutTarget val="inner"/>
          <c:xMode val="edge"/>
          <c:yMode val="edge"/>
          <c:x val="0.39705917992013373"/>
          <c:y val="0.26536349042462798"/>
          <c:w val="0.5533093201664826"/>
          <c:h val="0.69273837500323932"/>
        </c:manualLayout>
      </c:layout>
      <c:barChart>
        <c:barDir val="bar"/>
        <c:grouping val="stacked"/>
        <c:varyColors val="0"/>
        <c:ser>
          <c:idx val="0"/>
          <c:order val="0"/>
          <c:spPr>
            <a:no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Ranges'!$O$71:$O$77</c:f>
              <c:numCache>
                <c:formatCode>General</c:formatCode>
                <c:ptCount val="7"/>
                <c:pt idx="0">
                  <c:v>0.73776588022908063</c:v>
                </c:pt>
                <c:pt idx="1">
                  <c:v>0.47920657972686498</c:v>
                </c:pt>
                <c:pt idx="2">
                  <c:v>0.90996393039809809</c:v>
                </c:pt>
                <c:pt idx="3">
                  <c:v>0.887190657079449</c:v>
                </c:pt>
                <c:pt idx="4">
                  <c:v>0.64079511111388454</c:v>
                </c:pt>
                <c:pt idx="5">
                  <c:v>0.84017693860178377</c:v>
                </c:pt>
                <c:pt idx="6">
                  <c:v>0.91468043803067223</c:v>
                </c:pt>
              </c:numCache>
            </c:numRef>
          </c:val>
        </c:ser>
        <c:ser>
          <c:idx val="1"/>
          <c:order val="1"/>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Ranges'!$P$71:$P$77</c:f>
              <c:numCache>
                <c:formatCode>General</c:formatCode>
                <c:ptCount val="7"/>
                <c:pt idx="0">
                  <c:v>0.19942246701503541</c:v>
                </c:pt>
                <c:pt idx="1">
                  <c:v>0.45798176751725106</c:v>
                </c:pt>
                <c:pt idx="2">
                  <c:v>2.7224416846017951E-2</c:v>
                </c:pt>
                <c:pt idx="3">
                  <c:v>4.9997690164667041E-2</c:v>
                </c:pt>
                <c:pt idx="4">
                  <c:v>0.2963932361302315</c:v>
                </c:pt>
                <c:pt idx="5">
                  <c:v>9.7011408642332264E-2</c:v>
                </c:pt>
                <c:pt idx="6">
                  <c:v>2.2507909213443811E-2</c:v>
                </c:pt>
              </c:numCache>
            </c:numRef>
          </c:val>
        </c:ser>
        <c:ser>
          <c:idx val="2"/>
          <c:order val="2"/>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Ranges'!$Q$71:$Q$77</c:f>
              <c:numCache>
                <c:formatCode>General</c:formatCode>
                <c:ptCount val="7"/>
                <c:pt idx="0">
                  <c:v>0.28646009468009281</c:v>
                </c:pt>
                <c:pt idx="1">
                  <c:v>0.46405927666961788</c:v>
                </c:pt>
                <c:pt idx="2">
                  <c:v>2.6086581926623609E-2</c:v>
                </c:pt>
                <c:pt idx="3">
                  <c:v>4.9337214779352934E-2</c:v>
                </c:pt>
                <c:pt idx="4">
                  <c:v>0.40359663649838673</c:v>
                </c:pt>
                <c:pt idx="5">
                  <c:v>9.9936269623302598E-2</c:v>
                </c:pt>
                <c:pt idx="6">
                  <c:v>2.1251371169915823E-2</c:v>
                </c:pt>
              </c:numCache>
            </c:numRef>
          </c:val>
        </c:ser>
        <c:ser>
          <c:idx val="3"/>
          <c:order val="3"/>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Ranges'!$R$71:$R$77</c:f>
              <c:numCache>
                <c:formatCode>General</c:formatCode>
                <c:ptCount val="7"/>
                <c:pt idx="0">
                  <c:v>0</c:v>
                </c:pt>
                <c:pt idx="1">
                  <c:v>0</c:v>
                </c:pt>
                <c:pt idx="2">
                  <c:v>0</c:v>
                </c:pt>
                <c:pt idx="3">
                  <c:v>0</c:v>
                </c:pt>
                <c:pt idx="4">
                  <c:v>0</c:v>
                </c:pt>
                <c:pt idx="5">
                  <c:v>0</c:v>
                </c:pt>
                <c:pt idx="6">
                  <c:v>0</c:v>
                </c:pt>
              </c:numCache>
            </c:numRef>
          </c:val>
        </c:ser>
        <c:ser>
          <c:idx val="4"/>
          <c:order val="4"/>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Ranges'!$S$71:$S$77</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8510592"/>
        <c:axId val="148512128"/>
      </c:barChart>
      <c:catAx>
        <c:axId val="148510592"/>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148512128"/>
        <c:crosses val="autoZero"/>
        <c:auto val="1"/>
        <c:lblAlgn val="ctr"/>
        <c:lblOffset val="100"/>
        <c:noMultiLvlLbl val="0"/>
      </c:catAx>
      <c:valAx>
        <c:axId val="148512128"/>
        <c:scaling>
          <c:orientation val="minMax"/>
        </c:scaling>
        <c:delete val="0"/>
        <c:axPos val="t"/>
        <c:majorGridlines/>
        <c:numFmt formatCode="General" sourceLinked="1"/>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148510592"/>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Committed DROI</a:t>
            </a:r>
          </a:p>
        </c:rich>
      </c:tx>
      <c:layout>
        <c:manualLayout>
          <c:xMode val="edge"/>
          <c:yMode val="edge"/>
          <c:x val="0.21731123388581952"/>
          <c:y val="3.3426047096225646E-2"/>
        </c:manualLayout>
      </c:layout>
      <c:overlay val="0"/>
    </c:title>
    <c:autoTitleDeleted val="0"/>
    <c:plotArea>
      <c:layout>
        <c:manualLayout>
          <c:layoutTarget val="inner"/>
          <c:xMode val="edge"/>
          <c:yMode val="edge"/>
          <c:x val="0.39779077065847057"/>
          <c:y val="0.2618384401114206"/>
          <c:w val="0.55617042934656524"/>
          <c:h val="0.69637883008356583"/>
        </c:manualLayout>
      </c:layout>
      <c:barChart>
        <c:barDir val="bar"/>
        <c:grouping val="stacked"/>
        <c:varyColors val="0"/>
        <c:ser>
          <c:idx val="0"/>
          <c:order val="0"/>
          <c:spPr>
            <a:no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Ranges'!$O$82:$O$88</c:f>
              <c:numCache>
                <c:formatCode>General</c:formatCode>
                <c:ptCount val="7"/>
                <c:pt idx="0">
                  <c:v>14.507794048861669</c:v>
                </c:pt>
                <c:pt idx="1">
                  <c:v>10.191167194581119</c:v>
                </c:pt>
                <c:pt idx="2">
                  <c:v>19.351976679892203</c:v>
                </c:pt>
                <c:pt idx="3">
                  <c:v>14.997705136286545</c:v>
                </c:pt>
                <c:pt idx="4">
                  <c:v>17.261353456217023</c:v>
                </c:pt>
                <c:pt idx="5">
                  <c:v>17.867834075238335</c:v>
                </c:pt>
                <c:pt idx="6">
                  <c:v>15.744761267713429</c:v>
                </c:pt>
              </c:numCache>
            </c:numRef>
          </c:val>
        </c:ser>
        <c:ser>
          <c:idx val="1"/>
          <c:order val="1"/>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Ranges'!$P$82:$P$88</c:f>
              <c:numCache>
                <c:formatCode>General</c:formatCode>
                <c:ptCount val="7"/>
                <c:pt idx="0">
                  <c:v>5.4231575357801276</c:v>
                </c:pt>
                <c:pt idx="1">
                  <c:v>9.7397843900606773</c:v>
                </c:pt>
                <c:pt idx="2">
                  <c:v>0.57897490474959312</c:v>
                </c:pt>
                <c:pt idx="3">
                  <c:v>4.9332464483552521</c:v>
                </c:pt>
                <c:pt idx="4">
                  <c:v>2.6695981284247736</c:v>
                </c:pt>
                <c:pt idx="5">
                  <c:v>2.0631175094034617</c:v>
                </c:pt>
                <c:pt idx="6">
                  <c:v>4.1861903169283678</c:v>
                </c:pt>
              </c:numCache>
            </c:numRef>
          </c:val>
        </c:ser>
        <c:ser>
          <c:idx val="2"/>
          <c:order val="2"/>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Ranges'!$Q$82:$Q$88</c:f>
              <c:numCache>
                <c:formatCode>General</c:formatCode>
                <c:ptCount val="7"/>
                <c:pt idx="0">
                  <c:v>10.639005882243119</c:v>
                </c:pt>
                <c:pt idx="1">
                  <c:v>9.8690332662628144</c:v>
                </c:pt>
                <c:pt idx="2">
                  <c:v>0.55477685239815955</c:v>
                </c:pt>
                <c:pt idx="3">
                  <c:v>7.2650629738108705</c:v>
                </c:pt>
                <c:pt idx="4">
                  <c:v>2.2472569161217848</c:v>
                </c:pt>
                <c:pt idx="5">
                  <c:v>2.1253198007304341</c:v>
                </c:pt>
                <c:pt idx="6">
                  <c:v>6.279285475392534</c:v>
                </c:pt>
              </c:numCache>
            </c:numRef>
          </c:val>
        </c:ser>
        <c:ser>
          <c:idx val="3"/>
          <c:order val="3"/>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Ranges'!$R$82:$R$88</c:f>
              <c:numCache>
                <c:formatCode>General</c:formatCode>
                <c:ptCount val="7"/>
                <c:pt idx="0">
                  <c:v>0</c:v>
                </c:pt>
                <c:pt idx="1">
                  <c:v>0</c:v>
                </c:pt>
                <c:pt idx="2">
                  <c:v>0</c:v>
                </c:pt>
                <c:pt idx="3">
                  <c:v>0</c:v>
                </c:pt>
                <c:pt idx="4">
                  <c:v>0</c:v>
                </c:pt>
                <c:pt idx="5">
                  <c:v>0</c:v>
                </c:pt>
                <c:pt idx="6">
                  <c:v>0</c:v>
                </c:pt>
              </c:numCache>
            </c:numRef>
          </c:val>
        </c:ser>
        <c:ser>
          <c:idx val="4"/>
          <c:order val="4"/>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Ranges'!$S$82:$S$88</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8560128"/>
        <c:axId val="149094400"/>
      </c:barChart>
      <c:catAx>
        <c:axId val="148560128"/>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149094400"/>
        <c:crosses val="autoZero"/>
        <c:auto val="1"/>
        <c:lblAlgn val="ctr"/>
        <c:lblOffset val="100"/>
        <c:noMultiLvlLbl val="0"/>
      </c:catAx>
      <c:valAx>
        <c:axId val="149094400"/>
        <c:scaling>
          <c:orientation val="minMax"/>
        </c:scaling>
        <c:delete val="0"/>
        <c:axPos val="t"/>
        <c:majorGridlines/>
        <c:numFmt formatCode="General" sourceLinked="1"/>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148560128"/>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sz="1800"/>
              <a:t>Government Take as a Percentage of Risked Cash Flow for Varying Price Cases</a:t>
            </a:r>
          </a:p>
        </c:rich>
      </c:tx>
      <c:overlay val="0"/>
    </c:title>
    <c:autoTitleDeleted val="0"/>
    <c:plotArea>
      <c:layout/>
      <c:barChart>
        <c:barDir val="col"/>
        <c:grouping val="stacked"/>
        <c:varyColors val="0"/>
        <c:ser>
          <c:idx val="2"/>
          <c:order val="0"/>
          <c:tx>
            <c:strRef>
              <c:f>Thresholds!$R$67</c:f>
              <c:strCache>
                <c:ptCount val="1"/>
                <c:pt idx="0">
                  <c:v>Net Cash Flow</c:v>
                </c:pt>
              </c:strCache>
            </c:strRef>
          </c:tx>
          <c:spPr>
            <a:solidFill>
              <a:srgbClr val="7030A0"/>
            </a:solidFill>
          </c:spPr>
          <c:invertIfNegative val="0"/>
          <c:dLbls>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strRef>
              <c:f>Thresholds!$S$63:$W$63</c:f>
              <c:strCache>
                <c:ptCount val="5"/>
                <c:pt idx="0">
                  <c:v>Base - 1.5%/y</c:v>
                </c:pt>
                <c:pt idx="1">
                  <c:v>Base</c:v>
                </c:pt>
                <c:pt idx="2">
                  <c:v>Base +1.5% /y</c:v>
                </c:pt>
                <c:pt idx="3">
                  <c:v>Flat Real</c:v>
                </c:pt>
                <c:pt idx="4">
                  <c:v>Base + 3%/y</c:v>
                </c:pt>
              </c:strCache>
            </c:strRef>
          </c:cat>
          <c:val>
            <c:numRef>
              <c:f>Thresholds!$S$67:$W$67</c:f>
              <c:numCache>
                <c:formatCode>0.0%</c:formatCode>
                <c:ptCount val="5"/>
                <c:pt idx="0">
                  <c:v>0.46907307075181254</c:v>
                </c:pt>
                <c:pt idx="1">
                  <c:v>0.45437189887885532</c:v>
                </c:pt>
                <c:pt idx="2">
                  <c:v>0.44437529007831617</c:v>
                </c:pt>
                <c:pt idx="3">
                  <c:v>0.44005353866272306</c:v>
                </c:pt>
                <c:pt idx="4">
                  <c:v>0.4381280144708205</c:v>
                </c:pt>
              </c:numCache>
            </c:numRef>
          </c:val>
        </c:ser>
        <c:ser>
          <c:idx val="3"/>
          <c:order val="1"/>
          <c:tx>
            <c:strRef>
              <c:f>Thresholds!$R$64</c:f>
              <c:strCache>
                <c:ptCount val="1"/>
                <c:pt idx="0">
                  <c:v>Royalty</c:v>
                </c:pt>
              </c:strCache>
            </c:strRef>
          </c:tx>
          <c:spPr>
            <a:solidFill>
              <a:srgbClr val="0070C0"/>
            </a:solidFill>
          </c:spPr>
          <c:invertIfNegative val="0"/>
          <c:dLbls>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strRef>
              <c:f>Thresholds!$S$63:$W$63</c:f>
              <c:strCache>
                <c:ptCount val="5"/>
                <c:pt idx="0">
                  <c:v>Base - 1.5%/y</c:v>
                </c:pt>
                <c:pt idx="1">
                  <c:v>Base</c:v>
                </c:pt>
                <c:pt idx="2">
                  <c:v>Base +1.5% /y</c:v>
                </c:pt>
                <c:pt idx="3">
                  <c:v>Flat Real</c:v>
                </c:pt>
                <c:pt idx="4">
                  <c:v>Base + 3%/y</c:v>
                </c:pt>
              </c:strCache>
            </c:strRef>
          </c:cat>
          <c:val>
            <c:numRef>
              <c:f>Thresholds!$S$64:$W$64</c:f>
              <c:numCache>
                <c:formatCode>0.0%</c:formatCode>
                <c:ptCount val="5"/>
                <c:pt idx="0">
                  <c:v>0.27013001373935647</c:v>
                </c:pt>
                <c:pt idx="1">
                  <c:v>0.29500491576800181</c:v>
                </c:pt>
                <c:pt idx="2">
                  <c:v>0.31191745097777207</c:v>
                </c:pt>
                <c:pt idx="3">
                  <c:v>0.31899202792047471</c:v>
                </c:pt>
                <c:pt idx="4">
                  <c:v>0.32262137248677947</c:v>
                </c:pt>
              </c:numCache>
            </c:numRef>
          </c:val>
        </c:ser>
        <c:ser>
          <c:idx val="0"/>
          <c:order val="2"/>
          <c:tx>
            <c:strRef>
              <c:f>Thresholds!$R$65</c:f>
              <c:strCache>
                <c:ptCount val="1"/>
                <c:pt idx="0">
                  <c:v>Provincial Income Tax</c:v>
                </c:pt>
              </c:strCache>
            </c:strRef>
          </c:tx>
          <c:spPr>
            <a:solidFill>
              <a:srgbClr val="FF0000"/>
            </a:solidFill>
          </c:spPr>
          <c:invertIfNegative val="0"/>
          <c:dLbls>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strRef>
              <c:f>Thresholds!$S$63:$W$63</c:f>
              <c:strCache>
                <c:ptCount val="5"/>
                <c:pt idx="0">
                  <c:v>Base - 1.5%/y</c:v>
                </c:pt>
                <c:pt idx="1">
                  <c:v>Base</c:v>
                </c:pt>
                <c:pt idx="2">
                  <c:v>Base +1.5% /y</c:v>
                </c:pt>
                <c:pt idx="3">
                  <c:v>Flat Real</c:v>
                </c:pt>
                <c:pt idx="4">
                  <c:v>Base + 3%/y</c:v>
                </c:pt>
              </c:strCache>
            </c:strRef>
          </c:cat>
          <c:val>
            <c:numRef>
              <c:f>Thresholds!$S$65:$W$65</c:f>
              <c:numCache>
                <c:formatCode>0.0%</c:formatCode>
                <c:ptCount val="5"/>
                <c:pt idx="0">
                  <c:v>0.11932083376655808</c:v>
                </c:pt>
                <c:pt idx="1">
                  <c:v>0.11464268507595747</c:v>
                </c:pt>
                <c:pt idx="2">
                  <c:v>0.11146257979648366</c:v>
                </c:pt>
                <c:pt idx="3">
                  <c:v>0.11019899729621231</c:v>
                </c:pt>
                <c:pt idx="4">
                  <c:v>0.1094120425233021</c:v>
                </c:pt>
              </c:numCache>
            </c:numRef>
          </c:val>
        </c:ser>
        <c:ser>
          <c:idx val="1"/>
          <c:order val="3"/>
          <c:tx>
            <c:strRef>
              <c:f>Thresholds!$R$66</c:f>
              <c:strCache>
                <c:ptCount val="1"/>
                <c:pt idx="0">
                  <c:v>Federal Income Tax</c:v>
                </c:pt>
              </c:strCache>
            </c:strRef>
          </c:tx>
          <c:spPr>
            <a:solidFill>
              <a:srgbClr val="92D050"/>
            </a:solidFill>
          </c:spPr>
          <c:invertIfNegative val="0"/>
          <c:dLbls>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strRef>
              <c:f>Thresholds!$S$63:$W$63</c:f>
              <c:strCache>
                <c:ptCount val="5"/>
                <c:pt idx="0">
                  <c:v>Base - 1.5%/y</c:v>
                </c:pt>
                <c:pt idx="1">
                  <c:v>Base</c:v>
                </c:pt>
                <c:pt idx="2">
                  <c:v>Base +1.5% /y</c:v>
                </c:pt>
                <c:pt idx="3">
                  <c:v>Flat Real</c:v>
                </c:pt>
                <c:pt idx="4">
                  <c:v>Base + 3%/y</c:v>
                </c:pt>
              </c:strCache>
            </c:strRef>
          </c:cat>
          <c:val>
            <c:numRef>
              <c:f>Thresholds!$S$66:$W$66</c:f>
              <c:numCache>
                <c:formatCode>0.0%</c:formatCode>
                <c:ptCount val="5"/>
                <c:pt idx="0">
                  <c:v>0.14147608174227283</c:v>
                </c:pt>
                <c:pt idx="1">
                  <c:v>0.13598050027718536</c:v>
                </c:pt>
                <c:pt idx="2">
                  <c:v>0.1322446791474281</c:v>
                </c:pt>
                <c:pt idx="3">
                  <c:v>0.13075543612058987</c:v>
                </c:pt>
                <c:pt idx="4">
                  <c:v>0.12983857051909797</c:v>
                </c:pt>
              </c:numCache>
            </c:numRef>
          </c:val>
        </c:ser>
        <c:dLbls>
          <c:showLegendKey val="0"/>
          <c:showVal val="0"/>
          <c:showCatName val="0"/>
          <c:showSerName val="0"/>
          <c:showPercent val="0"/>
          <c:showBubbleSize val="0"/>
        </c:dLbls>
        <c:gapWidth val="95"/>
        <c:overlap val="100"/>
        <c:axId val="148769792"/>
        <c:axId val="148783872"/>
      </c:barChart>
      <c:catAx>
        <c:axId val="148769792"/>
        <c:scaling>
          <c:orientation val="minMax"/>
        </c:scaling>
        <c:delete val="0"/>
        <c:axPos val="b"/>
        <c:numFmt formatCode="General" sourceLinked="1"/>
        <c:majorTickMark val="none"/>
        <c:minorTickMark val="none"/>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148783872"/>
        <c:crosses val="autoZero"/>
        <c:auto val="1"/>
        <c:lblAlgn val="ctr"/>
        <c:lblOffset val="100"/>
        <c:noMultiLvlLbl val="0"/>
      </c:catAx>
      <c:valAx>
        <c:axId val="148783872"/>
        <c:scaling>
          <c:orientation val="minMax"/>
        </c:scaling>
        <c:delete val="1"/>
        <c:axPos val="l"/>
        <c:numFmt formatCode="0.0%" sourceLinked="1"/>
        <c:majorTickMark val="out"/>
        <c:minorTickMark val="none"/>
        <c:tickLblPos val="nextTo"/>
        <c:crossAx val="148769792"/>
        <c:crosses val="autoZero"/>
        <c:crossBetween val="between"/>
      </c:valAx>
      <c:spPr>
        <a:solidFill>
          <a:srgbClr val="EEECE1"/>
        </a:solidFill>
        <a:ln>
          <a:noFill/>
        </a:ln>
      </c:spPr>
    </c:plotArea>
    <c:legend>
      <c:legendPos val="b"/>
      <c:overlay val="0"/>
      <c:txPr>
        <a:bodyPr/>
        <a:lstStyle/>
        <a:p>
          <a:pPr>
            <a:defRPr sz="14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25968296557188E-2"/>
          <c:y val="0"/>
          <c:w val="0.96154806340688559"/>
          <c:h val="0.76490051703296402"/>
        </c:manualLayout>
      </c:layout>
      <c:barChart>
        <c:barDir val="col"/>
        <c:grouping val="stacked"/>
        <c:varyColors val="0"/>
        <c:ser>
          <c:idx val="2"/>
          <c:order val="0"/>
          <c:tx>
            <c:strRef>
              <c:f>Thresholds!$R$74</c:f>
              <c:strCache>
                <c:ptCount val="1"/>
                <c:pt idx="0">
                  <c:v>Net Cash Flow</c:v>
                </c:pt>
              </c:strCache>
            </c:strRef>
          </c:tx>
          <c:spPr>
            <a:solidFill>
              <a:srgbClr val="7030A0"/>
            </a:solidFill>
          </c:spPr>
          <c:invertIfNegative val="0"/>
          <c:dLbls>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numRef>
              <c:f>Thresholds!$S$70:$X$70</c:f>
              <c:numCache>
                <c:formatCode>General</c:formatCode>
                <c:ptCount val="6"/>
                <c:pt idx="0">
                  <c:v>50</c:v>
                </c:pt>
                <c:pt idx="1">
                  <c:v>150</c:v>
                </c:pt>
                <c:pt idx="2">
                  <c:v>250</c:v>
                </c:pt>
                <c:pt idx="3">
                  <c:v>350</c:v>
                </c:pt>
                <c:pt idx="4">
                  <c:v>450</c:v>
                </c:pt>
                <c:pt idx="5">
                  <c:v>550</c:v>
                </c:pt>
              </c:numCache>
            </c:numRef>
          </c:cat>
          <c:val>
            <c:numRef>
              <c:f>Thresholds!$S$74:$X$74</c:f>
              <c:numCache>
                <c:formatCode>0.0%</c:formatCode>
                <c:ptCount val="6"/>
                <c:pt idx="0">
                  <c:v>0.55293667312304484</c:v>
                </c:pt>
                <c:pt idx="1">
                  <c:v>0.45567783117144556</c:v>
                </c:pt>
                <c:pt idx="2">
                  <c:v>0.44289858882119909</c:v>
                </c:pt>
                <c:pt idx="3">
                  <c:v>0.43844791708805991</c:v>
                </c:pt>
                <c:pt idx="4">
                  <c:v>0.43607166896906352</c:v>
                </c:pt>
                <c:pt idx="5">
                  <c:v>0.43519649004482136</c:v>
                </c:pt>
              </c:numCache>
            </c:numRef>
          </c:val>
        </c:ser>
        <c:ser>
          <c:idx val="3"/>
          <c:order val="1"/>
          <c:tx>
            <c:strRef>
              <c:f>Thresholds!$R$71</c:f>
              <c:strCache>
                <c:ptCount val="1"/>
                <c:pt idx="0">
                  <c:v>Royalty</c:v>
                </c:pt>
              </c:strCache>
            </c:strRef>
          </c:tx>
          <c:spPr>
            <a:solidFill>
              <a:srgbClr val="0070C0"/>
            </a:solidFill>
          </c:spPr>
          <c:invertIfNegative val="0"/>
          <c:dLbls>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numRef>
              <c:f>Thresholds!$S$70:$X$70</c:f>
              <c:numCache>
                <c:formatCode>General</c:formatCode>
                <c:ptCount val="6"/>
                <c:pt idx="0">
                  <c:v>50</c:v>
                </c:pt>
                <c:pt idx="1">
                  <c:v>150</c:v>
                </c:pt>
                <c:pt idx="2">
                  <c:v>250</c:v>
                </c:pt>
                <c:pt idx="3">
                  <c:v>350</c:v>
                </c:pt>
                <c:pt idx="4">
                  <c:v>450</c:v>
                </c:pt>
                <c:pt idx="5">
                  <c:v>550</c:v>
                </c:pt>
              </c:numCache>
            </c:numRef>
          </c:cat>
          <c:val>
            <c:numRef>
              <c:f>Thresholds!$S$71:$X$71</c:f>
              <c:numCache>
                <c:formatCode>0.0%</c:formatCode>
                <c:ptCount val="6"/>
                <c:pt idx="0">
                  <c:v>9.2314093030958971E-2</c:v>
                </c:pt>
                <c:pt idx="1">
                  <c:v>0.28985471190798529</c:v>
                </c:pt>
                <c:pt idx="2">
                  <c:v>0.31370268184787642</c:v>
                </c:pt>
                <c:pt idx="3">
                  <c:v>0.32209444809904014</c:v>
                </c:pt>
                <c:pt idx="4">
                  <c:v>0.32657331224388492</c:v>
                </c:pt>
                <c:pt idx="5">
                  <c:v>0.32842865911036245</c:v>
                </c:pt>
              </c:numCache>
            </c:numRef>
          </c:val>
        </c:ser>
        <c:ser>
          <c:idx val="0"/>
          <c:order val="2"/>
          <c:tx>
            <c:strRef>
              <c:f>Thresholds!$R$72</c:f>
              <c:strCache>
                <c:ptCount val="1"/>
                <c:pt idx="0">
                  <c:v>Provincial Income Tax</c:v>
                </c:pt>
              </c:strCache>
            </c:strRef>
          </c:tx>
          <c:spPr>
            <a:solidFill>
              <a:srgbClr val="FF0000"/>
            </a:solidFill>
          </c:spPr>
          <c:invertIfNegative val="0"/>
          <c:dLbls>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numRef>
              <c:f>Thresholds!$S$70:$X$70</c:f>
              <c:numCache>
                <c:formatCode>General</c:formatCode>
                <c:ptCount val="6"/>
                <c:pt idx="0">
                  <c:v>50</c:v>
                </c:pt>
                <c:pt idx="1">
                  <c:v>150</c:v>
                </c:pt>
                <c:pt idx="2">
                  <c:v>250</c:v>
                </c:pt>
                <c:pt idx="3">
                  <c:v>350</c:v>
                </c:pt>
                <c:pt idx="4">
                  <c:v>450</c:v>
                </c:pt>
                <c:pt idx="5">
                  <c:v>550</c:v>
                </c:pt>
              </c:numCache>
            </c:numRef>
          </c:cat>
          <c:val>
            <c:numRef>
              <c:f>Thresholds!$S$72:$X$72</c:f>
              <c:numCache>
                <c:formatCode>0.0%</c:formatCode>
                <c:ptCount val="6"/>
                <c:pt idx="0">
                  <c:v>0.16284889632668553</c:v>
                </c:pt>
                <c:pt idx="1">
                  <c:v>0.11643804873660923</c:v>
                </c:pt>
                <c:pt idx="2">
                  <c:v>0.11132742193535802</c:v>
                </c:pt>
                <c:pt idx="3">
                  <c:v>0.10950710144882275</c:v>
                </c:pt>
                <c:pt idx="4">
                  <c:v>0.108535952530354</c:v>
                </c:pt>
                <c:pt idx="5">
                  <c:v>0.10808172184771714</c:v>
                </c:pt>
              </c:numCache>
            </c:numRef>
          </c:val>
        </c:ser>
        <c:ser>
          <c:idx val="1"/>
          <c:order val="3"/>
          <c:tx>
            <c:strRef>
              <c:f>Thresholds!$R$73</c:f>
              <c:strCache>
                <c:ptCount val="1"/>
                <c:pt idx="0">
                  <c:v>Federal Income Tax</c:v>
                </c:pt>
              </c:strCache>
            </c:strRef>
          </c:tx>
          <c:spPr>
            <a:solidFill>
              <a:srgbClr val="92D050"/>
            </a:solidFill>
          </c:spPr>
          <c:invertIfNegative val="0"/>
          <c:dLbls>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numRef>
              <c:f>Thresholds!$S$70:$X$70</c:f>
              <c:numCache>
                <c:formatCode>General</c:formatCode>
                <c:ptCount val="6"/>
                <c:pt idx="0">
                  <c:v>50</c:v>
                </c:pt>
                <c:pt idx="1">
                  <c:v>150</c:v>
                </c:pt>
                <c:pt idx="2">
                  <c:v>250</c:v>
                </c:pt>
                <c:pt idx="3">
                  <c:v>350</c:v>
                </c:pt>
                <c:pt idx="4">
                  <c:v>450</c:v>
                </c:pt>
                <c:pt idx="5">
                  <c:v>550</c:v>
                </c:pt>
              </c:numCache>
            </c:numRef>
          </c:cat>
          <c:val>
            <c:numRef>
              <c:f>Thresholds!$S$73:$X$73</c:f>
              <c:numCache>
                <c:formatCode>0.0%</c:formatCode>
                <c:ptCount val="6"/>
                <c:pt idx="0">
                  <c:v>0.19190033751931074</c:v>
                </c:pt>
                <c:pt idx="1">
                  <c:v>0.13802940818395984</c:v>
                </c:pt>
                <c:pt idx="2">
                  <c:v>0.13207130739556652</c:v>
                </c:pt>
                <c:pt idx="3">
                  <c:v>0.12995053336407711</c:v>
                </c:pt>
                <c:pt idx="4">
                  <c:v>0.12881906625669753</c:v>
                </c:pt>
                <c:pt idx="5">
                  <c:v>0.12829312899709913</c:v>
                </c:pt>
              </c:numCache>
            </c:numRef>
          </c:val>
        </c:ser>
        <c:dLbls>
          <c:showLegendKey val="0"/>
          <c:showVal val="0"/>
          <c:showCatName val="0"/>
          <c:showSerName val="0"/>
          <c:showPercent val="0"/>
          <c:showBubbleSize val="0"/>
        </c:dLbls>
        <c:gapWidth val="67"/>
        <c:overlap val="100"/>
        <c:axId val="149553920"/>
        <c:axId val="149555456"/>
      </c:barChart>
      <c:catAx>
        <c:axId val="149553920"/>
        <c:scaling>
          <c:orientation val="minMax"/>
        </c:scaling>
        <c:delete val="0"/>
        <c:axPos val="b"/>
        <c:numFmt formatCode="General" sourceLinked="1"/>
        <c:majorTickMark val="none"/>
        <c:minorTickMark val="none"/>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149555456"/>
        <c:crosses val="autoZero"/>
        <c:auto val="1"/>
        <c:lblAlgn val="ctr"/>
        <c:lblOffset val="100"/>
        <c:noMultiLvlLbl val="0"/>
      </c:catAx>
      <c:valAx>
        <c:axId val="149555456"/>
        <c:scaling>
          <c:orientation val="minMax"/>
        </c:scaling>
        <c:delete val="1"/>
        <c:axPos val="l"/>
        <c:numFmt formatCode="0.0%" sourceLinked="1"/>
        <c:majorTickMark val="out"/>
        <c:minorTickMark val="none"/>
        <c:tickLblPos val="nextTo"/>
        <c:crossAx val="149553920"/>
        <c:crosses val="autoZero"/>
        <c:crossBetween val="between"/>
      </c:valAx>
      <c:spPr>
        <a:solidFill>
          <a:srgbClr val="EEECE1"/>
        </a:solidFill>
        <a:ln>
          <a:noFill/>
        </a:ln>
      </c:spPr>
    </c:plotArea>
    <c:plotVisOnly val="1"/>
    <c:dispBlanksAs val="gap"/>
    <c:showDLblsOverMax val="0"/>
  </c:chart>
  <c:spPr>
    <a:solidFill>
      <a:srgbClr val="EEECE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Nominal Oil Price $US/BBL</a:t>
            </a:r>
          </a:p>
        </c:rich>
      </c:tx>
      <c:overlay val="0"/>
    </c:title>
    <c:autoTitleDeleted val="0"/>
    <c:plotArea>
      <c:layout/>
      <c:scatterChart>
        <c:scatterStyle val="smoothMarker"/>
        <c:varyColors val="0"/>
        <c:ser>
          <c:idx val="0"/>
          <c:order val="0"/>
          <c:tx>
            <c:strRef>
              <c:f>'Price Charts'!$B$34</c:f>
              <c:strCache>
                <c:ptCount val="1"/>
                <c:pt idx="0">
                  <c:v>Base</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Charts'!$B$35:$B$63</c:f>
              <c:numCache>
                <c:formatCode>0.00</c:formatCode>
                <c:ptCount val="29"/>
                <c:pt idx="0">
                  <c:v>104</c:v>
                </c:pt>
                <c:pt idx="1">
                  <c:v>104</c:v>
                </c:pt>
                <c:pt idx="2">
                  <c:v>98</c:v>
                </c:pt>
                <c:pt idx="3">
                  <c:v>94</c:v>
                </c:pt>
                <c:pt idx="4">
                  <c:v>93</c:v>
                </c:pt>
                <c:pt idx="5">
                  <c:v>91</c:v>
                </c:pt>
                <c:pt idx="6">
                  <c:v>90</c:v>
                </c:pt>
                <c:pt idx="7">
                  <c:v>90</c:v>
                </c:pt>
                <c:pt idx="8">
                  <c:v>89</c:v>
                </c:pt>
                <c:pt idx="9">
                  <c:v>91.224999999999994</c:v>
                </c:pt>
                <c:pt idx="10">
                  <c:v>93.505624999999981</c:v>
                </c:pt>
                <c:pt idx="11">
                  <c:v>95.843265624999972</c:v>
                </c:pt>
                <c:pt idx="12">
                  <c:v>98.239347265624957</c:v>
                </c:pt>
                <c:pt idx="13">
                  <c:v>100.69533094726557</c:v>
                </c:pt>
                <c:pt idx="14">
                  <c:v>103.21271422094721</c:v>
                </c:pt>
                <c:pt idx="15">
                  <c:v>105.79303207647088</c:v>
                </c:pt>
                <c:pt idx="16">
                  <c:v>108.43785787838264</c:v>
                </c:pt>
                <c:pt idx="17">
                  <c:v>111.1488043253422</c:v>
                </c:pt>
                <c:pt idx="18">
                  <c:v>113.92752443347574</c:v>
                </c:pt>
                <c:pt idx="19">
                  <c:v>116.77571254431263</c:v>
                </c:pt>
                <c:pt idx="20">
                  <c:v>119.69510535792043</c:v>
                </c:pt>
                <c:pt idx="21">
                  <c:v>122.68748299186842</c:v>
                </c:pt>
                <c:pt idx="22">
                  <c:v>125.75467006666513</c:v>
                </c:pt>
                <c:pt idx="23">
                  <c:v>128.89853681833173</c:v>
                </c:pt>
                <c:pt idx="24">
                  <c:v>132.12100023879</c:v>
                </c:pt>
                <c:pt idx="25">
                  <c:v>135.42402524475975</c:v>
                </c:pt>
                <c:pt idx="26">
                  <c:v>138.80962587587874</c:v>
                </c:pt>
                <c:pt idx="27">
                  <c:v>142.27986652277571</c:v>
                </c:pt>
                <c:pt idx="28">
                  <c:v>145.83686318584509</c:v>
                </c:pt>
              </c:numCache>
            </c:numRef>
          </c:yVal>
          <c:smooth val="1"/>
        </c:ser>
        <c:ser>
          <c:idx val="1"/>
          <c:order val="1"/>
          <c:tx>
            <c:strRef>
              <c:f>'Price Charts'!$C$34</c:f>
              <c:strCache>
                <c:ptCount val="1"/>
                <c:pt idx="0">
                  <c:v>Base +1.5% /y</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Charts'!$C$35:$C$63</c:f>
              <c:numCache>
                <c:formatCode>0.00</c:formatCode>
                <c:ptCount val="29"/>
                <c:pt idx="0">
                  <c:v>104</c:v>
                </c:pt>
                <c:pt idx="1">
                  <c:v>105.55999999999999</c:v>
                </c:pt>
                <c:pt idx="2">
                  <c:v>101.14339999999997</c:v>
                </c:pt>
                <c:pt idx="3">
                  <c:v>98.660550999999955</c:v>
                </c:pt>
                <c:pt idx="4">
                  <c:v>99.140459264999947</c:v>
                </c:pt>
                <c:pt idx="5">
                  <c:v>98.627566153974939</c:v>
                </c:pt>
                <c:pt idx="6">
                  <c:v>99.106979646284557</c:v>
                </c:pt>
                <c:pt idx="7">
                  <c:v>100.59358434097882</c:v>
                </c:pt>
                <c:pt idx="8">
                  <c:v>101.10248810609349</c:v>
                </c:pt>
                <c:pt idx="9">
                  <c:v>104.84402542768487</c:v>
                </c:pt>
                <c:pt idx="10">
                  <c:v>108.69731080910012</c:v>
                </c:pt>
                <c:pt idx="11">
                  <c:v>112.6654110962366</c:v>
                </c:pt>
                <c:pt idx="12">
                  <c:v>116.75147390330513</c:v>
                </c:pt>
                <c:pt idx="13">
                  <c:v>120.95872969349531</c:v>
                </c:pt>
                <c:pt idx="14">
                  <c:v>125.29049391257936</c:v>
                </c:pt>
                <c:pt idx="15">
                  <c:v>129.7501691767917</c:v>
                </c:pt>
                <c:pt idx="16">
                  <c:v>134.34124751635534</c:v>
                </c:pt>
                <c:pt idx="17">
                  <c:v>139.0673126760602</c:v>
                </c:pt>
                <c:pt idx="18">
                  <c:v>143.93204247433462</c:v>
                </c:pt>
                <c:pt idx="19">
                  <c:v>148.93921122228653</c:v>
                </c:pt>
                <c:pt idx="20">
                  <c:v>154.09269220422863</c:v>
                </c:pt>
                <c:pt idx="21">
                  <c:v>159.39646022124003</c:v>
                </c:pt>
                <c:pt idx="22">
                  <c:v>164.85459419935535</c:v>
                </c:pt>
                <c:pt idx="23">
                  <c:v>170.47127986401227</c:v>
                </c:pt>
                <c:pt idx="24">
                  <c:v>176.25081248243072</c:v>
                </c:pt>
                <c:pt idx="25">
                  <c:v>182.19759967563689</c:v>
                </c:pt>
                <c:pt idx="26">
                  <c:v>188.31616430189041</c:v>
                </c:pt>
                <c:pt idx="27">
                  <c:v>194.61114741331571</c:v>
                </c:pt>
                <c:pt idx="28">
                  <c:v>201.08731128758481</c:v>
                </c:pt>
              </c:numCache>
            </c:numRef>
          </c:yVal>
          <c:smooth val="1"/>
        </c:ser>
        <c:ser>
          <c:idx val="2"/>
          <c:order val="2"/>
          <c:tx>
            <c:strRef>
              <c:f>'Price Charts'!$D$34</c:f>
              <c:strCache>
                <c:ptCount val="1"/>
                <c:pt idx="0">
                  <c:v>Base + 3%/y</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Charts'!$D$35:$D$63</c:f>
              <c:numCache>
                <c:formatCode>0.00</c:formatCode>
                <c:ptCount val="29"/>
                <c:pt idx="0">
                  <c:v>104</c:v>
                </c:pt>
                <c:pt idx="1">
                  <c:v>107.12</c:v>
                </c:pt>
                <c:pt idx="2">
                  <c:v>104.3336</c:v>
                </c:pt>
                <c:pt idx="3">
                  <c:v>103.46360800000001</c:v>
                </c:pt>
                <c:pt idx="4">
                  <c:v>105.56751624000002</c:v>
                </c:pt>
                <c:pt idx="5">
                  <c:v>106.73454172720002</c:v>
                </c:pt>
                <c:pt idx="6">
                  <c:v>108.93657797901602</c:v>
                </c:pt>
                <c:pt idx="7">
                  <c:v>112.20467531838651</c:v>
                </c:pt>
                <c:pt idx="8">
                  <c:v>114.57081557793811</c:v>
                </c:pt>
                <c:pt idx="9">
                  <c:v>120.23294004527625</c:v>
                </c:pt>
                <c:pt idx="10">
                  <c:v>126.12055324663453</c:v>
                </c:pt>
                <c:pt idx="11">
                  <c:v>132.24181046903357</c:v>
                </c:pt>
                <c:pt idx="12">
                  <c:v>138.60514642372954</c:v>
                </c:pt>
                <c:pt idx="13">
                  <c:v>145.21928449808203</c:v>
                </c:pt>
                <c:pt idx="14">
                  <c:v>152.09324630670613</c:v>
                </c:pt>
                <c:pt idx="15">
                  <c:v>159.236361551431</c:v>
                </c:pt>
                <c:pt idx="16">
                  <c:v>166.6582781998857</c:v>
                </c:pt>
                <c:pt idx="17">
                  <c:v>174.36897299284183</c:v>
                </c:pt>
                <c:pt idx="18">
                  <c:v>182.37876229076065</c:v>
                </c:pt>
                <c:pt idx="19">
                  <c:v>190.69831327032034</c:v>
                </c:pt>
                <c:pt idx="20">
                  <c:v>199.33865548203775</c:v>
                </c:pt>
                <c:pt idx="21">
                  <c:v>208.31119278044687</c:v>
                </c:pt>
                <c:pt idx="22">
                  <c:v>217.62771563865698</c:v>
                </c:pt>
                <c:pt idx="23">
                  <c:v>227.30041385948329</c:v>
                </c:pt>
                <c:pt idx="24">
                  <c:v>237.34188969572605</c:v>
                </c:pt>
                <c:pt idx="25">
                  <c:v>247.76517139256759</c:v>
                </c:pt>
                <c:pt idx="26">
                  <c:v>258.58372716546364</c:v>
                </c:pt>
                <c:pt idx="27">
                  <c:v>269.8114796273245</c:v>
                </c:pt>
                <c:pt idx="28">
                  <c:v>281.46282067921368</c:v>
                </c:pt>
              </c:numCache>
            </c:numRef>
          </c:yVal>
          <c:smooth val="1"/>
        </c:ser>
        <c:ser>
          <c:idx val="3"/>
          <c:order val="3"/>
          <c:tx>
            <c:strRef>
              <c:f>'Price Charts'!$E$34</c:f>
              <c:strCache>
                <c:ptCount val="1"/>
                <c:pt idx="0">
                  <c:v>Base - 1.5%/y</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Charts'!$E$35:$E$63</c:f>
              <c:numCache>
                <c:formatCode>0.00</c:formatCode>
                <c:ptCount val="29"/>
                <c:pt idx="0">
                  <c:v>104</c:v>
                </c:pt>
                <c:pt idx="1">
                  <c:v>102.44</c:v>
                </c:pt>
                <c:pt idx="2">
                  <c:v>94.903399999999991</c:v>
                </c:pt>
                <c:pt idx="3">
                  <c:v>89.479848999999987</c:v>
                </c:pt>
                <c:pt idx="4">
                  <c:v>87.137651264999988</c:v>
                </c:pt>
                <c:pt idx="5">
                  <c:v>83.830586496024992</c:v>
                </c:pt>
                <c:pt idx="6">
                  <c:v>81.573127698584614</c:v>
                </c:pt>
                <c:pt idx="7">
                  <c:v>80.349530783105848</c:v>
                </c:pt>
                <c:pt idx="8">
                  <c:v>78.144287821359256</c:v>
                </c:pt>
                <c:pt idx="9">
                  <c:v>79.197123504038856</c:v>
                </c:pt>
                <c:pt idx="10">
                  <c:v>80.289791651478254</c:v>
                </c:pt>
                <c:pt idx="11">
                  <c:v>81.423085401706075</c:v>
                </c:pt>
                <c:pt idx="12">
                  <c:v>82.597820761305471</c:v>
                </c:pt>
                <c:pt idx="13">
                  <c:v>83.814837131526502</c:v>
                </c:pt>
                <c:pt idx="14">
                  <c:v>85.074997848235228</c:v>
                </c:pt>
                <c:pt idx="15">
                  <c:v>86.379190736035369</c:v>
                </c:pt>
                <c:pt idx="16">
                  <c:v>87.7283286769066</c:v>
                </c:pt>
                <c:pt idx="17">
                  <c:v>89.123350193712554</c:v>
                </c:pt>
                <c:pt idx="18">
                  <c:v>90.565220048940404</c:v>
                </c:pt>
                <c:pt idx="19">
                  <c:v>92.054929859043185</c:v>
                </c:pt>
                <c:pt idx="20">
                  <c:v>93.59349872476534</c:v>
                </c:pt>
                <c:pt idx="21">
                  <c:v>95.181973877841855</c:v>
                </c:pt>
                <c:pt idx="22">
                  <c:v>96.821431344470938</c:v>
                </c:pt>
                <c:pt idx="23">
                  <c:v>98.512976625970481</c:v>
                </c:pt>
                <c:pt idx="24">
                  <c:v>100.25774539703919</c:v>
                </c:pt>
                <c:pt idx="25">
                  <c:v>102.05690422205335</c:v>
                </c:pt>
                <c:pt idx="26">
                  <c:v>103.91165128984153</c:v>
                </c:pt>
                <c:pt idx="27">
                  <c:v>105.82321716739088</c:v>
                </c:pt>
                <c:pt idx="28">
                  <c:v>107.7928655729494</c:v>
                </c:pt>
              </c:numCache>
            </c:numRef>
          </c:yVal>
          <c:smooth val="1"/>
        </c:ser>
        <c:ser>
          <c:idx val="4"/>
          <c:order val="4"/>
          <c:tx>
            <c:strRef>
              <c:f>'Price Charts'!$F$34</c:f>
              <c:strCache>
                <c:ptCount val="1"/>
                <c:pt idx="0">
                  <c:v>Flat Real</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Charts'!$F$35:$F$63</c:f>
              <c:numCache>
                <c:formatCode>0.00</c:formatCode>
                <c:ptCount val="29"/>
                <c:pt idx="0">
                  <c:v>104</c:v>
                </c:pt>
                <c:pt idx="1">
                  <c:v>106.6</c:v>
                </c:pt>
                <c:pt idx="2">
                  <c:v>109.26499999999999</c:v>
                </c:pt>
                <c:pt idx="3">
                  <c:v>111.99662499999998</c:v>
                </c:pt>
                <c:pt idx="4">
                  <c:v>114.79654062499996</c:v>
                </c:pt>
                <c:pt idx="5">
                  <c:v>117.66645414062495</c:v>
                </c:pt>
                <c:pt idx="6">
                  <c:v>120.60811549414056</c:v>
                </c:pt>
                <c:pt idx="7">
                  <c:v>123.62331838149407</c:v>
                </c:pt>
                <c:pt idx="8">
                  <c:v>126.71390134103142</c:v>
                </c:pt>
                <c:pt idx="9">
                  <c:v>129.88174887455719</c:v>
                </c:pt>
                <c:pt idx="10">
                  <c:v>133.12879259642111</c:v>
                </c:pt>
                <c:pt idx="11">
                  <c:v>136.45701241133162</c:v>
                </c:pt>
                <c:pt idx="12">
                  <c:v>139.8684377216149</c:v>
                </c:pt>
                <c:pt idx="13">
                  <c:v>143.36514866465527</c:v>
                </c:pt>
                <c:pt idx="14">
                  <c:v>146.94927738127163</c:v>
                </c:pt>
                <c:pt idx="15">
                  <c:v>150.62300931580342</c:v>
                </c:pt>
                <c:pt idx="16">
                  <c:v>154.38858454869847</c:v>
                </c:pt>
                <c:pt idx="17">
                  <c:v>158.24829916241592</c:v>
                </c:pt>
                <c:pt idx="18">
                  <c:v>162.20450664147631</c:v>
                </c:pt>
                <c:pt idx="19">
                  <c:v>166.25961930751322</c:v>
                </c:pt>
                <c:pt idx="20">
                  <c:v>170.41610979020103</c:v>
                </c:pt>
                <c:pt idx="21">
                  <c:v>174.67651253495603</c:v>
                </c:pt>
                <c:pt idx="22">
                  <c:v>179.04342534832992</c:v>
                </c:pt>
                <c:pt idx="23">
                  <c:v>183.51951098203816</c:v>
                </c:pt>
                <c:pt idx="24">
                  <c:v>188.10749875658908</c:v>
                </c:pt>
                <c:pt idx="25">
                  <c:v>192.8101862255038</c:v>
                </c:pt>
                <c:pt idx="26">
                  <c:v>197.63044088114137</c:v>
                </c:pt>
                <c:pt idx="27">
                  <c:v>202.57120190316988</c:v>
                </c:pt>
                <c:pt idx="28">
                  <c:v>207.6354819507491</c:v>
                </c:pt>
              </c:numCache>
            </c:numRef>
          </c:yVal>
          <c:smooth val="1"/>
        </c:ser>
        <c:dLbls>
          <c:showLegendKey val="0"/>
          <c:showVal val="0"/>
          <c:showCatName val="0"/>
          <c:showSerName val="0"/>
          <c:showPercent val="0"/>
          <c:showBubbleSize val="0"/>
        </c:dLbls>
        <c:axId val="149435904"/>
        <c:axId val="149437440"/>
      </c:scatterChart>
      <c:valAx>
        <c:axId val="1494359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437440"/>
        <c:crosses val="autoZero"/>
        <c:crossBetween val="midCat"/>
      </c:valAx>
      <c:valAx>
        <c:axId val="149437440"/>
        <c:scaling>
          <c:orientation val="minMax"/>
        </c:scaling>
        <c:delete val="0"/>
        <c:axPos val="l"/>
        <c:majorGridlines/>
        <c:numFmt formatCode="0" sourceLinked="0"/>
        <c:majorTickMark val="out"/>
        <c:minorTickMark val="none"/>
        <c:tickLblPos val="nextTo"/>
        <c:crossAx val="149435904"/>
        <c:crosses val="autoZero"/>
        <c:crossBetween val="midCat"/>
      </c:valAx>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20.emf"/><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image" Target="../media/image19.jpeg"/><Relationship Id="rId5" Type="http://schemas.openxmlformats.org/officeDocument/2006/relationships/image" Target="../media/image18.jpe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27</xdr:col>
      <xdr:colOff>0</xdr:colOff>
      <xdr:row>4</xdr:row>
      <xdr:rowOff>47625</xdr:rowOff>
    </xdr:to>
    <xdr:pic>
      <xdr:nvPicPr>
        <xdr:cNvPr id="3047716" name="_ctl0_topbanner" descr="Department of Energy - Consum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168497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190500</xdr:colOff>
      <xdr:row>3</xdr:row>
      <xdr:rowOff>171450</xdr:rowOff>
    </xdr:from>
    <xdr:to>
      <xdr:col>14</xdr:col>
      <xdr:colOff>438150</xdr:colOff>
      <xdr:row>20</xdr:row>
      <xdr:rowOff>57150</xdr:rowOff>
    </xdr:to>
    <xdr:pic>
      <xdr:nvPicPr>
        <xdr:cNvPr id="3047717" name="Picture 1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0" y="990600"/>
          <a:ext cx="4676775"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57150</xdr:rowOff>
    </xdr:from>
    <xdr:to>
      <xdr:col>7</xdr:col>
      <xdr:colOff>238125</xdr:colOff>
      <xdr:row>40</xdr:row>
      <xdr:rowOff>104775</xdr:rowOff>
    </xdr:to>
    <xdr:pic>
      <xdr:nvPicPr>
        <xdr:cNvPr id="3047718"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4381500"/>
          <a:ext cx="4105275" cy="400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66675</xdr:colOff>
      <xdr:row>20</xdr:row>
      <xdr:rowOff>66675</xdr:rowOff>
    </xdr:from>
    <xdr:to>
      <xdr:col>27</xdr:col>
      <xdr:colOff>19050</xdr:colOff>
      <xdr:row>40</xdr:row>
      <xdr:rowOff>123825</xdr:rowOff>
    </xdr:to>
    <xdr:pic>
      <xdr:nvPicPr>
        <xdr:cNvPr id="3047719"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35050" y="4391025"/>
          <a:ext cx="3743325"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180975</xdr:rowOff>
    </xdr:from>
    <xdr:to>
      <xdr:col>7</xdr:col>
      <xdr:colOff>219075</xdr:colOff>
      <xdr:row>20</xdr:row>
      <xdr:rowOff>57150</xdr:rowOff>
    </xdr:to>
    <xdr:pic>
      <xdr:nvPicPr>
        <xdr:cNvPr id="3047720"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000125"/>
          <a:ext cx="4086225"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3</xdr:row>
      <xdr:rowOff>171450</xdr:rowOff>
    </xdr:from>
    <xdr:to>
      <xdr:col>26</xdr:col>
      <xdr:colOff>733425</xdr:colOff>
      <xdr:row>20</xdr:row>
      <xdr:rowOff>76200</xdr:rowOff>
    </xdr:to>
    <xdr:pic>
      <xdr:nvPicPr>
        <xdr:cNvPr id="3047721" name="Picture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706475" y="990600"/>
          <a:ext cx="3743325"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30</xdr:row>
      <xdr:rowOff>0</xdr:rowOff>
    </xdr:from>
    <xdr:to>
      <xdr:col>6</xdr:col>
      <xdr:colOff>304800</xdr:colOff>
      <xdr:row>31</xdr:row>
      <xdr:rowOff>114300</xdr:rowOff>
    </xdr:to>
    <xdr:sp macro="" textlink="">
      <xdr:nvSpPr>
        <xdr:cNvPr id="3047722" name="AutoShape 4" descr="Goliat FPSO "/>
        <xdr:cNvSpPr>
          <a:spLocks noChangeAspect="1" noChangeArrowheads="1"/>
        </xdr:cNvSpPr>
      </xdr:nvSpPr>
      <xdr:spPr bwMode="auto">
        <a:xfrm>
          <a:off x="3867150" y="637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238705</xdr:colOff>
      <xdr:row>18</xdr:row>
      <xdr:rowOff>13802</xdr:rowOff>
    </xdr:from>
    <xdr:ext cx="2095958" cy="264560"/>
    <xdr:sp macro="" textlink="">
      <xdr:nvSpPr>
        <xdr:cNvPr id="11" name="TextBox 10"/>
        <xdr:cNvSpPr txBox="1"/>
      </xdr:nvSpPr>
      <xdr:spPr>
        <a:xfrm>
          <a:off x="1471352" y="4047920"/>
          <a:ext cx="2095958"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SOEP</a:t>
          </a:r>
          <a:r>
            <a:rPr lang="en-GB" sz="1100" baseline="0"/>
            <a:t>  Venture Production Centre</a:t>
          </a:r>
          <a:endParaRPr lang="en-GB" sz="1100"/>
        </a:p>
      </xdr:txBody>
    </xdr:sp>
    <xdr:clientData/>
  </xdr:oneCellAnchor>
  <xdr:oneCellAnchor>
    <xdr:from>
      <xdr:col>2</xdr:col>
      <xdr:colOff>476636</xdr:colOff>
      <xdr:row>35</xdr:row>
      <xdr:rowOff>149488</xdr:rowOff>
    </xdr:from>
    <xdr:ext cx="2023374" cy="264560"/>
    <xdr:sp macro="" textlink="">
      <xdr:nvSpPr>
        <xdr:cNvPr id="13" name="TextBox 12"/>
        <xdr:cNvSpPr txBox="1"/>
      </xdr:nvSpPr>
      <xdr:spPr>
        <a:xfrm>
          <a:off x="1709283" y="7657429"/>
          <a:ext cx="2023374"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Deep Panuke</a:t>
          </a:r>
          <a:r>
            <a:rPr lang="en-GB" sz="1100" baseline="0"/>
            <a:t> Production Centre</a:t>
          </a:r>
          <a:endParaRPr lang="en-GB" sz="1100"/>
        </a:p>
      </xdr:txBody>
    </xdr:sp>
    <xdr:clientData/>
  </xdr:oneCellAnchor>
  <xdr:twoCellAnchor editAs="oneCell">
    <xdr:from>
      <xdr:col>7</xdr:col>
      <xdr:colOff>219075</xdr:colOff>
      <xdr:row>20</xdr:row>
      <xdr:rowOff>57150</xdr:rowOff>
    </xdr:from>
    <xdr:to>
      <xdr:col>14</xdr:col>
      <xdr:colOff>504825</xdr:colOff>
      <xdr:row>40</xdr:row>
      <xdr:rowOff>161925</xdr:rowOff>
    </xdr:to>
    <xdr:pic>
      <xdr:nvPicPr>
        <xdr:cNvPr id="3047725" name="Pictur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95825" y="4381500"/>
          <a:ext cx="471487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476269</xdr:colOff>
      <xdr:row>18</xdr:row>
      <xdr:rowOff>18144</xdr:rowOff>
    </xdr:from>
    <xdr:to>
      <xdr:col>11</xdr:col>
      <xdr:colOff>597221</xdr:colOff>
      <xdr:row>19</xdr:row>
      <xdr:rowOff>92227</xdr:rowOff>
    </xdr:to>
    <xdr:sp macro="" textlink="">
      <xdr:nvSpPr>
        <xdr:cNvPr id="17" name="TextBox 16"/>
        <xdr:cNvSpPr txBox="1"/>
      </xdr:nvSpPr>
      <xdr:spPr>
        <a:xfrm>
          <a:off x="6191269" y="4358823"/>
          <a:ext cx="1345595" cy="26458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Goldboro Gas Plant</a:t>
          </a:r>
        </a:p>
      </xdr:txBody>
    </xdr:sp>
    <xdr:clientData/>
  </xdr:twoCellAnchor>
  <xdr:twoCellAnchor editAs="oneCell">
    <xdr:from>
      <xdr:col>14</xdr:col>
      <xdr:colOff>447675</xdr:colOff>
      <xdr:row>20</xdr:row>
      <xdr:rowOff>57150</xdr:rowOff>
    </xdr:from>
    <xdr:to>
      <xdr:col>21</xdr:col>
      <xdr:colOff>66675</xdr:colOff>
      <xdr:row>40</xdr:row>
      <xdr:rowOff>152400</xdr:rowOff>
    </xdr:to>
    <xdr:pic>
      <xdr:nvPicPr>
        <xdr:cNvPr id="3047727"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53550" y="4381500"/>
          <a:ext cx="4381500" cy="4048125"/>
        </a:xfrm>
        <a:prstGeom prst="rect">
          <a:avLst/>
        </a:prstGeom>
        <a:solidFill>
          <a:srgbClr val="B9CDE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538915</xdr:colOff>
      <xdr:row>35</xdr:row>
      <xdr:rowOff>162926</xdr:rowOff>
    </xdr:from>
    <xdr:to>
      <xdr:col>14</xdr:col>
      <xdr:colOff>250658</xdr:colOff>
      <xdr:row>37</xdr:row>
      <xdr:rowOff>25065</xdr:rowOff>
    </xdr:to>
    <xdr:sp macro="" textlink="">
      <xdr:nvSpPr>
        <xdr:cNvPr id="19" name="TextBox 18"/>
        <xdr:cNvSpPr txBox="1"/>
      </xdr:nvSpPr>
      <xdr:spPr>
        <a:xfrm>
          <a:off x="4424112" y="7231479"/>
          <a:ext cx="417345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Deepwater Oil</a:t>
          </a:r>
          <a:r>
            <a:rPr lang="en-GB" sz="1100"/>
            <a:t> Floating</a:t>
          </a:r>
          <a:r>
            <a:rPr lang="en-GB" sz="1100" baseline="0"/>
            <a:t> Production Storage and Offloading (FPSO) </a:t>
          </a:r>
          <a:endParaRPr lang="en-GB" sz="1100"/>
        </a:p>
      </xdr:txBody>
    </xdr:sp>
    <xdr:clientData/>
  </xdr:twoCellAnchor>
  <xdr:twoCellAnchor editAs="oneCell">
    <xdr:from>
      <xdr:col>32</xdr:col>
      <xdr:colOff>571500</xdr:colOff>
      <xdr:row>0</xdr:row>
      <xdr:rowOff>95250</xdr:rowOff>
    </xdr:from>
    <xdr:to>
      <xdr:col>37</xdr:col>
      <xdr:colOff>581025</xdr:colOff>
      <xdr:row>3</xdr:row>
      <xdr:rowOff>171450</xdr:rowOff>
    </xdr:to>
    <xdr:pic>
      <xdr:nvPicPr>
        <xdr:cNvPr id="3047729" name="Picture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078825" y="95250"/>
          <a:ext cx="469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375993</xdr:colOff>
      <xdr:row>18</xdr:row>
      <xdr:rowOff>100262</xdr:rowOff>
    </xdr:from>
    <xdr:ext cx="2502736" cy="238126"/>
    <xdr:sp macro="" textlink="">
      <xdr:nvSpPr>
        <xdr:cNvPr id="22" name="TextBox 21"/>
        <xdr:cNvSpPr txBox="1"/>
      </xdr:nvSpPr>
      <xdr:spPr>
        <a:xfrm>
          <a:off x="10439907" y="3972926"/>
          <a:ext cx="2502736" cy="238126"/>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SPAR Deepwater Gas Production System</a:t>
          </a:r>
        </a:p>
      </xdr:txBody>
    </xdr:sp>
    <xdr:clientData/>
  </xdr:oneCellAnchor>
  <xdr:oneCellAnchor>
    <xdr:from>
      <xdr:col>21</xdr:col>
      <xdr:colOff>408214</xdr:colOff>
      <xdr:row>18</xdr:row>
      <xdr:rowOff>87731</xdr:rowOff>
    </xdr:from>
    <xdr:ext cx="3211111" cy="238841"/>
    <xdr:sp macro="" textlink="">
      <xdr:nvSpPr>
        <xdr:cNvPr id="23" name="TextBox 22"/>
        <xdr:cNvSpPr txBox="1"/>
      </xdr:nvSpPr>
      <xdr:spPr>
        <a:xfrm>
          <a:off x="14124214" y="4686945"/>
          <a:ext cx="3211111" cy="238841"/>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Semi-Submersible Deepwater</a:t>
          </a:r>
          <a:r>
            <a:rPr lang="en-GB" sz="1100" baseline="0"/>
            <a:t> Gas Production System</a:t>
          </a:r>
          <a:endParaRPr lang="en-GB" sz="1100"/>
        </a:p>
      </xdr:txBody>
    </xdr:sp>
    <xdr:clientData/>
  </xdr:oneCellAnchor>
  <xdr:oneCellAnchor>
    <xdr:from>
      <xdr:col>15</xdr:col>
      <xdr:colOff>854759</xdr:colOff>
      <xdr:row>36</xdr:row>
      <xdr:rowOff>1414</xdr:rowOff>
    </xdr:from>
    <xdr:ext cx="1878912" cy="264560"/>
    <xdr:sp macro="" textlink="">
      <xdr:nvSpPr>
        <xdr:cNvPr id="24" name="TextBox 23"/>
        <xdr:cNvSpPr txBox="1"/>
      </xdr:nvSpPr>
      <xdr:spPr>
        <a:xfrm>
          <a:off x="10561855" y="7705458"/>
          <a:ext cx="1878912"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 Gas Subsea  to Infrastructure</a:t>
          </a:r>
        </a:p>
      </xdr:txBody>
    </xdr:sp>
    <xdr:clientData/>
  </xdr:oneCellAnchor>
  <xdr:oneCellAnchor>
    <xdr:from>
      <xdr:col>22</xdr:col>
      <xdr:colOff>462327</xdr:colOff>
      <xdr:row>35</xdr:row>
      <xdr:rowOff>122317</xdr:rowOff>
    </xdr:from>
    <xdr:ext cx="1964127" cy="264560"/>
    <xdr:sp macro="" textlink="">
      <xdr:nvSpPr>
        <xdr:cNvPr id="25" name="TextBox 24"/>
        <xdr:cNvSpPr txBox="1"/>
      </xdr:nvSpPr>
      <xdr:spPr>
        <a:xfrm>
          <a:off x="14861886" y="7630258"/>
          <a:ext cx="1964127"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Deepwater Oil Cylindrical</a:t>
          </a:r>
          <a:r>
            <a:rPr lang="en-GB" sz="1100" baseline="0"/>
            <a:t> FPSO</a:t>
          </a:r>
          <a:endParaRPr lang="en-GB" sz="1100"/>
        </a:p>
      </xdr:txBody>
    </xdr:sp>
    <xdr:clientData/>
  </xdr:oneCellAnchor>
  <xdr:twoCellAnchor editAs="oneCell">
    <xdr:from>
      <xdr:col>23</xdr:col>
      <xdr:colOff>314325</xdr:colOff>
      <xdr:row>20</xdr:row>
      <xdr:rowOff>123825</xdr:rowOff>
    </xdr:from>
    <xdr:to>
      <xdr:col>26</xdr:col>
      <xdr:colOff>714375</xdr:colOff>
      <xdr:row>23</xdr:row>
      <xdr:rowOff>95250</xdr:rowOff>
    </xdr:to>
    <xdr:pic>
      <xdr:nvPicPr>
        <xdr:cNvPr id="3047734" name="Picture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201900" y="4448175"/>
          <a:ext cx="22288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367968</xdr:colOff>
      <xdr:row>4</xdr:row>
      <xdr:rowOff>43422</xdr:rowOff>
    </xdr:from>
    <xdr:to>
      <xdr:col>12</xdr:col>
      <xdr:colOff>420130</xdr:colOff>
      <xdr:row>6</xdr:row>
      <xdr:rowOff>162479</xdr:rowOff>
    </xdr:to>
    <xdr:sp macro="" textlink="">
      <xdr:nvSpPr>
        <xdr:cNvPr id="6" name="TextBox 5"/>
        <xdr:cNvSpPr txBox="1"/>
      </xdr:nvSpPr>
      <xdr:spPr>
        <a:xfrm>
          <a:off x="980289" y="1444958"/>
          <a:ext cx="6991805" cy="500057"/>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1"/>
            <a:t>Oil and Gas Exploration Economics Model</a:t>
          </a:r>
        </a:p>
      </xdr:txBody>
    </xdr:sp>
    <xdr:clientData/>
  </xdr:twoCellAnchor>
  <xdr:twoCellAnchor>
    <xdr:from>
      <xdr:col>15</xdr:col>
      <xdr:colOff>476249</xdr:colOff>
      <xdr:row>18</xdr:row>
      <xdr:rowOff>40822</xdr:rowOff>
    </xdr:from>
    <xdr:to>
      <xdr:col>19</xdr:col>
      <xdr:colOff>340177</xdr:colOff>
      <xdr:row>19</xdr:row>
      <xdr:rowOff>136073</xdr:rowOff>
    </xdr:to>
    <xdr:sp macro="" textlink="">
      <xdr:nvSpPr>
        <xdr:cNvPr id="2" name="TextBox 1"/>
        <xdr:cNvSpPr txBox="1"/>
      </xdr:nvSpPr>
      <xdr:spPr>
        <a:xfrm>
          <a:off x="10137320" y="4381501"/>
          <a:ext cx="2694214" cy="285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SPAR Deepwater Gas Production System</a:t>
          </a:r>
        </a:p>
      </xdr:txBody>
    </xdr:sp>
    <xdr:clientData/>
  </xdr:twoCellAnchor>
  <xdr:twoCellAnchor editAs="oneCell">
    <xdr:from>
      <xdr:col>14</xdr:col>
      <xdr:colOff>419100</xdr:colOff>
      <xdr:row>3</xdr:row>
      <xdr:rowOff>152400</xdr:rowOff>
    </xdr:from>
    <xdr:to>
      <xdr:col>21</xdr:col>
      <xdr:colOff>57150</xdr:colOff>
      <xdr:row>20</xdr:row>
      <xdr:rowOff>95250</xdr:rowOff>
    </xdr:to>
    <xdr:pic>
      <xdr:nvPicPr>
        <xdr:cNvPr id="3047737" name="Picture 2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324975" y="971550"/>
          <a:ext cx="440055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303438</xdr:colOff>
      <xdr:row>18</xdr:row>
      <xdr:rowOff>13606</xdr:rowOff>
    </xdr:from>
    <xdr:ext cx="2801921" cy="264560"/>
    <xdr:sp macro="" textlink="">
      <xdr:nvSpPr>
        <xdr:cNvPr id="3" name="TextBox 2"/>
        <xdr:cNvSpPr txBox="1"/>
      </xdr:nvSpPr>
      <xdr:spPr>
        <a:xfrm>
          <a:off x="10010534" y="4047724"/>
          <a:ext cx="2801921"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Shallow Water Minimal</a:t>
          </a:r>
          <a:r>
            <a:rPr lang="en-GB" sz="1100" baseline="0"/>
            <a:t> Process Gas Platform</a:t>
          </a:r>
          <a:r>
            <a:rPr lang="en-GB" sz="1100"/>
            <a:t> </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480756</xdr:colOff>
      <xdr:row>52</xdr:row>
      <xdr:rowOff>148149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282356" cy="10054149"/>
        </a:xfrm>
        <a:prstGeom prst="rect">
          <a:avLst/>
        </a:prstGeom>
      </xdr:spPr>
    </xdr:pic>
    <xdr:clientData/>
  </xdr:twoCellAnchor>
  <xdr:twoCellAnchor>
    <xdr:from>
      <xdr:col>0</xdr:col>
      <xdr:colOff>0</xdr:colOff>
      <xdr:row>17</xdr:row>
      <xdr:rowOff>184150</xdr:rowOff>
    </xdr:from>
    <xdr:to>
      <xdr:col>5</xdr:col>
      <xdr:colOff>304799</xdr:colOff>
      <xdr:row>20</xdr:row>
      <xdr:rowOff>182564</xdr:rowOff>
    </xdr:to>
    <xdr:sp macro="" textlink="">
      <xdr:nvSpPr>
        <xdr:cNvPr id="3" name="TextBox 2"/>
        <xdr:cNvSpPr txBox="1"/>
      </xdr:nvSpPr>
      <xdr:spPr>
        <a:xfrm>
          <a:off x="0" y="3422650"/>
          <a:ext cx="3360737" cy="569914"/>
        </a:xfrm>
        <a:prstGeom prst="rect">
          <a:avLst/>
        </a:prstGeom>
        <a:solidFill>
          <a:schemeClr val="tx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00"/>
            <a:t>Zoom and Scroll to Explore Map</a:t>
          </a:r>
          <a:r>
            <a:rPr lang="en-GB" sz="850"/>
            <a:t>.  It</a:t>
          </a:r>
          <a:r>
            <a:rPr lang="en-GB" sz="850" baseline="0"/>
            <a:t> is recommended that Users Minimize the Ribbon (right click in menu area) and Hide the Formula Bar (deselect View Formula Bar) to Maximise Viewing </a:t>
          </a:r>
          <a:r>
            <a:rPr lang="en-GB" sz="1000" baseline="0"/>
            <a:t>Area</a:t>
          </a:r>
          <a:endParaRPr lang="en-GB" sz="10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32</xdr:row>
      <xdr:rowOff>47625</xdr:rowOff>
    </xdr:from>
    <xdr:to>
      <xdr:col>5</xdr:col>
      <xdr:colOff>9525</xdr:colOff>
      <xdr:row>36</xdr:row>
      <xdr:rowOff>38100</xdr:rowOff>
    </xdr:to>
    <xdr:pic>
      <xdr:nvPicPr>
        <xdr:cNvPr id="408861" name="_ctl0_topbanner" descr="Department of Energy - Consum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4820900"/>
          <a:ext cx="10325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828675</xdr:colOff>
      <xdr:row>36</xdr:row>
      <xdr:rowOff>104775</xdr:rowOff>
    </xdr:from>
    <xdr:to>
      <xdr:col>3</xdr:col>
      <xdr:colOff>6096000</xdr:colOff>
      <xdr:row>38</xdr:row>
      <xdr:rowOff>85725</xdr:rowOff>
    </xdr:to>
    <xdr:pic>
      <xdr:nvPicPr>
        <xdr:cNvPr id="408862"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1275" y="15640050"/>
          <a:ext cx="5267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350308</xdr:colOff>
      <xdr:row>7</xdr:row>
      <xdr:rowOff>76200</xdr:rowOff>
    </xdr:from>
    <xdr:to>
      <xdr:col>11</xdr:col>
      <xdr:colOff>531283</xdr:colOff>
      <xdr:row>13</xdr:row>
      <xdr:rowOff>247650</xdr:rowOff>
    </xdr:to>
    <xdr:pic>
      <xdr:nvPicPr>
        <xdr:cNvPr id="1135584" name="Picture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6558" y="1409700"/>
          <a:ext cx="3250142" cy="231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52</xdr:row>
      <xdr:rowOff>86783</xdr:rowOff>
    </xdr:from>
    <xdr:to>
      <xdr:col>12</xdr:col>
      <xdr:colOff>314325</xdr:colOff>
      <xdr:row>63</xdr:row>
      <xdr:rowOff>96308</xdr:rowOff>
    </xdr:to>
    <xdr:pic>
      <xdr:nvPicPr>
        <xdr:cNvPr id="1135585" name="Picture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10108" y="14353116"/>
          <a:ext cx="3183467"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438150</xdr:colOff>
      <xdr:row>27</xdr:row>
      <xdr:rowOff>47625</xdr:rowOff>
    </xdr:from>
    <xdr:to>
      <xdr:col>12</xdr:col>
      <xdr:colOff>161925</xdr:colOff>
      <xdr:row>33</xdr:row>
      <xdr:rowOff>971550</xdr:rowOff>
    </xdr:to>
    <xdr:pic>
      <xdr:nvPicPr>
        <xdr:cNvPr id="1135586"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63200" y="7953375"/>
          <a:ext cx="155257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33</xdr:row>
      <xdr:rowOff>1076325</xdr:rowOff>
    </xdr:from>
    <xdr:to>
      <xdr:col>11</xdr:col>
      <xdr:colOff>228600</xdr:colOff>
      <xdr:row>36</xdr:row>
      <xdr:rowOff>161925</xdr:rowOff>
    </xdr:to>
    <xdr:pic>
      <xdr:nvPicPr>
        <xdr:cNvPr id="1135587" name="Picture 1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05875" y="10125075"/>
          <a:ext cx="2466975" cy="1428750"/>
        </a:xfrm>
        <a:prstGeom prst="rect">
          <a:avLst/>
        </a:prstGeom>
        <a:solidFill>
          <a:srgbClr val="B9CDE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188383</xdr:colOff>
      <xdr:row>39</xdr:row>
      <xdr:rowOff>30692</xdr:rowOff>
    </xdr:from>
    <xdr:to>
      <xdr:col>11</xdr:col>
      <xdr:colOff>478366</xdr:colOff>
      <xdr:row>50</xdr:row>
      <xdr:rowOff>97367</xdr:rowOff>
    </xdr:to>
    <xdr:pic>
      <xdr:nvPicPr>
        <xdr:cNvPr id="1135588"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98466" y="11936942"/>
          <a:ext cx="2745317" cy="2045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61</xdr:row>
      <xdr:rowOff>95250</xdr:rowOff>
    </xdr:from>
    <xdr:to>
      <xdr:col>4</xdr:col>
      <xdr:colOff>409575</xdr:colOff>
      <xdr:row>75</xdr:row>
      <xdr:rowOff>95250</xdr:rowOff>
    </xdr:to>
    <xdr:pic>
      <xdr:nvPicPr>
        <xdr:cNvPr id="1135589"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52800" y="16078200"/>
          <a:ext cx="347662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337609</xdr:colOff>
      <xdr:row>48</xdr:row>
      <xdr:rowOff>134407</xdr:rowOff>
    </xdr:from>
    <xdr:to>
      <xdr:col>11</xdr:col>
      <xdr:colOff>171450</xdr:colOff>
      <xdr:row>49</xdr:row>
      <xdr:rowOff>162982</xdr:rowOff>
    </xdr:to>
    <xdr:sp macro="" textlink="">
      <xdr:nvSpPr>
        <xdr:cNvPr id="10" name="TextBox 9"/>
        <xdr:cNvSpPr txBox="1"/>
      </xdr:nvSpPr>
      <xdr:spPr>
        <a:xfrm>
          <a:off x="9047692" y="13638740"/>
          <a:ext cx="2289175" cy="2190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Huntingdon</a:t>
          </a:r>
          <a:r>
            <a:rPr lang="en-GB" sz="1100" baseline="0"/>
            <a:t> Field FPSO UK North Sea</a:t>
          </a:r>
          <a:endParaRPr lang="en-GB" sz="1100"/>
        </a:p>
      </xdr:txBody>
    </xdr:sp>
    <xdr:clientData/>
  </xdr:twoCellAnchor>
  <xdr:oneCellAnchor>
    <xdr:from>
      <xdr:col>8</xdr:col>
      <xdr:colOff>200025</xdr:colOff>
      <xdr:row>61</xdr:row>
      <xdr:rowOff>123825</xdr:rowOff>
    </xdr:from>
    <xdr:ext cx="2020297" cy="264560"/>
    <xdr:sp macro="" textlink="">
      <xdr:nvSpPr>
        <xdr:cNvPr id="11" name="TextBox 10"/>
        <xdr:cNvSpPr txBox="1"/>
      </xdr:nvSpPr>
      <xdr:spPr>
        <a:xfrm>
          <a:off x="9523942" y="16104658"/>
          <a:ext cx="2020297"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Skarv Field FPSO Norwegian Sea</a:t>
          </a:r>
        </a:p>
      </xdr:txBody>
    </xdr:sp>
    <xdr:clientData/>
  </xdr:oneCellAnchor>
  <xdr:twoCellAnchor>
    <xdr:from>
      <xdr:col>3</xdr:col>
      <xdr:colOff>345015</xdr:colOff>
      <xdr:row>72</xdr:row>
      <xdr:rowOff>57151</xdr:rowOff>
    </xdr:from>
    <xdr:to>
      <xdr:col>4</xdr:col>
      <xdr:colOff>325965</xdr:colOff>
      <xdr:row>74</xdr:row>
      <xdr:rowOff>161927</xdr:rowOff>
    </xdr:to>
    <xdr:sp macro="" textlink="">
      <xdr:nvSpPr>
        <xdr:cNvPr id="12" name="TextBox 11"/>
        <xdr:cNvSpPr txBox="1"/>
      </xdr:nvSpPr>
      <xdr:spPr>
        <a:xfrm>
          <a:off x="3435348" y="18133484"/>
          <a:ext cx="3304117" cy="48577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Chinook</a:t>
          </a:r>
          <a:r>
            <a:rPr lang="en-GB" sz="1100" baseline="0"/>
            <a:t> / Cascade FPSO development 2400 metres Gulf of Mexico</a:t>
          </a:r>
          <a:endParaRPr lang="en-GB" sz="1100"/>
        </a:p>
      </xdr:txBody>
    </xdr:sp>
    <xdr:clientData/>
  </xdr:twoCellAnchor>
  <xdr:oneCellAnchor>
    <xdr:from>
      <xdr:col>10</xdr:col>
      <xdr:colOff>342901</xdr:colOff>
      <xdr:row>33</xdr:row>
      <xdr:rowOff>371475</xdr:rowOff>
    </xdr:from>
    <xdr:ext cx="2080683" cy="485775"/>
    <xdr:sp macro="" textlink="">
      <xdr:nvSpPr>
        <xdr:cNvPr id="13" name="TextBox 12"/>
        <xdr:cNvSpPr txBox="1"/>
      </xdr:nvSpPr>
      <xdr:spPr>
        <a:xfrm>
          <a:off x="10894484" y="9430808"/>
          <a:ext cx="2080683" cy="485775"/>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solidFill>
                <a:schemeClr val="tx1"/>
              </a:solidFill>
              <a:effectLst/>
              <a:latin typeface="+mn-lt"/>
              <a:ea typeface="+mn-ea"/>
              <a:cs typeface="+mn-cs"/>
            </a:rPr>
            <a:t>Aasta Hansteen </a:t>
          </a:r>
          <a:r>
            <a:rPr lang="en-GB" sz="1100"/>
            <a:t>Field SPAR 1400 </a:t>
          </a:r>
        </a:p>
        <a:p>
          <a:r>
            <a:rPr lang="en-GB" sz="1100"/>
            <a:t>metres Norwegian Sea</a:t>
          </a:r>
        </a:p>
      </xdr:txBody>
    </xdr:sp>
    <xdr:clientData/>
  </xdr:oneCellAnchor>
  <xdr:oneCellAnchor>
    <xdr:from>
      <xdr:col>8</xdr:col>
      <xdr:colOff>295275</xdr:colOff>
      <xdr:row>36</xdr:row>
      <xdr:rowOff>4233</xdr:rowOff>
    </xdr:from>
    <xdr:ext cx="2623795" cy="264560"/>
    <xdr:sp macro="" textlink="">
      <xdr:nvSpPr>
        <xdr:cNvPr id="14" name="TextBox 13"/>
        <xdr:cNvSpPr txBox="1"/>
      </xdr:nvSpPr>
      <xdr:spPr>
        <a:xfrm>
          <a:off x="9619192" y="11402483"/>
          <a:ext cx="2623795"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Ormen Lange 140 km to shore Barents</a:t>
          </a:r>
          <a:r>
            <a:rPr lang="en-GB" sz="1100" baseline="0"/>
            <a:t> Sea</a:t>
          </a:r>
          <a:endParaRPr lang="en-GB" sz="1100"/>
        </a:p>
      </xdr:txBody>
    </xdr:sp>
    <xdr:clientData/>
  </xdr:oneCellAnchor>
  <xdr:twoCellAnchor editAs="oneCell">
    <xdr:from>
      <xdr:col>6</xdr:col>
      <xdr:colOff>9525</xdr:colOff>
      <xdr:row>27</xdr:row>
      <xdr:rowOff>85725</xdr:rowOff>
    </xdr:from>
    <xdr:to>
      <xdr:col>9</xdr:col>
      <xdr:colOff>314325</xdr:colOff>
      <xdr:row>33</xdr:row>
      <xdr:rowOff>962025</xdr:rowOff>
    </xdr:to>
    <xdr:pic>
      <xdr:nvPicPr>
        <xdr:cNvPr id="1135595" name="Picture 14"/>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105775" y="7991475"/>
          <a:ext cx="21336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222250</xdr:colOff>
      <xdr:row>33</xdr:row>
      <xdr:rowOff>677334</xdr:rowOff>
    </xdr:from>
    <xdr:ext cx="1874937" cy="264560"/>
    <xdr:sp macro="" textlink="">
      <xdr:nvSpPr>
        <xdr:cNvPr id="2" name="TextBox 1"/>
        <xdr:cNvSpPr txBox="1"/>
      </xdr:nvSpPr>
      <xdr:spPr>
        <a:xfrm>
          <a:off x="8318500" y="9736667"/>
          <a:ext cx="1874937" cy="264560"/>
        </a:xfrm>
        <a:prstGeom prst="rect">
          <a:avLst/>
        </a:prstGeom>
        <a:solidFill>
          <a:schemeClr val="tx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Deep-draft Semi-Submersible</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8</xdr:col>
      <xdr:colOff>295275</xdr:colOff>
      <xdr:row>8</xdr:row>
      <xdr:rowOff>209550</xdr:rowOff>
    </xdr:from>
    <xdr:to>
      <xdr:col>19</xdr:col>
      <xdr:colOff>381000</xdr:colOff>
      <xdr:row>32</xdr:row>
      <xdr:rowOff>85725</xdr:rowOff>
    </xdr:to>
    <xdr:graphicFrame macro="">
      <xdr:nvGraphicFramePr>
        <xdr:cNvPr id="210992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99207</xdr:colOff>
      <xdr:row>3</xdr:row>
      <xdr:rowOff>41236</xdr:rowOff>
    </xdr:from>
    <xdr:to>
      <xdr:col>5</xdr:col>
      <xdr:colOff>561975</xdr:colOff>
      <xdr:row>4</xdr:row>
      <xdr:rowOff>152039</xdr:rowOff>
    </xdr:to>
    <xdr:sp macro="" textlink="">
      <xdr:nvSpPr>
        <xdr:cNvPr id="3" name="Striped Right Arrow 2"/>
        <xdr:cNvSpPr/>
      </xdr:nvSpPr>
      <xdr:spPr>
        <a:xfrm>
          <a:off x="5328432" y="774661"/>
          <a:ext cx="462768" cy="310828"/>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xdr:from>
      <xdr:col>8</xdr:col>
      <xdr:colOff>91042</xdr:colOff>
      <xdr:row>3</xdr:row>
      <xdr:rowOff>37577</xdr:rowOff>
    </xdr:from>
    <xdr:to>
      <xdr:col>8</xdr:col>
      <xdr:colOff>552450</xdr:colOff>
      <xdr:row>4</xdr:row>
      <xdr:rowOff>166741</xdr:rowOff>
    </xdr:to>
    <xdr:sp macro="" textlink="">
      <xdr:nvSpPr>
        <xdr:cNvPr id="4" name="Striped Right Arrow 3"/>
        <xdr:cNvSpPr/>
      </xdr:nvSpPr>
      <xdr:spPr>
        <a:xfrm>
          <a:off x="7387192" y="771002"/>
          <a:ext cx="461408" cy="329189"/>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xdr:from>
      <xdr:col>11</xdr:col>
      <xdr:colOff>98761</xdr:colOff>
      <xdr:row>3</xdr:row>
      <xdr:rowOff>16745</xdr:rowOff>
    </xdr:from>
    <xdr:to>
      <xdr:col>11</xdr:col>
      <xdr:colOff>523875</xdr:colOff>
      <xdr:row>4</xdr:row>
      <xdr:rowOff>166740</xdr:rowOff>
    </xdr:to>
    <xdr:sp macro="" textlink="">
      <xdr:nvSpPr>
        <xdr:cNvPr id="5" name="Striped Right Arrow 4"/>
        <xdr:cNvSpPr/>
      </xdr:nvSpPr>
      <xdr:spPr>
        <a:xfrm>
          <a:off x="9223711" y="750170"/>
          <a:ext cx="425114" cy="350020"/>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xdr:from>
      <xdr:col>14</xdr:col>
      <xdr:colOff>106406</xdr:colOff>
      <xdr:row>3</xdr:row>
      <xdr:rowOff>16746</xdr:rowOff>
    </xdr:from>
    <xdr:to>
      <xdr:col>14</xdr:col>
      <xdr:colOff>552450</xdr:colOff>
      <xdr:row>4</xdr:row>
      <xdr:rowOff>166741</xdr:rowOff>
    </xdr:to>
    <xdr:sp macro="" textlink="">
      <xdr:nvSpPr>
        <xdr:cNvPr id="6" name="Striped Right Arrow 5"/>
        <xdr:cNvSpPr/>
      </xdr:nvSpPr>
      <xdr:spPr>
        <a:xfrm>
          <a:off x="11060156" y="750171"/>
          <a:ext cx="446044" cy="350020"/>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19050</xdr:colOff>
      <xdr:row>22</xdr:row>
      <xdr:rowOff>83344</xdr:rowOff>
    </xdr:from>
    <xdr:to>
      <xdr:col>11</xdr:col>
      <xdr:colOff>666750</xdr:colOff>
      <xdr:row>33</xdr:row>
      <xdr:rowOff>64294</xdr:rowOff>
    </xdr:to>
    <xdr:graphicFrame macro="">
      <xdr:nvGraphicFramePr>
        <xdr:cNvPr id="1257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371475</xdr:colOff>
      <xdr:row>0</xdr:row>
      <xdr:rowOff>142875</xdr:rowOff>
    </xdr:from>
    <xdr:to>
      <xdr:col>20</xdr:col>
      <xdr:colOff>171450</xdr:colOff>
      <xdr:row>17</xdr:row>
      <xdr:rowOff>123825</xdr:rowOff>
    </xdr:to>
    <xdr:graphicFrame macro="">
      <xdr:nvGraphicFramePr>
        <xdr:cNvPr id="28417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171450</xdr:colOff>
      <xdr:row>0</xdr:row>
      <xdr:rowOff>161925</xdr:rowOff>
    </xdr:from>
    <xdr:to>
      <xdr:col>11</xdr:col>
      <xdr:colOff>333375</xdr:colOff>
      <xdr:row>17</xdr:row>
      <xdr:rowOff>123825</xdr:rowOff>
    </xdr:to>
    <xdr:graphicFrame macro="">
      <xdr:nvGraphicFramePr>
        <xdr:cNvPr id="28417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142875</xdr:colOff>
      <xdr:row>17</xdr:row>
      <xdr:rowOff>123825</xdr:rowOff>
    </xdr:from>
    <xdr:to>
      <xdr:col>11</xdr:col>
      <xdr:colOff>304800</xdr:colOff>
      <xdr:row>34</xdr:row>
      <xdr:rowOff>57150</xdr:rowOff>
    </xdr:to>
    <xdr:graphicFrame macro="">
      <xdr:nvGraphicFramePr>
        <xdr:cNvPr id="284172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438150</xdr:colOff>
      <xdr:row>17</xdr:row>
      <xdr:rowOff>190500</xdr:rowOff>
    </xdr:from>
    <xdr:to>
      <xdr:col>20</xdr:col>
      <xdr:colOff>123825</xdr:colOff>
      <xdr:row>34</xdr:row>
      <xdr:rowOff>95250</xdr:rowOff>
    </xdr:to>
    <xdr:graphicFrame macro="">
      <xdr:nvGraphicFramePr>
        <xdr:cNvPr id="28417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514350</xdr:colOff>
      <xdr:row>0</xdr:row>
      <xdr:rowOff>123825</xdr:rowOff>
    </xdr:from>
    <xdr:to>
      <xdr:col>15</xdr:col>
      <xdr:colOff>47625</xdr:colOff>
      <xdr:row>16</xdr:row>
      <xdr:rowOff>28575</xdr:rowOff>
    </xdr:to>
    <xdr:graphicFrame macro="">
      <xdr:nvGraphicFramePr>
        <xdr:cNvPr id="97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571500</xdr:colOff>
      <xdr:row>20</xdr:row>
      <xdr:rowOff>142875</xdr:rowOff>
    </xdr:from>
    <xdr:to>
      <xdr:col>15</xdr:col>
      <xdr:colOff>19050</xdr:colOff>
      <xdr:row>32</xdr:row>
      <xdr:rowOff>9525</xdr:rowOff>
    </xdr:to>
    <xdr:graphicFrame macro="">
      <xdr:nvGraphicFramePr>
        <xdr:cNvPr id="97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466725</xdr:colOff>
      <xdr:row>15</xdr:row>
      <xdr:rowOff>0</xdr:rowOff>
    </xdr:from>
    <xdr:to>
      <xdr:col>9</xdr:col>
      <xdr:colOff>152400</xdr:colOff>
      <xdr:row>26</xdr:row>
      <xdr:rowOff>142875</xdr:rowOff>
    </xdr:to>
    <xdr:graphicFrame macro="">
      <xdr:nvGraphicFramePr>
        <xdr:cNvPr id="6950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0</xdr:row>
      <xdr:rowOff>19050</xdr:rowOff>
    </xdr:from>
    <xdr:to>
      <xdr:col>9</xdr:col>
      <xdr:colOff>180975</xdr:colOff>
      <xdr:row>15</xdr:row>
      <xdr:rowOff>38100</xdr:rowOff>
    </xdr:to>
    <xdr:graphicFrame macro="">
      <xdr:nvGraphicFramePr>
        <xdr:cNvPr id="69508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323850</xdr:colOff>
      <xdr:row>15</xdr:row>
      <xdr:rowOff>19050</xdr:rowOff>
    </xdr:from>
    <xdr:to>
      <xdr:col>17</xdr:col>
      <xdr:colOff>19050</xdr:colOff>
      <xdr:row>26</xdr:row>
      <xdr:rowOff>142875</xdr:rowOff>
    </xdr:to>
    <xdr:graphicFrame macro="">
      <xdr:nvGraphicFramePr>
        <xdr:cNvPr id="69508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295275</xdr:colOff>
      <xdr:row>0</xdr:row>
      <xdr:rowOff>57150</xdr:rowOff>
    </xdr:from>
    <xdr:to>
      <xdr:col>16</xdr:col>
      <xdr:colOff>142875</xdr:colOff>
      <xdr:row>15</xdr:row>
      <xdr:rowOff>0</xdr:rowOff>
    </xdr:to>
    <xdr:graphicFrame macro="">
      <xdr:nvGraphicFramePr>
        <xdr:cNvPr id="69508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indeva.com/"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AP80"/>
  <sheetViews>
    <sheetView showGridLines="0" showRowColHeaders="0" tabSelected="1" zoomScale="68" zoomScaleNormal="68" zoomScaleSheetLayoutView="76" workbookViewId="0"/>
  </sheetViews>
  <sheetFormatPr defaultRowHeight="14.4" x14ac:dyDescent="0.3"/>
  <cols>
    <col min="3" max="3" width="12.33203125" customWidth="1"/>
    <col min="14" max="14" width="11.5546875" customWidth="1"/>
    <col min="15" max="15" width="10.88671875" customWidth="1"/>
    <col min="16" max="16" width="14.88671875" customWidth="1"/>
    <col min="27" max="27" width="11.109375" customWidth="1"/>
    <col min="34" max="34" width="15" customWidth="1"/>
    <col min="36" max="36" width="27.88671875" customWidth="1"/>
  </cols>
  <sheetData>
    <row r="1" spans="1:42" ht="26.25" x14ac:dyDescent="0.4">
      <c r="A1" s="464"/>
      <c r="B1" s="464"/>
      <c r="C1" s="464"/>
      <c r="D1" s="464"/>
      <c r="E1" s="464"/>
      <c r="F1" s="464"/>
      <c r="G1" s="464"/>
      <c r="H1" s="464"/>
      <c r="I1" s="464"/>
      <c r="J1" s="464"/>
      <c r="K1" s="464"/>
      <c r="L1" s="464"/>
      <c r="M1" s="464"/>
      <c r="N1" s="464"/>
      <c r="O1" s="464"/>
      <c r="P1" s="464"/>
      <c r="Q1" s="464"/>
      <c r="R1" s="464"/>
      <c r="S1" s="464"/>
      <c r="T1" s="464"/>
      <c r="U1" s="464"/>
      <c r="V1" s="464"/>
      <c r="W1" s="464"/>
      <c r="X1" s="464"/>
      <c r="Y1" s="464"/>
      <c r="Z1" s="465"/>
      <c r="AA1" s="466"/>
      <c r="AB1" s="464"/>
      <c r="AC1" s="464"/>
      <c r="AD1" s="464"/>
      <c r="AE1" s="464"/>
      <c r="AF1" s="464"/>
      <c r="AG1" s="464"/>
      <c r="AH1" s="464"/>
      <c r="AI1" s="464"/>
      <c r="AJ1" s="464"/>
      <c r="AK1" s="464"/>
      <c r="AL1" s="464"/>
      <c r="AM1" s="464"/>
      <c r="AN1" s="464"/>
      <c r="AO1" s="464"/>
      <c r="AP1" s="464"/>
    </row>
    <row r="2" spans="1:42" ht="23.25" x14ac:dyDescent="0.35">
      <c r="A2" s="464"/>
      <c r="B2" s="464"/>
      <c r="C2" s="464"/>
      <c r="D2" s="464"/>
      <c r="E2" s="464"/>
      <c r="F2" s="464"/>
      <c r="G2" s="464"/>
      <c r="H2" s="464"/>
      <c r="I2" s="464"/>
      <c r="J2" s="464"/>
      <c r="K2" s="464"/>
      <c r="L2" s="464"/>
      <c r="M2" s="464"/>
      <c r="N2" s="464"/>
      <c r="O2" s="464"/>
      <c r="P2" s="464"/>
      <c r="Q2" s="464"/>
      <c r="R2" s="464"/>
      <c r="S2" s="464"/>
      <c r="T2" s="464"/>
      <c r="U2" s="464"/>
      <c r="V2" s="464"/>
      <c r="W2" s="464"/>
      <c r="X2" s="464"/>
      <c r="Y2" s="466"/>
      <c r="Z2" s="466"/>
      <c r="AA2" s="466"/>
      <c r="AB2" s="464"/>
      <c r="AC2" s="464"/>
      <c r="AD2" s="464"/>
      <c r="AE2" s="464"/>
      <c r="AF2" s="464"/>
      <c r="AG2" s="464"/>
      <c r="AH2" s="464"/>
      <c r="AI2" s="464"/>
      <c r="AJ2" s="464"/>
      <c r="AK2" s="464"/>
      <c r="AL2" s="464"/>
      <c r="AM2" s="464"/>
      <c r="AN2" s="464"/>
      <c r="AO2" s="464"/>
      <c r="AP2" s="464"/>
    </row>
    <row r="3" spans="1:42" ht="15" x14ac:dyDescent="0.25">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row>
    <row r="4" spans="1:42" ht="15" x14ac:dyDescent="0.25">
      <c r="A4" s="464"/>
      <c r="B4" s="464"/>
      <c r="C4" s="464"/>
      <c r="D4" s="464"/>
      <c r="E4" s="464"/>
      <c r="F4" s="464"/>
      <c r="G4" s="464"/>
      <c r="H4" s="464"/>
      <c r="I4" s="464"/>
      <c r="J4" s="464"/>
      <c r="K4" s="464"/>
      <c r="L4" s="464"/>
      <c r="M4" s="464"/>
      <c r="N4" s="464"/>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row>
    <row r="5" spans="1:42" ht="15" x14ac:dyDescent="0.25">
      <c r="A5" s="464"/>
      <c r="B5" s="464"/>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4"/>
      <c r="AO5" s="464"/>
      <c r="AP5" s="464"/>
    </row>
    <row r="6" spans="1:42" ht="15" x14ac:dyDescent="0.25">
      <c r="A6" s="464"/>
      <c r="B6" s="464"/>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c r="AJ6" s="464"/>
      <c r="AK6" s="464"/>
      <c r="AL6" s="464"/>
      <c r="AM6" s="464"/>
      <c r="AN6" s="464"/>
      <c r="AO6" s="464"/>
      <c r="AP6" s="464"/>
    </row>
    <row r="7" spans="1:42" ht="36" x14ac:dyDescent="0.55000000000000004">
      <c r="A7" s="464"/>
      <c r="B7" s="464"/>
      <c r="C7" s="467"/>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464"/>
      <c r="AF7" s="464"/>
      <c r="AG7" s="464"/>
      <c r="AH7" s="468" t="s">
        <v>419</v>
      </c>
      <c r="AI7" s="468" t="s">
        <v>459</v>
      </c>
      <c r="AJ7" s="469" t="s">
        <v>674</v>
      </c>
      <c r="AK7" s="470"/>
      <c r="AL7" s="471"/>
      <c r="AM7" s="464"/>
      <c r="AN7" s="464"/>
      <c r="AO7" s="464"/>
      <c r="AP7" s="464"/>
    </row>
    <row r="8" spans="1:42" ht="15" x14ac:dyDescent="0.25">
      <c r="A8" s="464"/>
      <c r="B8" s="464"/>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72">
        <v>39372</v>
      </c>
      <c r="AI8" s="473">
        <v>1</v>
      </c>
      <c r="AJ8" s="474" t="s">
        <v>675</v>
      </c>
      <c r="AK8" s="475"/>
      <c r="AL8" s="476"/>
      <c r="AM8" s="464"/>
      <c r="AN8" s="464"/>
      <c r="AO8" s="464"/>
      <c r="AP8" s="464"/>
    </row>
    <row r="9" spans="1:42" ht="15" x14ac:dyDescent="0.25">
      <c r="A9" s="464"/>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4"/>
      <c r="AF9" s="464"/>
      <c r="AG9" s="464"/>
      <c r="AH9" s="472">
        <v>39607</v>
      </c>
      <c r="AI9" s="477">
        <v>1.01</v>
      </c>
      <c r="AJ9" s="474" t="s">
        <v>857</v>
      </c>
      <c r="AK9" s="475"/>
      <c r="AL9" s="476"/>
      <c r="AM9" s="464"/>
      <c r="AN9" s="464"/>
      <c r="AO9" s="464"/>
      <c r="AP9" s="464"/>
    </row>
    <row r="10" spans="1:42" ht="15" x14ac:dyDescent="0.25">
      <c r="A10" s="464"/>
      <c r="B10" s="464"/>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464"/>
      <c r="AH10" s="472">
        <v>39810</v>
      </c>
      <c r="AI10" s="477">
        <v>2</v>
      </c>
      <c r="AJ10" s="474" t="s">
        <v>752</v>
      </c>
      <c r="AK10" s="475"/>
      <c r="AL10" s="476"/>
      <c r="AM10" s="464"/>
      <c r="AN10" s="464"/>
      <c r="AO10" s="464"/>
      <c r="AP10" s="464"/>
    </row>
    <row r="11" spans="1:42" ht="15" x14ac:dyDescent="0.25">
      <c r="A11" s="464"/>
      <c r="B11" s="464"/>
      <c r="C11" s="464"/>
      <c r="D11" s="464"/>
      <c r="E11" s="464"/>
      <c r="F11" s="464"/>
      <c r="G11" s="464"/>
      <c r="H11" s="464"/>
      <c r="I11" s="464"/>
      <c r="J11" s="464"/>
      <c r="K11" s="464"/>
      <c r="L11" s="464"/>
      <c r="M11" s="464"/>
      <c r="N11" s="464"/>
      <c r="O11" s="464"/>
      <c r="P11" s="464"/>
      <c r="Q11" s="464"/>
      <c r="R11" s="464"/>
      <c r="S11" s="464"/>
      <c r="T11" s="464"/>
      <c r="U11" s="464"/>
      <c r="V11" s="464"/>
      <c r="W11" s="464"/>
      <c r="X11" s="464"/>
      <c r="Y11" s="464"/>
      <c r="Z11" s="464"/>
      <c r="AA11" s="464"/>
      <c r="AB11" s="464"/>
      <c r="AC11" s="464"/>
      <c r="AD11" s="464"/>
      <c r="AE11" s="464"/>
      <c r="AF11" s="464"/>
      <c r="AG11" s="464"/>
      <c r="AH11" s="472">
        <v>39839</v>
      </c>
      <c r="AI11" s="477">
        <v>2.0099999999999998</v>
      </c>
      <c r="AJ11" s="474" t="s">
        <v>756</v>
      </c>
      <c r="AK11" s="475"/>
      <c r="AL11" s="476"/>
      <c r="AM11" s="464"/>
      <c r="AN11" s="464"/>
      <c r="AO11" s="464"/>
      <c r="AP11" s="464"/>
    </row>
    <row r="12" spans="1:42" ht="15" x14ac:dyDescent="0.25">
      <c r="A12" s="464"/>
      <c r="B12" s="464"/>
      <c r="C12" s="464"/>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72">
        <v>39841</v>
      </c>
      <c r="AI12" s="477">
        <v>2.02</v>
      </c>
      <c r="AJ12" s="474" t="s">
        <v>757</v>
      </c>
      <c r="AK12" s="475"/>
      <c r="AL12" s="476"/>
      <c r="AM12" s="464"/>
      <c r="AN12" s="464"/>
      <c r="AO12" s="464"/>
      <c r="AP12" s="464"/>
    </row>
    <row r="13" spans="1:42" ht="15" x14ac:dyDescent="0.25">
      <c r="A13" s="464"/>
      <c r="B13" s="464"/>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72">
        <v>41011</v>
      </c>
      <c r="AI13" s="477">
        <v>2.99</v>
      </c>
      <c r="AJ13" s="474" t="s">
        <v>1071</v>
      </c>
      <c r="AK13" s="475"/>
      <c r="AL13" s="476"/>
      <c r="AM13" s="464"/>
      <c r="AN13" s="464"/>
      <c r="AO13" s="464"/>
      <c r="AP13" s="464"/>
    </row>
    <row r="14" spans="1:42" ht="15" x14ac:dyDescent="0.25">
      <c r="A14" s="464"/>
      <c r="B14" s="464"/>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72">
        <v>41073</v>
      </c>
      <c r="AI14" s="473">
        <v>3</v>
      </c>
      <c r="AJ14" s="474" t="s">
        <v>1072</v>
      </c>
      <c r="AK14" s="475"/>
      <c r="AL14" s="476"/>
      <c r="AM14" s="464"/>
      <c r="AN14" s="464"/>
      <c r="AO14" s="464"/>
      <c r="AP14" s="464"/>
    </row>
    <row r="15" spans="1:42" ht="15" x14ac:dyDescent="0.25">
      <c r="A15" s="464"/>
      <c r="B15" s="464"/>
      <c r="C15" s="464"/>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c r="AE15" s="464"/>
      <c r="AF15" s="464"/>
      <c r="AG15" s="464"/>
      <c r="AH15" s="472">
        <v>41079</v>
      </c>
      <c r="AI15" s="473">
        <v>3.01</v>
      </c>
      <c r="AJ15" s="474" t="s">
        <v>1089</v>
      </c>
      <c r="AK15" s="475"/>
      <c r="AL15" s="476"/>
      <c r="AM15" s="464"/>
      <c r="AN15" s="464"/>
      <c r="AO15" s="464"/>
      <c r="AP15" s="464"/>
    </row>
    <row r="16" spans="1:42" ht="15" x14ac:dyDescent="0.25">
      <c r="A16" s="464"/>
      <c r="B16" s="464"/>
      <c r="C16" s="464"/>
      <c r="D16" s="464"/>
      <c r="E16" s="464"/>
      <c r="F16" s="464"/>
      <c r="G16" s="464"/>
      <c r="H16" s="464"/>
      <c r="I16" s="464"/>
      <c r="J16" s="464"/>
      <c r="K16" s="464"/>
      <c r="L16" s="464"/>
      <c r="M16" s="464"/>
      <c r="N16" s="464"/>
      <c r="O16" s="464"/>
      <c r="P16" s="464"/>
      <c r="Q16" s="464"/>
      <c r="R16" s="464"/>
      <c r="S16" s="464"/>
      <c r="T16" s="464"/>
      <c r="U16" s="464"/>
      <c r="V16" s="464"/>
      <c r="W16" s="464"/>
      <c r="X16" s="464"/>
      <c r="Y16" s="464"/>
      <c r="Z16" s="464"/>
      <c r="AA16" s="464"/>
      <c r="AB16" s="464"/>
      <c r="AC16" s="464"/>
      <c r="AD16" s="464"/>
      <c r="AE16" s="464"/>
      <c r="AF16" s="464"/>
      <c r="AG16" s="464"/>
      <c r="AH16" s="504">
        <v>41155</v>
      </c>
      <c r="AI16" s="480">
        <v>3.02</v>
      </c>
      <c r="AJ16" s="481" t="s">
        <v>1090</v>
      </c>
      <c r="AK16" s="482"/>
      <c r="AL16" s="476"/>
      <c r="AM16" s="464"/>
      <c r="AN16" s="464"/>
      <c r="AO16" s="464"/>
      <c r="AP16" s="464"/>
    </row>
    <row r="17" spans="1:42" ht="15" x14ac:dyDescent="0.25">
      <c r="A17" s="464"/>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64"/>
      <c r="AH17" s="479"/>
      <c r="AI17" s="480"/>
      <c r="AJ17" s="481"/>
      <c r="AK17" s="482"/>
      <c r="AL17" s="476"/>
      <c r="AM17" s="464"/>
      <c r="AN17" s="464"/>
      <c r="AO17" s="464"/>
      <c r="AP17" s="464"/>
    </row>
    <row r="18" spans="1:42" ht="15" x14ac:dyDescent="0.25">
      <c r="A18" s="464"/>
      <c r="B18" s="464"/>
      <c r="C18" s="464"/>
      <c r="D18" s="464"/>
      <c r="E18" s="464"/>
      <c r="F18" s="464"/>
      <c r="G18" s="464"/>
      <c r="H18" s="464"/>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64"/>
      <c r="AH18" s="479"/>
      <c r="AI18" s="480"/>
      <c r="AJ18" s="481"/>
      <c r="AK18" s="482"/>
      <c r="AL18" s="476"/>
      <c r="AM18" s="464"/>
      <c r="AN18" s="464"/>
      <c r="AO18" s="464"/>
      <c r="AP18" s="464"/>
    </row>
    <row r="19" spans="1:42" ht="15" x14ac:dyDescent="0.25">
      <c r="A19" s="464"/>
      <c r="B19" s="464"/>
      <c r="C19" s="464"/>
      <c r="D19" s="464"/>
      <c r="E19" s="464"/>
      <c r="F19" s="464"/>
      <c r="G19" s="464"/>
      <c r="H19" s="464"/>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64"/>
      <c r="AH19" s="479"/>
      <c r="AI19" s="480"/>
      <c r="AJ19" s="481"/>
      <c r="AK19" s="482"/>
      <c r="AL19" s="476"/>
      <c r="AM19" s="464"/>
      <c r="AN19" s="464"/>
      <c r="AO19" s="464"/>
      <c r="AP19" s="464"/>
    </row>
    <row r="20" spans="1:42" ht="15" x14ac:dyDescent="0.25">
      <c r="A20" s="464"/>
      <c r="B20" s="464"/>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79"/>
      <c r="AI20" s="480"/>
      <c r="AJ20" s="481"/>
      <c r="AK20" s="482"/>
      <c r="AL20" s="476"/>
      <c r="AM20" s="464"/>
      <c r="AN20" s="464"/>
      <c r="AO20" s="464"/>
      <c r="AP20" s="464"/>
    </row>
    <row r="21" spans="1:42" ht="15" x14ac:dyDescent="0.25">
      <c r="A21" s="464"/>
      <c r="B21" s="464"/>
      <c r="C21" s="464"/>
      <c r="D21" s="464"/>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79"/>
      <c r="AI21" s="480"/>
      <c r="AJ21" s="481"/>
      <c r="AK21" s="482"/>
      <c r="AL21" s="476"/>
      <c r="AM21" s="464"/>
      <c r="AN21" s="464"/>
      <c r="AO21" s="464"/>
      <c r="AP21" s="464"/>
    </row>
    <row r="22" spans="1:42" ht="15" x14ac:dyDescent="0.25">
      <c r="A22" s="464"/>
      <c r="B22" s="464"/>
      <c r="C22" s="464"/>
      <c r="D22" s="464"/>
      <c r="E22" s="464"/>
      <c r="F22" s="464"/>
      <c r="G22" s="464"/>
      <c r="H22" s="464"/>
      <c r="I22" s="464"/>
      <c r="J22" s="464"/>
      <c r="K22" s="464"/>
      <c r="L22" s="464"/>
      <c r="M22" s="464"/>
      <c r="N22" s="464"/>
      <c r="O22" s="464"/>
      <c r="P22" s="464"/>
      <c r="Q22" s="464"/>
      <c r="R22" s="464"/>
      <c r="S22" s="464"/>
      <c r="T22" s="464"/>
      <c r="U22" s="464"/>
      <c r="V22" s="464"/>
      <c r="W22" s="464"/>
      <c r="X22" s="464"/>
      <c r="Y22" s="464"/>
      <c r="Z22" s="464"/>
      <c r="AA22" s="464"/>
      <c r="AB22" s="464"/>
      <c r="AC22" s="464"/>
      <c r="AD22" s="464"/>
      <c r="AE22" s="464"/>
      <c r="AF22" s="464"/>
      <c r="AG22" s="464"/>
      <c r="AH22" s="479"/>
      <c r="AI22" s="480"/>
      <c r="AJ22" s="481"/>
      <c r="AK22" s="482"/>
      <c r="AL22" s="476"/>
      <c r="AM22" s="464"/>
      <c r="AN22" s="464"/>
      <c r="AO22" s="464"/>
      <c r="AP22" s="464"/>
    </row>
    <row r="23" spans="1:42" ht="15" x14ac:dyDescent="0.25">
      <c r="A23" s="464"/>
      <c r="B23" s="464"/>
      <c r="C23" s="464"/>
      <c r="D23" s="464"/>
      <c r="E23" s="464"/>
      <c r="F23" s="464"/>
      <c r="G23" s="464"/>
      <c r="H23" s="464"/>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64"/>
      <c r="AH23" s="479"/>
      <c r="AI23" s="480"/>
      <c r="AJ23" s="481"/>
      <c r="AK23" s="482"/>
      <c r="AL23" s="476"/>
      <c r="AM23" s="464"/>
      <c r="AN23" s="464"/>
      <c r="AO23" s="464"/>
      <c r="AP23" s="464"/>
    </row>
    <row r="24" spans="1:42" ht="15" x14ac:dyDescent="0.25">
      <c r="A24" s="464"/>
      <c r="B24" s="464"/>
      <c r="C24" s="464"/>
      <c r="D24" s="464"/>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64"/>
      <c r="AH24" s="478"/>
      <c r="AI24" s="473"/>
      <c r="AJ24" s="474"/>
      <c r="AK24" s="475"/>
      <c r="AL24" s="476"/>
      <c r="AM24" s="464"/>
      <c r="AN24" s="464"/>
      <c r="AO24" s="464"/>
      <c r="AP24" s="464"/>
    </row>
    <row r="25" spans="1:42" ht="15" x14ac:dyDescent="0.25">
      <c r="A25" s="464"/>
      <c r="B25" s="464"/>
      <c r="C25" s="464"/>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64"/>
      <c r="AH25" s="464"/>
      <c r="AI25" s="464"/>
      <c r="AJ25" s="464"/>
      <c r="AK25" s="464"/>
      <c r="AL25" s="464"/>
      <c r="AM25" s="464"/>
      <c r="AN25" s="464"/>
      <c r="AO25" s="464"/>
      <c r="AP25" s="464"/>
    </row>
    <row r="26" spans="1:42" ht="26.25" x14ac:dyDescent="0.4">
      <c r="A26" s="464"/>
      <c r="B26" s="464"/>
      <c r="C26" s="464"/>
      <c r="D26" s="464"/>
      <c r="E26" s="464"/>
      <c r="F26" s="464"/>
      <c r="G26" s="464"/>
      <c r="H26" s="464"/>
      <c r="I26" s="464"/>
      <c r="J26" s="464"/>
      <c r="K26" s="464"/>
      <c r="L26" s="464"/>
      <c r="M26" s="464"/>
      <c r="N26" s="464"/>
      <c r="O26" s="464"/>
      <c r="P26" s="464"/>
      <c r="Q26" s="464"/>
      <c r="R26" s="464"/>
      <c r="S26" s="464"/>
      <c r="T26" s="464"/>
      <c r="U26" s="464"/>
      <c r="V26" s="464"/>
      <c r="W26" s="464"/>
      <c r="X26" s="464"/>
      <c r="Y26" s="464"/>
      <c r="Z26" s="464"/>
      <c r="AA26" s="464"/>
      <c r="AB26" s="464"/>
      <c r="AC26" s="464"/>
      <c r="AD26" s="464"/>
      <c r="AE26" s="464"/>
      <c r="AF26" s="464"/>
      <c r="AG26" s="464"/>
      <c r="AH26" s="465" t="str">
        <f>"Release "&amp;FIXED(MAX(AI8:AI24),2)</f>
        <v>Release 3.02</v>
      </c>
      <c r="AI26" s="464"/>
      <c r="AJ26" s="464"/>
      <c r="AK26" s="464"/>
      <c r="AL26" s="464"/>
      <c r="AM26" s="464"/>
      <c r="AN26" s="464"/>
      <c r="AO26" s="464"/>
      <c r="AP26" s="464"/>
    </row>
    <row r="27" spans="1:42" ht="15" x14ac:dyDescent="0.25">
      <c r="A27" s="464"/>
      <c r="B27" s="464"/>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64"/>
      <c r="AO27" s="464"/>
      <c r="AP27" s="464"/>
    </row>
    <row r="28" spans="1:42" ht="15" x14ac:dyDescent="0.25">
      <c r="A28" s="464"/>
      <c r="B28" s="464"/>
      <c r="C28" s="464"/>
      <c r="D28" s="464"/>
      <c r="E28" s="464"/>
      <c r="F28" s="464"/>
      <c r="G28" s="464"/>
      <c r="H28" s="464"/>
      <c r="I28" s="464"/>
      <c r="J28" s="464"/>
      <c r="K28" s="464"/>
      <c r="L28" s="464"/>
      <c r="M28" s="464"/>
      <c r="N28" s="464"/>
      <c r="O28" s="464"/>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row>
    <row r="29" spans="1:42" ht="15" x14ac:dyDescent="0.25">
      <c r="A29" s="464"/>
      <c r="B29" s="464"/>
      <c r="C29" s="464"/>
      <c r="D29" s="464"/>
      <c r="E29" s="464"/>
      <c r="F29" s="464"/>
      <c r="G29" s="464"/>
      <c r="H29" s="464"/>
      <c r="I29" s="464"/>
      <c r="J29" s="464"/>
      <c r="K29" s="464"/>
      <c r="L29" s="464"/>
      <c r="M29" s="464"/>
      <c r="N29" s="464"/>
      <c r="O29" s="464"/>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row>
    <row r="30" spans="1:42" ht="15" x14ac:dyDescent="0.25">
      <c r="A30" s="464"/>
      <c r="B30" s="464"/>
      <c r="C30" s="464"/>
      <c r="D30" s="464"/>
      <c r="E30" s="464"/>
      <c r="F30" s="464"/>
      <c r="G30" s="464"/>
      <c r="H30" s="464"/>
      <c r="I30" s="464"/>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row>
    <row r="31" spans="1:42" x14ac:dyDescent="0.3">
      <c r="A31" s="464"/>
      <c r="B31" s="464"/>
      <c r="C31" s="464"/>
      <c r="D31" s="464"/>
      <c r="E31" s="464"/>
      <c r="F31" s="464"/>
      <c r="G31" s="464"/>
      <c r="H31" s="464"/>
      <c r="I31" s="464"/>
      <c r="J31" s="464"/>
      <c r="K31" s="464"/>
      <c r="L31" s="464"/>
      <c r="M31" s="464"/>
      <c r="N31" s="464"/>
      <c r="O31" s="464"/>
      <c r="P31" s="464"/>
      <c r="Q31" s="464"/>
      <c r="R31" s="464"/>
      <c r="S31" s="464"/>
      <c r="T31" s="464"/>
      <c r="U31" s="464"/>
      <c r="V31" s="464"/>
      <c r="W31" s="464"/>
      <c r="X31" s="464"/>
      <c r="Y31" s="464"/>
      <c r="Z31" s="464"/>
      <c r="AA31" s="464"/>
      <c r="AB31" s="464"/>
      <c r="AC31" s="464"/>
      <c r="AD31" s="464"/>
      <c r="AE31" s="464"/>
      <c r="AF31" s="464"/>
      <c r="AG31" s="464"/>
      <c r="AH31" s="464"/>
      <c r="AI31" s="464"/>
      <c r="AJ31" s="464"/>
      <c r="AK31" s="464"/>
      <c r="AL31" s="464"/>
      <c r="AM31" s="464"/>
      <c r="AN31" s="464"/>
      <c r="AO31" s="464"/>
      <c r="AP31" s="464"/>
    </row>
    <row r="32" spans="1:42" x14ac:dyDescent="0.3">
      <c r="A32" s="464"/>
      <c r="B32" s="464"/>
      <c r="C32" s="464"/>
      <c r="D32" s="464"/>
      <c r="E32" s="464"/>
      <c r="F32" s="464"/>
      <c r="G32" s="464"/>
      <c r="H32" s="464"/>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row>
    <row r="33" spans="1:42" x14ac:dyDescent="0.3">
      <c r="A33" s="464"/>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row>
    <row r="34" spans="1:42" x14ac:dyDescent="0.3">
      <c r="A34" s="464"/>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row>
    <row r="35" spans="1:42" x14ac:dyDescent="0.3">
      <c r="A35" s="464"/>
      <c r="B35" s="464"/>
      <c r="C35" s="464"/>
      <c r="D35" s="464"/>
      <c r="E35" s="464"/>
      <c r="F35" s="464"/>
      <c r="G35" s="464"/>
      <c r="H35" s="464"/>
      <c r="I35" s="464"/>
      <c r="J35" s="464"/>
      <c r="K35" s="464"/>
      <c r="L35" s="464"/>
      <c r="M35" s="464"/>
      <c r="N35" s="464"/>
      <c r="O35" s="464"/>
      <c r="P35" s="464"/>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row>
    <row r="36" spans="1:42" x14ac:dyDescent="0.3">
      <c r="A36" s="464"/>
      <c r="B36" s="464"/>
      <c r="C36" s="464"/>
      <c r="D36" s="464"/>
      <c r="E36" s="464"/>
      <c r="F36" s="464"/>
      <c r="G36" s="464"/>
      <c r="H36" s="464"/>
      <c r="I36" s="464"/>
      <c r="J36" s="464"/>
      <c r="K36" s="464"/>
      <c r="L36" s="464"/>
      <c r="M36" s="464"/>
      <c r="N36" s="464"/>
      <c r="O36" s="464"/>
      <c r="P36" s="464"/>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row>
    <row r="37" spans="1:42" x14ac:dyDescent="0.3">
      <c r="A37" s="464"/>
      <c r="B37" s="464"/>
      <c r="C37" s="464"/>
      <c r="D37" s="464"/>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64"/>
      <c r="AO37" s="464"/>
      <c r="AP37" s="464"/>
    </row>
    <row r="38" spans="1:42" x14ac:dyDescent="0.3">
      <c r="A38" s="464"/>
      <c r="B38" s="464"/>
      <c r="C38" s="464"/>
      <c r="D38" s="464"/>
      <c r="E38" s="464"/>
      <c r="F38" s="464"/>
      <c r="G38" s="464"/>
      <c r="H38" s="464"/>
      <c r="I38" s="464"/>
      <c r="J38" s="464"/>
      <c r="K38" s="464"/>
      <c r="L38" s="464"/>
      <c r="M38" s="464"/>
      <c r="N38" s="464"/>
      <c r="O38" s="464"/>
      <c r="P38" s="464"/>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row>
    <row r="39" spans="1:42" x14ac:dyDescent="0.3">
      <c r="A39" s="464"/>
      <c r="B39" s="464"/>
      <c r="C39" s="464"/>
      <c r="D39" s="464"/>
      <c r="E39" s="464"/>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row>
    <row r="40" spans="1:42" x14ac:dyDescent="0.3">
      <c r="A40" s="464"/>
      <c r="B40" s="464"/>
      <c r="C40" s="464"/>
      <c r="D40" s="464"/>
      <c r="E40" s="464"/>
      <c r="F40" s="464"/>
      <c r="G40" s="464"/>
      <c r="H40" s="464"/>
      <c r="I40" s="464"/>
      <c r="J40" s="464"/>
      <c r="K40" s="464"/>
      <c r="L40" s="464"/>
      <c r="M40" s="464"/>
      <c r="N40" s="464"/>
      <c r="O40" s="464"/>
      <c r="P40" s="464"/>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row>
    <row r="41" spans="1:42" x14ac:dyDescent="0.3">
      <c r="A41" s="464"/>
      <c r="B41" s="464"/>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row>
    <row r="42" spans="1:42" x14ac:dyDescent="0.3">
      <c r="A42" s="464"/>
      <c r="B42" s="464"/>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row>
    <row r="43" spans="1:42" x14ac:dyDescent="0.3">
      <c r="A43" s="464"/>
      <c r="B43" s="464"/>
      <c r="C43" s="464"/>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row>
    <row r="44" spans="1:42" x14ac:dyDescent="0.3">
      <c r="A44" s="464"/>
      <c r="B44" s="464"/>
      <c r="C44" s="464"/>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64"/>
      <c r="AO44" s="464"/>
      <c r="AP44" s="464"/>
    </row>
    <row r="45" spans="1:42" x14ac:dyDescent="0.3">
      <c r="A45" s="464"/>
      <c r="B45" s="464"/>
      <c r="C45" s="464"/>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64"/>
      <c r="AO45" s="464"/>
      <c r="AP45" s="464"/>
    </row>
    <row r="46" spans="1:42" x14ac:dyDescent="0.3">
      <c r="A46" s="464"/>
      <c r="B46" s="464"/>
      <c r="C46" s="464"/>
      <c r="D46" s="464"/>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row>
    <row r="47" spans="1:42" x14ac:dyDescent="0.3">
      <c r="A47" s="464"/>
      <c r="B47" s="464"/>
      <c r="C47" s="464"/>
      <c r="D47" s="464"/>
      <c r="E47" s="464"/>
      <c r="F47" s="464"/>
      <c r="G47" s="464"/>
      <c r="H47" s="464"/>
      <c r="I47" s="464"/>
      <c r="J47" s="464"/>
      <c r="K47" s="464"/>
      <c r="L47" s="464"/>
      <c r="M47" s="464"/>
      <c r="N47" s="464"/>
      <c r="O47" s="464"/>
      <c r="P47" s="464"/>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row>
    <row r="48" spans="1:42" x14ac:dyDescent="0.3">
      <c r="A48" s="464"/>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row>
    <row r="49" spans="1:42" x14ac:dyDescent="0.3">
      <c r="A49" s="464"/>
      <c r="B49" s="464"/>
      <c r="C49" s="464"/>
      <c r="D49" s="464"/>
      <c r="E49" s="464"/>
      <c r="F49" s="464"/>
      <c r="G49" s="464"/>
      <c r="H49" s="464"/>
      <c r="I49" s="464"/>
      <c r="J49" s="464"/>
      <c r="K49" s="464"/>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row>
    <row r="50" spans="1:42" x14ac:dyDescent="0.3">
      <c r="A50" s="464"/>
      <c r="B50" s="464"/>
      <c r="C50" s="464"/>
      <c r="D50" s="464"/>
      <c r="E50" s="464"/>
      <c r="F50" s="464"/>
      <c r="G50" s="464"/>
      <c r="H50" s="464"/>
      <c r="I50" s="464"/>
      <c r="J50" s="464"/>
      <c r="K50" s="464"/>
      <c r="L50" s="464"/>
      <c r="M50" s="464"/>
      <c r="N50" s="464"/>
      <c r="O50" s="464"/>
      <c r="P50" s="464"/>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row>
    <row r="51" spans="1:42" x14ac:dyDescent="0.3">
      <c r="A51" s="464"/>
      <c r="B51" s="464"/>
      <c r="C51" s="464"/>
      <c r="D51" s="464"/>
      <c r="E51" s="464"/>
      <c r="F51" s="464"/>
      <c r="G51" s="464"/>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row>
    <row r="52" spans="1:42" x14ac:dyDescent="0.3">
      <c r="A52" s="464"/>
      <c r="B52" s="464"/>
      <c r="C52" s="464"/>
      <c r="D52" s="464"/>
      <c r="E52" s="464"/>
      <c r="F52" s="464"/>
      <c r="G52" s="464"/>
      <c r="H52" s="464"/>
      <c r="I52" s="464"/>
      <c r="J52" s="464"/>
      <c r="K52" s="464"/>
      <c r="L52" s="464"/>
      <c r="M52" s="464"/>
      <c r="N52" s="464"/>
      <c r="O52" s="464"/>
      <c r="P52" s="464"/>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row>
    <row r="53" spans="1:42" x14ac:dyDescent="0.3">
      <c r="A53" s="464"/>
      <c r="B53" s="464"/>
      <c r="C53" s="464"/>
      <c r="D53" s="464"/>
      <c r="E53" s="464"/>
      <c r="F53" s="464"/>
      <c r="G53" s="464"/>
      <c r="H53" s="464"/>
      <c r="I53" s="464"/>
      <c r="J53" s="464"/>
      <c r="K53" s="464"/>
      <c r="L53" s="464"/>
      <c r="M53" s="464"/>
      <c r="N53" s="464"/>
      <c r="O53" s="464"/>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row>
    <row r="54" spans="1:42" x14ac:dyDescent="0.3">
      <c r="A54" s="464"/>
      <c r="B54" s="464"/>
      <c r="C54" s="464"/>
      <c r="D54" s="464"/>
      <c r="E54" s="464"/>
      <c r="F54" s="464"/>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row>
    <row r="55" spans="1:42" x14ac:dyDescent="0.3">
      <c r="A55" s="464"/>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row>
    <row r="56" spans="1:42" x14ac:dyDescent="0.3">
      <c r="A56" s="464"/>
      <c r="B56" s="464"/>
      <c r="C56" s="464"/>
      <c r="D56" s="464"/>
      <c r="E56" s="464"/>
      <c r="F56" s="464"/>
      <c r="G56" s="464"/>
      <c r="H56" s="464"/>
      <c r="I56" s="464"/>
      <c r="J56" s="464"/>
      <c r="K56" s="464"/>
      <c r="L56" s="464"/>
      <c r="M56" s="464"/>
      <c r="N56" s="464"/>
      <c r="O56" s="464"/>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row>
    <row r="57" spans="1:42" x14ac:dyDescent="0.3">
      <c r="A57" s="464"/>
      <c r="B57" s="464"/>
      <c r="C57" s="464"/>
      <c r="D57" s="464"/>
      <c r="E57" s="464"/>
      <c r="F57" s="464"/>
      <c r="G57" s="464"/>
      <c r="H57" s="464"/>
      <c r="I57" s="464"/>
      <c r="J57" s="464"/>
      <c r="K57" s="464"/>
      <c r="L57" s="464"/>
      <c r="M57" s="464"/>
      <c r="N57" s="464"/>
      <c r="O57" s="464"/>
      <c r="P57" s="464"/>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row>
    <row r="58" spans="1:42" x14ac:dyDescent="0.3">
      <c r="A58" s="464"/>
      <c r="B58" s="464"/>
      <c r="C58" s="464"/>
      <c r="D58" s="464"/>
      <c r="E58" s="464"/>
      <c r="F58" s="464"/>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row>
    <row r="59" spans="1:42" x14ac:dyDescent="0.3">
      <c r="A59" s="464"/>
      <c r="B59" s="464"/>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row>
    <row r="60" spans="1:42" x14ac:dyDescent="0.3">
      <c r="A60" s="464"/>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row>
    <row r="61" spans="1:42" x14ac:dyDescent="0.3">
      <c r="A61" s="464"/>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row>
    <row r="62" spans="1:42" x14ac:dyDescent="0.3">
      <c r="A62" s="464"/>
      <c r="B62" s="464"/>
      <c r="C62" s="464"/>
      <c r="D62" s="464"/>
      <c r="E62" s="464"/>
      <c r="F62" s="464"/>
      <c r="G62" s="464"/>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row>
    <row r="63" spans="1:42" x14ac:dyDescent="0.3">
      <c r="A63" s="464"/>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row>
    <row r="64" spans="1:42" x14ac:dyDescent="0.3">
      <c r="A64" s="464"/>
      <c r="B64" s="464"/>
      <c r="C64" s="464"/>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row>
    <row r="65" spans="1:42" x14ac:dyDescent="0.3">
      <c r="A65" s="464"/>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row>
    <row r="66" spans="1:42" x14ac:dyDescent="0.3">
      <c r="A66" s="464"/>
      <c r="B66" s="464"/>
      <c r="C66" s="464"/>
      <c r="D66" s="464"/>
      <c r="E66" s="464"/>
      <c r="F66" s="464"/>
      <c r="G66" s="464"/>
      <c r="H66" s="464"/>
      <c r="I66" s="464"/>
      <c r="J66" s="464"/>
      <c r="K66" s="464"/>
      <c r="L66" s="464"/>
      <c r="M66" s="464"/>
      <c r="N66" s="464"/>
      <c r="O66" s="464"/>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row>
    <row r="67" spans="1:42" x14ac:dyDescent="0.3">
      <c r="A67" s="464"/>
      <c r="B67" s="464"/>
      <c r="C67" s="464"/>
      <c r="D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row>
    <row r="68" spans="1:42" x14ac:dyDescent="0.3">
      <c r="A68" s="464"/>
      <c r="B68" s="464"/>
      <c r="C68" s="464"/>
      <c r="D68" s="464"/>
      <c r="E68" s="464"/>
      <c r="F68" s="464"/>
      <c r="G68" s="464"/>
      <c r="H68" s="464"/>
      <c r="I68" s="464"/>
      <c r="J68" s="464"/>
      <c r="K68" s="464"/>
      <c r="L68" s="464"/>
      <c r="M68" s="464"/>
      <c r="N68" s="464"/>
      <c r="O68" s="464"/>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row>
    <row r="69" spans="1:42" x14ac:dyDescent="0.3">
      <c r="A69" s="464"/>
      <c r="B69" s="464"/>
      <c r="C69" s="464"/>
      <c r="D69" s="464"/>
      <c r="E69" s="464"/>
      <c r="F69" s="464"/>
      <c r="G69" s="464"/>
      <c r="H69" s="464"/>
      <c r="I69" s="464"/>
      <c r="J69" s="464"/>
      <c r="K69" s="464"/>
      <c r="L69" s="464"/>
      <c r="M69" s="464"/>
      <c r="N69" s="464"/>
      <c r="O69" s="464"/>
      <c r="P69" s="464"/>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row>
    <row r="70" spans="1:42" x14ac:dyDescent="0.3">
      <c r="A70" s="464"/>
      <c r="B70" s="464"/>
      <c r="C70" s="464"/>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row>
    <row r="71" spans="1:42" x14ac:dyDescent="0.3">
      <c r="A71" s="464"/>
      <c r="B71" s="464"/>
      <c r="C71" s="464"/>
      <c r="D71" s="464"/>
      <c r="E71" s="464"/>
      <c r="F71" s="464"/>
      <c r="G71" s="464"/>
      <c r="H71" s="464"/>
      <c r="I71" s="464"/>
      <c r="J71" s="464"/>
      <c r="K71" s="464"/>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row>
    <row r="72" spans="1:42" x14ac:dyDescent="0.3">
      <c r="A72" s="464"/>
      <c r="B72" s="464"/>
      <c r="C72" s="464"/>
      <c r="D72" s="464"/>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row>
    <row r="73" spans="1:42" x14ac:dyDescent="0.3">
      <c r="A73" s="464"/>
      <c r="B73" s="464"/>
      <c r="C73" s="464"/>
      <c r="D73" s="464"/>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row>
    <row r="74" spans="1:42" x14ac:dyDescent="0.3">
      <c r="A74" s="464"/>
      <c r="B74" s="464"/>
      <c r="C74" s="464"/>
      <c r="D74" s="464"/>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row>
    <row r="75" spans="1:42" x14ac:dyDescent="0.3">
      <c r="A75" s="464"/>
      <c r="B75" s="464"/>
      <c r="C75" s="464"/>
      <c r="D75" s="464"/>
      <c r="E75" s="464"/>
      <c r="F75" s="464"/>
      <c r="G75" s="464"/>
      <c r="H75" s="464"/>
      <c r="I75" s="464"/>
      <c r="J75" s="464"/>
      <c r="K75" s="464"/>
      <c r="L75" s="464"/>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row>
    <row r="76" spans="1:42" x14ac:dyDescent="0.3">
      <c r="A76" s="464"/>
      <c r="B76" s="464"/>
      <c r="C76" s="464"/>
      <c r="D76" s="464"/>
      <c r="E76" s="464"/>
      <c r="F76" s="464"/>
      <c r="G76" s="464"/>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row>
    <row r="77" spans="1:42" x14ac:dyDescent="0.3">
      <c r="A77" s="464"/>
      <c r="B77" s="464"/>
      <c r="C77" s="464"/>
      <c r="D77" s="464"/>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row>
    <row r="78" spans="1:42" x14ac:dyDescent="0.3">
      <c r="A78" s="464"/>
      <c r="B78" s="464"/>
      <c r="C78" s="464"/>
      <c r="D78" s="464"/>
      <c r="E78" s="464"/>
      <c r="F78" s="464"/>
      <c r="G78" s="464"/>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row>
    <row r="79" spans="1:42" x14ac:dyDescent="0.3">
      <c r="A79" s="464"/>
      <c r="B79" s="464"/>
      <c r="C79" s="464"/>
      <c r="D79" s="464"/>
      <c r="E79" s="464"/>
      <c r="F79" s="464"/>
      <c r="G79" s="464"/>
      <c r="H79" s="464"/>
      <c r="I79" s="464"/>
      <c r="J79" s="464"/>
      <c r="K79" s="464"/>
      <c r="L79" s="464"/>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row>
    <row r="80" spans="1:42" x14ac:dyDescent="0.3">
      <c r="A80" s="464"/>
      <c r="B80" s="464"/>
      <c r="C80" s="464"/>
      <c r="D80" s="464"/>
      <c r="E80" s="464"/>
      <c r="F80" s="464"/>
      <c r="G80" s="464"/>
      <c r="H80" s="464"/>
      <c r="I80" s="464"/>
      <c r="J80" s="464"/>
      <c r="K80" s="464"/>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row>
  </sheetData>
  <sheetProtection password="8BC3" sheet="1" objects="1" scenarios="1"/>
  <pageMargins left="0.7" right="0.7" top="0.75" bottom="0.75" header="0.3" footer="0.3"/>
  <pageSetup paperSize="9" scale="48" orientation="landscape" r:id="rId1"/>
  <headerFooter>
    <oddFooter>&amp;LNova Scotia Exploration Economics Model&amp;Rwww.indeva.com</oddFooter>
  </headerFooter>
  <colBreaks count="1" manualBreakCount="1">
    <brk id="2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L75"/>
  <sheetViews>
    <sheetView showGridLines="0" showRowColHeaders="0" topLeftCell="A8" zoomScale="80" zoomScaleNormal="80" workbookViewId="0">
      <selection activeCell="D24" sqref="D24"/>
    </sheetView>
  </sheetViews>
  <sheetFormatPr defaultRowHeight="14.4" x14ac:dyDescent="0.3"/>
  <cols>
    <col min="1" max="1" width="33.88671875" customWidth="1"/>
    <col min="2" max="2" width="27.88671875" customWidth="1"/>
    <col min="3" max="3" width="18.109375" customWidth="1"/>
    <col min="4" max="4" width="27.33203125" customWidth="1"/>
    <col min="5" max="15" width="14.5546875" customWidth="1"/>
    <col min="17" max="17" width="11.5546875" customWidth="1"/>
    <col min="18" max="18" width="25" customWidth="1"/>
    <col min="19" max="19" width="9.88671875" bestFit="1" customWidth="1"/>
    <col min="20" max="20" width="11" bestFit="1" customWidth="1"/>
  </cols>
  <sheetData>
    <row r="1" spans="1:38" ht="15" hidden="1" x14ac:dyDescent="0.25">
      <c r="D1" s="15" t="s">
        <v>110</v>
      </c>
      <c r="E1" s="16" t="str">
        <f>Input!B9</f>
        <v>Wildcat</v>
      </c>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row>
    <row r="2" spans="1:38" ht="15" hidden="1" x14ac:dyDescent="0.25">
      <c r="D2" s="15" t="s">
        <v>111</v>
      </c>
      <c r="E2" s="16">
        <f>Input!B12*'Sensitivity Ranges'!F41</f>
        <v>300</v>
      </c>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row>
    <row r="3" spans="1:38" ht="15" hidden="1" x14ac:dyDescent="0.25">
      <c r="D3" s="15" t="s">
        <v>112</v>
      </c>
      <c r="E3" s="16">
        <f>Input!B24</f>
        <v>4500</v>
      </c>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row>
    <row r="4" spans="1:38" ht="15" hidden="1" x14ac:dyDescent="0.25">
      <c r="D4" s="15" t="s">
        <v>72</v>
      </c>
      <c r="E4" s="16" t="str">
        <f>Input!B5</f>
        <v>Scenario 5 : Flat Real</v>
      </c>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row>
    <row r="5" spans="1:38" ht="21" x14ac:dyDescent="0.35">
      <c r="A5" s="339" t="str">
        <f>Input!B8</f>
        <v>Prospect X</v>
      </c>
      <c r="B5" s="340"/>
      <c r="C5" s="144" t="s">
        <v>769</v>
      </c>
      <c r="D5" s="339" t="str">
        <f>"Economic Thresholds for Different Project Maturities : NPV @ "&amp;FIXED(Input!B3*100,1)&amp;" %"</f>
        <v>Economic Thresholds for Different Project Maturities : NPV @ 10.0 %</v>
      </c>
      <c r="E5" s="22"/>
      <c r="F5" s="22"/>
      <c r="G5" s="22"/>
      <c r="H5" s="22"/>
      <c r="I5" s="22"/>
      <c r="J5" s="22"/>
      <c r="K5" s="22"/>
      <c r="L5" s="22"/>
      <c r="M5" s="22"/>
      <c r="N5" s="22"/>
      <c r="O5" s="22"/>
      <c r="P5" s="341"/>
      <c r="Q5" s="22"/>
      <c r="R5" s="342"/>
      <c r="S5" s="342"/>
      <c r="T5" s="342"/>
      <c r="U5" s="342"/>
      <c r="V5" s="342"/>
      <c r="W5" s="342"/>
      <c r="X5" s="22"/>
      <c r="Y5" s="22"/>
      <c r="Z5" s="22"/>
      <c r="AA5" s="22"/>
      <c r="AB5" s="22"/>
      <c r="AC5" s="22"/>
      <c r="AD5" s="22"/>
      <c r="AE5" s="22"/>
      <c r="AF5" s="22"/>
      <c r="AG5" s="22"/>
      <c r="AH5" s="22"/>
      <c r="AI5" s="22"/>
      <c r="AJ5" s="22"/>
      <c r="AK5" s="22"/>
      <c r="AL5" s="22"/>
    </row>
    <row r="6" spans="1:38" ht="21" x14ac:dyDescent="0.35">
      <c r="A6" s="542" t="s">
        <v>1</v>
      </c>
      <c r="B6" s="543"/>
      <c r="C6" s="144" t="s">
        <v>143</v>
      </c>
      <c r="D6" s="339"/>
      <c r="E6" s="22"/>
      <c r="F6" s="22"/>
      <c r="G6" s="22"/>
      <c r="H6" s="22"/>
      <c r="I6" s="22"/>
      <c r="J6" s="22"/>
      <c r="K6" s="22"/>
      <c r="L6" s="22"/>
      <c r="M6" s="22"/>
      <c r="N6" s="22"/>
      <c r="O6" s="22"/>
      <c r="P6" s="341"/>
      <c r="Q6" s="22"/>
      <c r="R6" s="342"/>
      <c r="S6" s="342"/>
      <c r="T6" s="342"/>
      <c r="U6" s="342"/>
      <c r="V6" s="342"/>
      <c r="W6" s="342"/>
      <c r="X6" s="22"/>
      <c r="Y6" s="22"/>
      <c r="Z6" s="22"/>
      <c r="AA6" s="22"/>
      <c r="AB6" s="22"/>
      <c r="AC6" s="22"/>
      <c r="AD6" s="22"/>
      <c r="AE6" s="22"/>
      <c r="AF6" s="22"/>
      <c r="AG6" s="22"/>
      <c r="AH6" s="22"/>
      <c r="AI6" s="22"/>
      <c r="AJ6" s="22"/>
      <c r="AK6" s="22"/>
      <c r="AL6" s="22"/>
    </row>
    <row r="7" spans="1:38" ht="17.25" customHeight="1" x14ac:dyDescent="0.25">
      <c r="A7" s="308" t="s">
        <v>64</v>
      </c>
      <c r="B7" s="330">
        <f>Input!B3</f>
        <v>0.1</v>
      </c>
      <c r="C7" s="22"/>
      <c r="D7" s="123">
        <f>ROUNDUP(J8/7/IF(J8&gt;=1000,100,10),0)*IF(J8&gt;=1000,100,10)</f>
        <v>50</v>
      </c>
      <c r="E7" s="343" t="str">
        <f>"Reserves ("&amp;IF(B23="Gas","bcf","mmbbl")&amp;")"</f>
        <v>Reserves (mmbbl)</v>
      </c>
      <c r="F7" s="344"/>
      <c r="G7" s="344"/>
      <c r="H7" s="344"/>
      <c r="I7" s="344"/>
      <c r="J7" s="344"/>
      <c r="K7" s="344"/>
      <c r="L7" s="22"/>
      <c r="M7" s="22"/>
      <c r="N7" s="22"/>
      <c r="O7" s="344"/>
      <c r="P7" s="22"/>
      <c r="Q7" s="22"/>
      <c r="R7" s="22"/>
      <c r="S7" s="22"/>
      <c r="T7" s="22"/>
      <c r="U7" s="22"/>
      <c r="V7" s="22"/>
      <c r="W7" s="22"/>
      <c r="X7" s="22"/>
      <c r="Y7" s="22"/>
      <c r="Z7" s="22"/>
      <c r="AA7" s="22"/>
      <c r="AB7" s="22"/>
      <c r="AC7" s="22"/>
      <c r="AD7" s="22"/>
      <c r="AE7" s="22"/>
      <c r="AF7" s="22"/>
      <c r="AG7" s="22"/>
      <c r="AH7" s="22"/>
      <c r="AI7" s="22"/>
      <c r="AJ7" s="22"/>
      <c r="AK7" s="22"/>
      <c r="AL7" s="22"/>
    </row>
    <row r="8" spans="1:38" ht="15.75" x14ac:dyDescent="0.25">
      <c r="A8" s="308" t="s">
        <v>65</v>
      </c>
      <c r="B8" s="345">
        <f ca="1">Input!H13</f>
        <v>41153</v>
      </c>
      <c r="C8" s="22"/>
      <c r="D8" s="124">
        <f ca="1">Input!H30</f>
        <v>880.9403596476144</v>
      </c>
      <c r="E8" s="346">
        <f>F8-$D$7</f>
        <v>50</v>
      </c>
      <c r="F8" s="347">
        <f>G8-$D$7</f>
        <v>100</v>
      </c>
      <c r="G8" s="347">
        <f>H8-$D$7</f>
        <v>150</v>
      </c>
      <c r="H8" s="347">
        <f>I8-$D$7</f>
        <v>200</v>
      </c>
      <c r="I8" s="347">
        <f>J8-$D$7</f>
        <v>250</v>
      </c>
      <c r="J8" s="347">
        <f>B24</f>
        <v>300</v>
      </c>
      <c r="K8" s="347">
        <f>J8+$D$7</f>
        <v>350</v>
      </c>
      <c r="L8" s="347">
        <f>K8+$D$7</f>
        <v>400</v>
      </c>
      <c r="M8" s="347">
        <f>L8+$D$7</f>
        <v>450</v>
      </c>
      <c r="N8" s="347">
        <f>M8+$D$7</f>
        <v>500</v>
      </c>
      <c r="O8" s="348">
        <f>N8+$D$7</f>
        <v>550</v>
      </c>
      <c r="P8" s="349"/>
      <c r="Q8" s="22"/>
      <c r="R8" s="22"/>
      <c r="S8" s="22"/>
      <c r="T8" s="22"/>
      <c r="U8" s="22"/>
      <c r="V8" s="22"/>
      <c r="W8" s="22"/>
      <c r="X8" s="22"/>
      <c r="Y8" s="22"/>
      <c r="Z8" s="22"/>
      <c r="AA8" s="22"/>
      <c r="AB8" s="22"/>
      <c r="AC8" s="22"/>
      <c r="AD8" s="22"/>
      <c r="AE8" s="22"/>
      <c r="AF8" s="22"/>
      <c r="AG8" s="22"/>
      <c r="AH8" s="22"/>
      <c r="AI8" s="22"/>
      <c r="AJ8" s="22"/>
      <c r="AK8" s="22"/>
      <c r="AL8" s="22"/>
    </row>
    <row r="9" spans="1:38" ht="15.75" x14ac:dyDescent="0.25">
      <c r="A9" s="308" t="s">
        <v>72</v>
      </c>
      <c r="B9" s="350" t="str">
        <f>'Selected Economics'!D3</f>
        <v>Flat Real</v>
      </c>
      <c r="C9" s="22"/>
      <c r="D9" s="351" t="str">
        <f>Lists!A8</f>
        <v>Seismic</v>
      </c>
      <c r="E9" s="352">
        <f t="dataTable" ref="E9:O13" dt2D="1" dtr="0" r1="E2" r2="E1" ca="1"/>
        <v>-103.5065488815178</v>
      </c>
      <c r="F9" s="353">
        <v>103.3172234084614</v>
      </c>
      <c r="G9" s="353">
        <v>310.58336780440942</v>
      </c>
      <c r="H9" s="353">
        <v>435.49235032415692</v>
      </c>
      <c r="I9" s="353">
        <v>613.4576732255224</v>
      </c>
      <c r="J9" s="353">
        <v>789.9217465448404</v>
      </c>
      <c r="K9" s="353">
        <v>969.43683935587501</v>
      </c>
      <c r="L9" s="353">
        <v>1156.3921604871121</v>
      </c>
      <c r="M9" s="353">
        <v>1336.8807324224583</v>
      </c>
      <c r="N9" s="353">
        <v>1528.871446784633</v>
      </c>
      <c r="O9" s="354">
        <v>1709.5310547684162</v>
      </c>
      <c r="P9" s="22"/>
      <c r="Q9" s="22"/>
      <c r="R9" s="22"/>
      <c r="S9" s="22"/>
      <c r="T9" s="22"/>
      <c r="U9" s="22"/>
      <c r="V9" s="22"/>
      <c r="W9" s="22"/>
      <c r="X9" s="22"/>
      <c r="Y9" s="22"/>
      <c r="Z9" s="22"/>
      <c r="AA9" s="22"/>
      <c r="AB9" s="22"/>
      <c r="AC9" s="22"/>
      <c r="AD9" s="22"/>
      <c r="AE9" s="22"/>
      <c r="AF9" s="22"/>
      <c r="AG9" s="22"/>
      <c r="AH9" s="22"/>
      <c r="AI9" s="22"/>
      <c r="AJ9" s="22"/>
      <c r="AK9" s="22"/>
      <c r="AL9" s="22"/>
    </row>
    <row r="10" spans="1:38" ht="15.75" x14ac:dyDescent="0.25">
      <c r="A10" s="308" t="s">
        <v>73</v>
      </c>
      <c r="B10" s="350" t="str">
        <f>'Cost Assumptions'!O4</f>
        <v>NS DOE</v>
      </c>
      <c r="C10" s="22"/>
      <c r="D10" s="351" t="str">
        <f>Lists!A9</f>
        <v>Wildcat</v>
      </c>
      <c r="E10" s="355">
        <v>-80.711532419013949</v>
      </c>
      <c r="F10" s="356">
        <v>140.82989299594158</v>
      </c>
      <c r="G10" s="356">
        <v>363.99085931589718</v>
      </c>
      <c r="H10" s="356">
        <v>498.61522348181018</v>
      </c>
      <c r="I10" s="356">
        <v>690.26312633384248</v>
      </c>
      <c r="J10" s="356">
        <v>880.9403596476144</v>
      </c>
      <c r="K10" s="356">
        <v>1073.5549494497034</v>
      </c>
      <c r="L10" s="356">
        <v>1274.6276802792677</v>
      </c>
      <c r="M10" s="356">
        <v>1469.3208198515467</v>
      </c>
      <c r="N10" s="356">
        <v>1675.8810732550951</v>
      </c>
      <c r="O10" s="357">
        <v>1870.5271358082277</v>
      </c>
      <c r="P10" s="22"/>
      <c r="Q10" s="22"/>
      <c r="R10" s="22"/>
      <c r="S10" s="22"/>
      <c r="T10" s="22"/>
      <c r="U10" s="22"/>
      <c r="V10" s="22"/>
      <c r="W10" s="22"/>
      <c r="X10" s="22"/>
      <c r="Y10" s="22"/>
      <c r="Z10" s="22"/>
      <c r="AA10" s="22"/>
      <c r="AB10" s="22"/>
      <c r="AC10" s="22"/>
      <c r="AD10" s="22"/>
      <c r="AE10" s="22"/>
      <c r="AF10" s="22"/>
      <c r="AG10" s="22"/>
      <c r="AH10" s="22"/>
      <c r="AI10" s="22"/>
      <c r="AJ10" s="22"/>
      <c r="AK10" s="22"/>
      <c r="AL10" s="22"/>
    </row>
    <row r="11" spans="1:38" ht="18.75" x14ac:dyDescent="0.3">
      <c r="A11" s="542" t="s">
        <v>74</v>
      </c>
      <c r="B11" s="543"/>
      <c r="C11" s="22"/>
      <c r="D11" s="351" t="str">
        <f>Lists!A10</f>
        <v>Appraisal</v>
      </c>
      <c r="E11" s="355">
        <v>-88.290554010596423</v>
      </c>
      <c r="F11" s="356">
        <v>554.06440157079305</v>
      </c>
      <c r="G11" s="356">
        <v>1229.7968266301664</v>
      </c>
      <c r="H11" s="356">
        <v>1635.5722717230185</v>
      </c>
      <c r="I11" s="356">
        <v>2222.0402926417382</v>
      </c>
      <c r="J11" s="356">
        <v>2796.4217860456592</v>
      </c>
      <c r="K11" s="356">
        <v>3368.960225012825</v>
      </c>
      <c r="L11" s="356">
        <v>3975.881170800068</v>
      </c>
      <c r="M11" s="356">
        <v>4562.3448354301436</v>
      </c>
      <c r="N11" s="356">
        <v>5203.3183056232383</v>
      </c>
      <c r="O11" s="357">
        <v>5769.180961182401</v>
      </c>
      <c r="P11" s="22"/>
      <c r="Q11" s="22"/>
      <c r="R11" s="22"/>
      <c r="S11" s="22"/>
      <c r="T11" s="22"/>
      <c r="U11" s="22"/>
      <c r="V11" s="22"/>
      <c r="W11" s="22"/>
      <c r="X11" s="22"/>
      <c r="Y11" s="22"/>
      <c r="Z11" s="22"/>
      <c r="AA11" s="22"/>
      <c r="AB11" s="22"/>
      <c r="AC11" s="22"/>
      <c r="AD11" s="22"/>
      <c r="AE11" s="22"/>
      <c r="AF11" s="22"/>
      <c r="AG11" s="22"/>
      <c r="AH11" s="22"/>
      <c r="AI11" s="22"/>
      <c r="AJ11" s="22"/>
      <c r="AK11" s="22"/>
      <c r="AL11" s="22"/>
    </row>
    <row r="12" spans="1:38" ht="15.75" x14ac:dyDescent="0.25">
      <c r="A12" s="308" t="s">
        <v>79</v>
      </c>
      <c r="B12" s="358">
        <f>Input!B10</f>
        <v>41091</v>
      </c>
      <c r="C12" s="22"/>
      <c r="D12" s="351" t="str">
        <f>Lists!A11</f>
        <v>Development Planning</v>
      </c>
      <c r="E12" s="355">
        <v>1.6240416671615718</v>
      </c>
      <c r="F12" s="356">
        <v>1070.6000746407776</v>
      </c>
      <c r="G12" s="356">
        <v>2068.0483473308941</v>
      </c>
      <c r="H12" s="356">
        <v>2662.7790209426462</v>
      </c>
      <c r="I12" s="356">
        <v>3536.5524171352608</v>
      </c>
      <c r="J12" s="356">
        <v>4393.4724266023713</v>
      </c>
      <c r="K12" s="356">
        <v>5251.6313148064482</v>
      </c>
      <c r="L12" s="356">
        <v>6165.1258400047163</v>
      </c>
      <c r="M12" s="356">
        <v>7040.3308049253264</v>
      </c>
      <c r="N12" s="356">
        <v>7991.056214191869</v>
      </c>
      <c r="O12" s="357">
        <v>8806.3980985695307</v>
      </c>
      <c r="P12" s="22"/>
      <c r="Q12" s="22"/>
      <c r="R12" s="22"/>
      <c r="S12" s="22"/>
      <c r="T12" s="22"/>
      <c r="U12" s="22"/>
      <c r="V12" s="22"/>
      <c r="W12" s="22"/>
      <c r="X12" s="22"/>
      <c r="Y12" s="22"/>
      <c r="Z12" s="22"/>
      <c r="AA12" s="22"/>
      <c r="AB12" s="22"/>
      <c r="AC12" s="22"/>
      <c r="AD12" s="22"/>
      <c r="AE12" s="22"/>
      <c r="AF12" s="22"/>
      <c r="AG12" s="22"/>
      <c r="AH12" s="22"/>
      <c r="AI12" s="22"/>
      <c r="AJ12" s="22"/>
      <c r="AK12" s="22"/>
      <c r="AL12" s="22"/>
    </row>
    <row r="13" spans="1:38" ht="15.75" x14ac:dyDescent="0.25">
      <c r="A13" s="308" t="s">
        <v>80</v>
      </c>
      <c r="B13" s="358" t="str">
        <f>Input!B14</f>
        <v>FPSO</v>
      </c>
      <c r="C13" s="22"/>
      <c r="D13" s="351" t="str">
        <f>Lists!A12</f>
        <v>Development Start</v>
      </c>
      <c r="E13" s="359">
        <v>65.959848273338835</v>
      </c>
      <c r="F13" s="360">
        <v>1269.1093136319096</v>
      </c>
      <c r="G13" s="360">
        <v>2406.0336747086185</v>
      </c>
      <c r="H13" s="360">
        <v>3084.0271861158758</v>
      </c>
      <c r="I13" s="360">
        <v>4072.5474050792832</v>
      </c>
      <c r="J13" s="360">
        <v>5047.8744841507432</v>
      </c>
      <c r="K13" s="360">
        <v>6032.2855866020891</v>
      </c>
      <c r="L13" s="360">
        <v>7066.4400206420141</v>
      </c>
      <c r="M13" s="360">
        <v>8035.9550536905726</v>
      </c>
      <c r="N13" s="360">
        <v>9121.6230888013924</v>
      </c>
      <c r="O13" s="361">
        <v>10083.008451235792</v>
      </c>
      <c r="P13" s="22"/>
      <c r="Q13" s="22"/>
      <c r="R13" s="22"/>
      <c r="S13" s="22"/>
      <c r="T13" s="22"/>
      <c r="U13" s="22"/>
      <c r="V13" s="22"/>
      <c r="W13" s="22"/>
      <c r="X13" s="22"/>
      <c r="Y13" s="22"/>
      <c r="Z13" s="22"/>
      <c r="AA13" s="22"/>
      <c r="AB13" s="22"/>
      <c r="AC13" s="22"/>
      <c r="AD13" s="22"/>
      <c r="AE13" s="22"/>
      <c r="AF13" s="22"/>
      <c r="AG13" s="22"/>
      <c r="AH13" s="22"/>
      <c r="AI13" s="22"/>
      <c r="AJ13" s="22"/>
      <c r="AK13" s="22"/>
      <c r="AL13" s="22"/>
    </row>
    <row r="14" spans="1:38" ht="15.75" x14ac:dyDescent="0.25">
      <c r="A14" s="308" t="s">
        <v>850</v>
      </c>
      <c r="B14" s="358" t="str">
        <f>CashFlow!C11</f>
        <v>To Infrastructure</v>
      </c>
      <c r="C14" s="22"/>
      <c r="D14" s="362"/>
      <c r="E14" s="344"/>
      <c r="F14" s="344"/>
      <c r="G14" s="344"/>
      <c r="H14" s="344"/>
      <c r="I14" s="344"/>
      <c r="J14" s="344"/>
      <c r="K14" s="344"/>
      <c r="L14" s="344"/>
      <c r="M14" s="344"/>
      <c r="N14" s="344"/>
      <c r="O14" s="344"/>
      <c r="P14" s="22"/>
      <c r="Q14" s="22"/>
      <c r="R14" s="22"/>
      <c r="S14" s="22"/>
      <c r="T14" s="22"/>
      <c r="U14" s="22"/>
      <c r="V14" s="22"/>
      <c r="W14" s="22"/>
      <c r="X14" s="22"/>
      <c r="Y14" s="22"/>
      <c r="Z14" s="22"/>
      <c r="AA14" s="22"/>
      <c r="AB14" s="22"/>
      <c r="AC14" s="22"/>
      <c r="AD14" s="22"/>
      <c r="AE14" s="22"/>
      <c r="AF14" s="22"/>
      <c r="AG14" s="22"/>
      <c r="AH14" s="22"/>
      <c r="AI14" s="22"/>
      <c r="AJ14" s="22"/>
      <c r="AK14" s="22"/>
      <c r="AL14" s="22"/>
    </row>
    <row r="15" spans="1:38" ht="15.75" x14ac:dyDescent="0.25">
      <c r="A15" s="308" t="s">
        <v>849</v>
      </c>
      <c r="B15" s="363">
        <f>CashFlow!C12</f>
        <v>250</v>
      </c>
      <c r="C15" s="123">
        <f>B26-B33</f>
        <v>2500</v>
      </c>
      <c r="D15" s="362"/>
      <c r="E15" s="344" t="s">
        <v>113</v>
      </c>
      <c r="F15" s="344"/>
      <c r="G15" s="344"/>
      <c r="H15" s="344"/>
      <c r="I15" s="344"/>
      <c r="J15" s="344"/>
      <c r="K15" s="344"/>
      <c r="L15" s="344"/>
      <c r="M15" s="344"/>
      <c r="N15" s="344"/>
      <c r="O15" s="344"/>
      <c r="P15" s="22"/>
      <c r="Q15" s="22"/>
      <c r="R15" s="22"/>
      <c r="S15" s="22"/>
      <c r="T15" s="22"/>
      <c r="U15" s="22"/>
      <c r="V15" s="22"/>
      <c r="W15" s="22"/>
      <c r="X15" s="22"/>
      <c r="Y15" s="22"/>
      <c r="Z15" s="22"/>
      <c r="AA15" s="22"/>
      <c r="AB15" s="22"/>
      <c r="AC15" s="22"/>
      <c r="AD15" s="22"/>
      <c r="AE15" s="22"/>
      <c r="AF15" s="22"/>
      <c r="AG15" s="22"/>
      <c r="AH15" s="22"/>
      <c r="AI15" s="22"/>
      <c r="AJ15" s="22"/>
      <c r="AK15" s="22"/>
      <c r="AL15" s="22"/>
    </row>
    <row r="16" spans="1:38" ht="15.75" x14ac:dyDescent="0.25">
      <c r="A16" s="308" t="str">
        <f>CashFlow!B13</f>
        <v>Pipeline Percent Deepwater</v>
      </c>
      <c r="B16" s="309">
        <f>CashFlow!C13</f>
        <v>0.3</v>
      </c>
      <c r="C16" s="123">
        <f>ROUNDUP(C15/500,0)*100</f>
        <v>500</v>
      </c>
      <c r="D16" s="124">
        <f ca="1">Input!H30</f>
        <v>880.9403596476144</v>
      </c>
      <c r="E16" s="364">
        <f t="shared" ref="E16:F16" si="0">F16-$C$16</f>
        <v>3000</v>
      </c>
      <c r="F16" s="365">
        <f t="shared" si="0"/>
        <v>3500</v>
      </c>
      <c r="G16" s="365">
        <f>H16-$C$16</f>
        <v>4000</v>
      </c>
      <c r="H16" s="365">
        <f>B26</f>
        <v>4500</v>
      </c>
      <c r="I16" s="365">
        <f>H16+$C$16</f>
        <v>5000</v>
      </c>
      <c r="J16" s="365">
        <f t="shared" ref="J16:K16" si="1">I16+$C$16</f>
        <v>5500</v>
      </c>
      <c r="K16" s="366">
        <f t="shared" si="1"/>
        <v>6000</v>
      </c>
      <c r="L16" s="367"/>
      <c r="M16" s="344"/>
      <c r="N16" s="344"/>
      <c r="O16" s="344"/>
      <c r="P16" s="22"/>
      <c r="Q16" s="22"/>
      <c r="R16" s="22"/>
      <c r="S16" s="22"/>
      <c r="T16" s="22"/>
      <c r="U16" s="22"/>
      <c r="V16" s="22"/>
      <c r="W16" s="22"/>
      <c r="X16" s="22"/>
      <c r="Y16" s="22"/>
      <c r="Z16" s="22"/>
      <c r="AA16" s="22"/>
      <c r="AB16" s="22"/>
      <c r="AC16" s="22"/>
      <c r="AD16" s="22"/>
      <c r="AE16" s="22"/>
      <c r="AF16" s="22"/>
      <c r="AG16" s="22"/>
      <c r="AH16" s="22"/>
      <c r="AI16" s="22"/>
      <c r="AJ16" s="22"/>
      <c r="AK16" s="22"/>
      <c r="AL16" s="22"/>
    </row>
    <row r="17" spans="1:38" ht="18.75" x14ac:dyDescent="0.3">
      <c r="A17" s="542" t="s">
        <v>85</v>
      </c>
      <c r="B17" s="543"/>
      <c r="C17" s="22"/>
      <c r="D17" s="351" t="str">
        <f>D9</f>
        <v>Seismic</v>
      </c>
      <c r="E17" s="352">
        <f t="dataTable" ref="E17:K21" dt2D="1" dtr="0" r1="E3" r2="E1" ca="1"/>
        <v>892.70090066860803</v>
      </c>
      <c r="F17" s="353">
        <v>853.38777423720387</v>
      </c>
      <c r="G17" s="353">
        <v>824.54735254898515</v>
      </c>
      <c r="H17" s="353">
        <v>789.9217465448404</v>
      </c>
      <c r="I17" s="353">
        <v>751.41411999240768</v>
      </c>
      <c r="J17" s="353">
        <v>719.95622035558642</v>
      </c>
      <c r="K17" s="354">
        <v>690.59655539444725</v>
      </c>
      <c r="L17" s="344"/>
      <c r="M17" s="344"/>
      <c r="N17" s="344"/>
      <c r="O17" s="344"/>
      <c r="P17" s="22"/>
      <c r="Q17" s="22"/>
      <c r="R17" s="22"/>
      <c r="S17" s="22"/>
      <c r="T17" s="22"/>
      <c r="U17" s="22"/>
      <c r="V17" s="22"/>
      <c r="W17" s="22"/>
      <c r="X17" s="22"/>
      <c r="Y17" s="22"/>
      <c r="Z17" s="22"/>
      <c r="AA17" s="22"/>
      <c r="AB17" s="22"/>
      <c r="AC17" s="22"/>
      <c r="AD17" s="22"/>
      <c r="AE17" s="22"/>
      <c r="AF17" s="22"/>
      <c r="AG17" s="22"/>
      <c r="AH17" s="22"/>
      <c r="AI17" s="22"/>
      <c r="AJ17" s="22"/>
      <c r="AK17" s="22"/>
      <c r="AL17" s="22"/>
    </row>
    <row r="18" spans="1:38" ht="15.75" x14ac:dyDescent="0.25">
      <c r="A18" s="308" t="s">
        <v>78</v>
      </c>
      <c r="B18" s="330">
        <f>Input!B19</f>
        <v>1</v>
      </c>
      <c r="C18" s="22"/>
      <c r="D18" s="351" t="str">
        <f>D10</f>
        <v>Wildcat</v>
      </c>
      <c r="E18" s="355">
        <v>982.74231555810422</v>
      </c>
      <c r="F18" s="356">
        <v>950.58971991327098</v>
      </c>
      <c r="G18" s="356">
        <v>914.74089253442071</v>
      </c>
      <c r="H18" s="356">
        <v>880.9403596476144</v>
      </c>
      <c r="I18" s="356">
        <v>852.03500330415386</v>
      </c>
      <c r="J18" s="356">
        <v>813.99830941376933</v>
      </c>
      <c r="K18" s="357">
        <v>781.46973099706292</v>
      </c>
      <c r="L18" s="344"/>
      <c r="M18" s="344"/>
      <c r="N18" s="344"/>
      <c r="O18" s="344"/>
      <c r="P18" s="22"/>
      <c r="Q18" s="22"/>
      <c r="R18" s="22"/>
      <c r="S18" s="22"/>
      <c r="T18" s="22"/>
      <c r="U18" s="22"/>
      <c r="V18" s="22"/>
      <c r="W18" s="22"/>
      <c r="X18" s="22"/>
      <c r="Y18" s="22"/>
      <c r="Z18" s="22"/>
      <c r="AA18" s="22"/>
      <c r="AB18" s="22"/>
      <c r="AC18" s="22"/>
      <c r="AD18" s="22"/>
      <c r="AE18" s="22"/>
      <c r="AF18" s="22"/>
      <c r="AG18" s="22"/>
      <c r="AH18" s="22"/>
      <c r="AI18" s="22"/>
      <c r="AJ18" s="22"/>
      <c r="AK18" s="22"/>
      <c r="AL18" s="22"/>
    </row>
    <row r="19" spans="1:38" ht="15.75" x14ac:dyDescent="0.25">
      <c r="A19" s="308" t="s">
        <v>86</v>
      </c>
      <c r="B19" s="330">
        <f>Input!B20</f>
        <v>0.35</v>
      </c>
      <c r="C19" s="22"/>
      <c r="D19" s="351" t="str">
        <f>D11</f>
        <v>Appraisal</v>
      </c>
      <c r="E19" s="355">
        <v>3046.7353931997259</v>
      </c>
      <c r="F19" s="356">
        <v>2979.0504740032547</v>
      </c>
      <c r="G19" s="356">
        <v>2870.9729793327069</v>
      </c>
      <c r="H19" s="356">
        <v>2796.4217860456592</v>
      </c>
      <c r="I19" s="356">
        <v>2713.5454157288332</v>
      </c>
      <c r="J19" s="356">
        <v>2638.8142398947034</v>
      </c>
      <c r="K19" s="357">
        <v>2560.9172585076876</v>
      </c>
      <c r="L19" s="344"/>
      <c r="M19" s="344"/>
      <c r="N19" s="344"/>
      <c r="O19" s="344"/>
      <c r="P19" s="22"/>
      <c r="Q19" s="22"/>
      <c r="R19" s="22"/>
      <c r="S19" s="22"/>
      <c r="T19" s="22"/>
      <c r="U19" s="22"/>
      <c r="V19" s="22"/>
      <c r="W19" s="22"/>
      <c r="X19" s="22"/>
      <c r="Y19" s="22"/>
      <c r="Z19" s="22"/>
      <c r="AA19" s="22"/>
      <c r="AB19" s="22"/>
      <c r="AC19" s="22"/>
      <c r="AD19" s="22"/>
      <c r="AE19" s="22"/>
      <c r="AF19" s="22"/>
      <c r="AG19" s="22"/>
      <c r="AH19" s="22"/>
      <c r="AI19" s="22"/>
      <c r="AJ19" s="22"/>
      <c r="AK19" s="22"/>
      <c r="AL19" s="22"/>
    </row>
    <row r="20" spans="1:38" ht="15.75" x14ac:dyDescent="0.25">
      <c r="A20" s="308" t="s">
        <v>87</v>
      </c>
      <c r="B20" s="330">
        <f>Input!B21</f>
        <v>0.75</v>
      </c>
      <c r="C20" s="22"/>
      <c r="D20" s="351" t="str">
        <f>D12</f>
        <v>Development Planning</v>
      </c>
      <c r="E20" s="355">
        <v>4610.1947292338818</v>
      </c>
      <c r="F20" s="356">
        <v>4532.5783945563971</v>
      </c>
      <c r="G20" s="356">
        <v>4466.1781272661347</v>
      </c>
      <c r="H20" s="356">
        <v>4393.4724266023713</v>
      </c>
      <c r="I20" s="356">
        <v>4334.4881761899314</v>
      </c>
      <c r="J20" s="356">
        <v>4268.5481687493993</v>
      </c>
      <c r="K20" s="357">
        <v>4196.4382265166178</v>
      </c>
      <c r="L20" s="344"/>
      <c r="M20" s="344"/>
      <c r="N20" s="344"/>
      <c r="O20" s="344"/>
      <c r="P20" s="22"/>
      <c r="Q20" s="22"/>
      <c r="R20" s="22"/>
      <c r="S20" s="22"/>
      <c r="T20" s="22"/>
      <c r="U20" s="22"/>
      <c r="V20" s="22"/>
      <c r="W20" s="22"/>
      <c r="X20" s="22"/>
      <c r="Y20" s="22"/>
      <c r="Z20" s="22"/>
      <c r="AA20" s="22"/>
      <c r="AB20" s="22"/>
      <c r="AC20" s="22"/>
      <c r="AD20" s="22"/>
      <c r="AE20" s="22"/>
      <c r="AF20" s="22"/>
      <c r="AG20" s="22"/>
      <c r="AH20" s="22"/>
      <c r="AI20" s="22"/>
      <c r="AJ20" s="22"/>
      <c r="AK20" s="22"/>
      <c r="AL20" s="22"/>
    </row>
    <row r="21" spans="1:38" ht="15.75" x14ac:dyDescent="0.25">
      <c r="A21" s="308" t="s">
        <v>88</v>
      </c>
      <c r="B21" s="330">
        <f>Input!B22</f>
        <v>1</v>
      </c>
      <c r="C21" s="22"/>
      <c r="D21" s="351" t="str">
        <f>D13</f>
        <v>Development Start</v>
      </c>
      <c r="E21" s="359">
        <v>5281.9591810614711</v>
      </c>
      <c r="F21" s="360">
        <v>5197.950253553573</v>
      </c>
      <c r="G21" s="360">
        <v>5130.788585867881</v>
      </c>
      <c r="H21" s="360">
        <v>5047.8744841507432</v>
      </c>
      <c r="I21" s="360">
        <v>4964.2069625776267</v>
      </c>
      <c r="J21" s="360">
        <v>4903.7840977780652</v>
      </c>
      <c r="K21" s="361">
        <v>4806.6608345443537</v>
      </c>
      <c r="L21" s="344"/>
      <c r="M21" s="344"/>
      <c r="N21" s="344"/>
      <c r="O21" s="344"/>
      <c r="P21" s="22"/>
      <c r="Q21" s="22"/>
      <c r="R21" s="22"/>
      <c r="S21" s="22"/>
      <c r="T21" s="22"/>
      <c r="U21" s="22"/>
      <c r="V21" s="22"/>
      <c r="W21" s="22"/>
      <c r="X21" s="22"/>
      <c r="Y21" s="22"/>
      <c r="Z21" s="22"/>
      <c r="AA21" s="22"/>
      <c r="AB21" s="22"/>
      <c r="AC21" s="22"/>
      <c r="AD21" s="22"/>
      <c r="AE21" s="22"/>
      <c r="AF21" s="22"/>
      <c r="AG21" s="22"/>
      <c r="AH21" s="22"/>
      <c r="AI21" s="22"/>
      <c r="AJ21" s="22"/>
      <c r="AK21" s="22"/>
      <c r="AL21" s="22"/>
    </row>
    <row r="22" spans="1:38" ht="18.75" x14ac:dyDescent="0.3">
      <c r="A22" s="542" t="s">
        <v>89</v>
      </c>
      <c r="B22" s="543"/>
      <c r="C22" s="22"/>
      <c r="D22" s="362"/>
      <c r="E22" s="344"/>
      <c r="F22" s="344"/>
      <c r="G22" s="344"/>
      <c r="H22" s="344"/>
      <c r="I22" s="344"/>
      <c r="J22" s="344"/>
      <c r="K22" s="344"/>
      <c r="L22" s="344"/>
      <c r="M22" s="344"/>
      <c r="N22" s="344"/>
      <c r="O22" s="344"/>
      <c r="P22" s="22"/>
      <c r="Q22" s="22"/>
      <c r="R22" s="22"/>
      <c r="S22" s="22"/>
      <c r="T22" s="22"/>
      <c r="U22" s="22"/>
      <c r="V22" s="22"/>
      <c r="W22" s="22"/>
      <c r="X22" s="22"/>
      <c r="Y22" s="22"/>
      <c r="Z22" s="22"/>
      <c r="AA22" s="22"/>
      <c r="AB22" s="22"/>
      <c r="AC22" s="22"/>
      <c r="AD22" s="22"/>
      <c r="AE22" s="22"/>
      <c r="AF22" s="22"/>
      <c r="AG22" s="22"/>
      <c r="AH22" s="22"/>
      <c r="AI22" s="22"/>
      <c r="AJ22" s="22"/>
      <c r="AK22" s="22"/>
      <c r="AL22" s="22"/>
    </row>
    <row r="23" spans="1:38" ht="15.75" x14ac:dyDescent="0.25">
      <c r="A23" s="308" t="s">
        <v>645</v>
      </c>
      <c r="B23" s="350" t="str">
        <f>Input!B11</f>
        <v>Oil</v>
      </c>
      <c r="C23" s="22"/>
      <c r="D23" s="362"/>
      <c r="E23" s="344" t="s">
        <v>114</v>
      </c>
      <c r="F23" s="344"/>
      <c r="G23" s="344"/>
      <c r="H23" s="344"/>
      <c r="I23" s="344"/>
      <c r="J23" s="344"/>
      <c r="K23" s="344"/>
      <c r="L23" s="344"/>
      <c r="M23" s="344"/>
      <c r="N23" s="344"/>
      <c r="O23" s="344"/>
      <c r="P23" s="22"/>
      <c r="Q23" s="22"/>
      <c r="R23" s="22"/>
      <c r="S23" s="22"/>
      <c r="T23" s="22"/>
      <c r="U23" s="22"/>
      <c r="V23" s="22"/>
      <c r="W23" s="22"/>
      <c r="X23" s="22"/>
      <c r="Y23" s="22"/>
      <c r="Z23" s="22"/>
      <c r="AA23" s="22"/>
      <c r="AB23" s="22"/>
      <c r="AC23" s="22"/>
      <c r="AD23" s="22"/>
      <c r="AE23" s="22"/>
      <c r="AF23" s="22"/>
      <c r="AG23" s="22"/>
      <c r="AH23" s="22"/>
      <c r="AI23" s="22"/>
      <c r="AJ23" s="22"/>
      <c r="AK23" s="22"/>
      <c r="AL23" s="22"/>
    </row>
    <row r="24" spans="1:38" ht="15.75" x14ac:dyDescent="0.25">
      <c r="A24" s="308" t="str">
        <f>Input!A12</f>
        <v>Mean Reserves (mmbbl)</v>
      </c>
      <c r="B24" s="350">
        <f>Input!B12</f>
        <v>300</v>
      </c>
      <c r="C24" s="22"/>
      <c r="D24" s="368"/>
      <c r="E24" s="369" t="s">
        <v>747</v>
      </c>
      <c r="F24" s="370" t="s">
        <v>1068</v>
      </c>
      <c r="G24" s="370" t="s">
        <v>115</v>
      </c>
      <c r="H24" s="370" t="s">
        <v>1066</v>
      </c>
      <c r="I24" s="371" t="s">
        <v>1067</v>
      </c>
      <c r="J24" s="367"/>
      <c r="K24" s="344"/>
      <c r="L24" s="344"/>
      <c r="M24" s="344"/>
      <c r="N24" s="344"/>
      <c r="O24" s="344"/>
      <c r="P24" s="22"/>
      <c r="Q24" s="22"/>
      <c r="R24" s="22"/>
      <c r="S24" s="22"/>
      <c r="T24" s="22"/>
      <c r="U24" s="22"/>
      <c r="V24" s="22"/>
      <c r="W24" s="22"/>
      <c r="X24" s="22"/>
      <c r="Y24" s="22"/>
      <c r="Z24" s="22"/>
      <c r="AA24" s="22"/>
      <c r="AB24" s="22"/>
      <c r="AC24" s="22"/>
      <c r="AD24" s="22"/>
      <c r="AE24" s="22"/>
      <c r="AF24" s="22"/>
      <c r="AG24" s="22"/>
      <c r="AH24" s="22"/>
      <c r="AI24" s="22"/>
      <c r="AJ24" s="22"/>
      <c r="AK24" s="22"/>
      <c r="AL24" s="22"/>
    </row>
    <row r="25" spans="1:38" ht="15.75" hidden="1" x14ac:dyDescent="0.25">
      <c r="A25" s="308" t="s">
        <v>90</v>
      </c>
      <c r="B25" s="350">
        <f>Input!B24</f>
        <v>4500</v>
      </c>
      <c r="C25" s="22"/>
      <c r="D25" s="372">
        <f ca="1">Input!H30</f>
        <v>880.9403596476144</v>
      </c>
      <c r="E25" s="344" t="str">
        <f>INDEX(selected_scenario,Lists!E201,MATCH(Thresholds!E24,scenarios,0))</f>
        <v>Scenario 5 : Flat Real</v>
      </c>
      <c r="F25" s="344" t="str">
        <f>INDEX(selected_scenario,Lists!F201,MATCH(Thresholds!F24,scenarios,0))</f>
        <v>Scenario 4 : Base - 1.5%/y</v>
      </c>
      <c r="G25" s="344" t="str">
        <f>INDEX(selected_scenario,Lists!G201,MATCH(Thresholds!G24,scenarios,0))</f>
        <v>Scenario 1 : Base</v>
      </c>
      <c r="H25" s="344" t="str">
        <f>INDEX(selected_scenario,Lists!H201,MATCH(Thresholds!H24,scenarios,0))</f>
        <v>Scenario 2 : Base +1.5% /y</v>
      </c>
      <c r="I25" s="344" t="str">
        <f>INDEX(selected_scenario,Lists!I201,MATCH(Thresholds!I24,scenarios,0))</f>
        <v>Scenario 3 : Base + 3%/y</v>
      </c>
      <c r="J25" s="344"/>
      <c r="K25" s="344"/>
      <c r="L25" s="344"/>
      <c r="M25" s="344"/>
      <c r="N25" s="344"/>
      <c r="O25" s="344"/>
      <c r="P25" s="22"/>
      <c r="Q25" s="22"/>
      <c r="R25" s="22"/>
      <c r="S25" s="22"/>
      <c r="T25" s="22"/>
      <c r="U25" s="22"/>
      <c r="V25" s="22"/>
      <c r="W25" s="22"/>
      <c r="X25" s="22"/>
      <c r="Y25" s="22"/>
      <c r="Z25" s="22"/>
      <c r="AA25" s="22"/>
      <c r="AB25" s="22"/>
      <c r="AC25" s="22"/>
      <c r="AD25" s="22"/>
      <c r="AE25" s="22"/>
      <c r="AF25" s="22"/>
      <c r="AG25" s="22"/>
      <c r="AH25" s="22"/>
      <c r="AI25" s="22"/>
      <c r="AJ25" s="22"/>
      <c r="AK25" s="22"/>
      <c r="AL25" s="22"/>
    </row>
    <row r="26" spans="1:38" ht="15.75" x14ac:dyDescent="0.25">
      <c r="A26" s="308" t="str">
        <f>CashFlow!B22</f>
        <v>Reservoir Depth (m MSL)</v>
      </c>
      <c r="B26" s="350">
        <f>CashFlow!C22</f>
        <v>4500</v>
      </c>
      <c r="C26" s="22"/>
      <c r="D26" s="373" t="str">
        <f>D17</f>
        <v>Seismic</v>
      </c>
      <c r="E26" s="352">
        <f t="dataTable" ref="E26:I30" dt2D="1" dtr="0" r1="E4" r2="E1" ca="1"/>
        <v>789.9217465448404</v>
      </c>
      <c r="F26" s="353">
        <v>280.19347416439791</v>
      </c>
      <c r="G26" s="353">
        <v>462.02983972112867</v>
      </c>
      <c r="H26" s="353">
        <v>677.52749975521942</v>
      </c>
      <c r="I26" s="354">
        <v>941.52772445099049</v>
      </c>
      <c r="J26" s="344"/>
      <c r="K26" s="344"/>
      <c r="L26" s="344"/>
      <c r="M26" s="344"/>
      <c r="N26" s="344"/>
      <c r="O26" s="344"/>
      <c r="P26" s="22"/>
      <c r="Q26" s="22"/>
      <c r="R26" s="22"/>
      <c r="S26" s="22"/>
      <c r="T26" s="22"/>
      <c r="U26" s="22"/>
      <c r="V26" s="22"/>
      <c r="W26" s="22"/>
      <c r="X26" s="22"/>
      <c r="Y26" s="22"/>
      <c r="Z26" s="22"/>
      <c r="AA26" s="22"/>
      <c r="AB26" s="22"/>
      <c r="AC26" s="22"/>
      <c r="AD26" s="22"/>
      <c r="AE26" s="22"/>
      <c r="AF26" s="22"/>
      <c r="AG26" s="22"/>
      <c r="AH26" s="22"/>
      <c r="AI26" s="22"/>
      <c r="AJ26" s="22"/>
      <c r="AK26" s="22"/>
      <c r="AL26" s="22"/>
    </row>
    <row r="27" spans="1:38" ht="15.75" x14ac:dyDescent="0.25">
      <c r="A27" s="308" t="s">
        <v>91</v>
      </c>
      <c r="B27" s="350" t="str">
        <f>Input!B25</f>
        <v>Medium</v>
      </c>
      <c r="C27" s="22"/>
      <c r="D27" s="373" t="str">
        <f>D18</f>
        <v>Wildcat</v>
      </c>
      <c r="E27" s="355">
        <v>880.9403596476144</v>
      </c>
      <c r="F27" s="356">
        <v>348.84866862773708</v>
      </c>
      <c r="G27" s="356">
        <v>532.90379923749026</v>
      </c>
      <c r="H27" s="356">
        <v>748.14894119971245</v>
      </c>
      <c r="I27" s="357">
        <v>1005.8541599756508</v>
      </c>
      <c r="J27" s="344"/>
      <c r="K27" s="344"/>
      <c r="L27" s="344"/>
      <c r="M27" s="344"/>
      <c r="N27" s="344"/>
      <c r="O27" s="344"/>
      <c r="P27" s="22"/>
      <c r="Q27" s="22"/>
      <c r="R27" s="22"/>
      <c r="S27" s="22"/>
      <c r="T27" s="22"/>
      <c r="U27" s="22"/>
      <c r="V27" s="22"/>
      <c r="W27" s="22"/>
      <c r="X27" s="22"/>
      <c r="Y27" s="22"/>
      <c r="Z27" s="22"/>
      <c r="AA27" s="22"/>
      <c r="AB27" s="22"/>
      <c r="AC27" s="22"/>
      <c r="AD27" s="22"/>
      <c r="AE27" s="22"/>
      <c r="AF27" s="22"/>
      <c r="AG27" s="22"/>
      <c r="AH27" s="22"/>
      <c r="AI27" s="22"/>
      <c r="AJ27" s="22"/>
      <c r="AK27" s="22"/>
      <c r="AL27" s="22"/>
    </row>
    <row r="28" spans="1:38" ht="15.75" x14ac:dyDescent="0.25">
      <c r="A28" s="308" t="s">
        <v>93</v>
      </c>
      <c r="B28" s="350" t="str">
        <f>Input!B26</f>
        <v>Medium</v>
      </c>
      <c r="C28" s="22"/>
      <c r="D28" s="373" t="str">
        <f>D19</f>
        <v>Appraisal</v>
      </c>
      <c r="E28" s="355">
        <v>2796.4217860456592</v>
      </c>
      <c r="F28" s="356">
        <v>1228.1496172473921</v>
      </c>
      <c r="G28" s="356">
        <v>1758.0823996652236</v>
      </c>
      <c r="H28" s="356">
        <v>2361.639041641341</v>
      </c>
      <c r="I28" s="357">
        <v>3094.3412294262689</v>
      </c>
      <c r="J28" s="344"/>
      <c r="K28" s="344"/>
      <c r="L28" s="344"/>
      <c r="M28" s="344"/>
      <c r="N28" s="344"/>
      <c r="O28" s="344"/>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ht="15.75" x14ac:dyDescent="0.25">
      <c r="A29" s="308" t="s">
        <v>94</v>
      </c>
      <c r="B29" s="350" t="str">
        <f>Input!B27</f>
        <v>Normally Pressured</v>
      </c>
      <c r="C29" s="22"/>
      <c r="D29" s="373" t="str">
        <f>D20</f>
        <v>Development Planning</v>
      </c>
      <c r="E29" s="355">
        <v>4393.4724266023713</v>
      </c>
      <c r="F29" s="356">
        <v>2250.3097352050745</v>
      </c>
      <c r="G29" s="356">
        <v>2939.6375744749512</v>
      </c>
      <c r="H29" s="356">
        <v>3734.9650500681114</v>
      </c>
      <c r="I29" s="357">
        <v>4671.9128649593822</v>
      </c>
      <c r="J29" s="344"/>
      <c r="K29" s="344"/>
      <c r="L29" s="344"/>
      <c r="M29" s="344"/>
      <c r="N29" s="344"/>
      <c r="O29" s="344"/>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ht="15.75" x14ac:dyDescent="0.25">
      <c r="A30" s="308" t="s">
        <v>96</v>
      </c>
      <c r="B30" s="350">
        <f>Input!B28</f>
        <v>1040</v>
      </c>
      <c r="C30" s="22"/>
      <c r="D30" s="373" t="str">
        <f>D21</f>
        <v>Development Start</v>
      </c>
      <c r="E30" s="359">
        <v>5047.8744841507432</v>
      </c>
      <c r="F30" s="360">
        <v>2937.3679777456646</v>
      </c>
      <c r="G30" s="360">
        <v>3592.9619735512638</v>
      </c>
      <c r="H30" s="360">
        <v>4333.9242538150065</v>
      </c>
      <c r="I30" s="361">
        <v>5179.5941637469059</v>
      </c>
      <c r="J30" s="344"/>
      <c r="K30" s="344"/>
      <c r="L30" s="344"/>
      <c r="M30" s="344"/>
      <c r="N30" s="344"/>
      <c r="O30" s="344"/>
      <c r="P30" s="22"/>
      <c r="Q30" s="22"/>
      <c r="R30" s="22"/>
      <c r="S30" s="22"/>
      <c r="T30" s="22"/>
      <c r="U30" s="22"/>
      <c r="V30" s="22"/>
      <c r="W30" s="22"/>
      <c r="X30" s="22"/>
      <c r="Y30" s="22"/>
      <c r="Z30" s="22"/>
      <c r="AA30" s="22"/>
      <c r="AB30" s="22"/>
      <c r="AC30" s="22"/>
      <c r="AD30" s="22"/>
      <c r="AE30" s="22"/>
      <c r="AF30" s="22"/>
      <c r="AG30" s="22"/>
      <c r="AH30" s="22"/>
      <c r="AI30" s="22"/>
      <c r="AJ30" s="22"/>
      <c r="AK30" s="22"/>
      <c r="AL30" s="22"/>
    </row>
    <row r="31" spans="1:38" ht="16.5" thickBot="1" x14ac:dyDescent="0.3">
      <c r="A31" s="308" t="s">
        <v>97</v>
      </c>
      <c r="B31" s="350">
        <f>Input!B29</f>
        <v>3333.3</v>
      </c>
      <c r="C31" s="22"/>
      <c r="D31" s="344"/>
      <c r="E31" s="344"/>
      <c r="F31" s="344"/>
      <c r="G31" s="344"/>
      <c r="H31" s="344"/>
      <c r="I31" s="344"/>
      <c r="J31" s="344"/>
      <c r="K31" s="344"/>
      <c r="L31" s="344"/>
      <c r="M31" s="344"/>
      <c r="N31" s="344"/>
      <c r="O31" s="344"/>
      <c r="P31" s="22"/>
      <c r="Q31" s="22"/>
      <c r="R31" s="22"/>
      <c r="S31" s="22"/>
      <c r="T31" s="22"/>
      <c r="U31" s="22"/>
      <c r="V31" s="22"/>
      <c r="W31" s="22"/>
      <c r="X31" s="22"/>
      <c r="Y31" s="22"/>
      <c r="Z31" s="22"/>
      <c r="AA31" s="22"/>
      <c r="AB31" s="22"/>
      <c r="AC31" s="22"/>
      <c r="AD31" s="22"/>
      <c r="AE31" s="22"/>
      <c r="AF31" s="22"/>
      <c r="AG31" s="22"/>
      <c r="AH31" s="22"/>
      <c r="AI31" s="22"/>
      <c r="AJ31" s="22"/>
      <c r="AK31" s="22"/>
      <c r="AL31" s="22"/>
    </row>
    <row r="32" spans="1:38" ht="18.75" x14ac:dyDescent="0.3">
      <c r="A32" s="308" t="s">
        <v>98</v>
      </c>
      <c r="B32" s="350" t="str">
        <f>Input!B30</f>
        <v>Sweet</v>
      </c>
      <c r="C32" s="22"/>
      <c r="D32" s="374" t="s">
        <v>788</v>
      </c>
      <c r="E32" s="375"/>
      <c r="F32" s="375"/>
      <c r="G32" s="375"/>
      <c r="H32" s="375"/>
      <c r="I32" s="375"/>
      <c r="J32" s="375"/>
      <c r="K32" s="376"/>
      <c r="L32" s="344"/>
      <c r="M32" s="344"/>
      <c r="N32" s="344"/>
      <c r="O32" s="344"/>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ht="16.5" customHeight="1" x14ac:dyDescent="0.3">
      <c r="A33" s="308" t="s">
        <v>100</v>
      </c>
      <c r="B33" s="350">
        <f>Input!B13</f>
        <v>2000</v>
      </c>
      <c r="C33" s="22"/>
      <c r="D33" s="544" t="s">
        <v>1053</v>
      </c>
      <c r="E33" s="545"/>
      <c r="F33" s="545"/>
      <c r="G33" s="545"/>
      <c r="H33" s="545"/>
      <c r="I33" s="545"/>
      <c r="J33" s="545"/>
      <c r="K33" s="546"/>
      <c r="L33" s="344"/>
      <c r="M33" s="344"/>
      <c r="N33" s="344"/>
      <c r="O33" s="344"/>
      <c r="P33" s="22"/>
      <c r="Q33" s="22"/>
      <c r="R33" s="22"/>
      <c r="S33" s="22"/>
      <c r="T33" s="22"/>
      <c r="U33" s="22"/>
      <c r="V33" s="22"/>
      <c r="W33" s="22"/>
      <c r="X33" s="22"/>
      <c r="Y33" s="22"/>
      <c r="Z33" s="22"/>
      <c r="AA33" s="22"/>
      <c r="AB33" s="22"/>
      <c r="AC33" s="22"/>
      <c r="AD33" s="22"/>
      <c r="AE33" s="22"/>
      <c r="AF33" s="22"/>
      <c r="AG33" s="22"/>
      <c r="AH33" s="22"/>
      <c r="AI33" s="22"/>
      <c r="AJ33" s="22"/>
      <c r="AK33" s="22"/>
      <c r="AL33" s="22"/>
    </row>
    <row r="34" spans="1:38" ht="15.75" customHeight="1" x14ac:dyDescent="0.35">
      <c r="A34" s="542" t="s">
        <v>102</v>
      </c>
      <c r="B34" s="543"/>
      <c r="C34" s="22"/>
      <c r="D34" s="544"/>
      <c r="E34" s="545"/>
      <c r="F34" s="545"/>
      <c r="G34" s="545"/>
      <c r="H34" s="545"/>
      <c r="I34" s="545"/>
      <c r="J34" s="545"/>
      <c r="K34" s="546"/>
      <c r="L34" s="344"/>
      <c r="M34" s="344"/>
      <c r="N34" s="344"/>
      <c r="O34" s="344"/>
      <c r="P34" s="22"/>
      <c r="Q34" s="22"/>
      <c r="R34" s="22"/>
      <c r="S34" s="22"/>
      <c r="T34" s="22"/>
      <c r="U34" s="22"/>
      <c r="V34" s="22"/>
      <c r="W34" s="22"/>
      <c r="X34" s="22"/>
      <c r="Y34" s="22"/>
      <c r="Z34" s="22"/>
      <c r="AA34" s="22"/>
      <c r="AB34" s="22"/>
      <c r="AC34" s="22"/>
      <c r="AD34" s="22"/>
      <c r="AE34" s="22"/>
      <c r="AF34" s="22"/>
      <c r="AG34" s="22"/>
      <c r="AH34" s="22"/>
      <c r="AI34" s="22"/>
      <c r="AJ34" s="22"/>
      <c r="AK34" s="22"/>
      <c r="AL34" s="22"/>
    </row>
    <row r="35" spans="1:38" ht="15.75" customHeight="1" x14ac:dyDescent="0.3">
      <c r="A35" s="308" t="s">
        <v>103</v>
      </c>
      <c r="B35" s="350" t="str">
        <f>Input!B33</f>
        <v>No</v>
      </c>
      <c r="C35" s="22"/>
      <c r="D35" s="544"/>
      <c r="E35" s="545"/>
      <c r="F35" s="545"/>
      <c r="G35" s="545"/>
      <c r="H35" s="545"/>
      <c r="I35" s="545"/>
      <c r="J35" s="545"/>
      <c r="K35" s="546"/>
      <c r="L35" s="344"/>
      <c r="M35" s="344"/>
      <c r="N35" s="344"/>
      <c r="O35" s="344"/>
      <c r="P35" s="22"/>
      <c r="Q35" s="22"/>
      <c r="R35" s="22"/>
      <c r="S35" s="22"/>
      <c r="T35" s="22"/>
      <c r="U35" s="22"/>
      <c r="V35" s="22"/>
      <c r="W35" s="22"/>
      <c r="X35" s="22"/>
      <c r="Y35" s="22"/>
      <c r="Z35" s="22"/>
      <c r="AA35" s="22"/>
      <c r="AB35" s="22"/>
      <c r="AC35" s="22"/>
      <c r="AD35" s="22"/>
      <c r="AE35" s="22"/>
      <c r="AF35" s="22"/>
      <c r="AG35" s="22"/>
      <c r="AH35" s="22"/>
      <c r="AI35" s="22"/>
      <c r="AJ35" s="22"/>
      <c r="AK35" s="22"/>
      <c r="AL35" s="22"/>
    </row>
    <row r="36" spans="1:38" ht="15.75" customHeight="1" x14ac:dyDescent="0.3">
      <c r="A36" s="308" t="s">
        <v>106</v>
      </c>
      <c r="B36" s="350" t="str">
        <f>Input!B34</f>
        <v>No</v>
      </c>
      <c r="C36" s="22"/>
      <c r="D36" s="544"/>
      <c r="E36" s="545"/>
      <c r="F36" s="545"/>
      <c r="G36" s="545"/>
      <c r="H36" s="545"/>
      <c r="I36" s="545"/>
      <c r="J36" s="545"/>
      <c r="K36" s="546"/>
      <c r="L36" s="344"/>
      <c r="M36" s="344"/>
      <c r="N36" s="344"/>
      <c r="O36" s="344"/>
      <c r="P36" s="22"/>
      <c r="Q36" s="22"/>
      <c r="R36" s="22"/>
      <c r="S36" s="22"/>
      <c r="T36" s="22"/>
      <c r="U36" s="22"/>
      <c r="V36" s="22"/>
      <c r="W36" s="22"/>
      <c r="X36" s="22"/>
      <c r="Y36" s="22"/>
      <c r="Z36" s="22"/>
      <c r="AA36" s="22"/>
      <c r="AB36" s="22"/>
      <c r="AC36" s="22"/>
      <c r="AD36" s="22"/>
      <c r="AE36" s="22"/>
      <c r="AF36" s="22"/>
      <c r="AG36" s="22"/>
      <c r="AH36" s="22"/>
      <c r="AI36" s="22"/>
      <c r="AJ36" s="22"/>
      <c r="AK36" s="22"/>
      <c r="AL36" s="22"/>
    </row>
    <row r="37" spans="1:38" ht="15.75" customHeight="1" x14ac:dyDescent="0.3">
      <c r="A37" s="308" t="s">
        <v>109</v>
      </c>
      <c r="B37" s="350" t="str">
        <f>Input!B35</f>
        <v>Yes</v>
      </c>
      <c r="C37" s="22"/>
      <c r="D37" s="544"/>
      <c r="E37" s="545"/>
      <c r="F37" s="545"/>
      <c r="G37" s="545"/>
      <c r="H37" s="545"/>
      <c r="I37" s="545"/>
      <c r="J37" s="545"/>
      <c r="K37" s="546"/>
      <c r="L37" s="344"/>
      <c r="M37" s="344"/>
      <c r="N37" s="344"/>
      <c r="O37" s="344"/>
      <c r="P37" s="22"/>
      <c r="Q37" s="22"/>
      <c r="R37" s="22"/>
      <c r="S37" s="22"/>
      <c r="T37" s="22"/>
      <c r="U37" s="22"/>
      <c r="V37" s="22"/>
      <c r="W37" s="22"/>
      <c r="X37" s="22"/>
      <c r="Y37" s="22"/>
      <c r="Z37" s="22"/>
      <c r="AA37" s="22"/>
      <c r="AB37" s="22"/>
      <c r="AC37" s="22"/>
      <c r="AD37" s="22"/>
      <c r="AE37" s="22"/>
      <c r="AF37" s="22"/>
      <c r="AG37" s="22"/>
      <c r="AH37" s="22"/>
      <c r="AI37" s="22"/>
      <c r="AJ37" s="22"/>
      <c r="AK37" s="22"/>
      <c r="AL37" s="22"/>
    </row>
    <row r="38" spans="1:38" ht="15.75" customHeight="1" thickBot="1" x14ac:dyDescent="0.35">
      <c r="A38" s="343"/>
      <c r="B38" s="333"/>
      <c r="C38" s="22"/>
      <c r="D38" s="547"/>
      <c r="E38" s="548"/>
      <c r="F38" s="548"/>
      <c r="G38" s="548"/>
      <c r="H38" s="548"/>
      <c r="I38" s="548"/>
      <c r="J38" s="548"/>
      <c r="K38" s="549"/>
      <c r="L38" s="344"/>
      <c r="M38" s="344"/>
      <c r="N38" s="344"/>
      <c r="O38" s="344"/>
      <c r="P38" s="22"/>
      <c r="Q38" s="22"/>
      <c r="R38" s="22"/>
      <c r="S38" s="22"/>
      <c r="T38" s="22"/>
      <c r="U38" s="22"/>
      <c r="V38" s="22"/>
      <c r="W38" s="22"/>
      <c r="X38" s="22"/>
      <c r="Y38" s="22"/>
      <c r="Z38" s="22"/>
      <c r="AA38" s="22"/>
      <c r="AB38" s="22"/>
      <c r="AC38" s="22"/>
      <c r="AD38" s="22"/>
      <c r="AE38" s="22"/>
      <c r="AF38" s="22"/>
      <c r="AG38" s="22"/>
      <c r="AH38" s="22"/>
      <c r="AI38" s="22"/>
      <c r="AJ38" s="22"/>
      <c r="AK38" s="22"/>
      <c r="AL38" s="22"/>
    </row>
    <row r="39" spans="1:38" ht="15.75" customHeight="1" x14ac:dyDescent="0.3">
      <c r="A39" s="343"/>
      <c r="B39" s="333"/>
      <c r="C39" s="22"/>
      <c r="D39" s="22"/>
      <c r="E39" s="22"/>
      <c r="F39" s="22"/>
      <c r="G39" s="22"/>
      <c r="H39" s="22"/>
      <c r="I39" s="22"/>
      <c r="J39" s="22"/>
      <c r="K39" s="22"/>
      <c r="L39" s="344"/>
      <c r="M39" s="344"/>
      <c r="N39" s="344"/>
      <c r="O39" s="344"/>
      <c r="P39" s="22"/>
      <c r="Q39" s="22"/>
      <c r="R39" s="22"/>
      <c r="S39" s="22"/>
      <c r="T39" s="22"/>
      <c r="U39" s="22"/>
      <c r="V39" s="22"/>
      <c r="W39" s="22"/>
      <c r="X39" s="22"/>
      <c r="Y39" s="22"/>
      <c r="Z39" s="22"/>
      <c r="AA39" s="22"/>
      <c r="AB39" s="22"/>
      <c r="AC39" s="22"/>
      <c r="AD39" s="22"/>
      <c r="AE39" s="22"/>
      <c r="AF39" s="22"/>
      <c r="AG39" s="22"/>
      <c r="AH39" s="22"/>
      <c r="AI39" s="22"/>
      <c r="AJ39" s="22"/>
      <c r="AK39" s="22"/>
      <c r="AL39" s="22"/>
    </row>
    <row r="40" spans="1:38" ht="15.6" x14ac:dyDescent="0.3">
      <c r="A40" s="343"/>
      <c r="B40" s="333"/>
      <c r="C40" s="22"/>
      <c r="D40" s="344"/>
      <c r="E40" s="344"/>
      <c r="F40" s="344"/>
      <c r="G40" s="344"/>
      <c r="H40" s="344"/>
      <c r="I40" s="344"/>
      <c r="J40" s="344"/>
      <c r="K40" s="344"/>
      <c r="L40" s="344"/>
      <c r="M40" s="344"/>
      <c r="N40" s="344"/>
      <c r="O40" s="344"/>
      <c r="P40" s="22"/>
      <c r="Q40" s="22"/>
      <c r="R40" s="22"/>
      <c r="S40" s="22"/>
      <c r="T40" s="22"/>
      <c r="U40" s="22"/>
      <c r="V40" s="22"/>
      <c r="W40" s="22"/>
      <c r="X40" s="22"/>
      <c r="Y40" s="22"/>
      <c r="Z40" s="22"/>
      <c r="AA40" s="22"/>
      <c r="AB40" s="22"/>
      <c r="AC40" s="22"/>
      <c r="AD40" s="22"/>
      <c r="AE40" s="22"/>
      <c r="AF40" s="22"/>
      <c r="AG40" s="22"/>
      <c r="AH40" s="22"/>
      <c r="AI40" s="22"/>
      <c r="AJ40" s="22"/>
      <c r="AK40" s="22"/>
      <c r="AL40" s="22"/>
    </row>
    <row r="41" spans="1:38" ht="15.6" x14ac:dyDescent="0.3">
      <c r="A41" s="343"/>
      <c r="B41" s="333"/>
      <c r="C41" s="22"/>
      <c r="D41" s="344"/>
      <c r="E41" s="344"/>
      <c r="F41" s="344"/>
      <c r="G41" s="344"/>
      <c r="H41" s="344"/>
      <c r="I41" s="344"/>
      <c r="J41" s="344"/>
      <c r="K41" s="344"/>
      <c r="L41" s="344"/>
      <c r="M41" s="344"/>
      <c r="N41" s="344"/>
      <c r="O41" s="344"/>
      <c r="P41" s="22"/>
      <c r="Q41" s="22"/>
      <c r="R41" s="22"/>
      <c r="S41" s="22"/>
      <c r="T41" s="22"/>
      <c r="U41" s="22"/>
      <c r="V41" s="22"/>
      <c r="W41" s="22"/>
      <c r="X41" s="22"/>
      <c r="Y41" s="22"/>
      <c r="Z41" s="22"/>
      <c r="AA41" s="22"/>
      <c r="AB41" s="22"/>
      <c r="AC41" s="22"/>
      <c r="AD41" s="22"/>
      <c r="AE41" s="22"/>
      <c r="AF41" s="22"/>
      <c r="AG41" s="22"/>
      <c r="AH41" s="22"/>
      <c r="AI41" s="22"/>
      <c r="AJ41" s="22"/>
      <c r="AK41" s="22"/>
      <c r="AL41" s="22"/>
    </row>
    <row r="42" spans="1:38" ht="15.6" x14ac:dyDescent="0.3">
      <c r="A42" s="343"/>
      <c r="B42" s="333"/>
      <c r="C42" s="22"/>
      <c r="D42" s="344"/>
      <c r="E42" s="344"/>
      <c r="F42" s="344"/>
      <c r="G42" s="344"/>
      <c r="H42" s="344"/>
      <c r="I42" s="344"/>
      <c r="J42" s="344"/>
      <c r="K42" s="344"/>
      <c r="L42" s="344"/>
      <c r="M42" s="344"/>
      <c r="N42" s="344"/>
      <c r="O42" s="344"/>
      <c r="P42" s="22"/>
      <c r="Q42" s="22"/>
      <c r="R42" s="22"/>
      <c r="S42" s="22"/>
      <c r="T42" s="22"/>
      <c r="U42" s="22"/>
      <c r="V42" s="22"/>
      <c r="W42" s="22"/>
      <c r="X42" s="22"/>
      <c r="Y42" s="22"/>
      <c r="Z42" s="22"/>
      <c r="AA42" s="22"/>
      <c r="AB42" s="22"/>
      <c r="AC42" s="22"/>
      <c r="AD42" s="22"/>
      <c r="AE42" s="22"/>
      <c r="AF42" s="22"/>
      <c r="AG42" s="22"/>
      <c r="AH42" s="22"/>
      <c r="AI42" s="22"/>
      <c r="AJ42" s="22"/>
      <c r="AK42" s="22"/>
      <c r="AL42" s="22"/>
    </row>
    <row r="43" spans="1:38" ht="15.6" x14ac:dyDescent="0.3">
      <c r="A43" s="343"/>
      <c r="B43" s="333"/>
      <c r="C43" s="22"/>
      <c r="D43" s="344"/>
      <c r="E43" s="344"/>
      <c r="F43" s="344"/>
      <c r="G43" s="344"/>
      <c r="H43" s="344"/>
      <c r="I43" s="344"/>
      <c r="J43" s="344"/>
      <c r="K43" s="344"/>
      <c r="L43" s="344"/>
      <c r="M43" s="344"/>
      <c r="N43" s="344"/>
      <c r="O43" s="344"/>
      <c r="P43" s="22"/>
      <c r="Q43" s="22"/>
      <c r="R43" s="22"/>
      <c r="S43" s="22"/>
      <c r="T43" s="22"/>
      <c r="U43" s="22"/>
      <c r="V43" s="22"/>
      <c r="W43" s="22"/>
      <c r="X43" s="22"/>
      <c r="Y43" s="22"/>
      <c r="Z43" s="22"/>
      <c r="AA43" s="22"/>
      <c r="AB43" s="22"/>
      <c r="AC43" s="22"/>
      <c r="AD43" s="22"/>
      <c r="AE43" s="22"/>
      <c r="AF43" s="22"/>
      <c r="AG43" s="22"/>
      <c r="AH43" s="22"/>
      <c r="AI43" s="22"/>
      <c r="AJ43" s="22"/>
      <c r="AK43" s="22"/>
      <c r="AL43" s="22"/>
    </row>
    <row r="44" spans="1:38" ht="15.6" x14ac:dyDescent="0.3">
      <c r="A44" s="343"/>
      <c r="B44" s="333"/>
      <c r="C44" s="22"/>
      <c r="D44" s="344"/>
      <c r="E44" s="344"/>
      <c r="F44" s="344"/>
      <c r="G44" s="344"/>
      <c r="H44" s="344"/>
      <c r="I44" s="344"/>
      <c r="J44" s="344"/>
      <c r="K44" s="344"/>
      <c r="L44" s="344"/>
      <c r="M44" s="344"/>
      <c r="N44" s="344"/>
      <c r="O44" s="344"/>
      <c r="P44" s="22"/>
      <c r="Q44" s="22"/>
      <c r="R44" s="22"/>
      <c r="S44" s="22"/>
      <c r="T44" s="22"/>
      <c r="U44" s="22"/>
      <c r="V44" s="22"/>
      <c r="W44" s="22"/>
      <c r="X44" s="22"/>
      <c r="Y44" s="22"/>
      <c r="Z44" s="22"/>
      <c r="AA44" s="22"/>
      <c r="AB44" s="22"/>
      <c r="AC44" s="22"/>
      <c r="AD44" s="22"/>
      <c r="AE44" s="22"/>
      <c r="AF44" s="22"/>
      <c r="AG44" s="22"/>
      <c r="AH44" s="22"/>
      <c r="AI44" s="22"/>
      <c r="AJ44" s="22"/>
      <c r="AK44" s="22"/>
      <c r="AL44" s="22"/>
    </row>
    <row r="45" spans="1:38" ht="15.6" x14ac:dyDescent="0.3">
      <c r="A45" s="343"/>
      <c r="B45" s="333"/>
      <c r="C45" s="22"/>
      <c r="D45" s="344"/>
      <c r="E45" s="344"/>
      <c r="F45" s="344"/>
      <c r="G45" s="344"/>
      <c r="H45" s="344"/>
      <c r="I45" s="344"/>
      <c r="J45" s="344"/>
      <c r="K45" s="344"/>
      <c r="L45" s="344"/>
      <c r="M45" s="344"/>
      <c r="N45" s="344"/>
      <c r="O45" s="344"/>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ht="15.6" x14ac:dyDescent="0.3">
      <c r="A46" s="343"/>
      <c r="B46" s="333"/>
      <c r="C46" s="22"/>
      <c r="D46" s="344"/>
      <c r="E46" s="344"/>
      <c r="F46" s="344"/>
      <c r="G46" s="344"/>
      <c r="H46" s="344"/>
      <c r="I46" s="344"/>
      <c r="J46" s="344"/>
      <c r="K46" s="344"/>
      <c r="L46" s="344"/>
      <c r="M46" s="344"/>
      <c r="N46" s="344"/>
      <c r="O46" s="344"/>
      <c r="P46" s="22"/>
      <c r="Q46" s="22"/>
      <c r="R46" s="22"/>
      <c r="S46" s="22"/>
      <c r="T46" s="22"/>
      <c r="U46" s="22"/>
      <c r="V46" s="22"/>
      <c r="W46" s="22"/>
      <c r="X46" s="22"/>
      <c r="Y46" s="22"/>
      <c r="Z46" s="22"/>
      <c r="AA46" s="22"/>
      <c r="AB46" s="22"/>
      <c r="AC46" s="22"/>
      <c r="AD46" s="22"/>
      <c r="AE46" s="22"/>
      <c r="AF46" s="22"/>
      <c r="AG46" s="22"/>
      <c r="AH46" s="22"/>
      <c r="AI46" s="22"/>
      <c r="AJ46" s="22"/>
      <c r="AK46" s="22"/>
      <c r="AL46" s="22"/>
    </row>
    <row r="47" spans="1:38" ht="15.6" x14ac:dyDescent="0.3">
      <c r="A47" s="343"/>
      <c r="B47" s="333"/>
      <c r="C47" s="22"/>
      <c r="D47" s="344"/>
      <c r="E47" s="344"/>
      <c r="F47" s="344"/>
      <c r="G47" s="344"/>
      <c r="H47" s="344"/>
      <c r="I47" s="344"/>
      <c r="J47" s="344"/>
      <c r="K47" s="344"/>
      <c r="L47" s="344"/>
      <c r="M47" s="344"/>
      <c r="N47" s="344"/>
      <c r="O47" s="344"/>
      <c r="P47" s="22"/>
      <c r="Q47" s="22"/>
      <c r="R47" s="22"/>
      <c r="S47" s="22"/>
      <c r="T47" s="22"/>
      <c r="U47" s="22"/>
      <c r="V47" s="22"/>
      <c r="W47" s="22"/>
      <c r="X47" s="22"/>
      <c r="Y47" s="22"/>
      <c r="Z47" s="22"/>
      <c r="AA47" s="22"/>
      <c r="AB47" s="22"/>
      <c r="AC47" s="22"/>
      <c r="AD47" s="22"/>
      <c r="AE47" s="22"/>
      <c r="AF47" s="22"/>
      <c r="AG47" s="22"/>
      <c r="AH47" s="22"/>
      <c r="AI47" s="22"/>
      <c r="AJ47" s="22"/>
      <c r="AK47" s="22"/>
      <c r="AL47" s="22"/>
    </row>
    <row r="48" spans="1:38" ht="15.6" x14ac:dyDescent="0.3">
      <c r="A48" s="343"/>
      <c r="B48" s="333"/>
      <c r="C48" s="22"/>
      <c r="D48" s="344"/>
      <c r="E48" s="344"/>
      <c r="F48" s="344"/>
      <c r="G48" s="344"/>
      <c r="H48" s="344"/>
      <c r="I48" s="344"/>
      <c r="J48" s="344"/>
      <c r="K48" s="344"/>
      <c r="L48" s="344"/>
      <c r="M48" s="344"/>
      <c r="N48" s="344"/>
      <c r="O48" s="344"/>
      <c r="P48" s="22"/>
      <c r="Q48" s="22"/>
      <c r="R48" s="22"/>
      <c r="S48" s="22"/>
      <c r="T48" s="22"/>
      <c r="U48" s="22"/>
      <c r="V48" s="22"/>
      <c r="W48" s="22"/>
      <c r="X48" s="22"/>
      <c r="Y48" s="22"/>
      <c r="Z48" s="22"/>
      <c r="AA48" s="22"/>
      <c r="AB48" s="22"/>
      <c r="AC48" s="22"/>
      <c r="AD48" s="22"/>
      <c r="AE48" s="22"/>
      <c r="AF48" s="22"/>
      <c r="AG48" s="22"/>
      <c r="AH48" s="22"/>
      <c r="AI48" s="22"/>
      <c r="AJ48" s="22"/>
      <c r="AK48" s="22"/>
      <c r="AL48" s="22"/>
    </row>
    <row r="49" spans="1:38" ht="15.6" x14ac:dyDescent="0.3">
      <c r="A49" s="343"/>
      <c r="B49" s="333"/>
      <c r="C49" s="22"/>
      <c r="D49" s="344"/>
      <c r="E49" s="344"/>
      <c r="F49" s="344"/>
      <c r="G49" s="344"/>
      <c r="H49" s="344"/>
      <c r="I49" s="344"/>
      <c r="J49" s="344"/>
      <c r="K49" s="344"/>
      <c r="L49" s="344"/>
      <c r="M49" s="344"/>
      <c r="N49" s="344"/>
      <c r="O49" s="344"/>
      <c r="P49" s="22"/>
      <c r="Q49" s="22"/>
      <c r="R49" s="22"/>
      <c r="S49" s="22"/>
      <c r="T49" s="22"/>
      <c r="U49" s="22"/>
      <c r="V49" s="22"/>
      <c r="W49" s="22"/>
      <c r="X49" s="22"/>
      <c r="Y49" s="22"/>
      <c r="Z49" s="22"/>
      <c r="AA49" s="22"/>
      <c r="AB49" s="22"/>
      <c r="AC49" s="22"/>
      <c r="AD49" s="22"/>
      <c r="AE49" s="22"/>
      <c r="AF49" s="22"/>
      <c r="AG49" s="22"/>
      <c r="AH49" s="22"/>
      <c r="AI49" s="22"/>
      <c r="AJ49" s="22"/>
      <c r="AK49" s="22"/>
      <c r="AL49" s="22"/>
    </row>
    <row r="50" spans="1:38" ht="15.6" x14ac:dyDescent="0.3">
      <c r="A50" s="343"/>
      <c r="B50" s="333"/>
      <c r="C50" s="22"/>
      <c r="D50" s="344"/>
      <c r="E50" s="344"/>
      <c r="F50" s="344"/>
      <c r="G50" s="344"/>
      <c r="H50" s="344"/>
      <c r="I50" s="344"/>
      <c r="J50" s="344"/>
      <c r="K50" s="344"/>
      <c r="L50" s="344"/>
      <c r="M50" s="344"/>
      <c r="N50" s="344"/>
      <c r="O50" s="344"/>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ht="15.6" x14ac:dyDescent="0.3">
      <c r="A51" s="343"/>
      <c r="B51" s="333"/>
      <c r="C51" s="22"/>
      <c r="D51" s="344"/>
      <c r="E51" s="344"/>
      <c r="F51" s="344"/>
      <c r="G51" s="344"/>
      <c r="H51" s="344"/>
      <c r="I51" s="344"/>
      <c r="J51" s="344"/>
      <c r="K51" s="344"/>
      <c r="L51" s="344"/>
      <c r="M51" s="344"/>
      <c r="N51" s="344"/>
      <c r="O51" s="344"/>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ht="15.6" x14ac:dyDescent="0.3">
      <c r="A52" s="22"/>
      <c r="B52" s="22"/>
      <c r="C52" s="22"/>
      <c r="D52" s="344"/>
      <c r="E52" s="344"/>
      <c r="F52" s="344"/>
      <c r="G52" s="344"/>
      <c r="H52" s="344"/>
      <c r="I52" s="344"/>
      <c r="J52" s="344"/>
      <c r="K52" s="344"/>
      <c r="L52" s="344"/>
      <c r="M52" s="344"/>
      <c r="N52" s="344"/>
      <c r="O52" s="344"/>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x14ac:dyDescent="0.3">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row>
    <row r="54" spans="1:38" x14ac:dyDescent="0.3">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row>
    <row r="55" spans="1:38" x14ac:dyDescent="0.3">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row>
    <row r="56" spans="1:38" x14ac:dyDescent="0.3">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row>
    <row r="57" spans="1:38" x14ac:dyDescent="0.3">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row>
    <row r="58" spans="1:38" x14ac:dyDescent="0.3">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row>
    <row r="59" spans="1:38" x14ac:dyDescent="0.3">
      <c r="A59" s="22"/>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22"/>
      <c r="Z59" s="22"/>
      <c r="AA59" s="22"/>
      <c r="AB59" s="22"/>
      <c r="AC59" s="22"/>
      <c r="AD59" s="22"/>
      <c r="AE59" s="22"/>
      <c r="AF59" s="22"/>
      <c r="AG59" s="22"/>
      <c r="AH59" s="22"/>
      <c r="AI59" s="22"/>
      <c r="AJ59" s="22"/>
      <c r="AK59" s="22"/>
      <c r="AL59" s="22"/>
    </row>
    <row r="60" spans="1:38" x14ac:dyDescent="0.3">
      <c r="A60" s="22"/>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22"/>
      <c r="Z60" s="22"/>
      <c r="AA60" s="22"/>
      <c r="AB60" s="22"/>
      <c r="AC60" s="22"/>
      <c r="AD60" s="22"/>
      <c r="AE60" s="22"/>
      <c r="AF60" s="22"/>
      <c r="AG60" s="22"/>
      <c r="AH60" s="22"/>
      <c r="AI60" s="22"/>
      <c r="AJ60" s="22"/>
      <c r="AK60" s="22"/>
      <c r="AL60" s="22"/>
    </row>
    <row r="61" spans="1:38" x14ac:dyDescent="0.3">
      <c r="A61" s="22"/>
      <c r="B61" s="123"/>
      <c r="C61" s="123"/>
      <c r="D61" s="123"/>
      <c r="E61" s="123"/>
      <c r="F61" s="123"/>
      <c r="G61" s="123"/>
      <c r="H61" s="123"/>
      <c r="I61" s="123"/>
      <c r="J61" s="123"/>
      <c r="K61" s="123"/>
      <c r="L61" s="123"/>
      <c r="M61" s="123"/>
      <c r="N61" s="123"/>
      <c r="O61" s="123"/>
      <c r="P61" s="123"/>
      <c r="Q61" s="123"/>
      <c r="R61" s="123"/>
      <c r="S61" s="123">
        <f>R62+1</f>
        <v>1</v>
      </c>
      <c r="T61" s="123">
        <f>S61+1</f>
        <v>2</v>
      </c>
      <c r="U61" s="123">
        <f>T61+1</f>
        <v>3</v>
      </c>
      <c r="V61" s="123">
        <f>U61+1</f>
        <v>4</v>
      </c>
      <c r="W61" s="123">
        <f>V61+1</f>
        <v>5</v>
      </c>
      <c r="X61" s="123"/>
      <c r="Y61" s="22"/>
      <c r="Z61" s="22"/>
      <c r="AA61" s="22"/>
      <c r="AB61" s="22"/>
      <c r="AC61" s="22"/>
      <c r="AD61" s="22"/>
      <c r="AE61" s="22"/>
      <c r="AF61" s="22"/>
      <c r="AG61" s="22"/>
      <c r="AH61" s="22"/>
      <c r="AI61" s="22"/>
      <c r="AJ61" s="22"/>
      <c r="AK61" s="22"/>
      <c r="AL61" s="22"/>
    </row>
    <row r="62" spans="1:38" x14ac:dyDescent="0.3">
      <c r="A62" s="22"/>
      <c r="B62" s="123"/>
      <c r="C62" s="123"/>
      <c r="D62" s="123"/>
      <c r="E62" s="123" t="str">
        <f t="shared" ref="E62:I63" si="2">E24</f>
        <v>Flat Real</v>
      </c>
      <c r="F62" s="123" t="str">
        <f t="shared" si="2"/>
        <v>Base - 1.5%/y</v>
      </c>
      <c r="G62" s="123" t="str">
        <f t="shared" si="2"/>
        <v>Base</v>
      </c>
      <c r="H62" s="123" t="str">
        <f t="shared" si="2"/>
        <v>Base +1.5% /y</v>
      </c>
      <c r="I62" s="123" t="str">
        <f t="shared" si="2"/>
        <v>Base + 3%/y</v>
      </c>
      <c r="J62" s="123"/>
      <c r="K62" s="123"/>
      <c r="L62" s="123">
        <f>RANK(Thresholds!L64,Thresholds!$L$64:$P$64,1)</f>
        <v>4</v>
      </c>
      <c r="M62" s="123">
        <f>RANK(Thresholds!M64,Thresholds!$L$64:$P$64,1)</f>
        <v>1</v>
      </c>
      <c r="N62" s="123">
        <f>RANK(Thresholds!N64,Thresholds!$L$64:$P$64,1)</f>
        <v>2</v>
      </c>
      <c r="O62" s="123">
        <f>RANK(Thresholds!O64,Thresholds!$L$64:$P$64,1)</f>
        <v>3</v>
      </c>
      <c r="P62" s="123">
        <f>RANK(Thresholds!P64,Thresholds!$L$64:$P$64,1)</f>
        <v>5</v>
      </c>
      <c r="Q62" s="123"/>
      <c r="R62" s="123"/>
      <c r="S62" s="123">
        <f>MATCH(S61,$L$62:$P$62,0)</f>
        <v>2</v>
      </c>
      <c r="T62" s="123">
        <f>MATCH(T61,$L$62:$P$62,0)</f>
        <v>3</v>
      </c>
      <c r="U62" s="123">
        <f>MATCH(U61,$L$62:$P$62,0)</f>
        <v>4</v>
      </c>
      <c r="V62" s="123">
        <f>MATCH(V61,$L$62:$P$62,0)</f>
        <v>1</v>
      </c>
      <c r="W62" s="123">
        <f>MATCH(W61,$L$62:$P$62,0)</f>
        <v>5</v>
      </c>
      <c r="X62" s="123"/>
      <c r="Y62" s="22"/>
      <c r="Z62" s="22"/>
      <c r="AA62" s="22"/>
      <c r="AB62" s="22"/>
      <c r="AC62" s="22"/>
      <c r="AD62" s="22"/>
      <c r="AE62" s="22"/>
      <c r="AF62" s="22"/>
      <c r="AG62" s="22"/>
      <c r="AH62" s="22"/>
      <c r="AI62" s="22"/>
      <c r="AJ62" s="22"/>
      <c r="AK62" s="22"/>
      <c r="AL62" s="22"/>
    </row>
    <row r="63" spans="1:38" x14ac:dyDescent="0.3">
      <c r="A63" s="22"/>
      <c r="B63" s="123"/>
      <c r="C63" s="123"/>
      <c r="D63" s="123"/>
      <c r="E63" s="123" t="str">
        <f t="shared" si="2"/>
        <v>Scenario 5 : Flat Real</v>
      </c>
      <c r="F63" s="123" t="str">
        <f t="shared" si="2"/>
        <v>Scenario 4 : Base - 1.5%/y</v>
      </c>
      <c r="G63" s="123" t="str">
        <f t="shared" si="2"/>
        <v>Scenario 1 : Base</v>
      </c>
      <c r="H63" s="123" t="str">
        <f t="shared" si="2"/>
        <v>Scenario 2 : Base +1.5% /y</v>
      </c>
      <c r="I63" s="123" t="str">
        <f t="shared" si="2"/>
        <v>Scenario 3 : Base + 3%/y</v>
      </c>
      <c r="J63" s="123"/>
      <c r="K63" s="123"/>
      <c r="L63" s="123" t="str">
        <f>E62</f>
        <v>Flat Real</v>
      </c>
      <c r="M63" s="123" t="str">
        <f t="shared" ref="M63:P63" si="3">F62</f>
        <v>Base - 1.5%/y</v>
      </c>
      <c r="N63" s="123" t="str">
        <f t="shared" si="3"/>
        <v>Base</v>
      </c>
      <c r="O63" s="123" t="str">
        <f t="shared" si="3"/>
        <v>Base +1.5% /y</v>
      </c>
      <c r="P63" s="123" t="str">
        <f t="shared" si="3"/>
        <v>Base + 3%/y</v>
      </c>
      <c r="Q63" s="123"/>
      <c r="R63" s="123"/>
      <c r="S63" s="123" t="str">
        <f>INDEX(Thresholds!$L63:$P63,1,S$62)</f>
        <v>Base - 1.5%/y</v>
      </c>
      <c r="T63" s="123" t="str">
        <f>INDEX(Thresholds!$L63:$P63,1,T$62)</f>
        <v>Base</v>
      </c>
      <c r="U63" s="123" t="str">
        <f>INDEX(Thresholds!$L63:$P63,1,U$62)</f>
        <v>Base +1.5% /y</v>
      </c>
      <c r="V63" s="123" t="str">
        <f>INDEX(Thresholds!$L63:$P63,1,V$62)</f>
        <v>Flat Real</v>
      </c>
      <c r="W63" s="123" t="str">
        <f>INDEX(Thresholds!$L63:$P63,1,W$62)</f>
        <v>Base + 3%/y</v>
      </c>
      <c r="X63" s="123"/>
      <c r="Y63" s="22"/>
      <c r="Z63" s="22"/>
      <c r="AA63" s="22"/>
      <c r="AB63" s="22"/>
      <c r="AC63" s="22"/>
      <c r="AD63" s="22"/>
      <c r="AE63" s="22"/>
      <c r="AF63" s="22"/>
      <c r="AG63" s="22"/>
      <c r="AH63" s="22"/>
      <c r="AI63" s="22"/>
      <c r="AJ63" s="22"/>
      <c r="AK63" s="22"/>
      <c r="AL63" s="22"/>
    </row>
    <row r="64" spans="1:38" x14ac:dyDescent="0.3">
      <c r="A64" s="22"/>
      <c r="B64" s="123" t="s">
        <v>38</v>
      </c>
      <c r="C64" s="123"/>
      <c r="D64" s="123">
        <f>-CashFlow!J16</f>
        <v>2564.8951772646874</v>
      </c>
      <c r="E64" s="123">
        <f t="dataTable" ref="E64:I67" dt2D="0" dtr="1" r1="E4" ca="1"/>
        <v>2564.8951772646874</v>
      </c>
      <c r="F64" s="123">
        <v>1057.7238869276098</v>
      </c>
      <c r="G64" s="123">
        <v>1592.5959999305819</v>
      </c>
      <c r="H64" s="123">
        <v>2266.8932193089413</v>
      </c>
      <c r="I64" s="123">
        <v>3112.8104047901506</v>
      </c>
      <c r="J64" s="123"/>
      <c r="K64" s="123" t="s">
        <v>38</v>
      </c>
      <c r="L64" s="126">
        <f>Thresholds!E64/Thresholds!E$68</f>
        <v>0.31899202792047471</v>
      </c>
      <c r="M64" s="126">
        <f>Thresholds!F64/Thresholds!F$68</f>
        <v>0.27013001373935647</v>
      </c>
      <c r="N64" s="126">
        <f>Thresholds!G64/Thresholds!G$68</f>
        <v>0.29500491576800181</v>
      </c>
      <c r="O64" s="126">
        <f>Thresholds!H64/Thresholds!H$68</f>
        <v>0.31191745097777207</v>
      </c>
      <c r="P64" s="126">
        <f>Thresholds!I64/Thresholds!I$68</f>
        <v>0.32262137248677947</v>
      </c>
      <c r="Q64" s="123"/>
      <c r="R64" s="123" t="s">
        <v>38</v>
      </c>
      <c r="S64" s="126">
        <f>INDEX(Thresholds!$L64:$P64,1,S$62)</f>
        <v>0.27013001373935647</v>
      </c>
      <c r="T64" s="126">
        <f>INDEX(Thresholds!$L64:$P64,1,T$62)</f>
        <v>0.29500491576800181</v>
      </c>
      <c r="U64" s="126">
        <f>INDEX(Thresholds!$L64:$P64,1,U$62)</f>
        <v>0.31191745097777207</v>
      </c>
      <c r="V64" s="126">
        <f>INDEX(Thresholds!$L64:$P64,1,V$62)</f>
        <v>0.31899202792047471</v>
      </c>
      <c r="W64" s="126">
        <f>INDEX(Thresholds!$L64:$P64,1,W$62)</f>
        <v>0.32262137248677947</v>
      </c>
      <c r="X64" s="123"/>
      <c r="Y64" s="22"/>
      <c r="Z64" s="22"/>
      <c r="AA64" s="22"/>
      <c r="AB64" s="22"/>
      <c r="AC64" s="22"/>
      <c r="AD64" s="22"/>
      <c r="AE64" s="22"/>
      <c r="AF64" s="22"/>
      <c r="AG64" s="22"/>
      <c r="AH64" s="22"/>
      <c r="AI64" s="22"/>
      <c r="AJ64" s="22"/>
      <c r="AK64" s="22"/>
      <c r="AL64" s="22"/>
    </row>
    <row r="65" spans="1:38" x14ac:dyDescent="0.3">
      <c r="A65" s="22"/>
      <c r="B65" s="123" t="s">
        <v>135</v>
      </c>
      <c r="C65" s="123"/>
      <c r="D65" s="123">
        <f>-CashFlow!J17</f>
        <v>886.06877904461032</v>
      </c>
      <c r="E65" s="123">
        <v>886.06877904461032</v>
      </c>
      <c r="F65" s="123">
        <v>467.21389576792188</v>
      </c>
      <c r="G65" s="123">
        <v>618.90318402984076</v>
      </c>
      <c r="H65" s="123">
        <v>810.06614267739928</v>
      </c>
      <c r="I65" s="123">
        <v>1055.6614453366185</v>
      </c>
      <c r="J65" s="123"/>
      <c r="K65" s="123" t="s">
        <v>135</v>
      </c>
      <c r="L65" s="126">
        <f>Thresholds!E65/Thresholds!E$68</f>
        <v>0.11019899729621231</v>
      </c>
      <c r="M65" s="126">
        <f>Thresholds!F65/Thresholds!F$68</f>
        <v>0.11932083376655808</v>
      </c>
      <c r="N65" s="126">
        <f>Thresholds!G65/Thresholds!G$68</f>
        <v>0.11464268507595747</v>
      </c>
      <c r="O65" s="126">
        <f>Thresholds!H65/Thresholds!H$68</f>
        <v>0.11146257979648366</v>
      </c>
      <c r="P65" s="126">
        <f>Thresholds!I65/Thresholds!I$68</f>
        <v>0.1094120425233021</v>
      </c>
      <c r="Q65" s="123"/>
      <c r="R65" s="123" t="s">
        <v>135</v>
      </c>
      <c r="S65" s="126">
        <f>INDEX(Thresholds!$L65:$P65,1,S$62)</f>
        <v>0.11932083376655808</v>
      </c>
      <c r="T65" s="126">
        <f>INDEX(Thresholds!$L65:$P65,1,T$62)</f>
        <v>0.11464268507595747</v>
      </c>
      <c r="U65" s="126">
        <f>INDEX(Thresholds!$L65:$P65,1,U$62)</f>
        <v>0.11146257979648366</v>
      </c>
      <c r="V65" s="126">
        <f>INDEX(Thresholds!$L65:$P65,1,V$62)</f>
        <v>0.11019899729621231</v>
      </c>
      <c r="W65" s="126">
        <f>INDEX(Thresholds!$L65:$P65,1,W$62)</f>
        <v>0.1094120425233021</v>
      </c>
      <c r="X65" s="123"/>
      <c r="Y65" s="22"/>
      <c r="Z65" s="22"/>
      <c r="AA65" s="22"/>
      <c r="AB65" s="22"/>
      <c r="AC65" s="22"/>
      <c r="AD65" s="22"/>
      <c r="AE65" s="22"/>
      <c r="AF65" s="22"/>
      <c r="AG65" s="22"/>
      <c r="AH65" s="22"/>
      <c r="AI65" s="22"/>
      <c r="AJ65" s="22"/>
      <c r="AK65" s="22"/>
      <c r="AL65" s="22"/>
    </row>
    <row r="66" spans="1:38" x14ac:dyDescent="0.3">
      <c r="A66" s="22"/>
      <c r="B66" s="123" t="s">
        <v>136</v>
      </c>
      <c r="C66" s="123"/>
      <c r="D66" s="123">
        <f>-CashFlow!J18</f>
        <v>1051.3553887009716</v>
      </c>
      <c r="E66" s="123">
        <v>1051.3553887009716</v>
      </c>
      <c r="F66" s="123">
        <v>553.96521480990452</v>
      </c>
      <c r="G66" s="123">
        <v>734.09624462093302</v>
      </c>
      <c r="H66" s="123">
        <v>961.10225801490856</v>
      </c>
      <c r="I66" s="123">
        <v>1252.7466799227316</v>
      </c>
      <c r="J66" s="123"/>
      <c r="K66" s="123" t="s">
        <v>136</v>
      </c>
      <c r="L66" s="126">
        <f>Thresholds!E66/Thresholds!E$68</f>
        <v>0.13075543612058987</v>
      </c>
      <c r="M66" s="126">
        <f>Thresholds!F66/Thresholds!F$68</f>
        <v>0.14147608174227283</v>
      </c>
      <c r="N66" s="126">
        <f>Thresholds!G66/Thresholds!G$68</f>
        <v>0.13598050027718536</v>
      </c>
      <c r="O66" s="126">
        <f>Thresholds!H66/Thresholds!H$68</f>
        <v>0.1322446791474281</v>
      </c>
      <c r="P66" s="126">
        <f>Thresholds!I66/Thresholds!I$68</f>
        <v>0.12983857051909797</v>
      </c>
      <c r="Q66" s="123"/>
      <c r="R66" s="123" t="s">
        <v>136</v>
      </c>
      <c r="S66" s="126">
        <f>INDEX(Thresholds!$L66:$P66,1,S$62)</f>
        <v>0.14147608174227283</v>
      </c>
      <c r="T66" s="126">
        <f>INDEX(Thresholds!$L66:$P66,1,T$62)</f>
        <v>0.13598050027718536</v>
      </c>
      <c r="U66" s="126">
        <f>INDEX(Thresholds!$L66:$P66,1,U$62)</f>
        <v>0.1322446791474281</v>
      </c>
      <c r="V66" s="126">
        <f>INDEX(Thresholds!$L66:$P66,1,V$62)</f>
        <v>0.13075543612058987</v>
      </c>
      <c r="W66" s="126">
        <f>INDEX(Thresholds!$L66:$P66,1,W$62)</f>
        <v>0.12983857051909797</v>
      </c>
      <c r="X66" s="123"/>
      <c r="Y66" s="22"/>
      <c r="Z66" s="22"/>
      <c r="AA66" s="22"/>
      <c r="AB66" s="22"/>
      <c r="AC66" s="22"/>
      <c r="AD66" s="22"/>
      <c r="AE66" s="22"/>
      <c r="AF66" s="22"/>
      <c r="AG66" s="22"/>
      <c r="AH66" s="22"/>
      <c r="AI66" s="22"/>
      <c r="AJ66" s="22"/>
      <c r="AK66" s="22"/>
      <c r="AL66" s="22"/>
    </row>
    <row r="67" spans="1:38" x14ac:dyDescent="0.3">
      <c r="A67" s="22"/>
      <c r="B67" s="123" t="s">
        <v>137</v>
      </c>
      <c r="C67" s="123"/>
      <c r="D67" s="123">
        <f>CashFlow!$J$21</f>
        <v>3538.3053501752802</v>
      </c>
      <c r="E67" s="123">
        <v>3538.3053501752802</v>
      </c>
      <c r="F67" s="123">
        <v>1836.7073868637299</v>
      </c>
      <c r="G67" s="123">
        <v>2452.9451204277784</v>
      </c>
      <c r="H67" s="123">
        <v>3229.5446399334833</v>
      </c>
      <c r="I67" s="123">
        <v>4227.2755569865622</v>
      </c>
      <c r="J67" s="123"/>
      <c r="K67" s="123" t="s">
        <v>137</v>
      </c>
      <c r="L67" s="126">
        <f>Thresholds!E67/Thresholds!E$68</f>
        <v>0.44005353866272306</v>
      </c>
      <c r="M67" s="126">
        <f>Thresholds!F67/Thresholds!F$68</f>
        <v>0.46907307075181254</v>
      </c>
      <c r="N67" s="126">
        <f>Thresholds!G67/Thresholds!G$68</f>
        <v>0.45437189887885532</v>
      </c>
      <c r="O67" s="126">
        <f>Thresholds!H67/Thresholds!H$68</f>
        <v>0.44437529007831617</v>
      </c>
      <c r="P67" s="126">
        <f>Thresholds!I67/Thresholds!I$68</f>
        <v>0.4381280144708205</v>
      </c>
      <c r="Q67" s="123"/>
      <c r="R67" s="123" t="s">
        <v>137</v>
      </c>
      <c r="S67" s="126">
        <f>INDEX(Thresholds!$L67:$P67,1,S$62)</f>
        <v>0.46907307075181254</v>
      </c>
      <c r="T67" s="126">
        <f>INDEX(Thresholds!$L67:$P67,1,T$62)</f>
        <v>0.45437189887885532</v>
      </c>
      <c r="U67" s="126">
        <f>INDEX(Thresholds!$L67:$P67,1,U$62)</f>
        <v>0.44437529007831617</v>
      </c>
      <c r="V67" s="126">
        <f>INDEX(Thresholds!$L67:$P67,1,V$62)</f>
        <v>0.44005353866272306</v>
      </c>
      <c r="W67" s="126">
        <f>INDEX(Thresholds!$L67:$P67,1,W$62)</f>
        <v>0.4381280144708205</v>
      </c>
      <c r="X67" s="123"/>
      <c r="Y67" s="22"/>
      <c r="Z67" s="22"/>
      <c r="AA67" s="22"/>
      <c r="AB67" s="22"/>
      <c r="AC67" s="22"/>
      <c r="AD67" s="22"/>
      <c r="AE67" s="22"/>
      <c r="AF67" s="22"/>
      <c r="AG67" s="22"/>
      <c r="AH67" s="22"/>
      <c r="AI67" s="22"/>
      <c r="AJ67" s="22"/>
      <c r="AK67" s="22"/>
      <c r="AL67" s="22"/>
    </row>
    <row r="68" spans="1:38" x14ac:dyDescent="0.3">
      <c r="A68" s="22"/>
      <c r="B68" s="123"/>
      <c r="C68" s="123"/>
      <c r="D68" s="123">
        <f t="shared" ref="D68:I68" si="4">SUM(D64:D67)</f>
        <v>8040.6246951855501</v>
      </c>
      <c r="E68" s="123">
        <f t="shared" si="4"/>
        <v>8040.6246951855501</v>
      </c>
      <c r="F68" s="123">
        <f t="shared" si="4"/>
        <v>3915.6103843691662</v>
      </c>
      <c r="G68" s="123">
        <f t="shared" si="4"/>
        <v>5398.5405490091343</v>
      </c>
      <c r="H68" s="123">
        <f t="shared" si="4"/>
        <v>7267.6062599347324</v>
      </c>
      <c r="I68" s="123">
        <f t="shared" si="4"/>
        <v>9648.4940870360624</v>
      </c>
      <c r="J68" s="123"/>
      <c r="K68" s="123"/>
      <c r="L68" s="123"/>
      <c r="M68" s="123"/>
      <c r="N68" s="123"/>
      <c r="O68" s="123"/>
      <c r="P68" s="123"/>
      <c r="Q68" s="123"/>
      <c r="R68" s="123"/>
      <c r="S68" s="123"/>
      <c r="T68" s="123"/>
      <c r="U68" s="123"/>
      <c r="V68" s="123"/>
      <c r="W68" s="123"/>
      <c r="X68" s="123"/>
      <c r="Y68" s="22"/>
      <c r="Z68" s="22"/>
      <c r="AA68" s="22"/>
      <c r="AB68" s="22"/>
      <c r="AC68" s="22"/>
      <c r="AD68" s="22"/>
      <c r="AE68" s="22"/>
      <c r="AF68" s="22"/>
      <c r="AG68" s="22"/>
      <c r="AH68" s="22"/>
      <c r="AI68" s="22"/>
      <c r="AJ68" s="22"/>
      <c r="AK68" s="22"/>
      <c r="AL68" s="22"/>
    </row>
    <row r="69" spans="1:38" x14ac:dyDescent="0.3">
      <c r="A69" s="22"/>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22"/>
      <c r="Z69" s="22"/>
      <c r="AA69" s="22"/>
      <c r="AB69" s="22"/>
      <c r="AC69" s="22"/>
      <c r="AD69" s="22"/>
      <c r="AE69" s="22"/>
      <c r="AF69" s="22"/>
      <c r="AG69" s="22"/>
      <c r="AH69" s="22"/>
      <c r="AI69" s="22"/>
      <c r="AJ69" s="22"/>
      <c r="AK69" s="22"/>
      <c r="AL69" s="22"/>
    </row>
    <row r="70" spans="1:38" x14ac:dyDescent="0.3">
      <c r="A70" s="22"/>
      <c r="B70" s="123"/>
      <c r="C70" s="123"/>
      <c r="D70" s="123"/>
      <c r="E70" s="123">
        <f>E8</f>
        <v>50</v>
      </c>
      <c r="F70" s="123">
        <f>G8</f>
        <v>150</v>
      </c>
      <c r="G70" s="123">
        <f>I8</f>
        <v>250</v>
      </c>
      <c r="H70" s="123">
        <f>K8</f>
        <v>350</v>
      </c>
      <c r="I70" s="123">
        <f>M8</f>
        <v>450</v>
      </c>
      <c r="J70" s="123">
        <f>O8</f>
        <v>550</v>
      </c>
      <c r="K70" s="123"/>
      <c r="L70" s="123"/>
      <c r="M70" s="123"/>
      <c r="N70" s="123"/>
      <c r="O70" s="123"/>
      <c r="P70" s="123"/>
      <c r="Q70" s="123"/>
      <c r="R70" s="123"/>
      <c r="S70" s="123">
        <f>Thresholds!E70</f>
        <v>50</v>
      </c>
      <c r="T70" s="123">
        <f>Thresholds!F70</f>
        <v>150</v>
      </c>
      <c r="U70" s="123">
        <f>Thresholds!G70</f>
        <v>250</v>
      </c>
      <c r="V70" s="123">
        <f>Thresholds!H70</f>
        <v>350</v>
      </c>
      <c r="W70" s="123">
        <f>Thresholds!I70</f>
        <v>450</v>
      </c>
      <c r="X70" s="123">
        <f>Thresholds!J70</f>
        <v>550</v>
      </c>
      <c r="Y70" s="22"/>
      <c r="Z70" s="22"/>
      <c r="AA70" s="22"/>
      <c r="AB70" s="22"/>
      <c r="AC70" s="22"/>
      <c r="AD70" s="22"/>
      <c r="AE70" s="22"/>
      <c r="AF70" s="22"/>
      <c r="AG70" s="22"/>
      <c r="AH70" s="22"/>
      <c r="AI70" s="22"/>
      <c r="AJ70" s="22"/>
      <c r="AK70" s="22"/>
      <c r="AL70" s="22"/>
    </row>
    <row r="71" spans="1:38" x14ac:dyDescent="0.3">
      <c r="A71" s="22"/>
      <c r="B71" s="123" t="s">
        <v>38</v>
      </c>
      <c r="C71" s="123"/>
      <c r="D71" s="123">
        <f>-CashFlow!J16</f>
        <v>2564.8951772646874</v>
      </c>
      <c r="E71" s="123">
        <f t="dataTable" ref="E71:J74" dt2D="0" dtr="1" r1="E2" ca="1"/>
        <v>49.511980874307142</v>
      </c>
      <c r="F71" s="123">
        <v>1024.8144339603411</v>
      </c>
      <c r="G71" s="123">
        <v>2054.1399446361888</v>
      </c>
      <c r="H71" s="123">
        <v>3075.668406472289</v>
      </c>
      <c r="I71" s="123">
        <v>4126.1244134363033</v>
      </c>
      <c r="J71" s="123">
        <v>5185.629990036894</v>
      </c>
      <c r="K71" s="123"/>
      <c r="L71" s="123"/>
      <c r="M71" s="123"/>
      <c r="N71" s="123"/>
      <c r="O71" s="123"/>
      <c r="P71" s="123"/>
      <c r="Q71" s="123"/>
      <c r="R71" s="123" t="s">
        <v>38</v>
      </c>
      <c r="S71" s="126">
        <f>Thresholds!E71/Thresholds!E$75</f>
        <v>9.2314093030958971E-2</v>
      </c>
      <c r="T71" s="126">
        <f>Thresholds!F71/Thresholds!F$75</f>
        <v>0.28985471190798529</v>
      </c>
      <c r="U71" s="126">
        <f>Thresholds!G71/Thresholds!G$75</f>
        <v>0.31370268184787642</v>
      </c>
      <c r="V71" s="126">
        <f>Thresholds!H71/Thresholds!H$75</f>
        <v>0.32209444809904014</v>
      </c>
      <c r="W71" s="126">
        <f>Thresholds!I71/Thresholds!I$75</f>
        <v>0.32657331224388492</v>
      </c>
      <c r="X71" s="126">
        <f>Thresholds!J71/Thresholds!J$75</f>
        <v>0.32842865911036245</v>
      </c>
      <c r="Y71" s="80"/>
      <c r="Z71" s="80"/>
      <c r="AA71" s="80"/>
      <c r="AB71" s="80"/>
      <c r="AC71" s="80"/>
      <c r="AD71" s="22"/>
      <c r="AE71" s="22"/>
      <c r="AF71" s="22"/>
      <c r="AG71" s="22"/>
      <c r="AH71" s="22"/>
      <c r="AI71" s="22"/>
      <c r="AJ71" s="22"/>
      <c r="AK71" s="22"/>
      <c r="AL71" s="22"/>
    </row>
    <row r="72" spans="1:38" x14ac:dyDescent="0.3">
      <c r="A72" s="22"/>
      <c r="B72" s="123" t="s">
        <v>135</v>
      </c>
      <c r="C72" s="123"/>
      <c r="D72" s="123">
        <f>-CashFlow!J17</f>
        <v>886.06877904461032</v>
      </c>
      <c r="E72" s="123">
        <v>87.342800818341317</v>
      </c>
      <c r="F72" s="123">
        <v>411.68001797167756</v>
      </c>
      <c r="G72" s="123">
        <v>728.97720537078669</v>
      </c>
      <c r="H72" s="123">
        <v>1045.6794092487298</v>
      </c>
      <c r="I72" s="123">
        <v>1371.3087588021149</v>
      </c>
      <c r="J72" s="123">
        <v>1706.5253066115995</v>
      </c>
      <c r="K72" s="123"/>
      <c r="L72" s="123"/>
      <c r="M72" s="123"/>
      <c r="N72" s="123"/>
      <c r="O72" s="123"/>
      <c r="P72" s="123"/>
      <c r="Q72" s="123"/>
      <c r="R72" s="123" t="s">
        <v>135</v>
      </c>
      <c r="S72" s="126">
        <f>Thresholds!E72/Thresholds!E$75</f>
        <v>0.16284889632668553</v>
      </c>
      <c r="T72" s="126">
        <f>Thresholds!F72/Thresholds!F$75</f>
        <v>0.11643804873660923</v>
      </c>
      <c r="U72" s="126">
        <f>Thresholds!G72/Thresholds!G$75</f>
        <v>0.11132742193535802</v>
      </c>
      <c r="V72" s="126">
        <f>Thresholds!H72/Thresholds!H$75</f>
        <v>0.10950710144882275</v>
      </c>
      <c r="W72" s="126">
        <f>Thresholds!I72/Thresholds!I$75</f>
        <v>0.108535952530354</v>
      </c>
      <c r="X72" s="126">
        <f>Thresholds!J72/Thresholds!J$75</f>
        <v>0.10808172184771714</v>
      </c>
      <c r="Y72" s="80"/>
      <c r="Z72" s="80"/>
      <c r="AA72" s="80"/>
      <c r="AB72" s="80"/>
      <c r="AC72" s="80"/>
      <c r="AD72" s="22"/>
      <c r="AE72" s="22"/>
      <c r="AF72" s="22"/>
      <c r="AG72" s="22"/>
      <c r="AH72" s="22"/>
      <c r="AI72" s="22"/>
      <c r="AJ72" s="22"/>
      <c r="AK72" s="22"/>
      <c r="AL72" s="22"/>
    </row>
    <row r="73" spans="1:38" x14ac:dyDescent="0.3">
      <c r="A73" s="22"/>
      <c r="B73" s="123" t="s">
        <v>136</v>
      </c>
      <c r="C73" s="123"/>
      <c r="D73" s="123">
        <f>-CashFlow!J18</f>
        <v>1051.3553887009716</v>
      </c>
      <c r="E73" s="123">
        <v>102.92432638473485</v>
      </c>
      <c r="F73" s="123">
        <v>488.01873492686428</v>
      </c>
      <c r="G73" s="123">
        <v>864.80914496330627</v>
      </c>
      <c r="H73" s="123">
        <v>1240.8930120683635</v>
      </c>
      <c r="I73" s="123">
        <v>1627.5778646630092</v>
      </c>
      <c r="J73" s="123">
        <v>2025.6475151867724</v>
      </c>
      <c r="K73" s="123"/>
      <c r="L73" s="123"/>
      <c r="M73" s="123"/>
      <c r="N73" s="123"/>
      <c r="O73" s="123"/>
      <c r="P73" s="123"/>
      <c r="Q73" s="123"/>
      <c r="R73" s="123" t="s">
        <v>136</v>
      </c>
      <c r="S73" s="126">
        <f>Thresholds!E73/Thresholds!E$75</f>
        <v>0.19190033751931074</v>
      </c>
      <c r="T73" s="126">
        <f>Thresholds!F73/Thresholds!F$75</f>
        <v>0.13802940818395984</v>
      </c>
      <c r="U73" s="126">
        <f>Thresholds!G73/Thresholds!G$75</f>
        <v>0.13207130739556652</v>
      </c>
      <c r="V73" s="126">
        <f>Thresholds!H73/Thresholds!H$75</f>
        <v>0.12995053336407711</v>
      </c>
      <c r="W73" s="126">
        <f>Thresholds!I73/Thresholds!I$75</f>
        <v>0.12881906625669753</v>
      </c>
      <c r="X73" s="126">
        <f>Thresholds!J73/Thresholds!J$75</f>
        <v>0.12829312899709913</v>
      </c>
      <c r="Y73" s="80"/>
      <c r="Z73" s="80"/>
      <c r="AA73" s="80"/>
      <c r="AB73" s="80"/>
      <c r="AC73" s="80"/>
      <c r="AD73" s="22"/>
      <c r="AE73" s="22"/>
      <c r="AF73" s="22"/>
      <c r="AG73" s="22"/>
      <c r="AH73" s="22"/>
      <c r="AI73" s="22"/>
      <c r="AJ73" s="22"/>
      <c r="AK73" s="22"/>
      <c r="AL73" s="22"/>
    </row>
    <row r="74" spans="1:38" x14ac:dyDescent="0.3">
      <c r="A74" s="22"/>
      <c r="B74" s="123" t="s">
        <v>137</v>
      </c>
      <c r="C74" s="123"/>
      <c r="D74" s="123">
        <f>CashFlow!J21</f>
        <v>3538.3053501752802</v>
      </c>
      <c r="E74" s="123">
        <v>296.5634941047399</v>
      </c>
      <c r="F74" s="123">
        <v>1611.1010083164902</v>
      </c>
      <c r="G74" s="123">
        <v>2900.1208321253716</v>
      </c>
      <c r="H74" s="123">
        <v>4186.7235353795168</v>
      </c>
      <c r="I74" s="123">
        <v>5509.5927679401448</v>
      </c>
      <c r="J74" s="123">
        <v>6871.4099934161732</v>
      </c>
      <c r="K74" s="123"/>
      <c r="L74" s="123"/>
      <c r="M74" s="123"/>
      <c r="N74" s="123"/>
      <c r="O74" s="123"/>
      <c r="P74" s="123"/>
      <c r="Q74" s="123"/>
      <c r="R74" s="123" t="s">
        <v>137</v>
      </c>
      <c r="S74" s="126">
        <f>Thresholds!E74/Thresholds!E$75</f>
        <v>0.55293667312304484</v>
      </c>
      <c r="T74" s="126">
        <f>Thresholds!F74/Thresholds!F$75</f>
        <v>0.45567783117144556</v>
      </c>
      <c r="U74" s="126">
        <f>Thresholds!G74/Thresholds!G$75</f>
        <v>0.44289858882119909</v>
      </c>
      <c r="V74" s="126">
        <f>Thresholds!H74/Thresholds!H$75</f>
        <v>0.43844791708805991</v>
      </c>
      <c r="W74" s="126">
        <f>Thresholds!I74/Thresholds!I$75</f>
        <v>0.43607166896906352</v>
      </c>
      <c r="X74" s="126">
        <f>Thresholds!J74/Thresholds!J$75</f>
        <v>0.43519649004482136</v>
      </c>
      <c r="Y74" s="80"/>
      <c r="Z74" s="80"/>
      <c r="AA74" s="80"/>
      <c r="AB74" s="80"/>
      <c r="AC74" s="80"/>
      <c r="AD74" s="22"/>
      <c r="AE74" s="22"/>
      <c r="AF74" s="22"/>
      <c r="AG74" s="22"/>
      <c r="AH74" s="22"/>
      <c r="AI74" s="22"/>
      <c r="AJ74" s="22"/>
      <c r="AK74" s="22"/>
      <c r="AL74" s="22"/>
    </row>
    <row r="75" spans="1:38" x14ac:dyDescent="0.3">
      <c r="A75" s="22"/>
      <c r="B75" s="123"/>
      <c r="C75" s="123"/>
      <c r="D75" s="127"/>
      <c r="E75" s="123">
        <f t="shared" ref="E75:J75" si="5">SUM(E71:E74)</f>
        <v>536.34260218212319</v>
      </c>
      <c r="F75" s="123">
        <f t="shared" si="5"/>
        <v>3535.6141951753734</v>
      </c>
      <c r="G75" s="123">
        <f t="shared" si="5"/>
        <v>6548.0471270956532</v>
      </c>
      <c r="H75" s="123">
        <f t="shared" si="5"/>
        <v>9548.9643631688996</v>
      </c>
      <c r="I75" s="123">
        <f t="shared" si="5"/>
        <v>12634.603804841572</v>
      </c>
      <c r="J75" s="123">
        <f t="shared" si="5"/>
        <v>15789.212805251438</v>
      </c>
      <c r="K75" s="123"/>
      <c r="L75" s="123"/>
      <c r="M75" s="123"/>
      <c r="N75" s="123"/>
      <c r="O75" s="123"/>
      <c r="P75" s="123"/>
      <c r="Q75" s="123"/>
      <c r="R75" s="123"/>
      <c r="S75" s="123"/>
      <c r="T75" s="123"/>
      <c r="U75" s="123"/>
      <c r="V75" s="123"/>
      <c r="W75" s="123"/>
      <c r="X75" s="123"/>
      <c r="Y75" s="22"/>
      <c r="Z75" s="22"/>
      <c r="AA75" s="22"/>
      <c r="AB75" s="22"/>
      <c r="AC75" s="22"/>
      <c r="AD75" s="22"/>
      <c r="AE75" s="22"/>
      <c r="AF75" s="22"/>
      <c r="AG75" s="22"/>
      <c r="AH75" s="22"/>
      <c r="AI75" s="22"/>
      <c r="AJ75" s="22"/>
      <c r="AK75" s="22"/>
      <c r="AL75" s="22"/>
    </row>
  </sheetData>
  <sheetProtection password="8BC3" sheet="1" objects="1" scenarios="1"/>
  <mergeCells count="6">
    <mergeCell ref="D33:K38"/>
    <mergeCell ref="A6:B6"/>
    <mergeCell ref="A11:B11"/>
    <mergeCell ref="A17:B17"/>
    <mergeCell ref="A34:B34"/>
    <mergeCell ref="A22:B22"/>
  </mergeCells>
  <conditionalFormatting sqref="E26:I30 E17:K21 E9:O13">
    <cfRule type="containsText" dxfId="5" priority="4" stopIfTrue="1" operator="containsText" text="Uneconomic">
      <formula>NOT(ISERROR(SEARCH("Uneconomic",E9)))</formula>
    </cfRule>
  </conditionalFormatting>
  <conditionalFormatting sqref="E26:I30 E17:K21 E9:O13">
    <cfRule type="cellIs" dxfId="4" priority="2" stopIfTrue="1" operator="greaterThan">
      <formula>0</formula>
    </cfRule>
    <cfRule type="cellIs" dxfId="3" priority="3" stopIfTrue="1" operator="lessThan">
      <formula>0</formula>
    </cfRule>
  </conditionalFormatting>
  <dataValidations count="3">
    <dataValidation type="decimal" allowBlank="1" showInputMessage="1" showErrorMessage="1" sqref="E3">
      <formula1>0</formula1>
      <formula2>10000</formula2>
    </dataValidation>
    <dataValidation type="decimal" allowBlank="1" showInputMessage="1" showErrorMessage="1" sqref="E2">
      <formula1>0</formula1>
      <formula2>1500</formula2>
    </dataValidation>
    <dataValidation type="list" allowBlank="1" showInputMessage="1" showErrorMessage="1" promptTitle="Select Economic Scenario" sqref="E24:I24">
      <formula1>scenarios</formula1>
    </dataValidation>
  </dataValidations>
  <hyperlinks>
    <hyperlink ref="C5" location="Guide" display="Guide"/>
    <hyperlink ref="C6" location="Input" display="Input"/>
  </hyperlinks>
  <pageMargins left="0.7" right="0.7" top="0.75" bottom="0.75" header="0.3" footer="0.3"/>
  <pageSetup paperSize="9" scale="48" orientation="landscape" horizontalDpi="300" r:id="rId1"/>
  <headerFooter>
    <oddFooter>&amp;LNova Scotia Exploration Economics Model&amp;Rwww.indeva.com</oddFooter>
  </headerFooter>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AM168"/>
  <sheetViews>
    <sheetView showGridLines="0" showRowColHeaders="0" zoomScale="70" zoomScaleNormal="70" workbookViewId="0">
      <pane xSplit="3" ySplit="2" topLeftCell="D3" activePane="bottomRight" state="frozen"/>
      <selection activeCell="D43" sqref="D43"/>
      <selection pane="topRight" activeCell="D43" sqref="D43"/>
      <selection pane="bottomLeft" activeCell="D43" sqref="D43"/>
      <selection pane="bottomRight" activeCell="B29" sqref="B29:C29"/>
    </sheetView>
  </sheetViews>
  <sheetFormatPr defaultRowHeight="14.4" x14ac:dyDescent="0.3"/>
  <cols>
    <col min="1" max="1" width="35" customWidth="1"/>
    <col min="2" max="2" width="14.5546875" customWidth="1"/>
    <col min="3" max="3" width="14.6640625" customWidth="1"/>
    <col min="4" max="4" width="18.88671875" customWidth="1"/>
    <col min="5" max="5" width="9.109375" customWidth="1"/>
    <col min="6" max="6" width="8.44140625" customWidth="1"/>
    <col min="7" max="7" width="27.44140625" customWidth="1"/>
    <col min="8" max="8" width="12.44140625" hidden="1" customWidth="1"/>
    <col min="9" max="9" width="12" customWidth="1"/>
    <col min="26" max="26" width="9.44140625" bestFit="1" customWidth="1"/>
    <col min="27" max="27" width="9.33203125" bestFit="1" customWidth="1"/>
  </cols>
  <sheetData>
    <row r="1" spans="1:39" ht="23.25" x14ac:dyDescent="0.35">
      <c r="A1" s="377" t="str">
        <f>Thresholds!A5</f>
        <v>Prospect X</v>
      </c>
      <c r="B1" s="22"/>
      <c r="C1" s="22"/>
      <c r="D1" s="144" t="s">
        <v>769</v>
      </c>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125"/>
    </row>
    <row r="2" spans="1:39" ht="24" customHeight="1" x14ac:dyDescent="0.3">
      <c r="A2" s="378" t="s">
        <v>0</v>
      </c>
      <c r="B2" s="379" t="s">
        <v>116</v>
      </c>
      <c r="C2" s="379" t="s">
        <v>117</v>
      </c>
      <c r="D2" s="144" t="s">
        <v>143</v>
      </c>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125"/>
    </row>
    <row r="3" spans="1:39" ht="15.75" x14ac:dyDescent="0.25">
      <c r="A3" s="308" t="s">
        <v>111</v>
      </c>
      <c r="B3" s="19">
        <v>-0.2</v>
      </c>
      <c r="C3" s="19">
        <v>0.4</v>
      </c>
      <c r="D3" s="380"/>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125"/>
    </row>
    <row r="4" spans="1:39" ht="15.75" x14ac:dyDescent="0.25">
      <c r="A4" s="308" t="s">
        <v>759</v>
      </c>
      <c r="B4" s="20">
        <v>-0.3</v>
      </c>
      <c r="C4" s="20">
        <v>0.3</v>
      </c>
      <c r="D4" s="380"/>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125"/>
    </row>
    <row r="5" spans="1:39" ht="15.75" x14ac:dyDescent="0.25">
      <c r="A5" s="308" t="s">
        <v>118</v>
      </c>
      <c r="B5" s="20">
        <v>-0.3</v>
      </c>
      <c r="C5" s="20">
        <v>0.3</v>
      </c>
      <c r="D5" s="381"/>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125"/>
    </row>
    <row r="6" spans="1:39" ht="15.75" x14ac:dyDescent="0.25">
      <c r="A6" s="308" t="s">
        <v>119</v>
      </c>
      <c r="B6" s="20">
        <v>-0.25</v>
      </c>
      <c r="C6" s="20">
        <v>0.3</v>
      </c>
      <c r="D6" s="381"/>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125"/>
    </row>
    <row r="7" spans="1:39" ht="15.75" x14ac:dyDescent="0.25">
      <c r="A7" s="308" t="s">
        <v>120</v>
      </c>
      <c r="B7" s="20">
        <v>-0.25</v>
      </c>
      <c r="C7" s="20">
        <v>0.3</v>
      </c>
      <c r="D7" s="381"/>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125"/>
    </row>
    <row r="8" spans="1:39" ht="15.75" x14ac:dyDescent="0.25">
      <c r="A8" s="308" t="s">
        <v>121</v>
      </c>
      <c r="B8" s="20">
        <v>-0.5</v>
      </c>
      <c r="C8" s="20">
        <v>0.5</v>
      </c>
      <c r="D8" s="381"/>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125"/>
    </row>
    <row r="9" spans="1:39" ht="15.75" x14ac:dyDescent="0.25">
      <c r="A9" s="308" t="s">
        <v>122</v>
      </c>
      <c r="B9" s="20">
        <v>-0.2</v>
      </c>
      <c r="C9" s="20">
        <v>0.3</v>
      </c>
      <c r="D9" s="381"/>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125"/>
    </row>
    <row r="10" spans="1:39" ht="18.75" x14ac:dyDescent="0.3">
      <c r="A10" s="554" t="s">
        <v>123</v>
      </c>
      <c r="B10" s="554"/>
      <c r="C10" s="543"/>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125"/>
    </row>
    <row r="11" spans="1:39" ht="14.25" customHeight="1" x14ac:dyDescent="0.25">
      <c r="A11" s="308" t="str">
        <f>Thresholds!A7</f>
        <v>Discount Rate</v>
      </c>
      <c r="B11" s="550">
        <f>Thresholds!B7</f>
        <v>0.1</v>
      </c>
      <c r="C11" s="551"/>
      <c r="D11" s="382"/>
      <c r="E11" s="22"/>
      <c r="F11" s="22"/>
      <c r="G11" s="383"/>
      <c r="H11" s="384"/>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125"/>
    </row>
    <row r="12" spans="1:39" ht="15.75" x14ac:dyDescent="0.25">
      <c r="A12" s="308" t="str">
        <f>Thresholds!A8</f>
        <v>Discount To</v>
      </c>
      <c r="B12" s="561">
        <f ca="1">Thresholds!B8</f>
        <v>41153</v>
      </c>
      <c r="C12" s="562"/>
      <c r="D12" s="385"/>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125"/>
    </row>
    <row r="13" spans="1:39" ht="15.75" x14ac:dyDescent="0.25">
      <c r="A13" s="308" t="str">
        <f>Thresholds!A9</f>
        <v>Economic Scenario</v>
      </c>
      <c r="B13" s="552" t="str">
        <f>Thresholds!B9</f>
        <v>Flat Real</v>
      </c>
      <c r="C13" s="553"/>
      <c r="D13" s="386"/>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125"/>
    </row>
    <row r="14" spans="1:39" ht="15.75" x14ac:dyDescent="0.25">
      <c r="A14" s="308" t="str">
        <f>Thresholds!A10</f>
        <v>Cost Set</v>
      </c>
      <c r="B14" s="552" t="str">
        <f>Thresholds!B10</f>
        <v>NS DOE</v>
      </c>
      <c r="C14" s="553"/>
      <c r="D14" s="386"/>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125"/>
    </row>
    <row r="15" spans="1:39" ht="18.75" x14ac:dyDescent="0.3">
      <c r="A15" s="542" t="str">
        <f>Thresholds!A11</f>
        <v>Project Parameters</v>
      </c>
      <c r="B15" s="554"/>
      <c r="C15" s="543"/>
      <c r="D15" s="386"/>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125"/>
    </row>
    <row r="16" spans="1:39" ht="15.75" x14ac:dyDescent="0.25">
      <c r="A16" s="308" t="str">
        <f>Thresholds!A12</f>
        <v>Start Date</v>
      </c>
      <c r="B16" s="561">
        <f>Thresholds!B12</f>
        <v>41091</v>
      </c>
      <c r="C16" s="562"/>
      <c r="D16" s="385"/>
      <c r="E16" s="21"/>
      <c r="F16" s="21"/>
      <c r="G16" s="21"/>
      <c r="H16" s="21"/>
      <c r="I16" s="21"/>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125"/>
    </row>
    <row r="17" spans="1:39" ht="15.75" x14ac:dyDescent="0.25">
      <c r="A17" s="308" t="s">
        <v>124</v>
      </c>
      <c r="B17" s="561" t="str">
        <f>Input!B9</f>
        <v>Wildcat</v>
      </c>
      <c r="C17" s="562"/>
      <c r="D17" s="385"/>
      <c r="E17" s="21"/>
      <c r="F17" s="21"/>
      <c r="G17" s="21"/>
      <c r="H17" s="21"/>
      <c r="I17" s="21"/>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125"/>
    </row>
    <row r="18" spans="1:39" ht="15.75" x14ac:dyDescent="0.25">
      <c r="A18" s="308" t="str">
        <f>Thresholds!A13</f>
        <v>Development Method</v>
      </c>
      <c r="B18" s="555" t="str">
        <f>Thresholds!B13</f>
        <v>FPSO</v>
      </c>
      <c r="C18" s="556"/>
      <c r="D18" s="387"/>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row>
    <row r="19" spans="1:39" ht="15.75" x14ac:dyDescent="0.25">
      <c r="A19" s="308" t="str">
        <f>Thresholds!A14</f>
        <v>Gas Disposal</v>
      </c>
      <c r="B19" s="555" t="str">
        <f>Thresholds!B14</f>
        <v>To Infrastructure</v>
      </c>
      <c r="C19" s="556"/>
      <c r="D19" s="21"/>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row>
    <row r="20" spans="1:39" ht="15.75" x14ac:dyDescent="0.25">
      <c r="A20" s="308" t="str">
        <f>Thresholds!A15</f>
        <v>Gas Export Distance (km)</v>
      </c>
      <c r="B20" s="563">
        <f>Thresholds!B15</f>
        <v>250</v>
      </c>
      <c r="C20" s="564"/>
      <c r="D20" s="388"/>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row>
    <row r="21" spans="1:39" ht="15.75" x14ac:dyDescent="0.25">
      <c r="A21" s="308" t="str">
        <f>Thresholds!A16</f>
        <v>Pipeline Percent Deepwater</v>
      </c>
      <c r="B21" s="557">
        <f>Thresholds!B16</f>
        <v>0.3</v>
      </c>
      <c r="C21" s="557"/>
      <c r="D21" s="386"/>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row>
    <row r="22" spans="1:39" ht="18.75" x14ac:dyDescent="0.3">
      <c r="A22" s="542" t="str">
        <f>Thresholds!A17</f>
        <v>Risk Parameters</v>
      </c>
      <c r="B22" s="554"/>
      <c r="C22" s="543"/>
      <c r="D22" s="38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125"/>
    </row>
    <row r="23" spans="1:39" ht="15.75" x14ac:dyDescent="0.25">
      <c r="A23" s="308" t="str">
        <f>Thresholds!A18</f>
        <v>Seismic</v>
      </c>
      <c r="B23" s="550">
        <f>Thresholds!B18</f>
        <v>1</v>
      </c>
      <c r="C23" s="551"/>
      <c r="D23" s="38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125"/>
    </row>
    <row r="24" spans="1:39" ht="15.75" x14ac:dyDescent="0.25">
      <c r="A24" s="308" t="str">
        <f>Thresholds!A19</f>
        <v>Wildcat</v>
      </c>
      <c r="B24" s="550">
        <f>Thresholds!B19</f>
        <v>0.35</v>
      </c>
      <c r="C24" s="551"/>
      <c r="D24" s="38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125"/>
    </row>
    <row r="25" spans="1:39" ht="15.75" x14ac:dyDescent="0.25">
      <c r="A25" s="308" t="str">
        <f>Thresholds!A20</f>
        <v>Appraisal</v>
      </c>
      <c r="B25" s="550">
        <f>Thresholds!B20</f>
        <v>0.75</v>
      </c>
      <c r="C25" s="551"/>
      <c r="D25" s="38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125"/>
    </row>
    <row r="26" spans="1:39" ht="15.75" x14ac:dyDescent="0.25">
      <c r="A26" s="308" t="str">
        <f>Thresholds!A21</f>
        <v>Development Planning</v>
      </c>
      <c r="B26" s="550">
        <f>Thresholds!B21</f>
        <v>1</v>
      </c>
      <c r="C26" s="551"/>
      <c r="D26" s="386"/>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125"/>
    </row>
    <row r="27" spans="1:39" ht="18.75" x14ac:dyDescent="0.3">
      <c r="A27" s="542" t="str">
        <f>Thresholds!A22</f>
        <v>Technical Parameters</v>
      </c>
      <c r="B27" s="554"/>
      <c r="C27" s="543"/>
      <c r="D27" s="386"/>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125"/>
    </row>
    <row r="28" spans="1:39" ht="15.75" x14ac:dyDescent="0.25">
      <c r="A28" s="308" t="str">
        <f>Thresholds!A23</f>
        <v>Product Type</v>
      </c>
      <c r="B28" s="552" t="str">
        <f>Thresholds!B23</f>
        <v>Oil</v>
      </c>
      <c r="C28" s="553"/>
      <c r="D28" s="386"/>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125"/>
    </row>
    <row r="29" spans="1:39" ht="15.75" x14ac:dyDescent="0.25">
      <c r="A29" s="308" t="str">
        <f>Thresholds!A24</f>
        <v>Mean Reserves (mmbbl)</v>
      </c>
      <c r="B29" s="552">
        <f>Thresholds!B24</f>
        <v>300</v>
      </c>
      <c r="C29" s="553"/>
      <c r="D29" s="386"/>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125"/>
    </row>
    <row r="30" spans="1:39" ht="15.75" x14ac:dyDescent="0.25">
      <c r="A30" s="308" t="str">
        <f>Thresholds!A25</f>
        <v>Reservoir Depth (m MSL)</v>
      </c>
      <c r="B30" s="552">
        <f>Thresholds!B25</f>
        <v>4500</v>
      </c>
      <c r="C30" s="553"/>
      <c r="D30" s="386"/>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125"/>
    </row>
    <row r="31" spans="1:39" ht="15.75" x14ac:dyDescent="0.25">
      <c r="A31" s="308" t="str">
        <f>Thresholds!A27</f>
        <v>Reservoir Complexity</v>
      </c>
      <c r="B31" s="552" t="str">
        <f>Thresholds!B27</f>
        <v>Medium</v>
      </c>
      <c r="C31" s="553"/>
      <c r="D31" s="21"/>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125"/>
    </row>
    <row r="32" spans="1:39" ht="15.75" x14ac:dyDescent="0.25">
      <c r="A32" s="308" t="str">
        <f>Thresholds!A28</f>
        <v xml:space="preserve">Areal Extent Factor </v>
      </c>
      <c r="B32" s="552" t="str">
        <f>Thresholds!B28</f>
        <v>Medium</v>
      </c>
      <c r="C32" s="553"/>
      <c r="D32" s="21"/>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125"/>
    </row>
    <row r="33" spans="1:39" ht="15.6" x14ac:dyDescent="0.3">
      <c r="A33" s="308" t="str">
        <f>Thresholds!A29</f>
        <v>Reservoir Pressure</v>
      </c>
      <c r="B33" s="552" t="str">
        <f>Thresholds!B29</f>
        <v>Normally Pressured</v>
      </c>
      <c r="C33" s="553"/>
      <c r="D33" s="21"/>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125"/>
    </row>
    <row r="34" spans="1:39" ht="15.6" x14ac:dyDescent="0.3">
      <c r="A34" s="308" t="str">
        <f>Thresholds!A30</f>
        <v>Gas Calorific Value (btu/scf)</v>
      </c>
      <c r="B34" s="552">
        <f>Thresholds!B30</f>
        <v>1040</v>
      </c>
      <c r="C34" s="553"/>
      <c r="D34" s="21"/>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125"/>
    </row>
    <row r="35" spans="1:39" ht="15.6" x14ac:dyDescent="0.3">
      <c r="A35" s="308" t="str">
        <f>Thresholds!A31</f>
        <v>Liquid Yield (bbl/mcf)</v>
      </c>
      <c r="B35" s="552">
        <f>Thresholds!B31</f>
        <v>3333.3</v>
      </c>
      <c r="C35" s="553"/>
      <c r="D35" s="21"/>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125"/>
    </row>
    <row r="36" spans="1:39" ht="16.2" thickBot="1" x14ac:dyDescent="0.35">
      <c r="A36" s="308" t="str">
        <f>Input!A30</f>
        <v>Gas Type</v>
      </c>
      <c r="B36" s="552" t="str">
        <f>Thresholds!B32</f>
        <v>Sweet</v>
      </c>
      <c r="C36" s="553"/>
      <c r="D36" s="21"/>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125"/>
    </row>
    <row r="37" spans="1:39" ht="15.6" x14ac:dyDescent="0.3">
      <c r="A37" s="308" t="str">
        <f>Thresholds!A33</f>
        <v>Water Depth (metres)</v>
      </c>
      <c r="B37" s="552">
        <f>Thresholds!B33</f>
        <v>2000</v>
      </c>
      <c r="C37" s="553"/>
      <c r="D37" s="21"/>
      <c r="E37" s="22"/>
      <c r="F37" s="558" t="s">
        <v>790</v>
      </c>
      <c r="G37" s="559"/>
      <c r="H37" s="559"/>
      <c r="I37" s="559"/>
      <c r="J37" s="559"/>
      <c r="K37" s="559"/>
      <c r="L37" s="559"/>
      <c r="M37" s="559"/>
      <c r="N37" s="559"/>
      <c r="O37" s="559"/>
      <c r="P37" s="559"/>
      <c r="Q37" s="559"/>
      <c r="R37" s="559"/>
      <c r="S37" s="559"/>
      <c r="T37" s="560"/>
      <c r="U37" s="22"/>
      <c r="V37" s="22"/>
      <c r="W37" s="22"/>
      <c r="X37" s="22"/>
      <c r="Y37" s="22"/>
      <c r="Z37" s="22"/>
      <c r="AA37" s="22"/>
      <c r="AB37" s="22"/>
      <c r="AC37" s="22"/>
      <c r="AD37" s="22"/>
      <c r="AE37" s="22"/>
      <c r="AF37" s="22"/>
      <c r="AG37" s="22"/>
      <c r="AH37" s="22"/>
      <c r="AI37" s="22"/>
      <c r="AJ37" s="22"/>
      <c r="AK37" s="22"/>
      <c r="AL37" s="22"/>
      <c r="AM37" s="125"/>
    </row>
    <row r="38" spans="1:39" ht="18" x14ac:dyDescent="0.35">
      <c r="A38" s="542" t="s">
        <v>102</v>
      </c>
      <c r="B38" s="554"/>
      <c r="C38" s="543"/>
      <c r="D38" s="21"/>
      <c r="E38" s="22"/>
      <c r="F38" s="544"/>
      <c r="G38" s="545"/>
      <c r="H38" s="545"/>
      <c r="I38" s="545"/>
      <c r="J38" s="545"/>
      <c r="K38" s="545"/>
      <c r="L38" s="545"/>
      <c r="M38" s="545"/>
      <c r="N38" s="545"/>
      <c r="O38" s="545"/>
      <c r="P38" s="545"/>
      <c r="Q38" s="545"/>
      <c r="R38" s="545"/>
      <c r="S38" s="545"/>
      <c r="T38" s="546"/>
      <c r="U38" s="22"/>
      <c r="V38" s="22"/>
      <c r="W38" s="22"/>
      <c r="X38" s="22"/>
      <c r="Y38" s="22"/>
      <c r="Z38" s="22"/>
      <c r="AA38" s="22"/>
      <c r="AB38" s="22"/>
      <c r="AC38" s="22"/>
      <c r="AD38" s="22"/>
      <c r="AE38" s="22"/>
      <c r="AF38" s="22"/>
      <c r="AG38" s="22"/>
      <c r="AH38" s="22"/>
      <c r="AI38" s="22"/>
      <c r="AJ38" s="22"/>
      <c r="AK38" s="22"/>
      <c r="AL38" s="22"/>
      <c r="AM38" s="125"/>
    </row>
    <row r="39" spans="1:39" ht="16.2" thickBot="1" x14ac:dyDescent="0.35">
      <c r="A39" s="308" t="s">
        <v>103</v>
      </c>
      <c r="B39" s="552" t="str">
        <f>Input!B33</f>
        <v>No</v>
      </c>
      <c r="C39" s="553"/>
      <c r="D39" s="21"/>
      <c r="E39" s="335"/>
      <c r="F39" s="547"/>
      <c r="G39" s="548"/>
      <c r="H39" s="548"/>
      <c r="I39" s="548"/>
      <c r="J39" s="548"/>
      <c r="K39" s="548"/>
      <c r="L39" s="548"/>
      <c r="M39" s="548"/>
      <c r="N39" s="548"/>
      <c r="O39" s="548"/>
      <c r="P39" s="548"/>
      <c r="Q39" s="548"/>
      <c r="R39" s="548"/>
      <c r="S39" s="548"/>
      <c r="T39" s="549"/>
      <c r="U39" s="22"/>
      <c r="V39" s="22"/>
      <c r="W39" s="22"/>
      <c r="X39" s="22"/>
      <c r="Y39" s="22"/>
      <c r="Z39" s="22"/>
      <c r="AA39" s="22"/>
      <c r="AB39" s="22"/>
      <c r="AC39" s="22"/>
      <c r="AD39" s="22"/>
      <c r="AE39" s="22"/>
      <c r="AF39" s="22"/>
      <c r="AG39" s="22"/>
      <c r="AH39" s="22"/>
      <c r="AI39" s="22"/>
      <c r="AJ39" s="22"/>
      <c r="AK39" s="22"/>
      <c r="AL39" s="22"/>
      <c r="AM39" s="125"/>
    </row>
    <row r="40" spans="1:39" ht="15.6" x14ac:dyDescent="0.3">
      <c r="A40" s="308" t="s">
        <v>106</v>
      </c>
      <c r="B40" s="552" t="str">
        <f>Input!B34</f>
        <v>No</v>
      </c>
      <c r="C40" s="553"/>
      <c r="D40" s="21"/>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125"/>
    </row>
    <row r="41" spans="1:39" ht="15.6" x14ac:dyDescent="0.3">
      <c r="A41" s="308" t="s">
        <v>109</v>
      </c>
      <c r="B41" s="552" t="str">
        <f>Input!B35</f>
        <v>Yes</v>
      </c>
      <c r="C41" s="553"/>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125"/>
    </row>
    <row r="42" spans="1:39" x14ac:dyDescent="0.3">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125"/>
    </row>
    <row r="43" spans="1:39" x14ac:dyDescent="0.3">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125"/>
    </row>
    <row r="44" spans="1:39" x14ac:dyDescent="0.3">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125"/>
    </row>
    <row r="45" spans="1:39" x14ac:dyDescent="0.3">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125"/>
    </row>
    <row r="46" spans="1:39" x14ac:dyDescent="0.3">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125"/>
    </row>
    <row r="47" spans="1:39" x14ac:dyDescent="0.3">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125"/>
    </row>
    <row r="48" spans="1:39" x14ac:dyDescent="0.3">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125"/>
    </row>
    <row r="49" spans="1:39" x14ac:dyDescent="0.3">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125"/>
    </row>
    <row r="50" spans="1:39" x14ac:dyDescent="0.3">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125"/>
    </row>
    <row r="51" spans="1:39" x14ac:dyDescent="0.3">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125"/>
    </row>
    <row r="52" spans="1:39" x14ac:dyDescent="0.3">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125"/>
    </row>
    <row r="53" spans="1:39" x14ac:dyDescent="0.3">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125"/>
    </row>
    <row r="54" spans="1:39" x14ac:dyDescent="0.3">
      <c r="A54" s="22"/>
      <c r="B54" s="22"/>
      <c r="C54" s="22"/>
      <c r="D54" s="22"/>
      <c r="E54" s="22"/>
      <c r="F54" s="22"/>
      <c r="G54" s="22"/>
      <c r="H54" s="22"/>
      <c r="I54" s="22"/>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125"/>
    </row>
    <row r="55" spans="1:39" x14ac:dyDescent="0.3">
      <c r="A55" s="22"/>
      <c r="B55" s="22"/>
      <c r="C55" s="22"/>
      <c r="D55" s="22"/>
      <c r="E55" s="22"/>
      <c r="F55" s="22"/>
      <c r="G55" s="22"/>
      <c r="H55" s="22"/>
      <c r="I55" s="22"/>
      <c r="J55" s="22"/>
      <c r="K55" s="22"/>
      <c r="L55" s="22"/>
      <c r="M55" s="22"/>
      <c r="N55" s="22"/>
      <c r="O55" s="22"/>
      <c r="P55" s="22"/>
      <c r="Q55" s="22"/>
      <c r="R55" s="22"/>
      <c r="S55" s="22"/>
      <c r="T55" s="22"/>
      <c r="U55" s="22"/>
      <c r="V55" s="23"/>
      <c r="W55" s="23"/>
      <c r="X55" s="23"/>
      <c r="Y55" s="23"/>
      <c r="Z55" s="23"/>
      <c r="AA55" s="23"/>
      <c r="AB55" s="23"/>
      <c r="AC55" s="23"/>
      <c r="AD55" s="23"/>
      <c r="AE55" s="23"/>
      <c r="AF55" s="23"/>
      <c r="AG55" s="23"/>
      <c r="AH55" s="23"/>
      <c r="AI55" s="23"/>
      <c r="AJ55" s="23"/>
      <c r="AK55" s="23"/>
      <c r="AL55" s="23"/>
      <c r="AM55" s="125"/>
    </row>
    <row r="56" spans="1:39" x14ac:dyDescent="0.3">
      <c r="A56" s="22"/>
      <c r="B56" s="22"/>
      <c r="C56" s="22"/>
      <c r="D56" s="22"/>
      <c r="E56" s="22"/>
      <c r="F56" s="22"/>
      <c r="G56" s="22"/>
      <c r="H56" s="22"/>
      <c r="I56" s="22"/>
      <c r="J56" s="22"/>
      <c r="K56" s="22"/>
      <c r="L56" s="22"/>
      <c r="M56" s="22"/>
      <c r="N56" s="22"/>
      <c r="O56" s="22"/>
      <c r="P56" s="22"/>
      <c r="Q56" s="22"/>
      <c r="R56" s="22"/>
      <c r="S56" s="22"/>
      <c r="T56" s="22"/>
      <c r="U56" s="22"/>
      <c r="V56" s="23"/>
      <c r="W56" s="23"/>
      <c r="X56" s="23"/>
      <c r="Y56" s="23"/>
      <c r="Z56" s="23"/>
      <c r="AA56" s="23"/>
      <c r="AB56" s="23"/>
      <c r="AC56" s="23"/>
      <c r="AD56" s="23"/>
      <c r="AE56" s="23"/>
      <c r="AF56" s="23"/>
      <c r="AG56" s="23"/>
      <c r="AH56" s="23"/>
      <c r="AI56" s="23"/>
      <c r="AJ56" s="23"/>
      <c r="AK56" s="23"/>
      <c r="AL56" s="23"/>
      <c r="AM56" s="125"/>
    </row>
    <row r="57" spans="1:39" x14ac:dyDescent="0.3">
      <c r="A57" s="22"/>
      <c r="B57" s="22"/>
      <c r="C57" s="22"/>
      <c r="D57" s="22"/>
      <c r="E57" s="22"/>
      <c r="F57" s="22"/>
      <c r="G57" s="22"/>
      <c r="H57" s="22"/>
      <c r="I57" s="22"/>
      <c r="J57" s="22"/>
      <c r="K57" s="22"/>
      <c r="L57" s="22"/>
      <c r="M57" s="22"/>
      <c r="N57" s="22"/>
      <c r="O57" s="22"/>
      <c r="P57" s="22"/>
      <c r="Q57" s="22"/>
      <c r="R57" s="22"/>
      <c r="S57" s="22"/>
      <c r="T57" s="22"/>
      <c r="U57" s="22"/>
      <c r="V57" s="23"/>
      <c r="W57" s="23"/>
      <c r="X57" s="23"/>
      <c r="Y57" s="23"/>
      <c r="Z57" s="23"/>
      <c r="AA57" s="23"/>
      <c r="AB57" s="23"/>
      <c r="AC57" s="23"/>
      <c r="AD57" s="23"/>
      <c r="AE57" s="23"/>
      <c r="AF57" s="23"/>
      <c r="AG57" s="23"/>
      <c r="AH57" s="23"/>
      <c r="AI57" s="23"/>
      <c r="AJ57" s="23"/>
      <c r="AK57" s="23"/>
      <c r="AL57" s="23"/>
      <c r="AM57" s="125"/>
    </row>
    <row r="58" spans="1:39" x14ac:dyDescent="0.3">
      <c r="A58" s="22"/>
      <c r="B58" s="22"/>
      <c r="C58" s="22"/>
      <c r="D58" s="22"/>
      <c r="E58" s="22"/>
      <c r="F58" s="22"/>
      <c r="G58" s="22"/>
      <c r="H58" s="22"/>
      <c r="I58" s="22"/>
      <c r="J58" s="22"/>
      <c r="K58" s="22"/>
      <c r="L58" s="22"/>
      <c r="M58" s="22"/>
      <c r="N58" s="22"/>
      <c r="O58" s="22"/>
      <c r="P58" s="22"/>
      <c r="Q58" s="22"/>
      <c r="R58" s="22"/>
      <c r="S58" s="22"/>
      <c r="T58" s="22"/>
      <c r="U58" s="22"/>
      <c r="V58" s="23"/>
      <c r="W58" s="23"/>
      <c r="X58" s="23"/>
      <c r="Y58" s="23"/>
      <c r="Z58" s="23"/>
      <c r="AA58" s="23"/>
      <c r="AB58" s="23"/>
      <c r="AC58" s="23"/>
      <c r="AD58" s="23"/>
      <c r="AE58" s="23"/>
      <c r="AF58" s="23"/>
      <c r="AG58" s="23"/>
      <c r="AH58" s="23"/>
      <c r="AI58" s="23"/>
      <c r="AJ58" s="23"/>
      <c r="AK58" s="23"/>
      <c r="AL58" s="23"/>
      <c r="AM58" s="125"/>
    </row>
    <row r="59" spans="1:39" x14ac:dyDescent="0.3">
      <c r="A59" s="22"/>
      <c r="B59" s="22"/>
      <c r="C59" s="22"/>
      <c r="D59" s="22"/>
      <c r="E59" s="22"/>
      <c r="F59" s="22"/>
      <c r="G59" s="22"/>
      <c r="H59" s="22"/>
      <c r="I59" s="22"/>
      <c r="J59" s="22"/>
      <c r="K59" s="22"/>
      <c r="L59" s="22"/>
      <c r="M59" s="22"/>
      <c r="N59" s="22"/>
      <c r="O59" s="22"/>
      <c r="P59" s="22"/>
      <c r="Q59" s="22"/>
      <c r="R59" s="22"/>
      <c r="S59" s="22"/>
      <c r="T59" s="22"/>
      <c r="U59" s="22"/>
      <c r="V59" s="23"/>
      <c r="W59" s="23"/>
      <c r="X59" s="23"/>
      <c r="Y59" s="23"/>
      <c r="Z59" s="23"/>
      <c r="AA59" s="23"/>
      <c r="AB59" s="23"/>
      <c r="AC59" s="23"/>
      <c r="AD59" s="23"/>
      <c r="AE59" s="23"/>
      <c r="AF59" s="23"/>
      <c r="AG59" s="23"/>
      <c r="AH59" s="23"/>
      <c r="AI59" s="23"/>
      <c r="AJ59" s="23"/>
      <c r="AK59" s="23"/>
      <c r="AL59" s="23"/>
      <c r="AM59" s="125"/>
    </row>
    <row r="60" spans="1:39" x14ac:dyDescent="0.3">
      <c r="A60" s="22"/>
      <c r="B60" s="22"/>
      <c r="C60" s="22"/>
      <c r="D60" s="22"/>
      <c r="E60" s="22"/>
      <c r="F60" s="22"/>
      <c r="G60" s="22"/>
      <c r="H60" s="22"/>
      <c r="I60" s="22"/>
      <c r="J60" s="22"/>
      <c r="K60" s="22"/>
      <c r="L60" s="22"/>
      <c r="M60" s="22"/>
      <c r="N60" s="22"/>
      <c r="O60" s="22"/>
      <c r="P60" s="22"/>
      <c r="Q60" s="22"/>
      <c r="R60" s="22"/>
      <c r="S60" s="22"/>
      <c r="T60" s="22"/>
      <c r="U60" s="22"/>
      <c r="V60" s="23"/>
      <c r="W60" s="23"/>
      <c r="X60" s="23"/>
      <c r="Y60" s="23"/>
      <c r="Z60" s="23"/>
      <c r="AA60" s="23"/>
      <c r="AB60" s="23"/>
      <c r="AC60" s="23"/>
      <c r="AD60" s="23"/>
      <c r="AE60" s="23"/>
      <c r="AF60" s="23"/>
      <c r="AG60" s="23"/>
      <c r="AH60" s="23"/>
      <c r="AI60" s="23"/>
      <c r="AJ60" s="23"/>
      <c r="AK60" s="23"/>
      <c r="AL60" s="23"/>
      <c r="AM60" s="125"/>
    </row>
    <row r="61" spans="1:39" x14ac:dyDescent="0.3">
      <c r="A61" s="22"/>
      <c r="B61" s="22"/>
      <c r="C61" s="22"/>
      <c r="D61" s="22"/>
      <c r="E61" s="22"/>
      <c r="F61" s="22"/>
      <c r="G61" s="22"/>
      <c r="H61" s="22"/>
      <c r="I61" s="22"/>
      <c r="J61" s="22"/>
      <c r="K61" s="22"/>
      <c r="L61" s="22"/>
      <c r="M61" s="22"/>
      <c r="N61" s="22"/>
      <c r="O61" s="22"/>
      <c r="P61" s="22"/>
      <c r="Q61" s="22"/>
      <c r="R61" s="22"/>
      <c r="S61" s="22"/>
      <c r="T61" s="22"/>
      <c r="U61" s="22"/>
      <c r="V61" s="23"/>
      <c r="W61" s="23"/>
      <c r="X61" s="23"/>
      <c r="Y61" s="23"/>
      <c r="Z61" s="23"/>
      <c r="AA61" s="23"/>
      <c r="AB61" s="23"/>
      <c r="AC61" s="23"/>
      <c r="AD61" s="23"/>
      <c r="AE61" s="23"/>
      <c r="AF61" s="23"/>
      <c r="AG61" s="23"/>
      <c r="AH61" s="23"/>
      <c r="AI61" s="23"/>
      <c r="AJ61" s="23"/>
      <c r="AK61" s="23"/>
      <c r="AL61" s="23"/>
      <c r="AM61" s="125"/>
    </row>
    <row r="62" spans="1:39" x14ac:dyDescent="0.3">
      <c r="A62" s="22"/>
      <c r="B62" s="22"/>
      <c r="C62" s="22"/>
      <c r="D62" s="22"/>
      <c r="E62" s="22"/>
      <c r="F62" s="22"/>
      <c r="G62" s="22"/>
      <c r="H62" s="22"/>
      <c r="I62" s="22"/>
      <c r="J62" s="22"/>
      <c r="K62" s="22"/>
      <c r="L62" s="22"/>
      <c r="M62" s="22"/>
      <c r="N62" s="22"/>
      <c r="O62" s="22"/>
      <c r="P62" s="22"/>
      <c r="Q62" s="22"/>
      <c r="R62" s="22"/>
      <c r="S62" s="22"/>
      <c r="T62" s="22"/>
      <c r="U62" s="22"/>
      <c r="V62" s="23"/>
      <c r="W62" s="23"/>
      <c r="X62" s="23"/>
      <c r="Y62" s="23"/>
      <c r="Z62" s="23"/>
      <c r="AA62" s="23"/>
      <c r="AB62" s="23"/>
      <c r="AC62" s="23"/>
      <c r="AD62" s="23"/>
      <c r="AE62" s="23"/>
      <c r="AF62" s="23"/>
      <c r="AG62" s="23"/>
      <c r="AH62" s="23"/>
      <c r="AI62" s="23"/>
      <c r="AJ62" s="23"/>
      <c r="AK62" s="23"/>
      <c r="AL62" s="23"/>
      <c r="AM62" s="125"/>
    </row>
    <row r="63" spans="1:39" x14ac:dyDescent="0.3">
      <c r="A63" s="22"/>
      <c r="B63" s="22"/>
      <c r="C63" s="22"/>
      <c r="D63" s="22"/>
      <c r="E63" s="22"/>
      <c r="F63" s="22"/>
      <c r="G63" s="22"/>
      <c r="H63" s="22"/>
      <c r="I63" s="22"/>
      <c r="J63" s="22"/>
      <c r="K63" s="22"/>
      <c r="L63" s="22"/>
      <c r="M63" s="22"/>
      <c r="N63" s="22"/>
      <c r="O63" s="22"/>
      <c r="P63" s="22"/>
      <c r="Q63" s="22"/>
      <c r="R63" s="22"/>
      <c r="S63" s="22"/>
      <c r="T63" s="22"/>
      <c r="U63" s="22"/>
      <c r="V63" s="23"/>
      <c r="W63" s="23"/>
      <c r="X63" s="23"/>
      <c r="Y63" s="23"/>
      <c r="Z63" s="23"/>
      <c r="AA63" s="23"/>
      <c r="AB63" s="23"/>
      <c r="AC63" s="23"/>
      <c r="AD63" s="23"/>
      <c r="AE63" s="23"/>
      <c r="AF63" s="23"/>
      <c r="AG63" s="23"/>
      <c r="AH63" s="23"/>
      <c r="AI63" s="23"/>
      <c r="AJ63" s="23"/>
      <c r="AK63" s="23"/>
      <c r="AL63" s="23"/>
      <c r="AM63" s="125"/>
    </row>
    <row r="64" spans="1:39" x14ac:dyDescent="0.3">
      <c r="A64" s="22"/>
      <c r="B64" s="22"/>
      <c r="C64" s="22"/>
      <c r="D64" s="22"/>
      <c r="E64" s="22"/>
      <c r="F64" s="22"/>
      <c r="G64" s="22"/>
      <c r="H64" s="22"/>
      <c r="I64" s="22"/>
      <c r="J64" s="22"/>
      <c r="K64" s="22"/>
      <c r="L64" s="22"/>
      <c r="M64" s="22"/>
      <c r="N64" s="22"/>
      <c r="O64" s="22"/>
      <c r="P64" s="22"/>
      <c r="Q64" s="22"/>
      <c r="R64" s="22"/>
      <c r="S64" s="22"/>
      <c r="T64" s="22"/>
      <c r="U64" s="22"/>
      <c r="V64" s="23"/>
      <c r="W64" s="23"/>
      <c r="X64" s="23"/>
      <c r="Y64" s="23"/>
      <c r="Z64" s="23"/>
      <c r="AA64" s="23"/>
      <c r="AB64" s="23"/>
      <c r="AC64" s="23"/>
      <c r="AD64" s="23"/>
      <c r="AE64" s="23"/>
      <c r="AF64" s="23"/>
      <c r="AG64" s="23"/>
      <c r="AH64" s="23"/>
      <c r="AI64" s="23"/>
      <c r="AJ64" s="23"/>
      <c r="AK64" s="23"/>
      <c r="AL64" s="23"/>
      <c r="AM64" s="125"/>
    </row>
    <row r="65" spans="1:39" x14ac:dyDescent="0.3">
      <c r="A65" s="22"/>
      <c r="B65" s="22"/>
      <c r="C65" s="22"/>
      <c r="D65" s="22"/>
      <c r="E65" s="22"/>
      <c r="F65" s="22"/>
      <c r="G65" s="22"/>
      <c r="H65" s="22"/>
      <c r="I65" s="22"/>
      <c r="J65" s="22"/>
      <c r="K65" s="22"/>
      <c r="L65" s="22"/>
      <c r="M65" s="22"/>
      <c r="N65" s="22"/>
      <c r="O65" s="22"/>
      <c r="P65" s="22"/>
      <c r="Q65" s="22"/>
      <c r="R65" s="22"/>
      <c r="S65" s="22"/>
      <c r="T65" s="22"/>
      <c r="U65" s="22"/>
      <c r="V65" s="23"/>
      <c r="W65" s="23"/>
      <c r="X65" s="23"/>
      <c r="Y65" s="23"/>
      <c r="Z65" s="23"/>
      <c r="AA65" s="23"/>
      <c r="AB65" s="23"/>
      <c r="AC65" s="23"/>
      <c r="AD65" s="23"/>
      <c r="AE65" s="23"/>
      <c r="AF65" s="23"/>
      <c r="AG65" s="23"/>
      <c r="AH65" s="23"/>
      <c r="AI65" s="23"/>
      <c r="AJ65" s="23"/>
      <c r="AK65" s="23"/>
      <c r="AL65" s="23"/>
      <c r="AM65" s="125"/>
    </row>
    <row r="66" spans="1:39" x14ac:dyDescent="0.3">
      <c r="A66" s="22"/>
      <c r="B66" s="22"/>
      <c r="C66" s="22"/>
      <c r="D66" s="22"/>
      <c r="E66" s="22"/>
      <c r="F66" s="22"/>
      <c r="G66" s="22"/>
      <c r="H66" s="22"/>
      <c r="I66" s="22"/>
      <c r="J66" s="22"/>
      <c r="K66" s="22"/>
      <c r="L66" s="22"/>
      <c r="M66" s="22"/>
      <c r="N66" s="22"/>
      <c r="O66" s="22"/>
      <c r="P66" s="22"/>
      <c r="Q66" s="22"/>
      <c r="R66" s="22"/>
      <c r="S66" s="22"/>
      <c r="T66" s="22"/>
      <c r="U66" s="22"/>
      <c r="V66" s="23"/>
      <c r="W66" s="23"/>
      <c r="X66" s="23"/>
      <c r="Y66" s="23"/>
      <c r="Z66" s="23"/>
      <c r="AA66" s="23"/>
      <c r="AB66" s="23"/>
      <c r="AC66" s="23"/>
      <c r="AD66" s="23"/>
      <c r="AE66" s="23"/>
      <c r="AF66" s="23"/>
      <c r="AG66" s="23"/>
      <c r="AH66" s="23"/>
      <c r="AI66" s="23"/>
      <c r="AJ66" s="23"/>
      <c r="AK66" s="23"/>
      <c r="AL66" s="23"/>
      <c r="AM66" s="125"/>
    </row>
    <row r="67" spans="1:39" x14ac:dyDescent="0.3">
      <c r="A67" s="22"/>
      <c r="B67" s="22"/>
      <c r="C67" s="22"/>
      <c r="D67" s="22"/>
      <c r="E67" s="22"/>
      <c r="F67" s="22"/>
      <c r="G67" s="22"/>
      <c r="H67" s="22"/>
      <c r="I67" s="22"/>
      <c r="J67" s="22"/>
      <c r="K67" s="22"/>
      <c r="L67" s="22"/>
      <c r="M67" s="22"/>
      <c r="N67" s="22"/>
      <c r="O67" s="22"/>
      <c r="P67" s="22"/>
      <c r="Q67" s="22"/>
      <c r="R67" s="22"/>
      <c r="S67" s="22"/>
      <c r="T67" s="22"/>
      <c r="U67" s="22"/>
      <c r="V67" s="23"/>
      <c r="W67" s="23"/>
      <c r="X67" s="23"/>
      <c r="Y67" s="23"/>
      <c r="Z67" s="23"/>
      <c r="AA67" s="23"/>
      <c r="AB67" s="23"/>
      <c r="AC67" s="23"/>
      <c r="AD67" s="23"/>
      <c r="AE67" s="23"/>
      <c r="AF67" s="23"/>
      <c r="AG67" s="23"/>
      <c r="AH67" s="23"/>
      <c r="AI67" s="23"/>
      <c r="AJ67" s="23"/>
      <c r="AK67" s="23"/>
      <c r="AL67" s="23"/>
      <c r="AM67" s="125"/>
    </row>
    <row r="68" spans="1:39" x14ac:dyDescent="0.3">
      <c r="A68" s="22"/>
      <c r="B68" s="22"/>
      <c r="C68" s="22"/>
      <c r="D68" s="22"/>
      <c r="E68" s="22"/>
      <c r="F68" s="22"/>
      <c r="G68" s="22"/>
      <c r="H68" s="22"/>
      <c r="I68" s="22"/>
      <c r="J68" s="22"/>
      <c r="K68" s="22"/>
      <c r="L68" s="22"/>
      <c r="M68" s="22"/>
      <c r="N68" s="22"/>
      <c r="O68" s="22"/>
      <c r="P68" s="22"/>
      <c r="Q68" s="22"/>
      <c r="R68" s="22"/>
      <c r="S68" s="22"/>
      <c r="T68" s="22"/>
      <c r="U68" s="22"/>
      <c r="V68" s="23"/>
      <c r="W68" s="23"/>
      <c r="X68" s="23"/>
      <c r="Y68" s="23"/>
      <c r="Z68" s="23"/>
      <c r="AA68" s="23"/>
      <c r="AB68" s="23"/>
      <c r="AC68" s="23"/>
      <c r="AD68" s="23"/>
      <c r="AE68" s="23"/>
      <c r="AF68" s="23"/>
      <c r="AG68" s="23"/>
      <c r="AH68" s="23"/>
      <c r="AI68" s="23"/>
      <c r="AJ68" s="23"/>
      <c r="AK68" s="23"/>
      <c r="AL68" s="23"/>
      <c r="AM68" s="125"/>
    </row>
    <row r="69" spans="1:39" x14ac:dyDescent="0.3">
      <c r="A69" s="22"/>
      <c r="B69" s="22"/>
      <c r="C69" s="22"/>
      <c r="D69" s="22"/>
      <c r="E69" s="22"/>
      <c r="F69" s="22"/>
      <c r="G69" s="22"/>
      <c r="H69" s="22"/>
      <c r="I69" s="22"/>
      <c r="J69" s="22"/>
      <c r="K69" s="22"/>
      <c r="L69" s="22"/>
      <c r="M69" s="22"/>
      <c r="N69" s="22"/>
      <c r="O69" s="22"/>
      <c r="P69" s="22"/>
      <c r="Q69" s="22"/>
      <c r="R69" s="22"/>
      <c r="S69" s="22"/>
      <c r="T69" s="22"/>
      <c r="U69" s="22"/>
      <c r="V69" s="23"/>
      <c r="W69" s="23"/>
      <c r="X69" s="23"/>
      <c r="Y69" s="23"/>
      <c r="Z69" s="23"/>
      <c r="AA69" s="23"/>
      <c r="AB69" s="23"/>
      <c r="AC69" s="23"/>
      <c r="AD69" s="23"/>
      <c r="AE69" s="23"/>
      <c r="AF69" s="23"/>
      <c r="AG69" s="23"/>
      <c r="AH69" s="23"/>
      <c r="AI69" s="23"/>
      <c r="AJ69" s="23"/>
      <c r="AK69" s="23"/>
      <c r="AL69" s="23"/>
      <c r="AM69" s="125"/>
    </row>
    <row r="70" spans="1:39" x14ac:dyDescent="0.3">
      <c r="A70" s="22"/>
      <c r="B70" s="22"/>
      <c r="C70" s="22"/>
      <c r="D70" s="22"/>
      <c r="E70" s="22"/>
      <c r="F70" s="22"/>
      <c r="G70" s="22"/>
      <c r="H70" s="22"/>
      <c r="I70" s="22"/>
      <c r="J70" s="22"/>
      <c r="K70" s="22"/>
      <c r="L70" s="22"/>
      <c r="M70" s="22"/>
      <c r="N70" s="22"/>
      <c r="O70" s="22"/>
      <c r="P70" s="22"/>
      <c r="Q70" s="22"/>
      <c r="R70" s="22"/>
      <c r="S70" s="22"/>
      <c r="T70" s="22"/>
      <c r="U70" s="22"/>
      <c r="V70" s="23"/>
      <c r="W70" s="23"/>
      <c r="X70" s="23"/>
      <c r="Y70" s="23"/>
      <c r="Z70" s="23"/>
      <c r="AA70" s="23"/>
      <c r="AB70" s="23"/>
      <c r="AC70" s="23"/>
      <c r="AD70" s="23"/>
      <c r="AE70" s="23"/>
      <c r="AF70" s="23"/>
      <c r="AG70" s="23"/>
      <c r="AH70" s="23"/>
      <c r="AI70" s="23"/>
      <c r="AJ70" s="23"/>
      <c r="AK70" s="23"/>
      <c r="AL70" s="23"/>
      <c r="AM70" s="125"/>
    </row>
    <row r="71" spans="1:39" x14ac:dyDescent="0.3">
      <c r="A71" s="22"/>
      <c r="B71" s="22"/>
      <c r="C71" s="22"/>
      <c r="D71" s="22"/>
      <c r="E71" s="22"/>
      <c r="F71" s="22"/>
      <c r="G71" s="22"/>
      <c r="H71" s="22"/>
      <c r="I71" s="22"/>
      <c r="J71" s="22"/>
      <c r="K71" s="22"/>
      <c r="L71" s="22"/>
      <c r="M71" s="22"/>
      <c r="N71" s="22"/>
      <c r="O71" s="22"/>
      <c r="P71" s="22"/>
      <c r="Q71" s="22"/>
      <c r="R71" s="22"/>
      <c r="S71" s="22"/>
      <c r="T71" s="22"/>
      <c r="U71" s="22"/>
      <c r="V71" s="23"/>
      <c r="W71" s="23"/>
      <c r="X71" s="23"/>
      <c r="Y71" s="23"/>
      <c r="Z71" s="23"/>
      <c r="AA71" s="23"/>
      <c r="AB71" s="23"/>
      <c r="AC71" s="23"/>
      <c r="AD71" s="23"/>
      <c r="AE71" s="23"/>
      <c r="AF71" s="23"/>
      <c r="AG71" s="23"/>
      <c r="AH71" s="23"/>
      <c r="AI71" s="23"/>
      <c r="AJ71" s="23"/>
      <c r="AK71" s="23"/>
      <c r="AL71" s="23"/>
      <c r="AM71" s="125"/>
    </row>
    <row r="72" spans="1:39" x14ac:dyDescent="0.3">
      <c r="A72" s="22"/>
      <c r="B72" s="22"/>
      <c r="C72" s="22"/>
      <c r="D72" s="22"/>
      <c r="E72" s="22"/>
      <c r="F72" s="22"/>
      <c r="G72" s="22"/>
      <c r="H72" s="22"/>
      <c r="I72" s="22"/>
      <c r="J72" s="22"/>
      <c r="K72" s="22"/>
      <c r="L72" s="22"/>
      <c r="M72" s="22"/>
      <c r="N72" s="22"/>
      <c r="O72" s="22"/>
      <c r="P72" s="22"/>
      <c r="Q72" s="22"/>
      <c r="R72" s="22"/>
      <c r="S72" s="22"/>
      <c r="T72" s="22"/>
      <c r="U72" s="22"/>
      <c r="V72" s="23"/>
      <c r="W72" s="23"/>
      <c r="X72" s="23"/>
      <c r="Y72" s="23"/>
      <c r="Z72" s="23"/>
      <c r="AA72" s="23"/>
      <c r="AB72" s="23"/>
      <c r="AC72" s="23"/>
      <c r="AD72" s="23"/>
      <c r="AE72" s="23"/>
      <c r="AF72" s="23"/>
      <c r="AG72" s="23"/>
      <c r="AH72" s="23"/>
      <c r="AI72" s="23"/>
      <c r="AJ72" s="23"/>
      <c r="AK72" s="23"/>
      <c r="AL72" s="23"/>
      <c r="AM72" s="125"/>
    </row>
    <row r="73" spans="1:39" x14ac:dyDescent="0.3">
      <c r="A73" s="22"/>
      <c r="B73" s="22"/>
      <c r="C73" s="22"/>
      <c r="D73" s="22"/>
      <c r="E73" s="22"/>
      <c r="F73" s="22"/>
      <c r="G73" s="22"/>
      <c r="H73" s="22"/>
      <c r="I73" s="22"/>
      <c r="J73" s="22"/>
      <c r="K73" s="22"/>
      <c r="L73" s="22"/>
      <c r="M73" s="22"/>
      <c r="N73" s="22"/>
      <c r="O73" s="22"/>
      <c r="P73" s="22"/>
      <c r="Q73" s="22"/>
      <c r="R73" s="22"/>
      <c r="S73" s="22"/>
      <c r="T73" s="22"/>
      <c r="U73" s="22"/>
      <c r="V73" s="23"/>
      <c r="W73" s="23"/>
      <c r="X73" s="23"/>
      <c r="Y73" s="23"/>
      <c r="Z73" s="23"/>
      <c r="AA73" s="23"/>
      <c r="AB73" s="23"/>
      <c r="AC73" s="23"/>
      <c r="AD73" s="23"/>
      <c r="AE73" s="23"/>
      <c r="AF73" s="23"/>
      <c r="AG73" s="23"/>
      <c r="AH73" s="23"/>
      <c r="AI73" s="23"/>
      <c r="AJ73" s="23"/>
      <c r="AK73" s="23"/>
      <c r="AL73" s="23"/>
      <c r="AM73" s="125"/>
    </row>
    <row r="74" spans="1:39" x14ac:dyDescent="0.3">
      <c r="A74" s="22"/>
      <c r="B74" s="22"/>
      <c r="C74" s="22"/>
      <c r="D74" s="22"/>
      <c r="E74" s="22"/>
      <c r="F74" s="22"/>
      <c r="G74" s="22"/>
      <c r="H74" s="22"/>
      <c r="I74" s="22"/>
      <c r="J74" s="22"/>
      <c r="K74" s="22"/>
      <c r="L74" s="22"/>
      <c r="M74" s="22"/>
      <c r="N74" s="22"/>
      <c r="O74" s="22"/>
      <c r="P74" s="22"/>
      <c r="Q74" s="22"/>
      <c r="R74" s="22"/>
      <c r="S74" s="22"/>
      <c r="T74" s="22"/>
      <c r="U74" s="22"/>
      <c r="V74" s="23"/>
      <c r="W74" s="23"/>
      <c r="X74" s="23"/>
      <c r="Y74" s="23"/>
      <c r="Z74" s="23"/>
      <c r="AA74" s="23"/>
      <c r="AB74" s="23"/>
      <c r="AC74" s="23"/>
      <c r="AD74" s="23"/>
      <c r="AE74" s="23"/>
      <c r="AF74" s="23"/>
      <c r="AG74" s="23"/>
      <c r="AH74" s="23"/>
      <c r="AI74" s="23"/>
      <c r="AJ74" s="23"/>
      <c r="AK74" s="23"/>
      <c r="AL74" s="23"/>
      <c r="AM74" s="125"/>
    </row>
    <row r="75" spans="1:39" x14ac:dyDescent="0.3">
      <c r="A75" s="22"/>
      <c r="B75" s="22"/>
      <c r="C75" s="22"/>
      <c r="D75" s="22"/>
      <c r="E75" s="22"/>
      <c r="F75" s="22"/>
      <c r="G75" s="22"/>
      <c r="H75" s="22"/>
      <c r="I75" s="22"/>
      <c r="J75" s="22"/>
      <c r="K75" s="22"/>
      <c r="L75" s="22"/>
      <c r="M75" s="22"/>
      <c r="N75" s="22"/>
      <c r="O75" s="22"/>
      <c r="P75" s="22"/>
      <c r="Q75" s="22"/>
      <c r="R75" s="22"/>
      <c r="S75" s="22"/>
      <c r="T75" s="22"/>
      <c r="U75" s="22"/>
      <c r="V75" s="23"/>
      <c r="W75" s="23"/>
      <c r="X75" s="23"/>
      <c r="Y75" s="23"/>
      <c r="Z75" s="23"/>
      <c r="AA75" s="23"/>
      <c r="AB75" s="23"/>
      <c r="AC75" s="23"/>
      <c r="AD75" s="23"/>
      <c r="AE75" s="23"/>
      <c r="AF75" s="23"/>
      <c r="AG75" s="23"/>
      <c r="AH75" s="23"/>
      <c r="AI75" s="23"/>
      <c r="AJ75" s="23"/>
      <c r="AK75" s="23"/>
      <c r="AL75" s="23"/>
      <c r="AM75" s="125"/>
    </row>
    <row r="76" spans="1:39" x14ac:dyDescent="0.3">
      <c r="A76" s="22"/>
      <c r="B76" s="22"/>
      <c r="C76" s="22"/>
      <c r="D76" s="22"/>
      <c r="E76" s="22"/>
      <c r="F76" s="22"/>
      <c r="G76" s="22"/>
      <c r="H76" s="22"/>
      <c r="I76" s="22"/>
      <c r="J76" s="22"/>
      <c r="K76" s="22"/>
      <c r="L76" s="22"/>
      <c r="M76" s="22"/>
      <c r="N76" s="22"/>
      <c r="O76" s="22"/>
      <c r="P76" s="22"/>
      <c r="Q76" s="22"/>
      <c r="R76" s="22"/>
      <c r="S76" s="22"/>
      <c r="T76" s="22"/>
      <c r="U76" s="22"/>
      <c r="V76" s="23"/>
      <c r="W76" s="23"/>
      <c r="X76" s="23"/>
      <c r="Y76" s="23"/>
      <c r="Z76" s="23"/>
      <c r="AA76" s="23"/>
      <c r="AB76" s="23"/>
      <c r="AC76" s="23"/>
      <c r="AD76" s="23"/>
      <c r="AE76" s="23"/>
      <c r="AF76" s="23"/>
      <c r="AG76" s="23"/>
      <c r="AH76" s="23"/>
      <c r="AI76" s="23"/>
      <c r="AJ76" s="23"/>
      <c r="AK76" s="23"/>
      <c r="AL76" s="23"/>
      <c r="AM76" s="125"/>
    </row>
    <row r="77" spans="1:39" x14ac:dyDescent="0.3">
      <c r="A77" s="22"/>
      <c r="B77" s="22"/>
      <c r="C77" s="22"/>
      <c r="D77" s="22"/>
      <c r="E77" s="22"/>
      <c r="F77" s="22"/>
      <c r="G77" s="22"/>
      <c r="H77" s="22"/>
      <c r="I77" s="22"/>
      <c r="J77" s="22"/>
      <c r="K77" s="22"/>
      <c r="L77" s="22"/>
      <c r="M77" s="22"/>
      <c r="N77" s="22"/>
      <c r="O77" s="22"/>
      <c r="P77" s="22"/>
      <c r="Q77" s="22"/>
      <c r="R77" s="22"/>
      <c r="S77" s="22"/>
      <c r="T77" s="22"/>
      <c r="U77" s="22"/>
      <c r="V77" s="23"/>
      <c r="W77" s="23"/>
      <c r="X77" s="23"/>
      <c r="Y77" s="23"/>
      <c r="Z77" s="23"/>
      <c r="AA77" s="23"/>
      <c r="AB77" s="23"/>
      <c r="AC77" s="23"/>
      <c r="AD77" s="23"/>
      <c r="AE77" s="23"/>
      <c r="AF77" s="23"/>
      <c r="AG77" s="23"/>
      <c r="AH77" s="23"/>
      <c r="AI77" s="23"/>
      <c r="AJ77" s="23"/>
      <c r="AK77" s="23"/>
      <c r="AL77" s="23"/>
      <c r="AM77" s="125"/>
    </row>
    <row r="78" spans="1:39" x14ac:dyDescent="0.3">
      <c r="A78" s="22"/>
      <c r="B78" s="22"/>
      <c r="C78" s="22"/>
      <c r="D78" s="22"/>
      <c r="E78" s="22"/>
      <c r="F78" s="22"/>
      <c r="G78" s="22"/>
      <c r="H78" s="22"/>
      <c r="I78" s="22"/>
      <c r="J78" s="22"/>
      <c r="K78" s="22"/>
      <c r="L78" s="22"/>
      <c r="M78" s="22"/>
      <c r="N78" s="22"/>
      <c r="O78" s="22"/>
      <c r="P78" s="22"/>
      <c r="Q78" s="22"/>
      <c r="R78" s="22"/>
      <c r="S78" s="22"/>
      <c r="T78" s="22"/>
      <c r="U78" s="22"/>
      <c r="V78" s="23"/>
      <c r="W78" s="23"/>
      <c r="X78" s="23"/>
      <c r="Y78" s="23"/>
      <c r="Z78" s="23"/>
      <c r="AA78" s="23"/>
      <c r="AB78" s="23"/>
      <c r="AC78" s="23"/>
      <c r="AD78" s="23"/>
      <c r="AE78" s="23"/>
      <c r="AF78" s="23"/>
      <c r="AG78" s="23"/>
      <c r="AH78" s="23"/>
      <c r="AI78" s="23"/>
      <c r="AJ78" s="23"/>
      <c r="AK78" s="23"/>
      <c r="AL78" s="23"/>
      <c r="AM78" s="125"/>
    </row>
    <row r="79" spans="1:39" x14ac:dyDescent="0.3">
      <c r="A79" s="22"/>
      <c r="B79" s="22"/>
      <c r="C79" s="22"/>
      <c r="D79" s="22"/>
      <c r="E79" s="22"/>
      <c r="F79" s="22"/>
      <c r="G79" s="22"/>
      <c r="H79" s="22"/>
      <c r="I79" s="22"/>
      <c r="J79" s="22"/>
      <c r="K79" s="22"/>
      <c r="L79" s="22"/>
      <c r="M79" s="22"/>
      <c r="N79" s="22"/>
      <c r="O79" s="22"/>
      <c r="P79" s="22"/>
      <c r="Q79" s="22"/>
      <c r="R79" s="22"/>
      <c r="S79" s="22"/>
      <c r="T79" s="22"/>
      <c r="U79" s="22"/>
      <c r="V79" s="23"/>
      <c r="W79" s="23"/>
      <c r="X79" s="23"/>
      <c r="Y79" s="23"/>
      <c r="Z79" s="23"/>
      <c r="AA79" s="23"/>
      <c r="AB79" s="23"/>
      <c r="AC79" s="23"/>
      <c r="AD79" s="23"/>
      <c r="AE79" s="23"/>
      <c r="AF79" s="23"/>
      <c r="AG79" s="23"/>
      <c r="AH79" s="23"/>
      <c r="AI79" s="23"/>
      <c r="AJ79" s="23"/>
      <c r="AK79" s="23"/>
      <c r="AL79" s="23"/>
      <c r="AM79" s="125"/>
    </row>
    <row r="80" spans="1:39" x14ac:dyDescent="0.3">
      <c r="A80" s="22"/>
      <c r="B80" s="22"/>
      <c r="C80" s="22"/>
      <c r="D80" s="22"/>
      <c r="E80" s="22"/>
      <c r="F80" s="22"/>
      <c r="G80" s="22"/>
      <c r="H80" s="22"/>
      <c r="I80" s="22"/>
      <c r="J80" s="22"/>
      <c r="K80" s="22"/>
      <c r="L80" s="22"/>
      <c r="M80" s="22"/>
      <c r="N80" s="22"/>
      <c r="O80" s="22"/>
      <c r="P80" s="22"/>
      <c r="Q80" s="22"/>
      <c r="R80" s="22"/>
      <c r="S80" s="22"/>
      <c r="T80" s="22"/>
      <c r="U80" s="22"/>
      <c r="V80" s="23"/>
      <c r="W80" s="23"/>
      <c r="X80" s="23"/>
      <c r="Y80" s="23"/>
      <c r="Z80" s="23"/>
      <c r="AA80" s="23"/>
      <c r="AB80" s="23"/>
      <c r="AC80" s="23"/>
      <c r="AD80" s="23"/>
      <c r="AE80" s="23"/>
      <c r="AF80" s="23"/>
      <c r="AG80" s="23"/>
      <c r="AH80" s="23"/>
      <c r="AI80" s="23"/>
      <c r="AJ80" s="23"/>
      <c r="AK80" s="23"/>
      <c r="AL80" s="23"/>
      <c r="AM80" s="125"/>
    </row>
    <row r="81" spans="1:39" x14ac:dyDescent="0.3">
      <c r="A81" s="22"/>
      <c r="B81" s="22"/>
      <c r="C81" s="22"/>
      <c r="D81" s="22"/>
      <c r="E81" s="22"/>
      <c r="F81" s="22"/>
      <c r="G81" s="22"/>
      <c r="H81" s="22"/>
      <c r="I81" s="22"/>
      <c r="J81" s="22"/>
      <c r="K81" s="22"/>
      <c r="L81" s="22"/>
      <c r="M81" s="22"/>
      <c r="N81" s="22"/>
      <c r="O81" s="22"/>
      <c r="P81" s="22"/>
      <c r="Q81" s="22"/>
      <c r="R81" s="22"/>
      <c r="S81" s="22"/>
      <c r="T81" s="22"/>
      <c r="U81" s="22"/>
      <c r="V81" s="23"/>
      <c r="W81" s="23"/>
      <c r="X81" s="23"/>
      <c r="Y81" s="23"/>
      <c r="Z81" s="23"/>
      <c r="AA81" s="23"/>
      <c r="AB81" s="23"/>
      <c r="AC81" s="23"/>
      <c r="AD81" s="23"/>
      <c r="AE81" s="23"/>
      <c r="AF81" s="23"/>
      <c r="AG81" s="23"/>
      <c r="AH81" s="23"/>
      <c r="AI81" s="23"/>
      <c r="AJ81" s="23"/>
      <c r="AK81" s="23"/>
      <c r="AL81" s="23"/>
      <c r="AM81" s="125"/>
    </row>
    <row r="82" spans="1:39" x14ac:dyDescent="0.3">
      <c r="A82" s="22"/>
      <c r="B82" s="22"/>
      <c r="C82" s="22"/>
      <c r="D82" s="22"/>
      <c r="E82" s="22"/>
      <c r="F82" s="22"/>
      <c r="G82" s="22"/>
      <c r="H82" s="22"/>
      <c r="I82" s="22"/>
      <c r="J82" s="22"/>
      <c r="K82" s="22"/>
      <c r="L82" s="22"/>
      <c r="M82" s="22"/>
      <c r="N82" s="22"/>
      <c r="O82" s="22"/>
      <c r="P82" s="22"/>
      <c r="Q82" s="22"/>
      <c r="R82" s="22"/>
      <c r="S82" s="22"/>
      <c r="T82" s="22"/>
      <c r="U82" s="22"/>
      <c r="V82" s="23"/>
      <c r="W82" s="23"/>
      <c r="X82" s="23"/>
      <c r="Y82" s="23"/>
      <c r="Z82" s="23"/>
      <c r="AA82" s="23"/>
      <c r="AB82" s="23"/>
      <c r="AC82" s="23"/>
      <c r="AD82" s="23"/>
      <c r="AE82" s="23"/>
      <c r="AF82" s="23"/>
      <c r="AG82" s="23"/>
      <c r="AH82" s="23"/>
      <c r="AI82" s="23"/>
      <c r="AJ82" s="23"/>
      <c r="AK82" s="23"/>
      <c r="AL82" s="23"/>
      <c r="AM82" s="125"/>
    </row>
    <row r="83" spans="1:39" x14ac:dyDescent="0.3">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125"/>
    </row>
    <row r="84" spans="1:39" x14ac:dyDescent="0.3">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125"/>
    </row>
    <row r="85" spans="1:39" x14ac:dyDescent="0.3">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125"/>
    </row>
    <row r="86" spans="1:39" x14ac:dyDescent="0.3">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125"/>
    </row>
    <row r="87" spans="1:39" x14ac:dyDescent="0.3">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125"/>
    </row>
    <row r="88" spans="1:39" x14ac:dyDescent="0.3">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125"/>
    </row>
    <row r="89" spans="1:39" x14ac:dyDescent="0.3">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125"/>
    </row>
    <row r="90" spans="1:39" x14ac:dyDescent="0.3">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125"/>
    </row>
    <row r="91" spans="1:39" x14ac:dyDescent="0.3">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125"/>
    </row>
    <row r="92" spans="1:39"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125"/>
    </row>
    <row r="93" spans="1:39" x14ac:dyDescent="0.3">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125"/>
    </row>
    <row r="94" spans="1:39" x14ac:dyDescent="0.3">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125"/>
    </row>
    <row r="95" spans="1:39"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125"/>
    </row>
    <row r="96" spans="1:39"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125"/>
    </row>
    <row r="97" spans="1:39"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125"/>
    </row>
    <row r="98" spans="1:39"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125"/>
    </row>
    <row r="99" spans="1:39"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125"/>
    </row>
    <row r="100" spans="1:39"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125"/>
    </row>
    <row r="101" spans="1:39"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125"/>
    </row>
    <row r="102" spans="1:39"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125"/>
    </row>
    <row r="103" spans="1:39"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125"/>
    </row>
    <row r="104" spans="1:39"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125"/>
    </row>
    <row r="105" spans="1:39" x14ac:dyDescent="0.3">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125"/>
    </row>
    <row r="106" spans="1:39" x14ac:dyDescent="0.3">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125"/>
    </row>
    <row r="107" spans="1:39" x14ac:dyDescent="0.3">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125"/>
    </row>
    <row r="108" spans="1:39" x14ac:dyDescent="0.3">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125"/>
    </row>
    <row r="109" spans="1:39" x14ac:dyDescent="0.3">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125"/>
    </row>
    <row r="110" spans="1:39" x14ac:dyDescent="0.3">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125"/>
    </row>
    <row r="111" spans="1:39" x14ac:dyDescent="0.3">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125"/>
    </row>
    <row r="112" spans="1:39" x14ac:dyDescent="0.3">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125"/>
    </row>
    <row r="113" spans="1:39" x14ac:dyDescent="0.3">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125"/>
    </row>
    <row r="114" spans="1:39" x14ac:dyDescent="0.3">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125"/>
    </row>
    <row r="115" spans="1:39"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125"/>
    </row>
    <row r="116" spans="1:39"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125"/>
    </row>
    <row r="117" spans="1:39"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125"/>
    </row>
    <row r="118" spans="1:39"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125"/>
    </row>
    <row r="119" spans="1:39"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125"/>
    </row>
    <row r="120" spans="1:39"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125"/>
    </row>
    <row r="121" spans="1:39"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125"/>
    </row>
    <row r="122" spans="1:39"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125"/>
    </row>
    <row r="123" spans="1:39"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125"/>
    </row>
    <row r="124" spans="1:39"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125"/>
    </row>
    <row r="125" spans="1:39"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125"/>
    </row>
    <row r="126" spans="1:39"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125"/>
    </row>
    <row r="127" spans="1:39"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125"/>
    </row>
    <row r="128" spans="1:39"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125"/>
    </row>
    <row r="129" spans="1:39"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125"/>
    </row>
    <row r="130" spans="1:39"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125"/>
    </row>
    <row r="131" spans="1:39"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125"/>
    </row>
    <row r="132" spans="1:39"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125"/>
    </row>
    <row r="133" spans="1:39"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125"/>
    </row>
    <row r="134" spans="1:39"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125"/>
    </row>
    <row r="135" spans="1:39"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125"/>
    </row>
    <row r="136" spans="1:39"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125"/>
    </row>
    <row r="137" spans="1:39"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125"/>
    </row>
    <row r="138" spans="1:39"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125"/>
    </row>
    <row r="139" spans="1:39"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125"/>
    </row>
    <row r="140" spans="1:39"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125"/>
    </row>
    <row r="141" spans="1:39"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125"/>
    </row>
    <row r="142" spans="1:39"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125"/>
    </row>
    <row r="143" spans="1:39"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125"/>
    </row>
    <row r="144" spans="1:39"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125"/>
    </row>
    <row r="145" spans="1:39"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125"/>
    </row>
    <row r="146" spans="1:39"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125"/>
    </row>
    <row r="147" spans="1:39"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125"/>
    </row>
    <row r="148" spans="1:39"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125"/>
    </row>
    <row r="149" spans="1:39"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125"/>
    </row>
    <row r="150" spans="1:39"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125"/>
    </row>
    <row r="151" spans="1:39"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125"/>
    </row>
    <row r="152" spans="1:39"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125"/>
    </row>
    <row r="153" spans="1:39"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125"/>
    </row>
    <row r="154" spans="1:39"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125"/>
    </row>
    <row r="155" spans="1:39"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125"/>
    </row>
    <row r="156" spans="1:39"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125"/>
    </row>
    <row r="157" spans="1:39"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125"/>
    </row>
    <row r="158" spans="1:39"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125"/>
    </row>
    <row r="159" spans="1:39"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125"/>
    </row>
    <row r="160" spans="1:39"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125"/>
    </row>
    <row r="161" spans="1:39"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125"/>
    </row>
    <row r="162" spans="1:39" x14ac:dyDescent="0.3">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125"/>
    </row>
    <row r="163" spans="1:39"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125"/>
    </row>
    <row r="164" spans="1:39" x14ac:dyDescent="0.3">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125"/>
    </row>
    <row r="165" spans="1:39"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125"/>
    </row>
    <row r="166" spans="1:39" x14ac:dyDescent="0.3">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125"/>
    </row>
    <row r="167" spans="1:39" x14ac:dyDescent="0.3">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125"/>
    </row>
    <row r="168" spans="1:39" x14ac:dyDescent="0.3">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125"/>
    </row>
  </sheetData>
  <sheetProtection password="8BC3" sheet="1" objects="1" scenarios="1"/>
  <mergeCells count="33">
    <mergeCell ref="B23:C23"/>
    <mergeCell ref="F37:T39"/>
    <mergeCell ref="B11:C11"/>
    <mergeCell ref="B12:C12"/>
    <mergeCell ref="B13:C13"/>
    <mergeCell ref="B14:C14"/>
    <mergeCell ref="B16:C16"/>
    <mergeCell ref="B17:C17"/>
    <mergeCell ref="B18:C18"/>
    <mergeCell ref="B20:C20"/>
    <mergeCell ref="B28:C28"/>
    <mergeCell ref="B30:C30"/>
    <mergeCell ref="B31:C31"/>
    <mergeCell ref="B33:C33"/>
    <mergeCell ref="B34:C34"/>
    <mergeCell ref="B35:C35"/>
    <mergeCell ref="B19:C19"/>
    <mergeCell ref="A10:C10"/>
    <mergeCell ref="A15:C15"/>
    <mergeCell ref="B21:C21"/>
    <mergeCell ref="A22:C22"/>
    <mergeCell ref="B41:C41"/>
    <mergeCell ref="A38:C38"/>
    <mergeCell ref="B29:C29"/>
    <mergeCell ref="B37:C37"/>
    <mergeCell ref="B39:C39"/>
    <mergeCell ref="B40:C40"/>
    <mergeCell ref="B36:C36"/>
    <mergeCell ref="B24:C24"/>
    <mergeCell ref="B25:C25"/>
    <mergeCell ref="B26:C26"/>
    <mergeCell ref="B32:C32"/>
    <mergeCell ref="A27:C27"/>
  </mergeCells>
  <hyperlinks>
    <hyperlink ref="D1" location="Guide" display="Guide"/>
    <hyperlink ref="D2" location="Input" display="Input"/>
  </hyperlinks>
  <pageMargins left="0.7" right="0.7" top="0.75" bottom="0.75" header="0.3" footer="0.3"/>
  <pageSetup paperSize="9" scale="52" orientation="landscape" r:id="rId1"/>
  <headerFooter>
    <oddFooter>&amp;LNova Scotia Exploration Economics Model&amp;Rwww.indeva.com</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W89"/>
  <sheetViews>
    <sheetView topLeftCell="C41" workbookViewId="0">
      <selection activeCell="F45" sqref="F45"/>
    </sheetView>
  </sheetViews>
  <sheetFormatPr defaultRowHeight="14.4" x14ac:dyDescent="0.3"/>
  <cols>
    <col min="4" max="4" width="8.5546875" customWidth="1"/>
    <col min="5" max="5" width="9.109375" hidden="1" customWidth="1"/>
    <col min="6" max="6" width="23.44140625" customWidth="1"/>
    <col min="7" max="7" width="9.109375" customWidth="1"/>
  </cols>
  <sheetData>
    <row r="1" spans="1:23" ht="15" x14ac:dyDescent="0.25">
      <c r="A1" s="15"/>
      <c r="B1" s="15"/>
      <c r="C1" s="15"/>
      <c r="D1" s="15"/>
      <c r="E1" s="15"/>
      <c r="F1" s="15"/>
      <c r="G1" s="15"/>
      <c r="H1" s="15"/>
      <c r="I1" s="23"/>
      <c r="J1" s="23"/>
      <c r="K1" s="23"/>
      <c r="L1" s="23"/>
      <c r="M1" s="23"/>
      <c r="N1" s="23"/>
      <c r="O1" s="23"/>
      <c r="P1" s="23"/>
      <c r="Q1" s="23"/>
      <c r="R1" s="23"/>
      <c r="S1" s="23"/>
      <c r="T1" s="23"/>
      <c r="U1" s="23"/>
      <c r="V1" s="23"/>
      <c r="W1" s="23"/>
    </row>
    <row r="2" spans="1:23" ht="15.75" x14ac:dyDescent="0.25">
      <c r="A2" s="15"/>
      <c r="B2" s="15"/>
      <c r="C2" s="15"/>
      <c r="D2" s="15"/>
      <c r="E2" s="15"/>
      <c r="F2" s="15"/>
      <c r="G2" s="17"/>
      <c r="H2" s="24" t="s">
        <v>116</v>
      </c>
      <c r="I2" s="24" t="s">
        <v>117</v>
      </c>
      <c r="J2" s="23"/>
      <c r="K2" s="23"/>
      <c r="L2" s="23"/>
      <c r="M2" s="23"/>
      <c r="N2" s="23"/>
      <c r="O2" s="23"/>
      <c r="P2" s="23"/>
      <c r="Q2" s="23"/>
      <c r="R2" s="23"/>
      <c r="S2" s="23"/>
      <c r="T2" s="23"/>
      <c r="U2" s="23"/>
      <c r="V2" s="23"/>
      <c r="W2" s="23"/>
    </row>
    <row r="3" spans="1:23" ht="15.75" x14ac:dyDescent="0.25">
      <c r="A3" s="15"/>
      <c r="B3" s="15"/>
      <c r="C3" s="15"/>
      <c r="D3" s="15"/>
      <c r="E3" s="15"/>
      <c r="F3" s="68" t="s">
        <v>628</v>
      </c>
      <c r="H3" s="69">
        <f>1+Sensitivities!B3</f>
        <v>0.8</v>
      </c>
      <c r="I3" s="69">
        <f>1+Sensitivities!C3</f>
        <v>1.4</v>
      </c>
      <c r="J3" s="23"/>
      <c r="K3" s="23"/>
      <c r="L3" s="23"/>
      <c r="M3" s="23"/>
      <c r="N3" s="23"/>
      <c r="O3" s="23"/>
      <c r="P3" s="23"/>
      <c r="Q3" s="23"/>
      <c r="R3" s="23"/>
      <c r="S3" s="23"/>
      <c r="T3" s="23"/>
      <c r="U3" s="23"/>
      <c r="V3" s="23"/>
      <c r="W3" s="23"/>
    </row>
    <row r="4" spans="1:23" ht="15.75" x14ac:dyDescent="0.25">
      <c r="A4" s="15"/>
      <c r="B4" s="15"/>
      <c r="C4" s="15"/>
      <c r="D4" s="15"/>
      <c r="E4" s="15"/>
      <c r="F4" s="70" t="s">
        <v>644</v>
      </c>
      <c r="G4" s="71">
        <f ca="1">Input!H30</f>
        <v>880.9403596476144</v>
      </c>
      <c r="H4" s="25">
        <f t="dataTable" ref="H4:I7" dt2D="0" dtr="1" r1="F41" ca="1"/>
        <v>641.23889182220466</v>
      </c>
      <c r="I4" s="25">
        <v>1351.1803092252542</v>
      </c>
      <c r="J4" s="23"/>
      <c r="K4" s="23"/>
      <c r="L4" s="23"/>
      <c r="M4" s="23"/>
      <c r="N4" s="23"/>
      <c r="O4" s="23"/>
      <c r="P4" s="23"/>
      <c r="Q4" s="23"/>
      <c r="R4" s="23"/>
      <c r="S4" s="23"/>
      <c r="T4" s="23"/>
      <c r="U4" s="23"/>
      <c r="V4" s="23"/>
      <c r="W4" s="23"/>
    </row>
    <row r="5" spans="1:23" ht="15.75" x14ac:dyDescent="0.25">
      <c r="A5" s="15"/>
      <c r="B5" s="15"/>
      <c r="C5" s="15"/>
      <c r="D5" s="15"/>
      <c r="E5" s="15"/>
      <c r="F5" s="70" t="s">
        <v>7</v>
      </c>
      <c r="G5" s="71">
        <f ca="1">Input!H31</f>
        <v>0.28277983803255258</v>
      </c>
      <c r="H5" s="72">
        <v>0.24691103341369289</v>
      </c>
      <c r="I5" s="72">
        <v>0.32970234406391313</v>
      </c>
      <c r="J5" s="23"/>
      <c r="K5" s="23"/>
      <c r="L5" s="23"/>
      <c r="M5" s="23"/>
      <c r="N5" s="23"/>
      <c r="O5" s="23"/>
      <c r="P5" s="23"/>
      <c r="Q5" s="23"/>
      <c r="R5" s="23"/>
      <c r="S5" s="23"/>
      <c r="T5" s="23"/>
      <c r="U5" s="23"/>
      <c r="V5" s="23"/>
      <c r="W5" s="23"/>
    </row>
    <row r="6" spans="1:23" ht="15.75" x14ac:dyDescent="0.25">
      <c r="A6" s="15"/>
      <c r="B6" s="15"/>
      <c r="C6" s="15"/>
      <c r="D6" s="15"/>
      <c r="E6" s="15"/>
      <c r="F6" s="70" t="s">
        <v>8</v>
      </c>
      <c r="G6" s="71">
        <f ca="1">Input!H32</f>
        <v>0.93718834724411604</v>
      </c>
      <c r="H6" s="74">
        <v>0.73776588022908063</v>
      </c>
      <c r="I6" s="74">
        <v>1.2236484419242089</v>
      </c>
      <c r="J6" s="23"/>
      <c r="K6" s="23"/>
      <c r="L6" s="23"/>
      <c r="M6" s="23"/>
      <c r="N6" s="23"/>
      <c r="O6" s="23"/>
      <c r="P6" s="23"/>
      <c r="Q6" s="23"/>
      <c r="R6" s="23"/>
      <c r="S6" s="23"/>
      <c r="T6" s="23"/>
      <c r="U6" s="23"/>
      <c r="V6" s="23"/>
      <c r="W6" s="23"/>
    </row>
    <row r="7" spans="1:23" ht="15.75" x14ac:dyDescent="0.25">
      <c r="A7" s="15"/>
      <c r="B7" s="15"/>
      <c r="C7" s="15"/>
      <c r="D7" s="15"/>
      <c r="E7" s="15"/>
      <c r="F7" s="70" t="s">
        <v>9</v>
      </c>
      <c r="G7" s="71">
        <f ca="1">Input!H33</f>
        <v>19.930951584641797</v>
      </c>
      <c r="H7" s="74">
        <v>14.507794048861669</v>
      </c>
      <c r="I7" s="74">
        <v>30.569957466884915</v>
      </c>
      <c r="J7" s="23"/>
      <c r="K7" s="23"/>
      <c r="L7" s="23"/>
      <c r="M7" s="23"/>
      <c r="N7" s="23"/>
      <c r="O7" s="23"/>
      <c r="P7" s="23"/>
      <c r="Q7" s="23"/>
      <c r="R7" s="23"/>
      <c r="S7" s="23"/>
      <c r="T7" s="23"/>
      <c r="U7" s="23"/>
      <c r="V7" s="23"/>
      <c r="W7" s="23"/>
    </row>
    <row r="8" spans="1:23" ht="15.75" x14ac:dyDescent="0.25">
      <c r="A8" s="15"/>
      <c r="B8" s="15"/>
      <c r="C8" s="15"/>
      <c r="D8" s="15"/>
      <c r="E8" s="15"/>
      <c r="F8" s="75" t="s">
        <v>629</v>
      </c>
      <c r="H8" s="69">
        <f>1+Sensitivities!B5</f>
        <v>0.7</v>
      </c>
      <c r="I8" s="69">
        <f>1+Sensitivities!C5</f>
        <v>1.3</v>
      </c>
      <c r="J8" s="23"/>
      <c r="K8" s="23"/>
      <c r="L8" s="23"/>
      <c r="M8" s="23"/>
      <c r="N8" s="23"/>
      <c r="O8" s="23"/>
      <c r="P8" s="23"/>
      <c r="Q8" s="23"/>
      <c r="R8" s="23"/>
      <c r="S8" s="23"/>
      <c r="T8" s="23"/>
      <c r="U8" s="23"/>
      <c r="V8" s="23"/>
      <c r="W8" s="23"/>
    </row>
    <row r="9" spans="1:23" ht="15.75" x14ac:dyDescent="0.25">
      <c r="A9" s="15"/>
      <c r="B9" s="15"/>
      <c r="C9" s="15"/>
      <c r="D9" s="15"/>
      <c r="E9" s="15"/>
      <c r="F9" s="70" t="s">
        <v>644</v>
      </c>
      <c r="G9" s="71">
        <f ca="1">Input!H30</f>
        <v>880.9403596476144</v>
      </c>
      <c r="H9" s="25">
        <f t="dataTable" ref="H9:I12" dt2D="0" dtr="1" r1="F42" ca="1"/>
        <v>855.3498925466821</v>
      </c>
      <c r="I9" s="25">
        <v>905.46128218361639</v>
      </c>
      <c r="J9" s="23"/>
      <c r="K9" s="23"/>
      <c r="L9" s="23"/>
      <c r="M9" s="23"/>
      <c r="N9" s="23"/>
      <c r="O9" s="23"/>
      <c r="P9" s="23"/>
      <c r="Q9" s="23"/>
      <c r="R9" s="23"/>
      <c r="S9" s="23"/>
      <c r="T9" s="23"/>
      <c r="U9" s="23"/>
      <c r="V9" s="23"/>
      <c r="W9" s="23"/>
    </row>
    <row r="10" spans="1:23" ht="15.75" x14ac:dyDescent="0.25">
      <c r="A10" s="15"/>
      <c r="B10" s="15"/>
      <c r="C10" s="15"/>
      <c r="D10" s="15"/>
      <c r="E10" s="15"/>
      <c r="F10" s="70" t="s">
        <v>7</v>
      </c>
      <c r="G10" s="71">
        <f ca="1">Input!H31</f>
        <v>0.28277983803255258</v>
      </c>
      <c r="H10" s="72">
        <v>0.27884845683263143</v>
      </c>
      <c r="I10" s="72">
        <v>0.28629602137558702</v>
      </c>
      <c r="J10" s="23"/>
      <c r="K10" s="23"/>
      <c r="L10" s="23"/>
      <c r="M10" s="23"/>
      <c r="N10" s="23"/>
      <c r="O10" s="23"/>
      <c r="P10" s="23"/>
      <c r="Q10" s="23"/>
      <c r="R10" s="23"/>
      <c r="S10" s="23"/>
      <c r="T10" s="23"/>
      <c r="U10" s="23"/>
      <c r="V10" s="23"/>
      <c r="W10" s="23"/>
    </row>
    <row r="11" spans="1:23" ht="15.75" x14ac:dyDescent="0.25">
      <c r="A11" s="15"/>
      <c r="B11" s="15"/>
      <c r="C11" s="15"/>
      <c r="D11" s="15"/>
      <c r="E11" s="15"/>
      <c r="F11" s="70" t="s">
        <v>8</v>
      </c>
      <c r="G11" s="71">
        <f ca="1">Input!H32</f>
        <v>0.93718834724411604</v>
      </c>
      <c r="H11" s="74">
        <v>0.90996393039809809</v>
      </c>
      <c r="I11" s="74">
        <v>0.96327492917073965</v>
      </c>
      <c r="J11" s="23"/>
      <c r="K11" s="23"/>
      <c r="L11" s="23"/>
      <c r="M11" s="23"/>
      <c r="N11" s="23"/>
      <c r="O11" s="23"/>
      <c r="P11" s="23"/>
      <c r="Q11" s="23"/>
      <c r="R11" s="23"/>
      <c r="S11" s="23"/>
      <c r="T11" s="23"/>
      <c r="U11" s="23"/>
      <c r="V11" s="23"/>
      <c r="W11" s="23"/>
    </row>
    <row r="12" spans="1:23" ht="15.75" x14ac:dyDescent="0.25">
      <c r="A12" s="15"/>
      <c r="B12" s="15"/>
      <c r="C12" s="15"/>
      <c r="D12" s="15"/>
      <c r="E12" s="15"/>
      <c r="F12" s="70" t="s">
        <v>9</v>
      </c>
      <c r="G12" s="71">
        <f ca="1">Input!H33</f>
        <v>19.930951584641797</v>
      </c>
      <c r="H12" s="74">
        <v>19.351976679892203</v>
      </c>
      <c r="I12" s="74">
        <v>20.485728437039956</v>
      </c>
      <c r="J12" s="23"/>
      <c r="K12" s="23"/>
      <c r="L12" s="23"/>
      <c r="M12" s="23"/>
      <c r="N12" s="23"/>
      <c r="O12" s="23"/>
      <c r="P12" s="23"/>
      <c r="Q12" s="23"/>
      <c r="R12" s="23"/>
      <c r="S12" s="23"/>
      <c r="T12" s="23"/>
      <c r="U12" s="23"/>
      <c r="V12" s="23"/>
      <c r="W12" s="23"/>
    </row>
    <row r="13" spans="1:23" ht="15.75" x14ac:dyDescent="0.25">
      <c r="A13" s="15"/>
      <c r="B13" s="15"/>
      <c r="C13" s="15"/>
      <c r="D13" s="15"/>
      <c r="E13" s="15"/>
      <c r="F13" s="75" t="s">
        <v>630</v>
      </c>
      <c r="H13" s="115">
        <f>1+Sensitivities!B6</f>
        <v>0.75</v>
      </c>
      <c r="I13" s="115">
        <f>1+Sensitivities!C6</f>
        <v>1.3</v>
      </c>
      <c r="J13" s="23"/>
      <c r="K13" s="23"/>
      <c r="L13" s="23"/>
      <c r="M13" s="23"/>
      <c r="N13" s="23"/>
      <c r="O13" s="23"/>
      <c r="P13" s="23"/>
      <c r="Q13" s="23"/>
      <c r="R13" s="23"/>
      <c r="S13" s="23"/>
      <c r="T13" s="23"/>
      <c r="U13" s="23"/>
      <c r="V13" s="23"/>
      <c r="W13" s="23"/>
    </row>
    <row r="14" spans="1:23" ht="15.75" x14ac:dyDescent="0.25">
      <c r="A14" s="15"/>
      <c r="B14" s="15"/>
      <c r="C14" s="15"/>
      <c r="D14" s="15"/>
      <c r="E14" s="15"/>
      <c r="F14" s="70" t="s">
        <v>644</v>
      </c>
      <c r="G14" s="71">
        <f ca="1">Input!H30</f>
        <v>880.9403596476144</v>
      </c>
      <c r="H14" s="25">
        <f t="dataTable" ref="H14:I17" dt2D="0" dtr="1" r1="F46" ca="1"/>
        <v>901.54000215548285</v>
      </c>
      <c r="I14" s="25">
        <v>861.76060438975628</v>
      </c>
      <c r="J14" s="23"/>
      <c r="K14" s="23"/>
      <c r="L14" s="23"/>
      <c r="M14" s="23"/>
      <c r="N14" s="23"/>
      <c r="O14" s="23"/>
      <c r="P14" s="23"/>
      <c r="Q14" s="23"/>
      <c r="R14" s="23"/>
      <c r="S14" s="23"/>
      <c r="T14" s="23"/>
      <c r="U14" s="23"/>
      <c r="V14" s="23"/>
      <c r="W14" s="23"/>
    </row>
    <row r="15" spans="1:23" ht="15.75" x14ac:dyDescent="0.25">
      <c r="A15" s="15"/>
      <c r="B15" s="15"/>
      <c r="C15" s="15"/>
      <c r="D15" s="15"/>
      <c r="E15" s="15"/>
      <c r="F15" s="70" t="s">
        <v>7</v>
      </c>
      <c r="G15" s="71">
        <f ca="1">Input!H31</f>
        <v>0.28277983803255258</v>
      </c>
      <c r="H15" s="72">
        <v>0.2958443362484342</v>
      </c>
      <c r="I15" s="72">
        <v>0.26800074279702946</v>
      </c>
      <c r="J15" s="23"/>
      <c r="K15" s="23"/>
      <c r="L15" s="23"/>
      <c r="M15" s="23"/>
      <c r="N15" s="23"/>
      <c r="O15" s="23"/>
      <c r="P15" s="23"/>
      <c r="Q15" s="23"/>
      <c r="R15" s="23"/>
      <c r="S15" s="23"/>
      <c r="T15" s="23"/>
      <c r="U15" s="23"/>
      <c r="V15" s="23"/>
      <c r="W15" s="23"/>
    </row>
    <row r="16" spans="1:23" ht="15.75" x14ac:dyDescent="0.25">
      <c r="A16" s="15"/>
      <c r="B16" s="15"/>
      <c r="C16" s="15"/>
      <c r="D16" s="15"/>
      <c r="E16" s="15"/>
      <c r="F16" s="70" t="s">
        <v>8</v>
      </c>
      <c r="G16" s="71">
        <f ca="1">Input!H32</f>
        <v>0.93718834724411604</v>
      </c>
      <c r="H16" s="74">
        <v>0.98652556202346897</v>
      </c>
      <c r="I16" s="74">
        <v>0.887190657079449</v>
      </c>
      <c r="J16" s="23"/>
      <c r="K16" s="23"/>
      <c r="L16" s="23"/>
      <c r="M16" s="23"/>
      <c r="N16" s="23"/>
      <c r="O16" s="23"/>
      <c r="P16" s="23"/>
      <c r="Q16" s="23"/>
      <c r="R16" s="23"/>
      <c r="S16" s="23"/>
      <c r="T16" s="23"/>
      <c r="U16" s="23"/>
      <c r="V16" s="23"/>
      <c r="W16" s="23"/>
    </row>
    <row r="17" spans="1:23" ht="15.75" x14ac:dyDescent="0.25">
      <c r="A17" s="15"/>
      <c r="B17" s="15"/>
      <c r="C17" s="15"/>
      <c r="D17" s="15"/>
      <c r="E17" s="15"/>
      <c r="F17" s="70" t="s">
        <v>9</v>
      </c>
      <c r="G17" s="71">
        <f ca="1">Input!H33</f>
        <v>19.930951584641797</v>
      </c>
      <c r="H17" s="74">
        <v>27.196014558452667</v>
      </c>
      <c r="I17" s="74">
        <v>14.997705136286545</v>
      </c>
      <c r="J17" s="23"/>
      <c r="K17" s="23"/>
      <c r="L17" s="23"/>
      <c r="M17" s="23"/>
      <c r="N17" s="23"/>
      <c r="O17" s="23"/>
      <c r="P17" s="23"/>
      <c r="Q17" s="23"/>
      <c r="R17" s="23"/>
      <c r="S17" s="23"/>
      <c r="T17" s="23"/>
      <c r="U17" s="23"/>
      <c r="V17" s="23"/>
      <c r="W17" s="23"/>
    </row>
    <row r="18" spans="1:23" ht="15.75" x14ac:dyDescent="0.25">
      <c r="A18" s="15"/>
      <c r="B18" s="15"/>
      <c r="C18" s="15"/>
      <c r="D18" s="15"/>
      <c r="E18" s="15"/>
      <c r="F18" s="75" t="s">
        <v>631</v>
      </c>
      <c r="H18" s="69">
        <f>1+Sensitivities!B7</f>
        <v>0.75</v>
      </c>
      <c r="I18" s="69">
        <f>1+Sensitivities!C7</f>
        <v>1.3</v>
      </c>
      <c r="J18" s="23"/>
      <c r="K18" s="23"/>
      <c r="L18" s="23"/>
      <c r="M18" s="23"/>
      <c r="N18" s="23"/>
      <c r="O18" s="23"/>
      <c r="P18" s="23"/>
      <c r="Q18" s="23"/>
      <c r="R18" s="23"/>
      <c r="S18" s="23"/>
      <c r="T18" s="23"/>
      <c r="U18" s="23"/>
      <c r="V18" s="23"/>
      <c r="W18" s="23"/>
    </row>
    <row r="19" spans="1:23" ht="15.75" x14ac:dyDescent="0.25">
      <c r="A19" s="15"/>
      <c r="B19" s="15"/>
      <c r="C19" s="15"/>
      <c r="D19" s="15"/>
      <c r="E19" s="15"/>
      <c r="F19" s="70" t="s">
        <v>644</v>
      </c>
      <c r="G19" s="71">
        <f ca="1">Input!H30</f>
        <v>880.9403596476144</v>
      </c>
      <c r="H19" s="25">
        <f t="dataTable" ref="H19:I22" dt2D="0" dtr="1" r1="F43" ca="1"/>
        <v>980.26824710454912</v>
      </c>
      <c r="I19" s="25">
        <v>762.94515377990695</v>
      </c>
      <c r="J19" s="23"/>
      <c r="K19" s="23"/>
      <c r="L19" s="23"/>
      <c r="M19" s="23"/>
      <c r="N19" s="23"/>
      <c r="O19" s="23"/>
      <c r="P19" s="23"/>
      <c r="Q19" s="23"/>
      <c r="R19" s="23"/>
      <c r="S19" s="23"/>
      <c r="T19" s="23"/>
      <c r="U19" s="23"/>
      <c r="V19" s="23"/>
      <c r="W19" s="23"/>
    </row>
    <row r="20" spans="1:23" ht="15.75" x14ac:dyDescent="0.25">
      <c r="A20" s="15"/>
      <c r="B20" s="15"/>
      <c r="C20" s="15"/>
      <c r="D20" s="15"/>
      <c r="E20" s="15"/>
      <c r="F20" s="70" t="s">
        <v>7</v>
      </c>
      <c r="G20" s="71">
        <f ca="1">Input!H31</f>
        <v>0.28277983803255258</v>
      </c>
      <c r="H20" s="72">
        <v>0.32860725663632229</v>
      </c>
      <c r="I20" s="72">
        <v>0.2378049299993753</v>
      </c>
      <c r="J20" s="23"/>
      <c r="K20" s="23"/>
      <c r="L20" s="23"/>
      <c r="M20" s="23"/>
      <c r="N20" s="23"/>
      <c r="O20" s="23"/>
      <c r="P20" s="23"/>
      <c r="Q20" s="23"/>
      <c r="R20" s="23"/>
      <c r="S20" s="23"/>
      <c r="T20" s="23"/>
      <c r="U20" s="23"/>
      <c r="V20" s="23"/>
      <c r="W20" s="23"/>
    </row>
    <row r="21" spans="1:23" ht="15.75" x14ac:dyDescent="0.25">
      <c r="A21" s="15"/>
      <c r="B21" s="15"/>
      <c r="C21" s="15"/>
      <c r="D21" s="15"/>
      <c r="E21" s="15"/>
      <c r="F21" s="70" t="s">
        <v>8</v>
      </c>
      <c r="G21" s="71">
        <f ca="1">Input!H32</f>
        <v>0.93718834724411604</v>
      </c>
      <c r="H21" s="74">
        <v>1.3407849837425028</v>
      </c>
      <c r="I21" s="74">
        <v>0.64079511111388454</v>
      </c>
      <c r="J21" s="23"/>
      <c r="K21" s="23"/>
      <c r="L21" s="23"/>
      <c r="M21" s="23"/>
      <c r="N21" s="23"/>
      <c r="O21" s="23"/>
      <c r="P21" s="23"/>
      <c r="Q21" s="23"/>
      <c r="R21" s="23"/>
      <c r="S21" s="23"/>
      <c r="T21" s="23"/>
      <c r="U21" s="23"/>
      <c r="V21" s="23"/>
      <c r="W21" s="23"/>
    </row>
    <row r="22" spans="1:23" ht="15.75" x14ac:dyDescent="0.25">
      <c r="A22" s="15"/>
      <c r="B22" s="15"/>
      <c r="C22" s="15"/>
      <c r="D22" s="15"/>
      <c r="E22" s="15"/>
      <c r="F22" s="70" t="s">
        <v>9</v>
      </c>
      <c r="G22" s="71">
        <f ca="1">Input!H33</f>
        <v>19.930951584641797</v>
      </c>
      <c r="H22" s="74">
        <v>22.178208500763581</v>
      </c>
      <c r="I22" s="74">
        <v>17.261353456217023</v>
      </c>
      <c r="J22" s="23"/>
      <c r="K22" s="23"/>
      <c r="L22" s="23"/>
      <c r="M22" s="23"/>
      <c r="N22" s="23"/>
      <c r="O22" s="23"/>
      <c r="P22" s="23"/>
      <c r="Q22" s="23"/>
      <c r="R22" s="23"/>
      <c r="S22" s="23"/>
      <c r="T22" s="23"/>
      <c r="U22" s="23"/>
      <c r="V22" s="23"/>
      <c r="W22" s="23"/>
    </row>
    <row r="23" spans="1:23" ht="15.75" x14ac:dyDescent="0.25">
      <c r="A23" s="15"/>
      <c r="B23" s="15"/>
      <c r="C23" s="15"/>
      <c r="D23" s="15"/>
      <c r="E23" s="15"/>
      <c r="F23" s="75" t="s">
        <v>632</v>
      </c>
      <c r="H23" s="69">
        <f>1+Sensitivities!B8</f>
        <v>0.5</v>
      </c>
      <c r="I23" s="69">
        <f>1+Sensitivities!C8</f>
        <v>1.5</v>
      </c>
      <c r="J23" s="23"/>
      <c r="K23" s="23"/>
      <c r="L23" s="23"/>
      <c r="M23" s="23"/>
      <c r="N23" s="23"/>
      <c r="O23" s="23"/>
      <c r="P23" s="23"/>
      <c r="Q23" s="23"/>
      <c r="R23" s="23"/>
      <c r="S23" s="23"/>
      <c r="T23" s="23"/>
      <c r="U23" s="23"/>
      <c r="V23" s="23"/>
      <c r="W23" s="23"/>
    </row>
    <row r="24" spans="1:23" ht="15.75" x14ac:dyDescent="0.25">
      <c r="A24" s="15"/>
      <c r="B24" s="15"/>
      <c r="C24" s="15"/>
      <c r="D24" s="15"/>
      <c r="E24" s="15"/>
      <c r="F24" s="70" t="s">
        <v>644</v>
      </c>
      <c r="G24" s="73">
        <f ca="1">Input!H30</f>
        <v>880.9403596476144</v>
      </c>
      <c r="H24" s="25">
        <f t="dataTable" ref="H24:I27" dt2D="0" dtr="1" r1="F44" ca="1"/>
        <v>974.87867371508673</v>
      </c>
      <c r="I24" s="25">
        <v>789.75136282471942</v>
      </c>
      <c r="J24" s="23"/>
      <c r="K24" s="23"/>
      <c r="L24" s="23"/>
      <c r="M24" s="23"/>
      <c r="N24" s="23"/>
      <c r="O24" s="23"/>
      <c r="P24" s="23"/>
      <c r="Q24" s="23"/>
      <c r="R24" s="23"/>
      <c r="S24" s="23"/>
      <c r="T24" s="23"/>
      <c r="U24" s="23"/>
      <c r="V24" s="23"/>
      <c r="W24" s="23"/>
    </row>
    <row r="25" spans="1:23" ht="15.75" x14ac:dyDescent="0.25">
      <c r="A25" s="15"/>
      <c r="B25" s="15"/>
      <c r="C25" s="15"/>
      <c r="D25" s="15"/>
      <c r="E25" s="15"/>
      <c r="F25" s="70" t="s">
        <v>7</v>
      </c>
      <c r="G25" s="73">
        <f ca="1">Input!H31</f>
        <v>0.28277983803255258</v>
      </c>
      <c r="H25" s="76">
        <v>0.29395608876389068</v>
      </c>
      <c r="I25" s="76">
        <v>0.26934828608077827</v>
      </c>
      <c r="J25" s="23"/>
      <c r="K25" s="23"/>
      <c r="L25" s="23"/>
      <c r="M25" s="23"/>
      <c r="N25" s="23"/>
      <c r="O25" s="23"/>
      <c r="P25" s="23"/>
      <c r="Q25" s="23"/>
      <c r="R25" s="23"/>
      <c r="S25" s="23"/>
      <c r="T25" s="23"/>
      <c r="U25" s="23"/>
      <c r="V25" s="23"/>
      <c r="W25" s="23"/>
    </row>
    <row r="26" spans="1:23" ht="15.75" x14ac:dyDescent="0.25">
      <c r="A26" s="15"/>
      <c r="B26" s="15"/>
      <c r="C26" s="15"/>
      <c r="D26" s="15"/>
      <c r="E26" s="15"/>
      <c r="F26" s="70" t="s">
        <v>8</v>
      </c>
      <c r="G26" s="73">
        <f ca="1">Input!H32</f>
        <v>0.93718834724411604</v>
      </c>
      <c r="H26" s="74">
        <v>1.0371246168674186</v>
      </c>
      <c r="I26" s="74">
        <v>0.84017693860178377</v>
      </c>
      <c r="J26" s="23"/>
      <c r="K26" s="23"/>
      <c r="L26" s="23"/>
      <c r="M26" s="23"/>
      <c r="N26" s="23"/>
      <c r="O26" s="23"/>
      <c r="P26" s="23"/>
      <c r="Q26" s="23"/>
      <c r="R26" s="23"/>
      <c r="S26" s="23"/>
      <c r="T26" s="23"/>
      <c r="U26" s="23"/>
      <c r="V26" s="23"/>
      <c r="W26" s="23"/>
    </row>
    <row r="27" spans="1:23" ht="15.75" x14ac:dyDescent="0.25">
      <c r="A27" s="15"/>
      <c r="B27" s="15"/>
      <c r="C27" s="15"/>
      <c r="D27" s="15"/>
      <c r="E27" s="15"/>
      <c r="F27" s="70" t="s">
        <v>9</v>
      </c>
      <c r="G27" s="73">
        <f ca="1">Input!H33</f>
        <v>19.930951584641797</v>
      </c>
      <c r="H27" s="74">
        <v>22.056271385372231</v>
      </c>
      <c r="I27" s="74">
        <v>17.867834075238335</v>
      </c>
      <c r="J27" s="23"/>
      <c r="K27" s="23"/>
      <c r="L27" s="23"/>
      <c r="M27" s="23"/>
      <c r="N27" s="23"/>
      <c r="O27" s="23"/>
      <c r="P27" s="23"/>
      <c r="Q27" s="23"/>
      <c r="R27" s="23"/>
      <c r="S27" s="23"/>
      <c r="T27" s="23"/>
      <c r="U27" s="23"/>
      <c r="V27" s="23"/>
      <c r="W27" s="23"/>
    </row>
    <row r="28" spans="1:23" ht="15.75" x14ac:dyDescent="0.25">
      <c r="A28" s="15"/>
      <c r="B28" s="15"/>
      <c r="C28" s="15"/>
      <c r="D28" s="15"/>
      <c r="E28" s="15"/>
      <c r="F28" s="75" t="s">
        <v>633</v>
      </c>
      <c r="G28" s="71"/>
      <c r="H28" s="69">
        <f>1+Sensitivities!B9</f>
        <v>0.8</v>
      </c>
      <c r="I28" s="69">
        <f>1+Sensitivities!C9</f>
        <v>1.3</v>
      </c>
      <c r="J28" s="15"/>
      <c r="K28" s="15"/>
      <c r="L28" s="15"/>
      <c r="M28" s="15"/>
      <c r="N28" s="15"/>
      <c r="O28" s="15"/>
      <c r="P28" s="15"/>
      <c r="Q28" s="15"/>
      <c r="R28" s="15"/>
      <c r="S28" s="15"/>
      <c r="T28" s="15"/>
      <c r="U28" s="15"/>
      <c r="V28" s="15"/>
      <c r="W28" s="15"/>
    </row>
    <row r="29" spans="1:23" ht="15.75" x14ac:dyDescent="0.25">
      <c r="A29" s="15"/>
      <c r="B29" s="15"/>
      <c r="C29" s="15"/>
      <c r="D29" s="15"/>
      <c r="E29" s="15"/>
      <c r="F29" s="70" t="s">
        <v>644</v>
      </c>
      <c r="G29" s="73">
        <f ca="1">Input!H30</f>
        <v>880.9403596476144</v>
      </c>
      <c r="H29" s="25">
        <f t="dataTable" ref="H29:I32" dt2D="0" dtr="1" r1="F45" ca="1"/>
        <v>695.91236498879766</v>
      </c>
      <c r="I29" s="25">
        <v>1158.4823516358388</v>
      </c>
      <c r="J29" s="15"/>
      <c r="K29" s="15"/>
      <c r="L29" s="15"/>
      <c r="M29" s="15"/>
      <c r="N29" s="15"/>
      <c r="O29" s="15"/>
      <c r="P29" s="15"/>
      <c r="Q29" s="15"/>
      <c r="R29" s="15"/>
      <c r="S29" s="15"/>
      <c r="T29" s="15"/>
      <c r="U29" s="15"/>
      <c r="V29" s="15"/>
      <c r="W29" s="15"/>
    </row>
    <row r="30" spans="1:23" ht="15.75" x14ac:dyDescent="0.25">
      <c r="A30" s="15"/>
      <c r="B30" s="15"/>
      <c r="C30" s="15"/>
      <c r="D30" s="15"/>
      <c r="E30" s="15"/>
      <c r="F30" s="70" t="s">
        <v>7</v>
      </c>
      <c r="G30" s="73">
        <f ca="1">Input!H31</f>
        <v>0.28277983803255258</v>
      </c>
      <c r="H30" s="76">
        <v>0.27558810129268707</v>
      </c>
      <c r="I30" s="76">
        <v>0.28940637060303165</v>
      </c>
      <c r="J30" s="15"/>
      <c r="K30" s="15"/>
      <c r="L30" s="15"/>
      <c r="M30" s="15"/>
      <c r="N30" s="15"/>
      <c r="O30" s="15"/>
      <c r="P30" s="15"/>
      <c r="Q30" s="15"/>
      <c r="R30" s="15"/>
      <c r="S30" s="15"/>
      <c r="T30" s="15"/>
      <c r="U30" s="15"/>
      <c r="V30" s="15"/>
      <c r="W30" s="15"/>
    </row>
    <row r="31" spans="1:23" ht="15.75" x14ac:dyDescent="0.25">
      <c r="A31" s="15"/>
      <c r="B31" s="15"/>
      <c r="C31" s="15"/>
      <c r="D31" s="15"/>
      <c r="E31" s="15"/>
      <c r="F31" s="70" t="s">
        <v>8</v>
      </c>
      <c r="G31" s="73">
        <f ca="1">Input!H32</f>
        <v>0.93718834724411604</v>
      </c>
      <c r="H31" s="74">
        <v>0.91468043803067223</v>
      </c>
      <c r="I31" s="74">
        <v>0.95843971841403186</v>
      </c>
      <c r="J31" s="15"/>
      <c r="K31" s="15"/>
      <c r="L31" s="15"/>
      <c r="M31" s="15"/>
      <c r="N31" s="15"/>
      <c r="O31" s="15"/>
      <c r="P31" s="15"/>
      <c r="Q31" s="15"/>
      <c r="R31" s="15"/>
      <c r="S31" s="15"/>
      <c r="T31" s="15"/>
      <c r="U31" s="15"/>
      <c r="V31" s="15"/>
      <c r="W31" s="15"/>
    </row>
    <row r="32" spans="1:23" ht="15.75" x14ac:dyDescent="0.25">
      <c r="A32" s="15"/>
      <c r="B32" s="15"/>
      <c r="C32" s="15"/>
      <c r="D32" s="15"/>
      <c r="E32" s="15"/>
      <c r="F32" s="70" t="s">
        <v>9</v>
      </c>
      <c r="G32" s="73">
        <f ca="1">Input!H33</f>
        <v>19.930951584641797</v>
      </c>
      <c r="H32" s="74">
        <v>15.744761267713429</v>
      </c>
      <c r="I32" s="74">
        <v>26.210237060034331</v>
      </c>
      <c r="J32" s="15"/>
      <c r="K32" s="15"/>
      <c r="L32" s="15"/>
      <c r="M32" s="15"/>
      <c r="N32" s="15"/>
      <c r="O32" s="15"/>
      <c r="P32" s="15"/>
      <c r="Q32" s="15"/>
      <c r="R32" s="15"/>
      <c r="S32" s="15"/>
      <c r="T32" s="15"/>
      <c r="U32" s="15"/>
      <c r="V32" s="15"/>
      <c r="W32" s="15"/>
    </row>
    <row r="33" spans="1:23" ht="15.75" x14ac:dyDescent="0.25">
      <c r="A33" s="15"/>
      <c r="B33" s="15"/>
      <c r="C33" s="15"/>
      <c r="D33" s="15"/>
      <c r="E33" s="15"/>
      <c r="F33" s="114" t="s">
        <v>789</v>
      </c>
      <c r="G33" s="71"/>
      <c r="H33" s="76">
        <f>1+Sensitivities!B4</f>
        <v>0.7</v>
      </c>
      <c r="I33" s="76">
        <f>1+Sensitivities!C4</f>
        <v>1.3</v>
      </c>
      <c r="J33" s="15"/>
      <c r="K33" s="15"/>
      <c r="L33" s="15"/>
      <c r="M33" s="15"/>
      <c r="N33" s="15"/>
      <c r="O33" s="15"/>
      <c r="P33" s="15"/>
      <c r="Q33" s="15"/>
      <c r="R33" s="15"/>
      <c r="S33" s="15"/>
      <c r="T33" s="15"/>
      <c r="U33" s="15"/>
      <c r="V33" s="15"/>
      <c r="W33" s="15"/>
    </row>
    <row r="34" spans="1:23" ht="15.75" x14ac:dyDescent="0.25">
      <c r="A34" s="15"/>
      <c r="B34" s="15"/>
      <c r="C34" s="15"/>
      <c r="D34" s="15"/>
      <c r="E34" s="15"/>
      <c r="F34" s="70" t="s">
        <v>644</v>
      </c>
      <c r="G34" s="71">
        <f ca="1">Input!H30</f>
        <v>880.9403596476144</v>
      </c>
      <c r="H34" s="74">
        <f t="dataTable" ref="H34:I37" dt2D="0" dtr="1" r1="F47" ca="1"/>
        <v>450.44565260703843</v>
      </c>
      <c r="I34" s="74">
        <v>1317.1478170805649</v>
      </c>
      <c r="J34" s="15"/>
      <c r="K34" s="15"/>
      <c r="L34" s="15"/>
      <c r="M34" s="15"/>
      <c r="N34" s="15"/>
      <c r="O34" s="15"/>
      <c r="P34" s="15"/>
      <c r="Q34" s="15"/>
      <c r="R34" s="15"/>
      <c r="S34" s="15"/>
      <c r="T34" s="15"/>
      <c r="U34" s="15"/>
      <c r="V34" s="15"/>
      <c r="W34" s="15"/>
    </row>
    <row r="35" spans="1:23" ht="15.75" x14ac:dyDescent="0.25">
      <c r="A35" s="15"/>
      <c r="B35" s="15"/>
      <c r="C35" s="15"/>
      <c r="D35" s="15"/>
      <c r="E35" s="15"/>
      <c r="F35" s="70" t="s">
        <v>7</v>
      </c>
      <c r="G35" s="71">
        <f ca="1">Input!H31</f>
        <v>0.28277983803255258</v>
      </c>
      <c r="H35" s="76">
        <v>0.20263568236147569</v>
      </c>
      <c r="I35" s="76">
        <v>0.34501551548629306</v>
      </c>
      <c r="J35" s="15"/>
      <c r="K35" s="15"/>
      <c r="L35" s="15"/>
      <c r="M35" s="15"/>
      <c r="N35" s="15"/>
      <c r="O35" s="15"/>
      <c r="P35" s="15"/>
      <c r="Q35" s="15"/>
      <c r="R35" s="15"/>
      <c r="S35" s="15"/>
      <c r="T35" s="15"/>
      <c r="U35" s="15"/>
      <c r="V35" s="15"/>
      <c r="W35" s="15"/>
    </row>
    <row r="36" spans="1:23" ht="15.75" x14ac:dyDescent="0.25">
      <c r="A36" s="15"/>
      <c r="B36" s="15"/>
      <c r="C36" s="15"/>
      <c r="D36" s="15"/>
      <c r="E36" s="15"/>
      <c r="F36" s="70" t="s">
        <v>8</v>
      </c>
      <c r="G36" s="71">
        <f ca="1">Input!H32</f>
        <v>0.93718834724411604</v>
      </c>
      <c r="H36" s="74">
        <v>0.47920657972686498</v>
      </c>
      <c r="I36" s="74">
        <v>1.4012476239137339</v>
      </c>
      <c r="J36" s="15"/>
      <c r="K36" s="15"/>
      <c r="L36" s="15"/>
      <c r="M36" s="15"/>
      <c r="N36" s="15"/>
      <c r="O36" s="15"/>
      <c r="P36" s="15"/>
      <c r="Q36" s="15"/>
      <c r="R36" s="15"/>
      <c r="S36" s="15"/>
      <c r="T36" s="15"/>
      <c r="U36" s="15"/>
      <c r="V36" s="15"/>
      <c r="W36" s="15"/>
    </row>
    <row r="37" spans="1:23" ht="15.75" x14ac:dyDescent="0.25">
      <c r="A37" s="15"/>
      <c r="B37" s="15"/>
      <c r="C37" s="15"/>
      <c r="D37" s="15"/>
      <c r="E37" s="15"/>
      <c r="F37" s="70" t="s">
        <v>9</v>
      </c>
      <c r="G37" s="71">
        <f ca="1">Input!H33</f>
        <v>19.930951584641797</v>
      </c>
      <c r="H37" s="74">
        <v>10.191167194581119</v>
      </c>
      <c r="I37" s="74">
        <v>29.799984850904611</v>
      </c>
      <c r="J37" s="15"/>
      <c r="K37" s="15"/>
      <c r="L37" s="15"/>
      <c r="M37" s="15"/>
      <c r="N37" s="15"/>
      <c r="O37" s="15"/>
      <c r="P37" s="15"/>
      <c r="Q37" s="15"/>
      <c r="R37" s="15"/>
      <c r="S37" s="15"/>
      <c r="T37" s="15"/>
      <c r="U37" s="15"/>
      <c r="V37" s="15"/>
      <c r="W37" s="15"/>
    </row>
    <row r="38" spans="1:23" ht="15" x14ac:dyDescent="0.25">
      <c r="A38" s="15"/>
      <c r="B38" s="15"/>
      <c r="C38" s="15"/>
      <c r="D38" s="15"/>
      <c r="E38" s="15"/>
      <c r="F38" s="15"/>
      <c r="G38" s="15"/>
      <c r="H38" s="15"/>
      <c r="I38" s="15"/>
      <c r="J38" s="15"/>
      <c r="K38" s="15"/>
      <c r="L38" s="15"/>
      <c r="M38" s="15"/>
      <c r="N38" s="15"/>
      <c r="O38" s="15"/>
      <c r="P38" s="15"/>
      <c r="Q38" s="15"/>
      <c r="R38" s="15"/>
      <c r="S38" s="15"/>
      <c r="T38" s="15"/>
      <c r="U38" s="15"/>
      <c r="V38" s="15"/>
      <c r="W38" s="15"/>
    </row>
    <row r="39" spans="1:23" ht="15" x14ac:dyDescent="0.25">
      <c r="A39" s="15"/>
      <c r="B39" s="15"/>
      <c r="C39" s="15"/>
      <c r="D39" s="15"/>
      <c r="E39" s="15"/>
      <c r="F39" s="15"/>
      <c r="G39" s="15"/>
      <c r="H39" s="15"/>
      <c r="I39" s="15"/>
      <c r="J39" s="15"/>
      <c r="K39" s="15"/>
      <c r="L39" s="15"/>
      <c r="M39" s="15"/>
      <c r="N39" s="15"/>
      <c r="O39" s="15"/>
      <c r="P39" s="15"/>
      <c r="Q39" s="15"/>
      <c r="R39" s="15"/>
      <c r="S39" s="15"/>
      <c r="T39" s="15"/>
      <c r="U39" s="15"/>
      <c r="V39" s="15"/>
      <c r="W39" s="15"/>
    </row>
    <row r="40" spans="1:23" ht="15" x14ac:dyDescent="0.25">
      <c r="A40" s="15"/>
      <c r="B40" s="15"/>
      <c r="C40" s="15"/>
      <c r="D40" s="15"/>
      <c r="E40" s="15"/>
      <c r="F40" s="15"/>
      <c r="G40" s="15"/>
      <c r="H40" s="15"/>
      <c r="I40" s="15" t="s">
        <v>639</v>
      </c>
      <c r="J40" s="15" t="s">
        <v>115</v>
      </c>
      <c r="K40" s="15" t="s">
        <v>659</v>
      </c>
      <c r="L40" s="15" t="s">
        <v>660</v>
      </c>
      <c r="M40" s="15" t="s">
        <v>640</v>
      </c>
      <c r="N40" s="15" t="s">
        <v>666</v>
      </c>
      <c r="O40" s="15" t="s">
        <v>667</v>
      </c>
      <c r="P40" s="15" t="s">
        <v>668</v>
      </c>
      <c r="Q40" s="15" t="s">
        <v>669</v>
      </c>
      <c r="R40" s="15"/>
      <c r="S40" s="15"/>
      <c r="T40" s="15"/>
      <c r="U40" s="15"/>
      <c r="V40" s="15"/>
      <c r="W40" s="15"/>
    </row>
    <row r="41" spans="1:23" ht="15" x14ac:dyDescent="0.25">
      <c r="A41" s="15"/>
      <c r="B41" s="15"/>
      <c r="C41" s="15" t="s">
        <v>634</v>
      </c>
      <c r="D41" s="15"/>
      <c r="E41" s="15"/>
      <c r="F41" s="15">
        <v>1</v>
      </c>
      <c r="G41" s="15"/>
      <c r="H41" s="15"/>
      <c r="I41" s="15">
        <v>1</v>
      </c>
      <c r="J41" s="27" t="s">
        <v>657</v>
      </c>
      <c r="K41" s="27" t="s">
        <v>657</v>
      </c>
      <c r="L41" s="27" t="s">
        <v>657</v>
      </c>
      <c r="M41" s="27" t="s">
        <v>657</v>
      </c>
      <c r="N41" s="27">
        <v>0</v>
      </c>
      <c r="O41" s="27">
        <v>0</v>
      </c>
      <c r="P41" s="27" t="s">
        <v>657</v>
      </c>
      <c r="Q41" s="27" t="s">
        <v>657</v>
      </c>
      <c r="R41" s="15"/>
      <c r="S41" s="15"/>
      <c r="T41" s="15"/>
      <c r="U41" s="15"/>
      <c r="V41" s="15"/>
      <c r="W41" s="15"/>
    </row>
    <row r="42" spans="1:23" ht="15" x14ac:dyDescent="0.25">
      <c r="A42" s="15"/>
      <c r="B42" s="15"/>
      <c r="C42" s="15" t="s">
        <v>629</v>
      </c>
      <c r="D42" s="15"/>
      <c r="E42" s="15"/>
      <c r="F42" s="15">
        <v>1</v>
      </c>
      <c r="G42" s="15"/>
      <c r="H42" s="15"/>
      <c r="I42" s="15">
        <v>2</v>
      </c>
      <c r="J42" s="27" t="s">
        <v>657</v>
      </c>
      <c r="K42" s="27" t="s">
        <v>657</v>
      </c>
      <c r="L42" s="27" t="s">
        <v>658</v>
      </c>
      <c r="M42" s="27">
        <v>0</v>
      </c>
      <c r="N42" s="27">
        <v>0</v>
      </c>
      <c r="O42" s="27" t="s">
        <v>658</v>
      </c>
      <c r="P42" s="27" t="s">
        <v>657</v>
      </c>
      <c r="Q42" s="27" t="s">
        <v>657</v>
      </c>
      <c r="R42" s="15"/>
      <c r="S42" s="15"/>
      <c r="T42" s="15"/>
      <c r="U42" s="15"/>
      <c r="V42" s="15"/>
      <c r="W42" s="15"/>
    </row>
    <row r="43" spans="1:23" ht="15" x14ac:dyDescent="0.25">
      <c r="A43" s="15"/>
      <c r="B43" s="15"/>
      <c r="C43" s="15" t="s">
        <v>635</v>
      </c>
      <c r="D43" s="15"/>
      <c r="E43" s="15"/>
      <c r="F43" s="15">
        <v>1</v>
      </c>
      <c r="G43" s="15"/>
      <c r="H43" s="15"/>
      <c r="I43" s="15">
        <v>3</v>
      </c>
      <c r="J43" s="27" t="s">
        <v>658</v>
      </c>
      <c r="K43" s="27" t="s">
        <v>657</v>
      </c>
      <c r="L43" s="27" t="s">
        <v>658</v>
      </c>
      <c r="M43" s="27">
        <v>0</v>
      </c>
      <c r="N43" s="27" t="s">
        <v>658</v>
      </c>
      <c r="O43" s="27" t="s">
        <v>658</v>
      </c>
      <c r="P43" s="27">
        <v>0</v>
      </c>
      <c r="Q43" s="27" t="s">
        <v>657</v>
      </c>
      <c r="R43" s="15"/>
      <c r="S43" s="15"/>
      <c r="T43" s="15"/>
      <c r="U43" s="15"/>
      <c r="V43" s="15"/>
      <c r="W43" s="15"/>
    </row>
    <row r="44" spans="1:23" ht="15" x14ac:dyDescent="0.25">
      <c r="A44" s="15"/>
      <c r="B44" s="15"/>
      <c r="C44" s="15" t="s">
        <v>636</v>
      </c>
      <c r="D44" s="15"/>
      <c r="E44" s="15"/>
      <c r="F44" s="15">
        <v>1</v>
      </c>
      <c r="G44" s="15"/>
      <c r="H44" s="15"/>
      <c r="I44" s="15">
        <v>4</v>
      </c>
      <c r="J44" s="27" t="s">
        <v>658</v>
      </c>
      <c r="K44" s="27" t="s">
        <v>658</v>
      </c>
      <c r="L44" s="27" t="s">
        <v>658</v>
      </c>
      <c r="M44" s="27" t="s">
        <v>658</v>
      </c>
      <c r="N44" s="27" t="s">
        <v>658</v>
      </c>
      <c r="O44" s="27" t="s">
        <v>658</v>
      </c>
      <c r="P44" s="27">
        <v>0</v>
      </c>
      <c r="Q44" s="27">
        <v>0</v>
      </c>
      <c r="R44" s="15"/>
      <c r="S44" s="15"/>
      <c r="T44" s="15"/>
      <c r="U44" s="15"/>
      <c r="V44" s="15"/>
      <c r="W44" s="15"/>
    </row>
    <row r="45" spans="1:23" ht="15" x14ac:dyDescent="0.25">
      <c r="A45" s="15"/>
      <c r="B45" s="15"/>
      <c r="C45" s="21" t="s">
        <v>633</v>
      </c>
      <c r="D45" s="21"/>
      <c r="E45" s="21"/>
      <c r="F45" s="21">
        <v>1</v>
      </c>
      <c r="G45" s="21"/>
      <c r="H45" s="22"/>
      <c r="I45" s="22"/>
      <c r="J45" s="22"/>
      <c r="K45" s="22"/>
      <c r="L45" s="22"/>
      <c r="M45" s="22" t="s">
        <v>661</v>
      </c>
      <c r="N45" s="22" t="s">
        <v>662</v>
      </c>
      <c r="O45" s="22" t="s">
        <v>663</v>
      </c>
      <c r="P45" s="22" t="s">
        <v>664</v>
      </c>
      <c r="Q45" s="22" t="s">
        <v>665</v>
      </c>
      <c r="R45" s="22"/>
      <c r="S45" s="22"/>
      <c r="T45" s="22"/>
      <c r="U45" s="22"/>
      <c r="V45" s="22"/>
      <c r="W45" s="22"/>
    </row>
    <row r="46" spans="1:23" ht="15" x14ac:dyDescent="0.25">
      <c r="A46" s="15"/>
      <c r="B46" s="15"/>
      <c r="C46" s="21" t="s">
        <v>637</v>
      </c>
      <c r="D46" s="21"/>
      <c r="E46" s="21"/>
      <c r="F46" s="21">
        <v>1</v>
      </c>
      <c r="G46" s="21"/>
      <c r="H46" s="22"/>
      <c r="I46" s="22"/>
      <c r="J46" s="22"/>
      <c r="K46" s="22"/>
      <c r="L46" s="22"/>
      <c r="M46" s="22" t="s">
        <v>640</v>
      </c>
      <c r="N46" s="22" t="s">
        <v>642</v>
      </c>
      <c r="O46" s="22" t="s">
        <v>643</v>
      </c>
      <c r="P46" s="22" t="s">
        <v>643</v>
      </c>
      <c r="Q46" s="22" t="s">
        <v>642</v>
      </c>
      <c r="R46" s="22"/>
      <c r="S46" s="22"/>
      <c r="T46" s="22"/>
      <c r="U46" s="22"/>
      <c r="V46" s="22"/>
      <c r="W46" s="22"/>
    </row>
    <row r="47" spans="1:23" ht="15" x14ac:dyDescent="0.25">
      <c r="A47" s="15"/>
      <c r="B47" s="15"/>
      <c r="C47" s="15" t="s">
        <v>789</v>
      </c>
      <c r="D47" s="21"/>
      <c r="E47" s="21"/>
      <c r="F47" s="113">
        <v>1</v>
      </c>
      <c r="G47" s="21"/>
      <c r="T47" s="15"/>
      <c r="U47" s="22"/>
      <c r="V47" s="22"/>
      <c r="W47" s="22"/>
    </row>
    <row r="48" spans="1:23" ht="15" x14ac:dyDescent="0.25">
      <c r="A48" s="15"/>
      <c r="B48" s="15"/>
      <c r="C48" s="21"/>
      <c r="D48" s="21"/>
      <c r="E48" s="21"/>
      <c r="F48" s="23"/>
      <c r="G48" s="21"/>
      <c r="T48" s="22"/>
      <c r="U48" s="22"/>
      <c r="V48" s="22"/>
      <c r="W48" s="22"/>
    </row>
    <row r="49" spans="1:23" ht="15" x14ac:dyDescent="0.25">
      <c r="A49" s="15"/>
      <c r="B49" s="15"/>
      <c r="C49" s="21"/>
      <c r="D49" s="21"/>
      <c r="E49" s="21"/>
      <c r="F49" s="23"/>
      <c r="G49" s="21"/>
      <c r="T49" s="22"/>
      <c r="U49" s="22"/>
      <c r="V49" s="22"/>
      <c r="W49" s="22"/>
    </row>
    <row r="50" spans="1:23" ht="15" x14ac:dyDescent="0.25">
      <c r="A50" s="15"/>
      <c r="B50" s="15"/>
      <c r="C50" s="21" t="s">
        <v>638</v>
      </c>
      <c r="D50" s="21"/>
      <c r="E50" s="21"/>
      <c r="F50" s="23"/>
      <c r="G50" s="21"/>
      <c r="H50" s="23"/>
      <c r="I50" s="77" t="s">
        <v>6</v>
      </c>
      <c r="J50" s="22">
        <f ca="1">Input!H30</f>
        <v>880.9403596476144</v>
      </c>
      <c r="K50" s="22"/>
      <c r="L50" s="84" t="s">
        <v>639</v>
      </c>
      <c r="M50" s="84" t="s">
        <v>659</v>
      </c>
      <c r="N50" s="84" t="s">
        <v>660</v>
      </c>
      <c r="O50" s="85" t="s">
        <v>640</v>
      </c>
      <c r="P50" s="85" t="s">
        <v>666</v>
      </c>
      <c r="Q50" s="85" t="s">
        <v>667</v>
      </c>
      <c r="R50" s="85" t="s">
        <v>668</v>
      </c>
      <c r="S50" s="85" t="s">
        <v>669</v>
      </c>
      <c r="T50" s="22"/>
      <c r="U50" s="22"/>
      <c r="V50" s="22"/>
      <c r="W50" s="22"/>
    </row>
    <row r="51" spans="1:23" ht="15" x14ac:dyDescent="0.25">
      <c r="A51" s="15"/>
      <c r="B51" s="15"/>
      <c r="C51" s="21"/>
      <c r="D51" s="21"/>
      <c r="E51" s="21"/>
      <c r="F51" s="23"/>
      <c r="G51" s="21"/>
      <c r="H51" s="21">
        <v>1</v>
      </c>
      <c r="I51" s="22" t="s">
        <v>111</v>
      </c>
      <c r="J51" s="78">
        <f>H4</f>
        <v>641.23889182220466</v>
      </c>
      <c r="K51" s="78">
        <f>I4</f>
        <v>1351.1803092252542</v>
      </c>
      <c r="L51" s="22">
        <f t="shared" ref="L51:L57" ca="1" si="0">IF($J$50&lt;0,IF(N51&gt;0,2,1),IF(M51&gt;0,4,3))</f>
        <v>4</v>
      </c>
      <c r="M51" s="78">
        <f t="shared" ref="M51:M57" ca="1" si="1">MIN(J51:K51,$J$50)</f>
        <v>641.23889182220466</v>
      </c>
      <c r="N51" s="78">
        <f t="shared" ref="N51:N57" ca="1" si="2">MAX(J51:K51,$J$50)</f>
        <v>1351.1803092252542</v>
      </c>
      <c r="O51" s="22">
        <f t="shared" ref="O51:O57" ca="1" si="3">CHOOSE(L51,N51,0,0,M51)</f>
        <v>641.23889182220466</v>
      </c>
      <c r="P51" s="22">
        <f t="shared" ref="P51:P57" ca="1" si="4">IF($J$50="Uneconomic",0,CHOOSE(L51,0,0,$J$50,$J$50-M51))</f>
        <v>239.70146782540974</v>
      </c>
      <c r="Q51" s="22">
        <f t="shared" ref="Q51:Q57" ca="1" si="5">IF($J$50="Uneconomic",0,CHOOSE(L51,0,N51,N51-$J$50,N51-$J$50))</f>
        <v>470.23994957763978</v>
      </c>
      <c r="R51" s="22">
        <f t="shared" ref="R51:R57" ca="1" si="6">IF($J$50="Uneconomic",0,CHOOSE(L51,$J$50-N51,$J$50,0,0))</f>
        <v>0</v>
      </c>
      <c r="S51" s="22">
        <f t="shared" ref="S51:S57" ca="1" si="7">IF($J$50="Uneconomic",0,CHOOSE(L51,M51-$J$50,M51-$J$50,M51,0))</f>
        <v>0</v>
      </c>
      <c r="T51" s="22"/>
      <c r="U51" s="22"/>
      <c r="V51" s="22"/>
      <c r="W51" s="22"/>
    </row>
    <row r="52" spans="1:23" ht="15" x14ac:dyDescent="0.25">
      <c r="A52" s="15"/>
      <c r="B52" s="15"/>
      <c r="C52" s="21"/>
      <c r="D52" s="21"/>
      <c r="E52" s="21"/>
      <c r="F52" s="23"/>
      <c r="G52" s="21"/>
      <c r="H52" s="21"/>
      <c r="I52" s="22" t="s">
        <v>759</v>
      </c>
      <c r="J52" s="78">
        <f>H34</f>
        <v>450.44565260703843</v>
      </c>
      <c r="K52" s="78">
        <f>I34</f>
        <v>1317.1478170805649</v>
      </c>
      <c r="L52" s="22">
        <f t="shared" ca="1" si="0"/>
        <v>4</v>
      </c>
      <c r="M52" s="78">
        <f t="shared" ca="1" si="1"/>
        <v>450.44565260703843</v>
      </c>
      <c r="N52" s="78">
        <f t="shared" ca="1" si="2"/>
        <v>1317.1478170805649</v>
      </c>
      <c r="O52" s="22">
        <f ca="1">CHOOSE(L52,N52,0,0,M52)</f>
        <v>450.44565260703843</v>
      </c>
      <c r="P52" s="22">
        <f t="shared" ca="1" si="4"/>
        <v>430.49470704057597</v>
      </c>
      <c r="Q52" s="22">
        <f t="shared" ca="1" si="5"/>
        <v>436.20745743295049</v>
      </c>
      <c r="R52" s="22">
        <f t="shared" ca="1" si="6"/>
        <v>0</v>
      </c>
      <c r="S52" s="22">
        <f t="shared" ca="1" si="7"/>
        <v>0</v>
      </c>
      <c r="T52" s="22"/>
      <c r="U52" s="22"/>
      <c r="V52" s="22"/>
      <c r="W52" s="22"/>
    </row>
    <row r="53" spans="1:23" ht="15" x14ac:dyDescent="0.25">
      <c r="A53" s="15"/>
      <c r="B53" s="15"/>
      <c r="C53" s="21"/>
      <c r="D53" s="21"/>
      <c r="E53" s="21"/>
      <c r="F53" s="23"/>
      <c r="G53" s="21"/>
      <c r="H53" s="21">
        <v>6</v>
      </c>
      <c r="I53" s="22" t="s">
        <v>118</v>
      </c>
      <c r="J53" s="78">
        <f>H9</f>
        <v>855.3498925466821</v>
      </c>
      <c r="K53" s="78">
        <f>I9</f>
        <v>905.46128218361639</v>
      </c>
      <c r="L53" s="22">
        <f t="shared" ca="1" si="0"/>
        <v>4</v>
      </c>
      <c r="M53" s="78">
        <f t="shared" ca="1" si="1"/>
        <v>855.3498925466821</v>
      </c>
      <c r="N53" s="78">
        <f t="shared" ca="1" si="2"/>
        <v>905.46128218361639</v>
      </c>
      <c r="O53" s="22">
        <f t="shared" ca="1" si="3"/>
        <v>855.3498925466821</v>
      </c>
      <c r="P53" s="22">
        <f t="shared" ca="1" si="4"/>
        <v>25.590467100932301</v>
      </c>
      <c r="Q53" s="22">
        <f t="shared" ca="1" si="5"/>
        <v>24.52092253600199</v>
      </c>
      <c r="R53" s="22">
        <f t="shared" ca="1" si="6"/>
        <v>0</v>
      </c>
      <c r="S53" s="22">
        <f t="shared" ca="1" si="7"/>
        <v>0</v>
      </c>
      <c r="T53" s="22"/>
      <c r="U53" s="22"/>
      <c r="V53" s="22"/>
      <c r="W53" s="22"/>
    </row>
    <row r="54" spans="1:23" ht="15" x14ac:dyDescent="0.25">
      <c r="A54" s="15"/>
      <c r="B54" s="15"/>
      <c r="C54" s="21"/>
      <c r="D54" s="21"/>
      <c r="E54" s="21"/>
      <c r="F54" s="23"/>
      <c r="G54" s="21"/>
      <c r="H54" s="21">
        <v>11</v>
      </c>
      <c r="I54" s="22" t="s">
        <v>119</v>
      </c>
      <c r="J54" s="78">
        <f>H14</f>
        <v>901.54000215548285</v>
      </c>
      <c r="K54" s="78">
        <f>I14</f>
        <v>861.76060438975628</v>
      </c>
      <c r="L54" s="22">
        <f t="shared" ca="1" si="0"/>
        <v>4</v>
      </c>
      <c r="M54" s="78">
        <f t="shared" ca="1" si="1"/>
        <v>861.76060438975628</v>
      </c>
      <c r="N54" s="78">
        <f t="shared" ca="1" si="2"/>
        <v>901.54000215548285</v>
      </c>
      <c r="O54" s="22">
        <f t="shared" ca="1" si="3"/>
        <v>861.76060438975628</v>
      </c>
      <c r="P54" s="22">
        <f t="shared" ca="1" si="4"/>
        <v>19.179755257858119</v>
      </c>
      <c r="Q54" s="22">
        <f t="shared" ca="1" si="5"/>
        <v>20.599642507868452</v>
      </c>
      <c r="R54" s="22">
        <f t="shared" ca="1" si="6"/>
        <v>0</v>
      </c>
      <c r="S54" s="22">
        <f t="shared" ca="1" si="7"/>
        <v>0</v>
      </c>
      <c r="T54" s="22"/>
      <c r="U54" s="22"/>
      <c r="V54" s="22"/>
      <c r="W54" s="22"/>
    </row>
    <row r="55" spans="1:23" ht="15" x14ac:dyDescent="0.25">
      <c r="A55" s="15"/>
      <c r="B55" s="15"/>
      <c r="C55" s="21"/>
      <c r="D55" s="21"/>
      <c r="E55" s="21"/>
      <c r="F55" s="21"/>
      <c r="G55" s="21"/>
      <c r="H55" s="21">
        <v>16</v>
      </c>
      <c r="I55" s="22" t="s">
        <v>641</v>
      </c>
      <c r="J55" s="78">
        <f>H19</f>
        <v>980.26824710454912</v>
      </c>
      <c r="K55" s="78">
        <f>I19</f>
        <v>762.94515377990695</v>
      </c>
      <c r="L55" s="22">
        <f t="shared" ca="1" si="0"/>
        <v>4</v>
      </c>
      <c r="M55" s="78">
        <f t="shared" ca="1" si="1"/>
        <v>762.94515377990695</v>
      </c>
      <c r="N55" s="78">
        <f t="shared" ca="1" si="2"/>
        <v>980.26824710454912</v>
      </c>
      <c r="O55" s="22">
        <f t="shared" ca="1" si="3"/>
        <v>762.94515377990695</v>
      </c>
      <c r="P55" s="22">
        <f t="shared" ca="1" si="4"/>
        <v>117.99520586770745</v>
      </c>
      <c r="Q55" s="22">
        <f t="shared" ca="1" si="5"/>
        <v>99.327887456934718</v>
      </c>
      <c r="R55" s="22">
        <f t="shared" ca="1" si="6"/>
        <v>0</v>
      </c>
      <c r="S55" s="22">
        <f t="shared" ca="1" si="7"/>
        <v>0</v>
      </c>
      <c r="T55" s="22"/>
      <c r="U55" s="22"/>
      <c r="V55" s="22"/>
      <c r="W55" s="22"/>
    </row>
    <row r="56" spans="1:23" ht="15" x14ac:dyDescent="0.25">
      <c r="A56" s="15"/>
      <c r="B56" s="15"/>
      <c r="C56" s="22"/>
      <c r="D56" s="22"/>
      <c r="E56" s="22"/>
      <c r="F56" s="22"/>
      <c r="G56" s="21"/>
      <c r="H56" s="21">
        <v>21</v>
      </c>
      <c r="I56" s="22" t="s">
        <v>121</v>
      </c>
      <c r="J56" s="78">
        <f>H24</f>
        <v>974.87867371508673</v>
      </c>
      <c r="K56" s="78">
        <f>I24</f>
        <v>789.75136282471942</v>
      </c>
      <c r="L56" s="22">
        <f t="shared" ca="1" si="0"/>
        <v>4</v>
      </c>
      <c r="M56" s="78">
        <f t="shared" ca="1" si="1"/>
        <v>789.75136282471942</v>
      </c>
      <c r="N56" s="78">
        <f t="shared" ca="1" si="2"/>
        <v>974.87867371508673</v>
      </c>
      <c r="O56" s="22">
        <f t="shared" ca="1" si="3"/>
        <v>789.75136282471942</v>
      </c>
      <c r="P56" s="22">
        <f t="shared" ca="1" si="4"/>
        <v>91.188996822894978</v>
      </c>
      <c r="Q56" s="22">
        <f t="shared" ca="1" si="5"/>
        <v>93.938314067472334</v>
      </c>
      <c r="R56" s="22">
        <f t="shared" ca="1" si="6"/>
        <v>0</v>
      </c>
      <c r="S56" s="22">
        <f t="shared" ca="1" si="7"/>
        <v>0</v>
      </c>
      <c r="T56" s="22"/>
      <c r="U56" s="22"/>
      <c r="V56" s="22"/>
      <c r="W56" s="22"/>
    </row>
    <row r="57" spans="1:23" ht="15" x14ac:dyDescent="0.25">
      <c r="A57" s="15"/>
      <c r="B57" s="15"/>
      <c r="C57" s="22"/>
      <c r="D57" s="22"/>
      <c r="E57" s="22"/>
      <c r="F57" s="22"/>
      <c r="G57" s="21"/>
      <c r="H57" s="21">
        <v>26</v>
      </c>
      <c r="I57" s="22" t="s">
        <v>122</v>
      </c>
      <c r="J57" s="78">
        <f>H29</f>
        <v>695.91236498879766</v>
      </c>
      <c r="K57" s="78">
        <f>I29</f>
        <v>1158.4823516358388</v>
      </c>
      <c r="L57" s="22">
        <f t="shared" ca="1" si="0"/>
        <v>4</v>
      </c>
      <c r="M57" s="78">
        <f t="shared" ca="1" si="1"/>
        <v>695.91236498879766</v>
      </c>
      <c r="N57" s="78">
        <f t="shared" ca="1" si="2"/>
        <v>1158.4823516358388</v>
      </c>
      <c r="O57" s="22">
        <f t="shared" ca="1" si="3"/>
        <v>695.91236498879766</v>
      </c>
      <c r="P57" s="22">
        <f t="shared" ca="1" si="4"/>
        <v>185.02799465881674</v>
      </c>
      <c r="Q57" s="22">
        <f t="shared" ca="1" si="5"/>
        <v>277.54199198822437</v>
      </c>
      <c r="R57" s="22">
        <f t="shared" ca="1" si="6"/>
        <v>0</v>
      </c>
      <c r="S57" s="22">
        <f t="shared" ca="1" si="7"/>
        <v>0</v>
      </c>
      <c r="T57" s="22"/>
      <c r="U57" s="22"/>
      <c r="V57" s="22"/>
      <c r="W57" s="22"/>
    </row>
    <row r="58" spans="1:23" ht="15" x14ac:dyDescent="0.25">
      <c r="A58" s="15"/>
      <c r="B58" s="15"/>
      <c r="C58" s="15"/>
      <c r="D58" s="15"/>
      <c r="E58" s="15"/>
      <c r="F58" s="21"/>
      <c r="G58" s="21"/>
      <c r="H58" s="21"/>
      <c r="I58" s="22"/>
      <c r="J58" s="22"/>
      <c r="K58" s="22"/>
      <c r="L58" s="22"/>
      <c r="M58" s="22"/>
      <c r="N58" s="22"/>
      <c r="O58" s="22"/>
      <c r="P58" s="22"/>
      <c r="Q58" s="22"/>
      <c r="R58" s="22"/>
      <c r="S58" s="22"/>
      <c r="T58" s="22"/>
      <c r="U58" s="22"/>
      <c r="V58" s="22"/>
      <c r="W58" s="22"/>
    </row>
    <row r="59" spans="1:23" ht="15" x14ac:dyDescent="0.25">
      <c r="A59" s="15"/>
      <c r="B59" s="15"/>
      <c r="C59" s="15"/>
      <c r="D59" s="15"/>
      <c r="E59" s="15"/>
      <c r="F59" s="21"/>
      <c r="G59" s="21"/>
      <c r="H59" s="22"/>
      <c r="I59" s="22"/>
      <c r="J59" s="22"/>
      <c r="K59" s="22"/>
      <c r="L59" s="22"/>
      <c r="M59" s="22"/>
      <c r="N59" s="22"/>
      <c r="O59" s="22"/>
      <c r="P59" s="22"/>
      <c r="Q59" s="22"/>
      <c r="R59" s="22"/>
      <c r="S59" s="22"/>
      <c r="T59" s="22"/>
      <c r="U59" s="22"/>
      <c r="V59" s="22"/>
      <c r="W59" s="22"/>
    </row>
    <row r="60" spans="1:23" ht="15" x14ac:dyDescent="0.25">
      <c r="A60" s="15"/>
      <c r="B60" s="15"/>
      <c r="C60" s="15"/>
      <c r="D60" s="15"/>
      <c r="E60" s="15"/>
      <c r="F60" s="21"/>
      <c r="G60" s="21"/>
      <c r="H60" s="22">
        <v>1</v>
      </c>
      <c r="I60" s="77" t="s">
        <v>7</v>
      </c>
      <c r="J60" s="79">
        <f ca="1">IF(Input!H30="Uneconomic",0,Input!H31)</f>
        <v>0.28277983803255258</v>
      </c>
      <c r="K60" s="22"/>
      <c r="L60" s="84" t="s">
        <v>639</v>
      </c>
      <c r="M60" s="84" t="s">
        <v>659</v>
      </c>
      <c r="N60" s="84" t="s">
        <v>660</v>
      </c>
      <c r="O60" s="85" t="s">
        <v>640</v>
      </c>
      <c r="P60" s="85" t="s">
        <v>666</v>
      </c>
      <c r="Q60" s="85" t="s">
        <v>667</v>
      </c>
      <c r="R60" s="85" t="s">
        <v>668</v>
      </c>
      <c r="S60" s="85" t="s">
        <v>669</v>
      </c>
      <c r="T60" s="22"/>
      <c r="U60" s="22"/>
      <c r="V60" s="22"/>
      <c r="W60" s="22"/>
    </row>
    <row r="61" spans="1:23" ht="15" x14ac:dyDescent="0.25">
      <c r="A61" s="15"/>
      <c r="B61" s="15"/>
      <c r="C61" s="15"/>
      <c r="D61" s="15"/>
      <c r="E61" s="15"/>
      <c r="F61" s="21"/>
      <c r="G61" s="21"/>
      <c r="H61" s="15">
        <v>2</v>
      </c>
      <c r="I61" s="22" t="s">
        <v>111</v>
      </c>
      <c r="J61" s="80">
        <f>H5</f>
        <v>0.24691103341369289</v>
      </c>
      <c r="K61" s="80">
        <f>I5</f>
        <v>0.32970234406391313</v>
      </c>
      <c r="L61" s="22">
        <f t="shared" ref="L61:L67" ca="1" si="8">IF($J$60&lt;0,IF(N61&gt;0,2,1),IF(M61&gt;0,4,3))</f>
        <v>4</v>
      </c>
      <c r="M61" s="78">
        <f t="shared" ref="M61:M67" ca="1" si="9">IF($J$60=0,0,MIN(J61:K61,$J$60))</f>
        <v>0.24691103341369289</v>
      </c>
      <c r="N61" s="78">
        <f t="shared" ref="N61:N67" ca="1" si="10">IF($J$60=0,0,MAX(J61:K61,$J$60))</f>
        <v>0.32970234406391313</v>
      </c>
      <c r="O61" s="22">
        <f t="shared" ref="O61:O67" ca="1" si="11">CHOOSE(L61,N61,0,0,M61)</f>
        <v>0.24691103341369289</v>
      </c>
      <c r="P61" s="22">
        <f t="shared" ref="P61:P67" ca="1" si="12">CHOOSE(L61,0,0,$J$60,$J$60-M61)</f>
        <v>3.586880461885969E-2</v>
      </c>
      <c r="Q61" s="22">
        <f t="shared" ref="Q61:Q67" ca="1" si="13">CHOOSE(L61,0,N61,N61-$J$60,N61-$J$60)</f>
        <v>4.6922506031360556E-2</v>
      </c>
      <c r="R61" s="22">
        <f t="shared" ref="R61:R67" ca="1" si="14">CHOOSE(L61,$J$60-N61,$J$60,0,0)</f>
        <v>0</v>
      </c>
      <c r="S61" s="22">
        <f t="shared" ref="S61:S67" ca="1" si="15">CHOOSE(L61,M61-$J$60,M61-$J$60,M61,0)</f>
        <v>0</v>
      </c>
      <c r="T61" s="22"/>
      <c r="U61" s="22"/>
      <c r="V61" s="22"/>
      <c r="W61" s="22"/>
    </row>
    <row r="62" spans="1:23" ht="15" x14ac:dyDescent="0.25">
      <c r="A62" s="15"/>
      <c r="B62" s="15"/>
      <c r="C62" s="15"/>
      <c r="D62" s="15"/>
      <c r="E62" s="15"/>
      <c r="F62" s="21"/>
      <c r="G62" s="21"/>
      <c r="H62" s="15"/>
      <c r="I62" s="22" t="str">
        <f>I52</f>
        <v>Oil Price</v>
      </c>
      <c r="J62" s="80">
        <f>H35</f>
        <v>0.20263568236147569</v>
      </c>
      <c r="K62" s="80">
        <f>I35</f>
        <v>0.34501551548629306</v>
      </c>
      <c r="L62" s="22">
        <f t="shared" ca="1" si="8"/>
        <v>4</v>
      </c>
      <c r="M62" s="78">
        <f t="shared" ca="1" si="9"/>
        <v>0.20263568236147569</v>
      </c>
      <c r="N62" s="78">
        <f t="shared" ca="1" si="10"/>
        <v>0.34501551548629306</v>
      </c>
      <c r="O62" s="22">
        <f ca="1">CHOOSE(L62,N62,0,0,M62)</f>
        <v>0.20263568236147569</v>
      </c>
      <c r="P62" s="22">
        <f t="shared" ca="1" si="12"/>
        <v>8.0144155671076883E-2</v>
      </c>
      <c r="Q62" s="22">
        <f t="shared" ca="1" si="13"/>
        <v>6.2235677453740479E-2</v>
      </c>
      <c r="R62" s="22">
        <f t="shared" ca="1" si="14"/>
        <v>0</v>
      </c>
      <c r="S62" s="22">
        <f t="shared" ca="1" si="15"/>
        <v>0</v>
      </c>
      <c r="T62" s="22"/>
      <c r="U62" s="22"/>
      <c r="V62" s="22"/>
      <c r="W62" s="22"/>
    </row>
    <row r="63" spans="1:23" x14ac:dyDescent="0.3">
      <c r="A63" s="15"/>
      <c r="B63" s="15"/>
      <c r="C63" s="15"/>
      <c r="D63" s="15"/>
      <c r="E63" s="15"/>
      <c r="F63" s="21"/>
      <c r="G63" s="21"/>
      <c r="H63" s="21">
        <v>7</v>
      </c>
      <c r="I63" s="22" t="str">
        <f>I53</f>
        <v>Gas Price</v>
      </c>
      <c r="J63" s="80">
        <f>H10</f>
        <v>0.27884845683263143</v>
      </c>
      <c r="K63" s="80">
        <f>I10</f>
        <v>0.28629602137558702</v>
      </c>
      <c r="L63" s="22">
        <f t="shared" ca="1" si="8"/>
        <v>4</v>
      </c>
      <c r="M63" s="78">
        <f t="shared" ca="1" si="9"/>
        <v>0.27884845683263143</v>
      </c>
      <c r="N63" s="78">
        <f t="shared" ca="1" si="10"/>
        <v>0.28629602137558702</v>
      </c>
      <c r="O63" s="22">
        <f t="shared" ca="1" si="11"/>
        <v>0.27884845683263143</v>
      </c>
      <c r="P63" s="22">
        <f t="shared" ca="1" si="12"/>
        <v>3.9313811999211468E-3</v>
      </c>
      <c r="Q63" s="22">
        <f t="shared" ca="1" si="13"/>
        <v>3.5161833430344402E-3</v>
      </c>
      <c r="R63" s="22">
        <f t="shared" ca="1" si="14"/>
        <v>0</v>
      </c>
      <c r="S63" s="22">
        <f t="shared" ca="1" si="15"/>
        <v>0</v>
      </c>
      <c r="T63" s="22"/>
      <c r="U63" s="22"/>
      <c r="V63" s="22"/>
      <c r="W63" s="22"/>
    </row>
    <row r="64" spans="1:23" x14ac:dyDescent="0.3">
      <c r="A64" s="15"/>
      <c r="B64" s="15"/>
      <c r="C64" s="15"/>
      <c r="D64" s="15"/>
      <c r="E64" s="15"/>
      <c r="F64" s="21"/>
      <c r="G64" s="21"/>
      <c r="H64" s="21">
        <v>12</v>
      </c>
      <c r="I64" s="22" t="s">
        <v>119</v>
      </c>
      <c r="J64" s="80">
        <f>H15</f>
        <v>0.2958443362484342</v>
      </c>
      <c r="K64" s="80">
        <f>I15</f>
        <v>0.26800074279702946</v>
      </c>
      <c r="L64" s="22">
        <f t="shared" ca="1" si="8"/>
        <v>4</v>
      </c>
      <c r="M64" s="78">
        <f t="shared" ca="1" si="9"/>
        <v>0.26800074279702946</v>
      </c>
      <c r="N64" s="78">
        <f t="shared" ca="1" si="10"/>
        <v>0.2958443362484342</v>
      </c>
      <c r="O64" s="22">
        <f t="shared" ca="1" si="11"/>
        <v>0.26800074279702946</v>
      </c>
      <c r="P64" s="22">
        <f t="shared" ca="1" si="12"/>
        <v>1.4779095235523121E-2</v>
      </c>
      <c r="Q64" s="22">
        <f t="shared" ca="1" si="13"/>
        <v>1.3064498215881626E-2</v>
      </c>
      <c r="R64" s="22">
        <f t="shared" ca="1" si="14"/>
        <v>0</v>
      </c>
      <c r="S64" s="22">
        <f t="shared" ca="1" si="15"/>
        <v>0</v>
      </c>
      <c r="T64" s="22"/>
      <c r="U64" s="22"/>
      <c r="V64" s="22"/>
      <c r="W64" s="22"/>
    </row>
    <row r="65" spans="1:23" x14ac:dyDescent="0.3">
      <c r="A65" s="15"/>
      <c r="B65" s="15"/>
      <c r="C65" s="15"/>
      <c r="D65" s="15"/>
      <c r="E65" s="15"/>
      <c r="F65" s="15"/>
      <c r="G65" s="21"/>
      <c r="H65" s="21">
        <v>17</v>
      </c>
      <c r="I65" s="22" t="s">
        <v>641</v>
      </c>
      <c r="J65" s="80">
        <f>H20</f>
        <v>0.32860725663632229</v>
      </c>
      <c r="K65" s="80">
        <f>I20</f>
        <v>0.2378049299993753</v>
      </c>
      <c r="L65" s="22">
        <f t="shared" ca="1" si="8"/>
        <v>4</v>
      </c>
      <c r="M65" s="78">
        <f t="shared" ca="1" si="9"/>
        <v>0.2378049299993753</v>
      </c>
      <c r="N65" s="78">
        <f t="shared" ca="1" si="10"/>
        <v>0.32860725663632229</v>
      </c>
      <c r="O65" s="22">
        <f t="shared" ca="1" si="11"/>
        <v>0.2378049299993753</v>
      </c>
      <c r="P65" s="22">
        <f t="shared" ca="1" si="12"/>
        <v>4.4974908033177274E-2</v>
      </c>
      <c r="Q65" s="22">
        <f t="shared" ca="1" si="13"/>
        <v>4.582741860376971E-2</v>
      </c>
      <c r="R65" s="22">
        <f t="shared" ca="1" si="14"/>
        <v>0</v>
      </c>
      <c r="S65" s="22">
        <f t="shared" ca="1" si="15"/>
        <v>0</v>
      </c>
      <c r="T65" s="22"/>
      <c r="U65" s="22"/>
      <c r="V65" s="22"/>
      <c r="W65" s="22"/>
    </row>
    <row r="66" spans="1:23" x14ac:dyDescent="0.3">
      <c r="A66" s="15"/>
      <c r="B66" s="15"/>
      <c r="C66" s="15"/>
      <c r="D66" s="15"/>
      <c r="E66" s="15"/>
      <c r="F66" s="15"/>
      <c r="G66" s="15"/>
      <c r="H66" s="21">
        <v>22</v>
      </c>
      <c r="I66" s="22" t="s">
        <v>121</v>
      </c>
      <c r="J66" s="80">
        <f>H25</f>
        <v>0.29395608876389068</v>
      </c>
      <c r="K66" s="80">
        <f>I25</f>
        <v>0.26934828608077827</v>
      </c>
      <c r="L66" s="22">
        <f t="shared" ca="1" si="8"/>
        <v>4</v>
      </c>
      <c r="M66" s="78">
        <f t="shared" ca="1" si="9"/>
        <v>0.26934828608077827</v>
      </c>
      <c r="N66" s="78">
        <f t="shared" ca="1" si="10"/>
        <v>0.29395608876389068</v>
      </c>
      <c r="O66" s="22">
        <f t="shared" ca="1" si="11"/>
        <v>0.26934828608077827</v>
      </c>
      <c r="P66" s="22">
        <f t="shared" ca="1" si="12"/>
        <v>1.3431551951774312E-2</v>
      </c>
      <c r="Q66" s="22">
        <f t="shared" ca="1" si="13"/>
        <v>1.11762507313381E-2</v>
      </c>
      <c r="R66" s="22">
        <f t="shared" ca="1" si="14"/>
        <v>0</v>
      </c>
      <c r="S66" s="22">
        <f t="shared" ca="1" si="15"/>
        <v>0</v>
      </c>
      <c r="T66" s="15"/>
      <c r="U66" s="15"/>
      <c r="V66" s="15"/>
      <c r="W66" s="15"/>
    </row>
    <row r="67" spans="1:23" x14ac:dyDescent="0.3">
      <c r="A67" s="15"/>
      <c r="B67" s="15"/>
      <c r="C67" s="15"/>
      <c r="D67" s="15"/>
      <c r="E67" s="15"/>
      <c r="F67" s="15"/>
      <c r="G67" s="15"/>
      <c r="H67" s="21">
        <v>27</v>
      </c>
      <c r="I67" s="22" t="s">
        <v>122</v>
      </c>
      <c r="J67" s="80">
        <f>H30</f>
        <v>0.27558810129268707</v>
      </c>
      <c r="K67" s="80">
        <f>I30</f>
        <v>0.28940637060303165</v>
      </c>
      <c r="L67" s="22">
        <f t="shared" ca="1" si="8"/>
        <v>4</v>
      </c>
      <c r="M67" s="78">
        <f t="shared" ca="1" si="9"/>
        <v>0.27558810129268707</v>
      </c>
      <c r="N67" s="78">
        <f t="shared" ca="1" si="10"/>
        <v>0.28940637060303165</v>
      </c>
      <c r="O67" s="22">
        <f t="shared" ca="1" si="11"/>
        <v>0.27558810129268707</v>
      </c>
      <c r="P67" s="22">
        <f t="shared" ca="1" si="12"/>
        <v>7.1917367398655063E-3</v>
      </c>
      <c r="Q67" s="22">
        <f t="shared" ca="1" si="13"/>
        <v>6.6265325704790712E-3</v>
      </c>
      <c r="R67" s="22">
        <f t="shared" ca="1" si="14"/>
        <v>0</v>
      </c>
      <c r="S67" s="22">
        <f t="shared" ca="1" si="15"/>
        <v>0</v>
      </c>
      <c r="T67" s="22"/>
      <c r="U67" s="22"/>
      <c r="V67" s="22"/>
      <c r="W67" s="15"/>
    </row>
    <row r="68" spans="1:23" x14ac:dyDescent="0.3">
      <c r="A68" s="15"/>
      <c r="B68" s="15"/>
      <c r="C68" s="15"/>
      <c r="D68" s="15"/>
      <c r="E68" s="15"/>
      <c r="F68" s="15"/>
      <c r="G68" s="15"/>
      <c r="H68" s="15"/>
      <c r="I68" s="22"/>
      <c r="J68" s="22"/>
      <c r="K68" s="22"/>
      <c r="L68" s="22"/>
      <c r="M68" s="22"/>
      <c r="N68" s="22"/>
      <c r="O68" s="22" t="s">
        <v>640</v>
      </c>
      <c r="P68" s="22" t="s">
        <v>642</v>
      </c>
      <c r="Q68" s="22" t="s">
        <v>643</v>
      </c>
      <c r="R68" s="22" t="s">
        <v>643</v>
      </c>
      <c r="S68" s="22" t="s">
        <v>642</v>
      </c>
      <c r="T68" s="22"/>
      <c r="U68" s="22"/>
      <c r="V68" s="22"/>
      <c r="W68" s="15"/>
    </row>
    <row r="69" spans="1:23" x14ac:dyDescent="0.3">
      <c r="A69" s="15"/>
      <c r="B69" s="15"/>
      <c r="C69" s="15"/>
      <c r="D69" s="15"/>
      <c r="E69" s="15"/>
      <c r="F69" s="15"/>
      <c r="G69" s="15"/>
      <c r="H69" s="15"/>
      <c r="I69" s="15"/>
      <c r="J69" s="15"/>
      <c r="K69" s="15"/>
      <c r="L69" s="15"/>
      <c r="M69" s="15"/>
      <c r="N69" s="15"/>
      <c r="O69" s="15"/>
      <c r="P69" s="15"/>
      <c r="Q69" s="15"/>
      <c r="R69" s="15"/>
      <c r="S69" s="15"/>
      <c r="T69" s="22"/>
      <c r="U69" s="22"/>
      <c r="V69" s="22"/>
      <c r="W69" s="15"/>
    </row>
    <row r="70" spans="1:23" x14ac:dyDescent="0.3">
      <c r="A70" s="15"/>
      <c r="B70" s="15"/>
      <c r="C70" s="15"/>
      <c r="D70" s="15"/>
      <c r="E70" s="15"/>
      <c r="F70" s="15"/>
      <c r="G70" s="15"/>
      <c r="H70" s="22">
        <v>1</v>
      </c>
      <c r="I70" s="77" t="s">
        <v>8</v>
      </c>
      <c r="J70" s="81">
        <f ca="1">IF(Input!H30="Uneconomic",0,Input!H32)</f>
        <v>0.93718834724411604</v>
      </c>
      <c r="K70" s="81"/>
      <c r="L70" s="84" t="s">
        <v>639</v>
      </c>
      <c r="M70" s="84" t="s">
        <v>659</v>
      </c>
      <c r="N70" s="84" t="s">
        <v>660</v>
      </c>
      <c r="O70" s="85" t="s">
        <v>640</v>
      </c>
      <c r="P70" s="85" t="s">
        <v>666</v>
      </c>
      <c r="Q70" s="85" t="s">
        <v>667</v>
      </c>
      <c r="R70" s="85" t="s">
        <v>668</v>
      </c>
      <c r="S70" s="85" t="s">
        <v>669</v>
      </c>
      <c r="T70" s="22"/>
      <c r="U70" s="22"/>
      <c r="V70" s="22"/>
      <c r="W70" s="15"/>
    </row>
    <row r="71" spans="1:23" x14ac:dyDescent="0.3">
      <c r="A71" s="15"/>
      <c r="B71" s="15"/>
      <c r="C71" s="15"/>
      <c r="D71" s="15"/>
      <c r="E71" s="15"/>
      <c r="F71" s="15"/>
      <c r="G71" s="15"/>
      <c r="H71" s="15">
        <f>H61+1</f>
        <v>3</v>
      </c>
      <c r="I71" s="22" t="s">
        <v>111</v>
      </c>
      <c r="J71" s="81">
        <f>H6</f>
        <v>0.73776588022908063</v>
      </c>
      <c r="K71" s="81">
        <f>I6</f>
        <v>1.2236484419242089</v>
      </c>
      <c r="L71" s="22">
        <f t="shared" ref="L71:L77" ca="1" si="16">IF($J$70&lt;0,IF(N71&gt;0,2,1),IF(M71&gt;0,4,3))</f>
        <v>4</v>
      </c>
      <c r="M71" s="78">
        <f t="shared" ref="M71:M77" ca="1" si="17">IF($J$70=0,0,MIN(J71:K71,$J$70))</f>
        <v>0.73776588022908063</v>
      </c>
      <c r="N71" s="78">
        <f t="shared" ref="N71:N77" ca="1" si="18">IF($J$70=0,0,MAX(J71:K71,$J$70))</f>
        <v>1.2236484419242089</v>
      </c>
      <c r="O71" s="22">
        <f t="shared" ref="O71:O77" ca="1" si="19">CHOOSE(L71,N71,0,0,M71)</f>
        <v>0.73776588022908063</v>
      </c>
      <c r="P71" s="22">
        <f t="shared" ref="P71:P77" ca="1" si="20">CHOOSE(L71,0,0,$J$70,$J$70-M71)</f>
        <v>0.19942246701503541</v>
      </c>
      <c r="Q71" s="22">
        <f t="shared" ref="Q71:Q77" ca="1" si="21">CHOOSE(L71,0,N71,N71-$J$70,N71-$J$70)</f>
        <v>0.28646009468009281</v>
      </c>
      <c r="R71" s="22">
        <f t="shared" ref="R71:R77" ca="1" si="22">CHOOSE(L71,$J$70-N71,$J$70,0,0)</f>
        <v>0</v>
      </c>
      <c r="S71" s="22">
        <f t="shared" ref="S71:S77" ca="1" si="23">CHOOSE(L71,M71-$J$70,M71-$J$70,M71,0)</f>
        <v>0</v>
      </c>
      <c r="T71" s="22"/>
      <c r="U71" s="22"/>
      <c r="V71" s="22"/>
      <c r="W71" s="15"/>
    </row>
    <row r="72" spans="1:23" x14ac:dyDescent="0.3">
      <c r="A72" s="15"/>
      <c r="B72" s="15"/>
      <c r="C72" s="15"/>
      <c r="D72" s="15"/>
      <c r="E72" s="15"/>
      <c r="F72" s="15"/>
      <c r="G72" s="15"/>
      <c r="H72" s="15"/>
      <c r="I72" s="22" t="str">
        <f>I62</f>
        <v>Oil Price</v>
      </c>
      <c r="J72" s="81">
        <f>H36</f>
        <v>0.47920657972686498</v>
      </c>
      <c r="K72" s="81">
        <f>I36</f>
        <v>1.4012476239137339</v>
      </c>
      <c r="L72" s="22">
        <f t="shared" ca="1" si="16"/>
        <v>4</v>
      </c>
      <c r="M72" s="78">
        <f t="shared" ca="1" si="17"/>
        <v>0.47920657972686498</v>
      </c>
      <c r="N72" s="78">
        <f t="shared" ca="1" si="18"/>
        <v>1.4012476239137339</v>
      </c>
      <c r="O72" s="22">
        <f ca="1">CHOOSE(L72,N72,0,0,M72)</f>
        <v>0.47920657972686498</v>
      </c>
      <c r="P72" s="22">
        <f t="shared" ca="1" si="20"/>
        <v>0.45798176751725106</v>
      </c>
      <c r="Q72" s="22">
        <f t="shared" ca="1" si="21"/>
        <v>0.46405927666961788</v>
      </c>
      <c r="R72" s="22">
        <f t="shared" ca="1" si="22"/>
        <v>0</v>
      </c>
      <c r="S72" s="22">
        <f t="shared" ca="1" si="23"/>
        <v>0</v>
      </c>
      <c r="T72" s="22"/>
      <c r="U72" s="22"/>
      <c r="V72" s="22"/>
      <c r="W72" s="15"/>
    </row>
    <row r="73" spans="1:23" x14ac:dyDescent="0.3">
      <c r="A73" s="15"/>
      <c r="B73" s="15"/>
      <c r="C73" s="15"/>
      <c r="D73" s="15"/>
      <c r="E73" s="15"/>
      <c r="F73" s="15"/>
      <c r="G73" s="15"/>
      <c r="H73" s="15">
        <f>H71+5</f>
        <v>8</v>
      </c>
      <c r="I73" s="22" t="str">
        <f>I53</f>
        <v>Gas Price</v>
      </c>
      <c r="J73" s="81">
        <f>H11</f>
        <v>0.90996393039809809</v>
      </c>
      <c r="K73" s="81">
        <f>I11</f>
        <v>0.96327492917073965</v>
      </c>
      <c r="L73" s="22">
        <f t="shared" ca="1" si="16"/>
        <v>4</v>
      </c>
      <c r="M73" s="78">
        <f t="shared" ca="1" si="17"/>
        <v>0.90996393039809809</v>
      </c>
      <c r="N73" s="78">
        <f t="shared" ca="1" si="18"/>
        <v>0.96327492917073965</v>
      </c>
      <c r="O73" s="22">
        <f t="shared" ca="1" si="19"/>
        <v>0.90996393039809809</v>
      </c>
      <c r="P73" s="22">
        <f t="shared" ca="1" si="20"/>
        <v>2.7224416846017951E-2</v>
      </c>
      <c r="Q73" s="22">
        <f t="shared" ca="1" si="21"/>
        <v>2.6086581926623609E-2</v>
      </c>
      <c r="R73" s="22">
        <f t="shared" ca="1" si="22"/>
        <v>0</v>
      </c>
      <c r="S73" s="22">
        <f t="shared" ca="1" si="23"/>
        <v>0</v>
      </c>
      <c r="T73" s="22"/>
      <c r="U73" s="22"/>
      <c r="V73" s="22"/>
      <c r="W73" s="15"/>
    </row>
    <row r="74" spans="1:23" x14ac:dyDescent="0.3">
      <c r="A74" s="15"/>
      <c r="B74" s="15"/>
      <c r="C74" s="15"/>
      <c r="D74" s="15"/>
      <c r="E74" s="15"/>
      <c r="F74" s="15"/>
      <c r="G74" s="15"/>
      <c r="H74" s="15">
        <f>H73+5</f>
        <v>13</v>
      </c>
      <c r="I74" s="22" t="s">
        <v>119</v>
      </c>
      <c r="J74" s="81">
        <f>H16</f>
        <v>0.98652556202346897</v>
      </c>
      <c r="K74" s="81">
        <f>I16</f>
        <v>0.887190657079449</v>
      </c>
      <c r="L74" s="22">
        <f t="shared" ca="1" si="16"/>
        <v>4</v>
      </c>
      <c r="M74" s="78">
        <f t="shared" ca="1" si="17"/>
        <v>0.887190657079449</v>
      </c>
      <c r="N74" s="78">
        <f t="shared" ca="1" si="18"/>
        <v>0.98652556202346897</v>
      </c>
      <c r="O74" s="22">
        <f t="shared" ca="1" si="19"/>
        <v>0.887190657079449</v>
      </c>
      <c r="P74" s="22">
        <f t="shared" ca="1" si="20"/>
        <v>4.9997690164667041E-2</v>
      </c>
      <c r="Q74" s="22">
        <f t="shared" ca="1" si="21"/>
        <v>4.9337214779352934E-2</v>
      </c>
      <c r="R74" s="22">
        <f t="shared" ca="1" si="22"/>
        <v>0</v>
      </c>
      <c r="S74" s="22">
        <f t="shared" ca="1" si="23"/>
        <v>0</v>
      </c>
      <c r="T74" s="22"/>
      <c r="U74" s="22"/>
      <c r="V74" s="22"/>
      <c r="W74" s="15"/>
    </row>
    <row r="75" spans="1:23" x14ac:dyDescent="0.3">
      <c r="A75" s="15"/>
      <c r="B75" s="15"/>
      <c r="C75" s="15"/>
      <c r="D75" s="15"/>
      <c r="E75" s="15"/>
      <c r="F75" s="15"/>
      <c r="G75" s="15"/>
      <c r="H75" s="15">
        <f>H74+5</f>
        <v>18</v>
      </c>
      <c r="I75" s="22" t="s">
        <v>641</v>
      </c>
      <c r="J75" s="81">
        <f>H21</f>
        <v>1.3407849837425028</v>
      </c>
      <c r="K75" s="81">
        <f>I21</f>
        <v>0.64079511111388454</v>
      </c>
      <c r="L75" s="22">
        <f t="shared" ca="1" si="16"/>
        <v>4</v>
      </c>
      <c r="M75" s="78">
        <f t="shared" ca="1" si="17"/>
        <v>0.64079511111388454</v>
      </c>
      <c r="N75" s="78">
        <f t="shared" ca="1" si="18"/>
        <v>1.3407849837425028</v>
      </c>
      <c r="O75" s="22">
        <f t="shared" ca="1" si="19"/>
        <v>0.64079511111388454</v>
      </c>
      <c r="P75" s="22">
        <f t="shared" ca="1" si="20"/>
        <v>0.2963932361302315</v>
      </c>
      <c r="Q75" s="22">
        <f t="shared" ca="1" si="21"/>
        <v>0.40359663649838673</v>
      </c>
      <c r="R75" s="22">
        <f t="shared" ca="1" si="22"/>
        <v>0</v>
      </c>
      <c r="S75" s="22">
        <f t="shared" ca="1" si="23"/>
        <v>0</v>
      </c>
      <c r="T75" s="22"/>
      <c r="U75" s="22"/>
      <c r="V75" s="22"/>
      <c r="W75" s="15"/>
    </row>
    <row r="76" spans="1:23" x14ac:dyDescent="0.3">
      <c r="A76" s="15"/>
      <c r="B76" s="15"/>
      <c r="C76" s="15"/>
      <c r="D76" s="15"/>
      <c r="E76" s="15"/>
      <c r="F76" s="15"/>
      <c r="G76" s="15"/>
      <c r="H76" s="15">
        <f>H75+5</f>
        <v>23</v>
      </c>
      <c r="I76" s="22" t="s">
        <v>121</v>
      </c>
      <c r="J76" s="81">
        <f>H26</f>
        <v>1.0371246168674186</v>
      </c>
      <c r="K76" s="81">
        <f>I26</f>
        <v>0.84017693860178377</v>
      </c>
      <c r="L76" s="22">
        <f t="shared" ca="1" si="16"/>
        <v>4</v>
      </c>
      <c r="M76" s="78">
        <f t="shared" ca="1" si="17"/>
        <v>0.84017693860178377</v>
      </c>
      <c r="N76" s="78">
        <f t="shared" ca="1" si="18"/>
        <v>1.0371246168674186</v>
      </c>
      <c r="O76" s="22">
        <f t="shared" ca="1" si="19"/>
        <v>0.84017693860178377</v>
      </c>
      <c r="P76" s="22">
        <f t="shared" ca="1" si="20"/>
        <v>9.7011408642332264E-2</v>
      </c>
      <c r="Q76" s="22">
        <f t="shared" ca="1" si="21"/>
        <v>9.9936269623302598E-2</v>
      </c>
      <c r="R76" s="22">
        <f t="shared" ca="1" si="22"/>
        <v>0</v>
      </c>
      <c r="S76" s="22">
        <f t="shared" ca="1" si="23"/>
        <v>0</v>
      </c>
      <c r="T76" s="15"/>
      <c r="U76" s="15"/>
      <c r="V76" s="15"/>
      <c r="W76" s="15"/>
    </row>
    <row r="77" spans="1:23" x14ac:dyDescent="0.3">
      <c r="A77" s="15"/>
      <c r="B77" s="15"/>
      <c r="C77" s="15"/>
      <c r="D77" s="15"/>
      <c r="E77" s="15"/>
      <c r="F77" s="15"/>
      <c r="G77" s="15"/>
      <c r="H77" s="15">
        <f>H76+5</f>
        <v>28</v>
      </c>
      <c r="I77" s="22" t="s">
        <v>122</v>
      </c>
      <c r="J77" s="81">
        <f>H31</f>
        <v>0.91468043803067223</v>
      </c>
      <c r="K77" s="81">
        <f>I31</f>
        <v>0.95843971841403186</v>
      </c>
      <c r="L77" s="22">
        <f t="shared" ca="1" si="16"/>
        <v>4</v>
      </c>
      <c r="M77" s="78">
        <f t="shared" ca="1" si="17"/>
        <v>0.91468043803067223</v>
      </c>
      <c r="N77" s="78">
        <f t="shared" ca="1" si="18"/>
        <v>0.95843971841403186</v>
      </c>
      <c r="O77" s="22">
        <f t="shared" ca="1" si="19"/>
        <v>0.91468043803067223</v>
      </c>
      <c r="P77" s="22">
        <f t="shared" ca="1" si="20"/>
        <v>2.2507909213443811E-2</v>
      </c>
      <c r="Q77" s="22">
        <f t="shared" ca="1" si="21"/>
        <v>2.1251371169915823E-2</v>
      </c>
      <c r="R77" s="22">
        <f t="shared" ca="1" si="22"/>
        <v>0</v>
      </c>
      <c r="S77" s="22">
        <f t="shared" ca="1" si="23"/>
        <v>0</v>
      </c>
      <c r="T77" s="15"/>
      <c r="U77" s="15"/>
      <c r="V77" s="15"/>
      <c r="W77" s="15"/>
    </row>
    <row r="78" spans="1:23" x14ac:dyDescent="0.3">
      <c r="A78" s="15"/>
      <c r="B78" s="15"/>
      <c r="C78" s="15"/>
      <c r="D78" s="15"/>
      <c r="E78" s="15"/>
      <c r="F78" s="15"/>
      <c r="G78" s="15"/>
      <c r="H78" s="15"/>
      <c r="I78" s="22"/>
      <c r="J78" s="22"/>
      <c r="K78" s="22"/>
      <c r="L78" s="22"/>
      <c r="M78" s="22"/>
      <c r="N78" s="22"/>
      <c r="O78" s="22" t="s">
        <v>640</v>
      </c>
      <c r="P78" s="22" t="s">
        <v>642</v>
      </c>
      <c r="Q78" s="22" t="s">
        <v>643</v>
      </c>
      <c r="R78" s="22" t="s">
        <v>643</v>
      </c>
      <c r="S78" s="22" t="s">
        <v>642</v>
      </c>
      <c r="T78" s="22"/>
      <c r="U78" s="22"/>
      <c r="V78" s="22"/>
      <c r="W78" s="15"/>
    </row>
    <row r="79" spans="1:23" x14ac:dyDescent="0.3">
      <c r="A79" s="15"/>
      <c r="B79" s="15"/>
      <c r="C79" s="15"/>
      <c r="D79" s="15"/>
      <c r="E79" s="15"/>
      <c r="F79" s="15"/>
      <c r="G79" s="15"/>
      <c r="H79" s="15"/>
      <c r="I79" s="15"/>
      <c r="J79" s="15"/>
      <c r="K79" s="15"/>
      <c r="L79" s="15"/>
      <c r="M79" s="15"/>
      <c r="N79" s="15"/>
      <c r="O79" s="15"/>
      <c r="P79" s="15"/>
      <c r="Q79" s="15"/>
      <c r="R79" s="15"/>
      <c r="S79" s="15"/>
      <c r="T79" s="22"/>
      <c r="U79" s="22"/>
      <c r="V79" s="22"/>
      <c r="W79" s="15"/>
    </row>
    <row r="80" spans="1:23" x14ac:dyDescent="0.3">
      <c r="A80" s="15"/>
      <c r="B80" s="15"/>
      <c r="C80" s="15"/>
      <c r="D80" s="15"/>
      <c r="E80" s="15"/>
      <c r="F80" s="15"/>
      <c r="G80" s="15"/>
      <c r="H80" s="15"/>
      <c r="I80" s="15"/>
      <c r="J80" s="15"/>
      <c r="K80" s="15"/>
      <c r="L80" s="15"/>
      <c r="M80" s="15"/>
      <c r="N80" s="15"/>
      <c r="O80" s="15"/>
      <c r="P80" s="15"/>
      <c r="Q80" s="15"/>
      <c r="R80" s="15"/>
      <c r="S80" s="15"/>
      <c r="T80" s="22"/>
      <c r="U80" s="22"/>
      <c r="V80" s="22"/>
      <c r="W80" s="15"/>
    </row>
    <row r="81" spans="1:23" x14ac:dyDescent="0.3">
      <c r="A81" s="15"/>
      <c r="B81" s="15"/>
      <c r="C81" s="15"/>
      <c r="D81" s="15"/>
      <c r="E81" s="15"/>
      <c r="F81" s="15"/>
      <c r="G81" s="15"/>
      <c r="H81" s="22">
        <v>1</v>
      </c>
      <c r="I81" s="77" t="s">
        <v>9</v>
      </c>
      <c r="J81" s="81">
        <f ca="1">IF(Input!H30="Uneconomic",0,Input!H33)</f>
        <v>19.930951584641797</v>
      </c>
      <c r="K81" s="81"/>
      <c r="L81" s="84" t="s">
        <v>639</v>
      </c>
      <c r="M81" s="84" t="s">
        <v>659</v>
      </c>
      <c r="N81" s="84" t="s">
        <v>660</v>
      </c>
      <c r="O81" s="85" t="s">
        <v>640</v>
      </c>
      <c r="P81" s="85" t="s">
        <v>666</v>
      </c>
      <c r="Q81" s="85" t="s">
        <v>667</v>
      </c>
      <c r="R81" s="85" t="s">
        <v>668</v>
      </c>
      <c r="S81" s="85" t="s">
        <v>669</v>
      </c>
      <c r="T81" s="22"/>
      <c r="U81" s="22"/>
      <c r="V81" s="22"/>
      <c r="W81" s="15"/>
    </row>
    <row r="82" spans="1:23" x14ac:dyDescent="0.3">
      <c r="A82" s="15"/>
      <c r="B82" s="15"/>
      <c r="C82" s="15"/>
      <c r="D82" s="15"/>
      <c r="E82" s="15"/>
      <c r="F82" s="15"/>
      <c r="G82" s="15"/>
      <c r="H82" s="15">
        <f>H71+1</f>
        <v>4</v>
      </c>
      <c r="I82" s="22" t="s">
        <v>111</v>
      </c>
      <c r="J82" s="81">
        <f>H7</f>
        <v>14.507794048861669</v>
      </c>
      <c r="K82" s="81">
        <f>I7</f>
        <v>30.569957466884915</v>
      </c>
      <c r="L82" s="22">
        <f t="shared" ref="L82:L88" ca="1" si="24">IF($J$81&lt;0,IF(N82&gt;0,2,1),IF(M82&gt;0,4,3))</f>
        <v>4</v>
      </c>
      <c r="M82" s="78">
        <f t="shared" ref="M82:M88" ca="1" si="25">IF($J$81=0,0,MIN(J82:K82,$J$81))</f>
        <v>14.507794048861669</v>
      </c>
      <c r="N82" s="78">
        <f t="shared" ref="N82:N88" ca="1" si="26">IF($J$81=0,0,MAX(J82:K82,$J$81))</f>
        <v>30.569957466884915</v>
      </c>
      <c r="O82" s="22">
        <f t="shared" ref="O82:O88" ca="1" si="27">CHOOSE(L82,N82,0,0,M82)</f>
        <v>14.507794048861669</v>
      </c>
      <c r="P82" s="22">
        <f t="shared" ref="P82:P88" ca="1" si="28">CHOOSE(L82,0,0,$J$81,$J$81-M82)</f>
        <v>5.4231575357801276</v>
      </c>
      <c r="Q82" s="22">
        <f t="shared" ref="Q82:Q88" ca="1" si="29">CHOOSE(L82,0,N82,N82-$J$81,N82-$J$81)</f>
        <v>10.639005882243119</v>
      </c>
      <c r="R82" s="22">
        <f t="shared" ref="R82:R88" ca="1" si="30">CHOOSE(L82,$J$81-N82,$J$81,0,0)</f>
        <v>0</v>
      </c>
      <c r="S82" s="22">
        <f t="shared" ref="S82:S88" ca="1" si="31">CHOOSE(L82,M82-$J$81,M82-$J$81,M82,0)</f>
        <v>0</v>
      </c>
      <c r="T82" s="22"/>
      <c r="U82" s="22"/>
      <c r="V82" s="22"/>
      <c r="W82" s="15"/>
    </row>
    <row r="83" spans="1:23" x14ac:dyDescent="0.3">
      <c r="A83" s="15"/>
      <c r="B83" s="15"/>
      <c r="C83" s="15"/>
      <c r="D83" s="15"/>
      <c r="E83" s="15"/>
      <c r="F83" s="15"/>
      <c r="G83" s="15"/>
      <c r="H83" s="15"/>
      <c r="I83" s="22" t="str">
        <f>I72</f>
        <v>Oil Price</v>
      </c>
      <c r="J83" s="81">
        <f>H37</f>
        <v>10.191167194581119</v>
      </c>
      <c r="K83" s="81">
        <f>I37</f>
        <v>29.799984850904611</v>
      </c>
      <c r="L83" s="22">
        <f t="shared" ca="1" si="24"/>
        <v>4</v>
      </c>
      <c r="M83" s="78">
        <f t="shared" ca="1" si="25"/>
        <v>10.191167194581119</v>
      </c>
      <c r="N83" s="78">
        <f t="shared" ca="1" si="26"/>
        <v>29.799984850904611</v>
      </c>
      <c r="O83" s="22">
        <f ca="1">CHOOSE(L83,N83,0,0,M83)</f>
        <v>10.191167194581119</v>
      </c>
      <c r="P83" s="22">
        <f t="shared" ca="1" si="28"/>
        <v>9.7397843900606773</v>
      </c>
      <c r="Q83" s="22">
        <f t="shared" ca="1" si="29"/>
        <v>9.8690332662628144</v>
      </c>
      <c r="R83" s="22">
        <f t="shared" ca="1" si="30"/>
        <v>0</v>
      </c>
      <c r="S83" s="22">
        <f t="shared" ca="1" si="31"/>
        <v>0</v>
      </c>
      <c r="T83" s="22"/>
      <c r="U83" s="22"/>
      <c r="V83" s="22"/>
      <c r="W83" s="15"/>
    </row>
    <row r="84" spans="1:23" x14ac:dyDescent="0.3">
      <c r="A84" s="15"/>
      <c r="B84" s="15"/>
      <c r="C84" s="15"/>
      <c r="D84" s="15"/>
      <c r="E84" s="15"/>
      <c r="F84" s="15"/>
      <c r="G84" s="15"/>
      <c r="H84" s="15">
        <f>H73+1</f>
        <v>9</v>
      </c>
      <c r="I84" s="22" t="str">
        <f>I53</f>
        <v>Gas Price</v>
      </c>
      <c r="J84" s="81">
        <f>H12</f>
        <v>19.351976679892203</v>
      </c>
      <c r="K84" s="81">
        <f>I12</f>
        <v>20.485728437039956</v>
      </c>
      <c r="L84" s="22">
        <f t="shared" ca="1" si="24"/>
        <v>4</v>
      </c>
      <c r="M84" s="78">
        <f t="shared" ca="1" si="25"/>
        <v>19.351976679892203</v>
      </c>
      <c r="N84" s="78">
        <f t="shared" ca="1" si="26"/>
        <v>20.485728437039956</v>
      </c>
      <c r="O84" s="22">
        <f t="shared" ca="1" si="27"/>
        <v>19.351976679892203</v>
      </c>
      <c r="P84" s="22">
        <f t="shared" ca="1" si="28"/>
        <v>0.57897490474959312</v>
      </c>
      <c r="Q84" s="22">
        <f t="shared" ca="1" si="29"/>
        <v>0.55477685239815955</v>
      </c>
      <c r="R84" s="22">
        <f t="shared" ca="1" si="30"/>
        <v>0</v>
      </c>
      <c r="S84" s="22">
        <f t="shared" ca="1" si="31"/>
        <v>0</v>
      </c>
      <c r="T84" s="22"/>
      <c r="U84" s="22"/>
      <c r="V84" s="22"/>
      <c r="W84" s="15"/>
    </row>
    <row r="85" spans="1:23" x14ac:dyDescent="0.3">
      <c r="A85" s="15"/>
      <c r="B85" s="15"/>
      <c r="C85" s="15"/>
      <c r="D85" s="15"/>
      <c r="E85" s="15"/>
      <c r="F85" s="15"/>
      <c r="G85" s="15"/>
      <c r="H85" s="15">
        <f>H74+1</f>
        <v>14</v>
      </c>
      <c r="I85" s="22" t="s">
        <v>119</v>
      </c>
      <c r="J85" s="81">
        <f>H17</f>
        <v>27.196014558452667</v>
      </c>
      <c r="K85" s="81">
        <f>I17</f>
        <v>14.997705136286545</v>
      </c>
      <c r="L85" s="22">
        <f t="shared" ca="1" si="24"/>
        <v>4</v>
      </c>
      <c r="M85" s="78">
        <f t="shared" ca="1" si="25"/>
        <v>14.997705136286545</v>
      </c>
      <c r="N85" s="78">
        <f t="shared" ca="1" si="26"/>
        <v>27.196014558452667</v>
      </c>
      <c r="O85" s="22">
        <f t="shared" ca="1" si="27"/>
        <v>14.997705136286545</v>
      </c>
      <c r="P85" s="22">
        <f t="shared" ca="1" si="28"/>
        <v>4.9332464483552521</v>
      </c>
      <c r="Q85" s="22">
        <f t="shared" ca="1" si="29"/>
        <v>7.2650629738108705</v>
      </c>
      <c r="R85" s="22">
        <f t="shared" ca="1" si="30"/>
        <v>0</v>
      </c>
      <c r="S85" s="22">
        <f t="shared" ca="1" si="31"/>
        <v>0</v>
      </c>
      <c r="T85" s="22"/>
      <c r="U85" s="22"/>
      <c r="V85" s="22"/>
      <c r="W85" s="15"/>
    </row>
    <row r="86" spans="1:23" x14ac:dyDescent="0.3">
      <c r="A86" s="15"/>
      <c r="B86" s="15"/>
      <c r="C86" s="15"/>
      <c r="D86" s="15"/>
      <c r="E86" s="15"/>
      <c r="F86" s="15"/>
      <c r="G86" s="15"/>
      <c r="H86" s="15">
        <f>H75+1</f>
        <v>19</v>
      </c>
      <c r="I86" s="22" t="s">
        <v>641</v>
      </c>
      <c r="J86" s="81">
        <f>H22</f>
        <v>22.178208500763581</v>
      </c>
      <c r="K86" s="81">
        <f>I22</f>
        <v>17.261353456217023</v>
      </c>
      <c r="L86" s="22">
        <f t="shared" ca="1" si="24"/>
        <v>4</v>
      </c>
      <c r="M86" s="78">
        <f t="shared" ca="1" si="25"/>
        <v>17.261353456217023</v>
      </c>
      <c r="N86" s="78">
        <f t="shared" ca="1" si="26"/>
        <v>22.178208500763581</v>
      </c>
      <c r="O86" s="22">
        <f t="shared" ca="1" si="27"/>
        <v>17.261353456217023</v>
      </c>
      <c r="P86" s="22">
        <f t="shared" ca="1" si="28"/>
        <v>2.6695981284247736</v>
      </c>
      <c r="Q86" s="22">
        <f t="shared" ca="1" si="29"/>
        <v>2.2472569161217848</v>
      </c>
      <c r="R86" s="22">
        <f t="shared" ca="1" si="30"/>
        <v>0</v>
      </c>
      <c r="S86" s="22">
        <f t="shared" ca="1" si="31"/>
        <v>0</v>
      </c>
      <c r="T86" s="22"/>
      <c r="U86" s="22"/>
      <c r="V86" s="22"/>
      <c r="W86" s="15"/>
    </row>
    <row r="87" spans="1:23" x14ac:dyDescent="0.3">
      <c r="A87" s="15"/>
      <c r="B87" s="15"/>
      <c r="C87" s="15"/>
      <c r="D87" s="15"/>
      <c r="E87" s="15"/>
      <c r="F87" s="15"/>
      <c r="G87" s="15"/>
      <c r="H87" s="15">
        <f>H76+1</f>
        <v>24</v>
      </c>
      <c r="I87" s="22" t="s">
        <v>121</v>
      </c>
      <c r="J87" s="81">
        <f>H27</f>
        <v>22.056271385372231</v>
      </c>
      <c r="K87" s="81">
        <f>I27</f>
        <v>17.867834075238335</v>
      </c>
      <c r="L87" s="22">
        <f t="shared" ca="1" si="24"/>
        <v>4</v>
      </c>
      <c r="M87" s="78">
        <f t="shared" ca="1" si="25"/>
        <v>17.867834075238335</v>
      </c>
      <c r="N87" s="78">
        <f t="shared" ca="1" si="26"/>
        <v>22.056271385372231</v>
      </c>
      <c r="O87" s="22">
        <f t="shared" ca="1" si="27"/>
        <v>17.867834075238335</v>
      </c>
      <c r="P87" s="22">
        <f t="shared" ca="1" si="28"/>
        <v>2.0631175094034617</v>
      </c>
      <c r="Q87" s="22">
        <f t="shared" ca="1" si="29"/>
        <v>2.1253198007304341</v>
      </c>
      <c r="R87" s="22">
        <f t="shared" ca="1" si="30"/>
        <v>0</v>
      </c>
      <c r="S87" s="22">
        <f t="shared" ca="1" si="31"/>
        <v>0</v>
      </c>
      <c r="T87" s="15"/>
      <c r="U87" s="15"/>
      <c r="V87" s="15"/>
      <c r="W87" s="15"/>
    </row>
    <row r="88" spans="1:23" x14ac:dyDescent="0.3">
      <c r="H88" s="15">
        <f>H77+1</f>
        <v>29</v>
      </c>
      <c r="I88" s="22" t="s">
        <v>122</v>
      </c>
      <c r="J88" s="81">
        <f>H32</f>
        <v>15.744761267713429</v>
      </c>
      <c r="K88" s="81">
        <f>I32</f>
        <v>26.210237060034331</v>
      </c>
      <c r="L88" s="22">
        <f t="shared" ca="1" si="24"/>
        <v>4</v>
      </c>
      <c r="M88" s="78">
        <f t="shared" ca="1" si="25"/>
        <v>15.744761267713429</v>
      </c>
      <c r="N88" s="78">
        <f t="shared" ca="1" si="26"/>
        <v>26.210237060034331</v>
      </c>
      <c r="O88" s="22">
        <f t="shared" ca="1" si="27"/>
        <v>15.744761267713429</v>
      </c>
      <c r="P88" s="22">
        <f t="shared" ca="1" si="28"/>
        <v>4.1861903169283678</v>
      </c>
      <c r="Q88" s="22">
        <f t="shared" ca="1" si="29"/>
        <v>6.279285475392534</v>
      </c>
      <c r="R88" s="22">
        <f t="shared" ca="1" si="30"/>
        <v>0</v>
      </c>
      <c r="S88" s="22">
        <f t="shared" ca="1" si="31"/>
        <v>0</v>
      </c>
    </row>
    <row r="89" spans="1:23" x14ac:dyDescent="0.3">
      <c r="H89" s="15"/>
      <c r="I89" s="22"/>
      <c r="J89" s="22"/>
      <c r="K89" s="22"/>
      <c r="L89" s="22"/>
      <c r="M89" s="22"/>
      <c r="N89" s="22"/>
      <c r="O89" s="22" t="s">
        <v>640</v>
      </c>
      <c r="P89" s="22" t="s">
        <v>642</v>
      </c>
      <c r="Q89" s="22" t="s">
        <v>643</v>
      </c>
      <c r="R89" s="22" t="s">
        <v>643</v>
      </c>
      <c r="S89" s="22" t="s">
        <v>642</v>
      </c>
    </row>
  </sheetData>
  <conditionalFormatting sqref="H19:I22 H4:I7 H24:I27 H9:I17 H29:I37">
    <cfRule type="containsText" dxfId="2" priority="3" stopIfTrue="1" operator="containsText" text="Uneconomic">
      <formula>NOT(ISERROR(SEARCH("Uneconomic",H4)))</formula>
    </cfRule>
  </conditionalFormatting>
  <conditionalFormatting sqref="H19:I22 H4:I7 H24:I27 H9:I17 H29:I37">
    <cfRule type="cellIs" dxfId="1" priority="1" stopIfTrue="1" operator="greaterThan">
      <formula>0</formula>
    </cfRule>
    <cfRule type="cellIs" dxfId="0" priority="2" stopIfTrue="1" operator="less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J55"/>
  <sheetViews>
    <sheetView showGridLines="0" showRowColHeaders="0" zoomScale="80" zoomScaleNormal="80" workbookViewId="0">
      <pane ySplit="2" topLeftCell="A3" activePane="bottomLeft" state="frozen"/>
      <selection activeCell="D43" sqref="D43"/>
      <selection pane="bottomLeft" activeCell="D43" sqref="D43"/>
    </sheetView>
  </sheetViews>
  <sheetFormatPr defaultRowHeight="14.4" x14ac:dyDescent="0.3"/>
  <cols>
    <col min="1" max="1" width="31" customWidth="1"/>
    <col min="2" max="2" width="30.5546875" customWidth="1"/>
    <col min="3" max="3" width="16.33203125" customWidth="1"/>
    <col min="4" max="4" width="6.44140625" customWidth="1"/>
    <col min="6" max="6" width="15.6640625" customWidth="1"/>
  </cols>
  <sheetData>
    <row r="1" spans="1:36" ht="21" x14ac:dyDescent="0.35">
      <c r="A1" s="339" t="str">
        <f>Input!B8</f>
        <v>Prospect X</v>
      </c>
      <c r="B1" s="340"/>
      <c r="C1" s="144" t="s">
        <v>769</v>
      </c>
      <c r="D1" s="22"/>
      <c r="E1" s="22"/>
      <c r="F1" s="22"/>
      <c r="G1" s="22"/>
      <c r="H1" s="22"/>
      <c r="I1" s="22"/>
      <c r="J1" s="22"/>
      <c r="K1" s="22"/>
      <c r="L1" s="22"/>
      <c r="M1" s="22"/>
      <c r="N1" s="22"/>
      <c r="O1" s="22"/>
      <c r="P1" s="22"/>
      <c r="Q1" s="22"/>
      <c r="R1" s="22"/>
      <c r="S1" s="22"/>
      <c r="T1" s="22"/>
      <c r="U1" s="22"/>
      <c r="V1" s="22"/>
      <c r="W1" s="22"/>
      <c r="X1" s="22"/>
      <c r="Y1" s="22"/>
      <c r="Z1" s="22"/>
      <c r="AA1" s="22"/>
      <c r="AB1" s="22"/>
      <c r="AC1" s="389"/>
      <c r="AD1" s="389"/>
      <c r="AE1" s="389"/>
      <c r="AF1" s="389"/>
      <c r="AG1" s="389"/>
      <c r="AH1" s="389"/>
      <c r="AI1" s="389"/>
      <c r="AJ1" s="389"/>
    </row>
    <row r="2" spans="1:36" ht="18.75" x14ac:dyDescent="0.3">
      <c r="A2" s="390"/>
      <c r="B2" s="340"/>
      <c r="C2" s="144" t="s">
        <v>143</v>
      </c>
      <c r="D2" s="22"/>
      <c r="E2" s="22"/>
      <c r="F2" s="22"/>
      <c r="G2" s="22"/>
      <c r="H2" s="22"/>
      <c r="I2" s="22"/>
      <c r="J2" s="22"/>
      <c r="K2" s="22"/>
      <c r="L2" s="22"/>
      <c r="M2" s="22"/>
      <c r="N2" s="22"/>
      <c r="O2" s="22"/>
      <c r="P2" s="22"/>
      <c r="Q2" s="22"/>
      <c r="R2" s="22"/>
      <c r="S2" s="22"/>
      <c r="T2" s="22"/>
      <c r="U2" s="22"/>
      <c r="V2" s="22"/>
      <c r="W2" s="22"/>
      <c r="X2" s="22"/>
      <c r="Y2" s="22"/>
      <c r="Z2" s="22"/>
      <c r="AA2" s="22"/>
      <c r="AB2" s="22"/>
      <c r="AC2" s="389"/>
      <c r="AD2" s="389"/>
      <c r="AE2" s="389"/>
      <c r="AF2" s="389"/>
      <c r="AG2" s="389"/>
      <c r="AH2" s="389"/>
      <c r="AI2" s="389"/>
      <c r="AJ2" s="389"/>
    </row>
    <row r="3" spans="1:36" ht="15.75" x14ac:dyDescent="0.25">
      <c r="A3" s="308" t="s">
        <v>64</v>
      </c>
      <c r="B3" s="330">
        <f>Input!B3</f>
        <v>0.1</v>
      </c>
      <c r="C3" s="22"/>
      <c r="D3" s="22"/>
      <c r="E3" s="22"/>
      <c r="F3" s="22"/>
      <c r="G3" s="22"/>
      <c r="H3" s="22"/>
      <c r="I3" s="22"/>
      <c r="J3" s="22"/>
      <c r="K3" s="22"/>
      <c r="L3" s="22"/>
      <c r="M3" s="22"/>
      <c r="N3" s="22"/>
      <c r="O3" s="22"/>
      <c r="P3" s="22"/>
      <c r="Q3" s="22"/>
      <c r="R3" s="22"/>
      <c r="S3" s="22"/>
      <c r="T3" s="22"/>
      <c r="U3" s="22"/>
      <c r="V3" s="22"/>
      <c r="W3" s="22"/>
      <c r="X3" s="22"/>
      <c r="Y3" s="22"/>
      <c r="Z3" s="22"/>
      <c r="AA3" s="22"/>
      <c r="AB3" s="22"/>
      <c r="AC3" s="389"/>
      <c r="AD3" s="389"/>
      <c r="AE3" s="389"/>
      <c r="AF3" s="389"/>
      <c r="AG3" s="389"/>
      <c r="AH3" s="389"/>
      <c r="AI3" s="389"/>
      <c r="AJ3" s="389"/>
    </row>
    <row r="4" spans="1:36" ht="15.75" x14ac:dyDescent="0.25">
      <c r="A4" s="308" t="s">
        <v>65</v>
      </c>
      <c r="B4" s="345">
        <f ca="1">Input!H13</f>
        <v>41153</v>
      </c>
      <c r="C4" s="22"/>
      <c r="D4" s="22"/>
      <c r="E4" s="22"/>
      <c r="F4" s="22"/>
      <c r="G4" s="22"/>
      <c r="H4" s="22"/>
      <c r="I4" s="22"/>
      <c r="J4" s="22"/>
      <c r="K4" s="22"/>
      <c r="L4" s="22"/>
      <c r="M4" s="22"/>
      <c r="N4" s="22"/>
      <c r="O4" s="22"/>
      <c r="P4" s="22"/>
      <c r="Q4" s="22"/>
      <c r="R4" s="22"/>
      <c r="S4" s="22"/>
      <c r="T4" s="22"/>
      <c r="U4" s="22"/>
      <c r="V4" s="22"/>
      <c r="W4" s="22"/>
      <c r="X4" s="22"/>
      <c r="Y4" s="22"/>
      <c r="Z4" s="22"/>
      <c r="AA4" s="22"/>
      <c r="AB4" s="22"/>
      <c r="AC4" s="389"/>
      <c r="AD4" s="389"/>
      <c r="AE4" s="389"/>
      <c r="AF4" s="389"/>
      <c r="AG4" s="389"/>
      <c r="AH4" s="389"/>
      <c r="AI4" s="389"/>
      <c r="AJ4" s="389"/>
    </row>
    <row r="5" spans="1:36" ht="15.75" x14ac:dyDescent="0.25">
      <c r="A5" s="308" t="s">
        <v>72</v>
      </c>
      <c r="B5" s="350" t="str">
        <f>'Selected Economics'!D3</f>
        <v>Flat Real</v>
      </c>
      <c r="C5" s="22"/>
      <c r="D5" s="22"/>
      <c r="E5" s="22"/>
      <c r="F5" s="22"/>
      <c r="G5" s="22"/>
      <c r="H5" s="22"/>
      <c r="I5" s="22"/>
      <c r="J5" s="22"/>
      <c r="K5" s="22"/>
      <c r="L5" s="22"/>
      <c r="M5" s="22"/>
      <c r="N5" s="22"/>
      <c r="O5" s="22"/>
      <c r="P5" s="22"/>
      <c r="Q5" s="22"/>
      <c r="R5" s="22"/>
      <c r="S5" s="22"/>
      <c r="T5" s="22"/>
      <c r="U5" s="22"/>
      <c r="V5" s="22"/>
      <c r="W5" s="22"/>
      <c r="X5" s="22"/>
      <c r="Y5" s="22"/>
      <c r="Z5" s="22"/>
      <c r="AA5" s="22"/>
      <c r="AB5" s="22"/>
      <c r="AC5" s="389"/>
      <c r="AD5" s="389"/>
      <c r="AE5" s="389"/>
      <c r="AF5" s="389"/>
      <c r="AG5" s="389"/>
      <c r="AH5" s="389"/>
      <c r="AI5" s="389"/>
      <c r="AJ5" s="389"/>
    </row>
    <row r="6" spans="1:36" ht="15.75" x14ac:dyDescent="0.25">
      <c r="A6" s="308" t="s">
        <v>73</v>
      </c>
      <c r="B6" s="350" t="str">
        <f>'Cost Assumptions'!O4</f>
        <v>NS DOE</v>
      </c>
      <c r="C6" s="22"/>
      <c r="D6" s="22"/>
      <c r="E6" s="22"/>
      <c r="F6" s="22"/>
      <c r="G6" s="22"/>
      <c r="H6" s="22"/>
      <c r="I6" s="22"/>
      <c r="J6" s="22"/>
      <c r="K6" s="22"/>
      <c r="L6" s="22"/>
      <c r="M6" s="22"/>
      <c r="N6" s="22"/>
      <c r="O6" s="22"/>
      <c r="P6" s="22"/>
      <c r="Q6" s="22"/>
      <c r="R6" s="22"/>
      <c r="S6" s="22"/>
      <c r="T6" s="22"/>
      <c r="U6" s="22"/>
      <c r="V6" s="22"/>
      <c r="W6" s="22"/>
      <c r="X6" s="22"/>
      <c r="Y6" s="22"/>
      <c r="Z6" s="22"/>
      <c r="AA6" s="22"/>
      <c r="AB6" s="22"/>
      <c r="AC6" s="389"/>
      <c r="AD6" s="389"/>
      <c r="AE6" s="389"/>
      <c r="AF6" s="389"/>
      <c r="AG6" s="389"/>
      <c r="AH6" s="389"/>
      <c r="AI6" s="389"/>
      <c r="AJ6" s="389"/>
    </row>
    <row r="7" spans="1:36" ht="18.75" x14ac:dyDescent="0.3">
      <c r="A7" s="542" t="s">
        <v>74</v>
      </c>
      <c r="B7" s="543"/>
      <c r="C7" s="22"/>
      <c r="D7" s="22"/>
      <c r="E7" s="22"/>
      <c r="F7" s="22"/>
      <c r="G7" s="22"/>
      <c r="H7" s="22"/>
      <c r="I7" s="22"/>
      <c r="J7" s="22"/>
      <c r="K7" s="22"/>
      <c r="L7" s="22"/>
      <c r="M7" s="22"/>
      <c r="N7" s="22"/>
      <c r="O7" s="22"/>
      <c r="P7" s="22"/>
      <c r="Q7" s="22"/>
      <c r="R7" s="22"/>
      <c r="S7" s="22"/>
      <c r="T7" s="22"/>
      <c r="U7" s="22"/>
      <c r="V7" s="22"/>
      <c r="W7" s="22"/>
      <c r="X7" s="22"/>
      <c r="Y7" s="22"/>
      <c r="Z7" s="22"/>
      <c r="AA7" s="22"/>
      <c r="AB7" s="22"/>
      <c r="AC7" s="389"/>
      <c r="AD7" s="389"/>
      <c r="AE7" s="389"/>
      <c r="AF7" s="389"/>
      <c r="AG7" s="389"/>
      <c r="AH7" s="389"/>
      <c r="AI7" s="389"/>
      <c r="AJ7" s="389"/>
    </row>
    <row r="8" spans="1:36" ht="15.75" x14ac:dyDescent="0.25">
      <c r="A8" s="308" t="s">
        <v>79</v>
      </c>
      <c r="B8" s="358">
        <f>Input!B10</f>
        <v>41091</v>
      </c>
      <c r="C8" s="22"/>
      <c r="D8" s="22"/>
      <c r="E8" s="22"/>
      <c r="F8" s="22"/>
      <c r="G8" s="22"/>
      <c r="H8" s="22"/>
      <c r="I8" s="22"/>
      <c r="J8" s="22"/>
      <c r="K8" s="22"/>
      <c r="L8" s="22"/>
      <c r="M8" s="22"/>
      <c r="N8" s="22"/>
      <c r="O8" s="22"/>
      <c r="P8" s="22"/>
      <c r="Q8" s="22"/>
      <c r="R8" s="22"/>
      <c r="S8" s="22"/>
      <c r="T8" s="22"/>
      <c r="U8" s="22"/>
      <c r="V8" s="22"/>
      <c r="W8" s="22"/>
      <c r="X8" s="22"/>
      <c r="Y8" s="22"/>
      <c r="Z8" s="22"/>
      <c r="AA8" s="22"/>
      <c r="AB8" s="22"/>
      <c r="AC8" s="389"/>
      <c r="AD8" s="389"/>
      <c r="AE8" s="389"/>
      <c r="AF8" s="389"/>
      <c r="AG8" s="389"/>
      <c r="AH8" s="389"/>
      <c r="AI8" s="389"/>
      <c r="AJ8" s="389"/>
    </row>
    <row r="9" spans="1:36" ht="15.75" x14ac:dyDescent="0.25">
      <c r="A9" s="308" t="s">
        <v>80</v>
      </c>
      <c r="B9" s="358" t="str">
        <f>Input!B14</f>
        <v>FPSO</v>
      </c>
      <c r="C9" s="22"/>
      <c r="D9" s="22"/>
      <c r="E9" s="22"/>
      <c r="F9" s="22"/>
      <c r="G9" s="22"/>
      <c r="H9" s="22"/>
      <c r="I9" s="22"/>
      <c r="J9" s="22"/>
      <c r="K9" s="22"/>
      <c r="L9" s="22"/>
      <c r="M9" s="22"/>
      <c r="N9" s="22"/>
      <c r="O9" s="22"/>
      <c r="P9" s="22"/>
      <c r="Q9" s="22"/>
      <c r="R9" s="22"/>
      <c r="S9" s="22"/>
      <c r="T9" s="22"/>
      <c r="U9" s="22"/>
      <c r="V9" s="22"/>
      <c r="W9" s="22"/>
      <c r="X9" s="22"/>
      <c r="Y9" s="22"/>
      <c r="Z9" s="22"/>
      <c r="AA9" s="22"/>
      <c r="AB9" s="22"/>
      <c r="AC9" s="389"/>
      <c r="AD9" s="389"/>
      <c r="AE9" s="389"/>
      <c r="AF9" s="389"/>
      <c r="AG9" s="389"/>
      <c r="AH9" s="389"/>
      <c r="AI9" s="389"/>
      <c r="AJ9" s="389"/>
    </row>
    <row r="10" spans="1:36" ht="15.75" x14ac:dyDescent="0.25">
      <c r="A10" s="308" t="s">
        <v>82</v>
      </c>
      <c r="B10" s="363" t="str">
        <f>Thresholds!B14</f>
        <v>To Infrastructure</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389"/>
      <c r="AD10" s="389"/>
      <c r="AE10" s="389"/>
      <c r="AF10" s="389"/>
      <c r="AG10" s="389"/>
      <c r="AH10" s="389"/>
      <c r="AI10" s="389"/>
      <c r="AJ10" s="389"/>
    </row>
    <row r="11" spans="1:36" ht="15.75" x14ac:dyDescent="0.25">
      <c r="A11" s="308" t="s">
        <v>84</v>
      </c>
      <c r="B11" s="363">
        <f>Thresholds!B15</f>
        <v>250</v>
      </c>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389"/>
      <c r="AD11" s="389"/>
      <c r="AE11" s="389"/>
      <c r="AF11" s="389"/>
      <c r="AG11" s="389"/>
      <c r="AH11" s="389"/>
      <c r="AI11" s="389"/>
      <c r="AJ11" s="389"/>
    </row>
    <row r="12" spans="1:36" ht="15.75" x14ac:dyDescent="0.25">
      <c r="A12" s="308" t="str">
        <f>Thresholds!A16</f>
        <v>Pipeline Percent Deepwater</v>
      </c>
      <c r="B12" s="330">
        <f>Thresholds!B16</f>
        <v>0.3</v>
      </c>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389"/>
      <c r="AD12" s="389"/>
      <c r="AE12" s="389"/>
      <c r="AF12" s="389"/>
      <c r="AG12" s="389"/>
      <c r="AH12" s="389"/>
      <c r="AI12" s="389"/>
      <c r="AJ12" s="389"/>
    </row>
    <row r="13" spans="1:36" ht="18.75" x14ac:dyDescent="0.3">
      <c r="A13" s="542" t="s">
        <v>85</v>
      </c>
      <c r="B13" s="543"/>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389"/>
      <c r="AD13" s="389"/>
      <c r="AE13" s="389"/>
      <c r="AF13" s="389"/>
      <c r="AG13" s="389"/>
      <c r="AH13" s="389"/>
      <c r="AI13" s="389"/>
      <c r="AJ13" s="389"/>
    </row>
    <row r="14" spans="1:36" ht="15.75" x14ac:dyDescent="0.25">
      <c r="A14" s="308" t="s">
        <v>78</v>
      </c>
      <c r="B14" s="330">
        <f>Input!B19</f>
        <v>1</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389"/>
      <c r="AD14" s="389"/>
      <c r="AE14" s="389"/>
      <c r="AF14" s="389"/>
      <c r="AG14" s="389"/>
      <c r="AH14" s="389"/>
      <c r="AI14" s="389"/>
      <c r="AJ14" s="389"/>
    </row>
    <row r="15" spans="1:36" ht="15.75" x14ac:dyDescent="0.25">
      <c r="A15" s="308" t="s">
        <v>86</v>
      </c>
      <c r="B15" s="330">
        <f>Input!B20</f>
        <v>0.35</v>
      </c>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389"/>
      <c r="AD15" s="389"/>
      <c r="AE15" s="389"/>
      <c r="AF15" s="389"/>
      <c r="AG15" s="389"/>
      <c r="AH15" s="389"/>
      <c r="AI15" s="389"/>
      <c r="AJ15" s="389"/>
    </row>
    <row r="16" spans="1:36" ht="15.75" x14ac:dyDescent="0.25">
      <c r="A16" s="308" t="s">
        <v>87</v>
      </c>
      <c r="B16" s="330">
        <f>Input!B21</f>
        <v>0.75</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389"/>
      <c r="AD16" s="389"/>
      <c r="AE16" s="389"/>
      <c r="AF16" s="389"/>
      <c r="AG16" s="389"/>
      <c r="AH16" s="389"/>
      <c r="AI16" s="389"/>
      <c r="AJ16" s="389"/>
    </row>
    <row r="17" spans="1:36" ht="16.5" customHeight="1" x14ac:dyDescent="0.25">
      <c r="A17" s="308" t="s">
        <v>88</v>
      </c>
      <c r="B17" s="330">
        <f>Input!B22</f>
        <v>1</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389"/>
      <c r="AD17" s="389"/>
      <c r="AE17" s="389"/>
      <c r="AF17" s="389"/>
      <c r="AG17" s="389"/>
      <c r="AH17" s="389"/>
      <c r="AI17" s="389"/>
      <c r="AJ17" s="389"/>
    </row>
    <row r="18" spans="1:36" ht="22.5" customHeight="1" x14ac:dyDescent="0.3">
      <c r="A18" s="542" t="s">
        <v>89</v>
      </c>
      <c r="B18" s="543"/>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389"/>
      <c r="AD18" s="389"/>
      <c r="AE18" s="389"/>
      <c r="AF18" s="389"/>
      <c r="AG18" s="389"/>
      <c r="AH18" s="389"/>
      <c r="AI18" s="389"/>
      <c r="AJ18" s="389"/>
    </row>
    <row r="19" spans="1:36" ht="23.25" customHeight="1" x14ac:dyDescent="0.3">
      <c r="A19" s="308" t="str">
        <f>Thresholds!A23</f>
        <v>Product Type</v>
      </c>
      <c r="B19" s="350" t="str">
        <f>Thresholds!B23</f>
        <v>Oil</v>
      </c>
      <c r="C19" s="22"/>
      <c r="D19" s="22"/>
      <c r="E19" s="22"/>
      <c r="F19" s="565" t="str">
        <f>"Government Take as a Percentage of Risked Cash Flow for Varying Reserves ("&amp;IF(B19="Gas","bcf","mmbbl")&amp;")"</f>
        <v>Government Take as a Percentage of Risked Cash Flow for Varying Reserves (mmbbl)</v>
      </c>
      <c r="G19" s="565"/>
      <c r="H19" s="565"/>
      <c r="I19" s="565"/>
      <c r="J19" s="565"/>
      <c r="K19" s="565"/>
      <c r="L19" s="565"/>
      <c r="M19" s="565"/>
      <c r="N19" s="565"/>
      <c r="O19" s="22"/>
      <c r="P19" s="22"/>
      <c r="Q19" s="22"/>
      <c r="R19" s="22"/>
      <c r="S19" s="22"/>
      <c r="T19" s="22"/>
      <c r="U19" s="22"/>
      <c r="V19" s="22"/>
      <c r="W19" s="22"/>
      <c r="X19" s="22"/>
      <c r="Y19" s="22"/>
      <c r="Z19" s="22"/>
      <c r="AA19" s="22"/>
      <c r="AB19" s="22"/>
      <c r="AC19" s="389"/>
      <c r="AD19" s="389"/>
      <c r="AE19" s="389"/>
      <c r="AF19" s="389"/>
      <c r="AG19" s="389"/>
      <c r="AH19" s="389"/>
      <c r="AI19" s="389"/>
      <c r="AJ19" s="389"/>
    </row>
    <row r="20" spans="1:36" ht="16.5" customHeight="1" x14ac:dyDescent="0.3">
      <c r="A20" s="308" t="str">
        <f>Input!A12</f>
        <v>Mean Reserves (mmbbl)</v>
      </c>
      <c r="B20" s="350">
        <f>Input!B12</f>
        <v>300</v>
      </c>
      <c r="C20" s="22"/>
      <c r="D20" s="22"/>
      <c r="E20" s="22"/>
      <c r="F20" s="565"/>
      <c r="G20" s="565"/>
      <c r="H20" s="565"/>
      <c r="I20" s="565"/>
      <c r="J20" s="565"/>
      <c r="K20" s="565"/>
      <c r="L20" s="565"/>
      <c r="M20" s="565"/>
      <c r="N20" s="565"/>
      <c r="O20" s="22"/>
      <c r="P20" s="22"/>
      <c r="Q20" s="22"/>
      <c r="R20" s="22"/>
      <c r="S20" s="22"/>
      <c r="T20" s="22"/>
      <c r="U20" s="22"/>
      <c r="V20" s="22"/>
      <c r="W20" s="22"/>
      <c r="X20" s="22"/>
      <c r="Y20" s="22"/>
      <c r="Z20" s="22"/>
      <c r="AA20" s="22"/>
      <c r="AB20" s="22"/>
      <c r="AC20" s="389"/>
      <c r="AD20" s="389"/>
      <c r="AE20" s="389"/>
      <c r="AF20" s="389"/>
      <c r="AG20" s="389"/>
      <c r="AH20" s="389"/>
      <c r="AI20" s="389"/>
      <c r="AJ20" s="389"/>
    </row>
    <row r="21" spans="1:36" ht="15.75" x14ac:dyDescent="0.25">
      <c r="A21" s="308" t="s">
        <v>90</v>
      </c>
      <c r="B21" s="350">
        <f>Input!B24</f>
        <v>4500</v>
      </c>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389"/>
      <c r="AD21" s="389"/>
      <c r="AE21" s="389"/>
      <c r="AF21" s="389"/>
      <c r="AG21" s="389"/>
      <c r="AH21" s="389"/>
      <c r="AI21" s="389"/>
      <c r="AJ21" s="389"/>
    </row>
    <row r="22" spans="1:36" ht="15.75" x14ac:dyDescent="0.25">
      <c r="A22" s="308" t="s">
        <v>91</v>
      </c>
      <c r="B22" s="350" t="str">
        <f>Input!B25</f>
        <v>Medium</v>
      </c>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389"/>
      <c r="AD22" s="389"/>
      <c r="AE22" s="389"/>
      <c r="AF22" s="389"/>
      <c r="AG22" s="389"/>
      <c r="AH22" s="389"/>
      <c r="AI22" s="389"/>
      <c r="AJ22" s="389"/>
    </row>
    <row r="23" spans="1:36" ht="15.75" x14ac:dyDescent="0.25">
      <c r="A23" s="308" t="s">
        <v>93</v>
      </c>
      <c r="B23" s="350" t="str">
        <f>Input!B26</f>
        <v>Medium</v>
      </c>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389"/>
      <c r="AD23" s="389"/>
      <c r="AE23" s="389"/>
      <c r="AF23" s="389"/>
      <c r="AG23" s="389"/>
      <c r="AH23" s="389"/>
      <c r="AI23" s="389"/>
      <c r="AJ23" s="389"/>
    </row>
    <row r="24" spans="1:36" ht="15.75" x14ac:dyDescent="0.25">
      <c r="A24" s="308" t="s">
        <v>94</v>
      </c>
      <c r="B24" s="350" t="str">
        <f>Input!B27</f>
        <v>Normally Pressured</v>
      </c>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389"/>
      <c r="AD24" s="389"/>
      <c r="AE24" s="389"/>
      <c r="AF24" s="389"/>
      <c r="AG24" s="389"/>
      <c r="AH24" s="389"/>
      <c r="AI24" s="389"/>
      <c r="AJ24" s="389"/>
    </row>
    <row r="25" spans="1:36" ht="15.75" x14ac:dyDescent="0.25">
      <c r="A25" s="308" t="s">
        <v>96</v>
      </c>
      <c r="B25" s="350">
        <f>Input!B28</f>
        <v>1040</v>
      </c>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389"/>
      <c r="AD25" s="389"/>
      <c r="AE25" s="389"/>
      <c r="AF25" s="389"/>
      <c r="AG25" s="389"/>
      <c r="AH25" s="389"/>
      <c r="AI25" s="389"/>
      <c r="AJ25" s="389"/>
    </row>
    <row r="26" spans="1:36" ht="15.75" x14ac:dyDescent="0.25">
      <c r="A26" s="308" t="s">
        <v>97</v>
      </c>
      <c r="B26" s="350">
        <f>Input!B29</f>
        <v>3333.3</v>
      </c>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389"/>
      <c r="AD26" s="389"/>
      <c r="AE26" s="389"/>
      <c r="AF26" s="389"/>
      <c r="AG26" s="389"/>
      <c r="AH26" s="389"/>
      <c r="AI26" s="389"/>
      <c r="AJ26" s="389"/>
    </row>
    <row r="27" spans="1:36" ht="15.75" x14ac:dyDescent="0.25">
      <c r="A27" s="308" t="s">
        <v>98</v>
      </c>
      <c r="B27" s="350" t="str">
        <f>Input!B30</f>
        <v>Sweet</v>
      </c>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389"/>
      <c r="AD27" s="389"/>
      <c r="AE27" s="389"/>
      <c r="AF27" s="389"/>
      <c r="AG27" s="389"/>
      <c r="AH27" s="389"/>
      <c r="AI27" s="389"/>
      <c r="AJ27" s="389"/>
    </row>
    <row r="28" spans="1:36" ht="15.6" x14ac:dyDescent="0.3">
      <c r="A28" s="308" t="s">
        <v>100</v>
      </c>
      <c r="B28" s="350">
        <f>Input!B13</f>
        <v>2000</v>
      </c>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389"/>
      <c r="AD28" s="389"/>
      <c r="AE28" s="389"/>
      <c r="AF28" s="389"/>
      <c r="AG28" s="389"/>
      <c r="AH28" s="389"/>
      <c r="AI28" s="389"/>
      <c r="AJ28" s="389"/>
    </row>
    <row r="29" spans="1:36" ht="18" x14ac:dyDescent="0.35">
      <c r="A29" s="542" t="s">
        <v>102</v>
      </c>
      <c r="B29" s="543"/>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389"/>
      <c r="AD29" s="389"/>
      <c r="AE29" s="389"/>
      <c r="AF29" s="389"/>
      <c r="AG29" s="389"/>
      <c r="AH29" s="389"/>
      <c r="AI29" s="389"/>
      <c r="AJ29" s="389"/>
    </row>
    <row r="30" spans="1:36" ht="15.6" x14ac:dyDescent="0.3">
      <c r="A30" s="308" t="s">
        <v>103</v>
      </c>
      <c r="B30" s="350" t="str">
        <f>Input!B33</f>
        <v>No</v>
      </c>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389"/>
      <c r="AD30" s="389"/>
      <c r="AE30" s="389"/>
      <c r="AF30" s="389"/>
      <c r="AG30" s="389"/>
      <c r="AH30" s="389"/>
      <c r="AI30" s="389"/>
      <c r="AJ30" s="389"/>
    </row>
    <row r="31" spans="1:36" ht="15.6" x14ac:dyDescent="0.3">
      <c r="A31" s="308" t="s">
        <v>106</v>
      </c>
      <c r="B31" s="350" t="str">
        <f>Input!B34</f>
        <v>No</v>
      </c>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389"/>
      <c r="AD31" s="389"/>
      <c r="AE31" s="389"/>
      <c r="AF31" s="389"/>
      <c r="AG31" s="389"/>
      <c r="AH31" s="389"/>
      <c r="AI31" s="389"/>
      <c r="AJ31" s="389"/>
    </row>
    <row r="32" spans="1:36" ht="15.6" x14ac:dyDescent="0.3">
      <c r="A32" s="308" t="s">
        <v>109</v>
      </c>
      <c r="B32" s="350" t="str">
        <f>Input!B35</f>
        <v>Yes</v>
      </c>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389"/>
      <c r="AD32" s="389"/>
      <c r="AE32" s="389"/>
      <c r="AF32" s="389"/>
      <c r="AG32" s="389"/>
      <c r="AH32" s="389"/>
      <c r="AI32" s="389"/>
      <c r="AJ32" s="389"/>
    </row>
    <row r="33" spans="1:36" x14ac:dyDescent="0.3">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389"/>
      <c r="AD33" s="389"/>
      <c r="AE33" s="389"/>
      <c r="AF33" s="389"/>
      <c r="AG33" s="389"/>
      <c r="AH33" s="389"/>
      <c r="AI33" s="389"/>
      <c r="AJ33" s="389"/>
    </row>
    <row r="34" spans="1:36" x14ac:dyDescent="0.3">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389"/>
      <c r="AD34" s="389"/>
      <c r="AE34" s="389"/>
      <c r="AF34" s="389"/>
      <c r="AG34" s="389"/>
      <c r="AH34" s="389"/>
      <c r="AI34" s="389"/>
      <c r="AJ34" s="389"/>
    </row>
    <row r="35" spans="1:36" x14ac:dyDescent="0.3">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389"/>
      <c r="AD35" s="389"/>
      <c r="AE35" s="389"/>
      <c r="AF35" s="389"/>
      <c r="AG35" s="389"/>
      <c r="AH35" s="389"/>
      <c r="AI35" s="389"/>
      <c r="AJ35" s="389"/>
    </row>
    <row r="36" spans="1:36" x14ac:dyDescent="0.3">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389"/>
      <c r="AD36" s="389"/>
      <c r="AE36" s="389"/>
      <c r="AF36" s="389"/>
      <c r="AG36" s="389"/>
      <c r="AH36" s="389"/>
      <c r="AI36" s="389"/>
      <c r="AJ36" s="389"/>
    </row>
    <row r="37" spans="1:36" x14ac:dyDescent="0.3">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389"/>
      <c r="AD37" s="389"/>
      <c r="AE37" s="389"/>
      <c r="AF37" s="389"/>
      <c r="AG37" s="389"/>
      <c r="AH37" s="389"/>
      <c r="AI37" s="389"/>
      <c r="AJ37" s="389"/>
    </row>
    <row r="38" spans="1:36" x14ac:dyDescent="0.3">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389"/>
      <c r="AD38" s="389"/>
      <c r="AE38" s="389"/>
      <c r="AF38" s="389"/>
      <c r="AG38" s="389"/>
      <c r="AH38" s="389"/>
      <c r="AI38" s="389"/>
      <c r="AJ38" s="389"/>
    </row>
    <row r="39" spans="1:36" x14ac:dyDescent="0.3">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389"/>
      <c r="AD39" s="389"/>
      <c r="AE39" s="389"/>
      <c r="AF39" s="389"/>
      <c r="AG39" s="389"/>
      <c r="AH39" s="389"/>
      <c r="AI39" s="389"/>
      <c r="AJ39" s="389"/>
    </row>
    <row r="40" spans="1:36" x14ac:dyDescent="0.3">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389"/>
      <c r="AD40" s="389"/>
      <c r="AE40" s="389"/>
      <c r="AF40" s="389"/>
      <c r="AG40" s="389"/>
      <c r="AH40" s="389"/>
      <c r="AI40" s="389"/>
      <c r="AJ40" s="389"/>
    </row>
    <row r="41" spans="1:36" x14ac:dyDescent="0.3">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389"/>
      <c r="AD41" s="389"/>
      <c r="AE41" s="389"/>
      <c r="AF41" s="389"/>
      <c r="AG41" s="389"/>
      <c r="AH41" s="389"/>
      <c r="AI41" s="389"/>
      <c r="AJ41" s="389"/>
    </row>
    <row r="42" spans="1:36" x14ac:dyDescent="0.3">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389"/>
      <c r="AD42" s="389"/>
      <c r="AE42" s="389"/>
      <c r="AF42" s="389"/>
      <c r="AG42" s="389"/>
      <c r="AH42" s="389"/>
      <c r="AI42" s="389"/>
      <c r="AJ42" s="389"/>
    </row>
    <row r="43" spans="1:36" x14ac:dyDescent="0.3">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389"/>
      <c r="AD43" s="389"/>
      <c r="AE43" s="389"/>
      <c r="AF43" s="389"/>
      <c r="AG43" s="389"/>
      <c r="AH43" s="389"/>
      <c r="AI43" s="389"/>
      <c r="AJ43" s="389"/>
    </row>
    <row r="44" spans="1:36" x14ac:dyDescent="0.3">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389"/>
      <c r="AD44" s="389"/>
      <c r="AE44" s="389"/>
      <c r="AF44" s="389"/>
      <c r="AG44" s="389"/>
      <c r="AH44" s="389"/>
      <c r="AI44" s="389"/>
      <c r="AJ44" s="389"/>
    </row>
    <row r="45" spans="1:36" x14ac:dyDescent="0.3">
      <c r="A45" s="389"/>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row>
    <row r="46" spans="1:36" x14ac:dyDescent="0.3">
      <c r="A46" s="389"/>
      <c r="B46" s="389"/>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row>
    <row r="47" spans="1:36" x14ac:dyDescent="0.3">
      <c r="A47" s="389"/>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row>
    <row r="48" spans="1:36" x14ac:dyDescent="0.3">
      <c r="A48" s="389"/>
      <c r="B48" s="389"/>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row>
    <row r="49" spans="1:36" x14ac:dyDescent="0.3">
      <c r="A49" s="389"/>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row>
    <row r="50" spans="1:36" x14ac:dyDescent="0.3">
      <c r="A50" s="389"/>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row>
    <row r="51" spans="1:36" x14ac:dyDescent="0.3">
      <c r="A51" s="389"/>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row>
    <row r="52" spans="1:36" x14ac:dyDescent="0.3">
      <c r="A52" s="389"/>
      <c r="B52" s="38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row>
    <row r="53" spans="1:36" x14ac:dyDescent="0.3">
      <c r="A53" s="389"/>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row>
    <row r="54" spans="1:36" x14ac:dyDescent="0.3">
      <c r="A54" s="389"/>
      <c r="B54" s="389"/>
      <c r="C54" s="389"/>
      <c r="D54" s="389"/>
      <c r="E54" s="389"/>
      <c r="F54" s="389"/>
      <c r="G54" s="389"/>
      <c r="H54" s="389"/>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9"/>
      <c r="AI54" s="389"/>
      <c r="AJ54" s="389"/>
    </row>
    <row r="55" spans="1:36" x14ac:dyDescent="0.3">
      <c r="A55" s="389"/>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row>
  </sheetData>
  <sheetProtection password="8BC3" sheet="1" objects="1" scenarios="1"/>
  <mergeCells count="5">
    <mergeCell ref="F19:N20"/>
    <mergeCell ref="A7:B7"/>
    <mergeCell ref="A13:B13"/>
    <mergeCell ref="A18:B18"/>
    <mergeCell ref="A29:B29"/>
  </mergeCells>
  <hyperlinks>
    <hyperlink ref="C1" location="Guide" display="Guide"/>
    <hyperlink ref="C2" location="Input" display="Input"/>
  </hyperlinks>
  <pageMargins left="0.7" right="0.7" top="0.75" bottom="0.75" header="0.3" footer="0.3"/>
  <pageSetup paperSize="9" scale="64" orientation="landscape" horizontalDpi="300" r:id="rId1"/>
  <headerFooter>
    <oddFooter>&amp;LNova Scotia Exploration Economics Model&amp;Rwww.indeva.com</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pageSetUpPr fitToPage="1"/>
  </sheetPr>
  <dimension ref="A1:AI85"/>
  <sheetViews>
    <sheetView showGridLines="0" showRowColHeaders="0" zoomScale="90" zoomScaleNormal="90" workbookViewId="0">
      <selection activeCell="D43" sqref="D43"/>
    </sheetView>
  </sheetViews>
  <sheetFormatPr defaultRowHeight="14.4" x14ac:dyDescent="0.3"/>
  <sheetData>
    <row r="1" spans="1:35" ht="15" customHeight="1" x14ac:dyDescent="0.25">
      <c r="A1" s="144" t="s">
        <v>769</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row>
    <row r="2" spans="1:35" ht="15" customHeight="1" x14ac:dyDescent="0.25">
      <c r="A2" s="144" t="s">
        <v>143</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row>
    <row r="3" spans="1:35" ht="15" x14ac:dyDescent="0.25">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row>
    <row r="4" spans="1:35" ht="15" x14ac:dyDescent="0.25">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row>
    <row r="5" spans="1:35" ht="15" x14ac:dyDescent="0.25">
      <c r="A5" s="93"/>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row>
    <row r="6" spans="1:35" ht="15" x14ac:dyDescent="0.25">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row>
    <row r="7" spans="1:35" ht="15" x14ac:dyDescent="0.25">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row>
    <row r="8" spans="1:35" ht="15" x14ac:dyDescent="0.25">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row>
    <row r="9" spans="1:35" ht="15" x14ac:dyDescent="0.25">
      <c r="A9" s="93"/>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row>
    <row r="10" spans="1:35" ht="15" x14ac:dyDescent="0.25">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row>
    <row r="11" spans="1:35" ht="15" x14ac:dyDescent="0.25">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row>
    <row r="12" spans="1:35" ht="15" x14ac:dyDescent="0.25">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row>
    <row r="13" spans="1:35" ht="15" x14ac:dyDescent="0.25">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row>
    <row r="14" spans="1:35" ht="15" x14ac:dyDescent="0.25">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row>
    <row r="15" spans="1:35" ht="15" x14ac:dyDescent="0.25">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row>
    <row r="16" spans="1:35" ht="15" x14ac:dyDescent="0.25">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row>
    <row r="17" spans="1:35" ht="15" x14ac:dyDescent="0.25">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row>
    <row r="18" spans="1:35" ht="15" x14ac:dyDescent="0.25">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row>
    <row r="19" spans="1:35" ht="15" x14ac:dyDescent="0.25">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row>
    <row r="20" spans="1:35" ht="15" x14ac:dyDescent="0.25">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row>
    <row r="21" spans="1:35" ht="15" x14ac:dyDescent="0.25">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row>
    <row r="22" spans="1:35" ht="15" x14ac:dyDescent="0.25">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row>
    <row r="23" spans="1:35" ht="15" x14ac:dyDescent="0.25">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row>
    <row r="24" spans="1:35" ht="15" x14ac:dyDescent="0.25">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row>
    <row r="25" spans="1:35" ht="15" x14ac:dyDescent="0.25">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row>
    <row r="26" spans="1:35"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row>
    <row r="27" spans="1:35"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row>
    <row r="28" spans="1:35"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row>
    <row r="29" spans="1:35"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row>
    <row r="30" spans="1:35"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row>
    <row r="31" spans="1:35"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row>
    <row r="32" spans="1:35"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row>
    <row r="33" spans="1:35" x14ac:dyDescent="0.3">
      <c r="A33" s="93"/>
      <c r="B33" s="93" t="s">
        <v>831</v>
      </c>
      <c r="C33" s="93"/>
      <c r="D33" s="93"/>
      <c r="E33" s="93"/>
      <c r="F33" s="93"/>
      <c r="G33" s="93"/>
      <c r="H33" s="93"/>
      <c r="I33" s="93" t="s">
        <v>832</v>
      </c>
      <c r="J33" s="93"/>
      <c r="K33" s="93"/>
      <c r="L33" s="93"/>
      <c r="M33" s="93"/>
      <c r="N33" s="93"/>
      <c r="O33" s="93"/>
      <c r="P33" s="93" t="s">
        <v>833</v>
      </c>
      <c r="Q33" s="93"/>
      <c r="R33" s="93"/>
      <c r="S33" s="93"/>
      <c r="T33" s="93"/>
      <c r="U33" s="93"/>
      <c r="V33" s="93"/>
      <c r="W33" s="93" t="s">
        <v>834</v>
      </c>
      <c r="X33" s="93"/>
      <c r="Y33" s="93"/>
      <c r="Z33" s="93"/>
      <c r="AA33" s="93"/>
      <c r="AB33" s="93"/>
      <c r="AC33" s="93"/>
      <c r="AD33" s="93"/>
      <c r="AE33" s="93"/>
      <c r="AF33" s="93"/>
      <c r="AG33" s="93"/>
      <c r="AH33" s="93"/>
      <c r="AI33" s="93"/>
    </row>
    <row r="34" spans="1:35" ht="34.5" customHeight="1" x14ac:dyDescent="0.3">
      <c r="A34" s="93"/>
      <c r="B34" s="391" t="str">
        <f>'Economic Assumptions'!B4</f>
        <v>Base</v>
      </c>
      <c r="C34" s="391" t="str">
        <f>'Economic Assumptions'!L4</f>
        <v>Base +1.5% /y</v>
      </c>
      <c r="D34" s="391" t="str">
        <f>'Economic Assumptions'!V4</f>
        <v>Base + 3%/y</v>
      </c>
      <c r="E34" s="391" t="str">
        <f>'Economic Assumptions'!AF4</f>
        <v>Base - 1.5%/y</v>
      </c>
      <c r="F34" s="391" t="str">
        <f>'Economic Assumptions'!AP4</f>
        <v>Flat Real</v>
      </c>
      <c r="G34" s="392"/>
      <c r="H34" s="93"/>
      <c r="I34" s="391" t="str">
        <f>B34</f>
        <v>Base</v>
      </c>
      <c r="J34" s="391" t="str">
        <f>C34</f>
        <v>Base +1.5% /y</v>
      </c>
      <c r="K34" s="391" t="str">
        <f>D34</f>
        <v>Base + 3%/y</v>
      </c>
      <c r="L34" s="391" t="str">
        <f>E34</f>
        <v>Base - 1.5%/y</v>
      </c>
      <c r="M34" s="391" t="str">
        <f>F34</f>
        <v>Flat Real</v>
      </c>
      <c r="N34" s="392"/>
      <c r="O34" s="93"/>
      <c r="P34" s="391" t="str">
        <f>I34</f>
        <v>Base</v>
      </c>
      <c r="Q34" s="391" t="str">
        <f>J34</f>
        <v>Base +1.5% /y</v>
      </c>
      <c r="R34" s="391" t="str">
        <f>K34</f>
        <v>Base + 3%/y</v>
      </c>
      <c r="S34" s="391" t="str">
        <f>L34</f>
        <v>Base - 1.5%/y</v>
      </c>
      <c r="T34" s="391" t="str">
        <f>M34</f>
        <v>Flat Real</v>
      </c>
      <c r="U34" s="93"/>
      <c r="V34" s="93"/>
      <c r="W34" s="391" t="str">
        <f>P34</f>
        <v>Base</v>
      </c>
      <c r="X34" s="391" t="str">
        <f>Q34</f>
        <v>Base +1.5% /y</v>
      </c>
      <c r="Y34" s="391" t="str">
        <f>R34</f>
        <v>Base + 3%/y</v>
      </c>
      <c r="Z34" s="391" t="str">
        <f>S34</f>
        <v>Base - 1.5%/y</v>
      </c>
      <c r="AA34" s="391" t="str">
        <f>T34</f>
        <v>Flat Real</v>
      </c>
      <c r="AB34" s="93"/>
      <c r="AC34" s="93"/>
      <c r="AD34" s="93"/>
      <c r="AE34" s="93"/>
      <c r="AF34" s="93"/>
      <c r="AG34" s="93"/>
      <c r="AH34" s="93"/>
      <c r="AI34" s="93"/>
    </row>
    <row r="35" spans="1:35" x14ac:dyDescent="0.3">
      <c r="A35" s="158">
        <f>'Economic Assumptions'!A12</f>
        <v>2012</v>
      </c>
      <c r="B35" s="203">
        <f>'Economic Assumptions'!C12</f>
        <v>104</v>
      </c>
      <c r="C35" s="203">
        <f>'Economic Assumptions'!M12</f>
        <v>104</v>
      </c>
      <c r="D35" s="203">
        <f>'Economic Assumptions'!W12</f>
        <v>104</v>
      </c>
      <c r="E35" s="203">
        <f>'Economic Assumptions'!AG12</f>
        <v>104</v>
      </c>
      <c r="F35" s="203">
        <f>'Economic Assumptions'!AQ12</f>
        <v>104</v>
      </c>
      <c r="G35" s="228"/>
      <c r="H35" s="158">
        <f>A35</f>
        <v>2012</v>
      </c>
      <c r="I35" s="203">
        <f>'Economic Assumptions'!I12</f>
        <v>104</v>
      </c>
      <c r="J35" s="203">
        <f>'Economic Assumptions'!S12</f>
        <v>104</v>
      </c>
      <c r="K35" s="203">
        <f>'Economic Assumptions'!AC12</f>
        <v>104</v>
      </c>
      <c r="L35" s="203">
        <f>'Economic Assumptions'!AM12</f>
        <v>104</v>
      </c>
      <c r="M35" s="203">
        <f>'Economic Assumptions'!AW12</f>
        <v>104</v>
      </c>
      <c r="N35" s="228"/>
      <c r="O35" s="158">
        <f>H35</f>
        <v>2012</v>
      </c>
      <c r="P35" s="393">
        <f>'Economic Assumptions'!D12</f>
        <v>2.6</v>
      </c>
      <c r="Q35" s="393">
        <f>'Economic Assumptions'!N12</f>
        <v>2.6</v>
      </c>
      <c r="R35" s="393">
        <f>'Economic Assumptions'!X12</f>
        <v>2.6</v>
      </c>
      <c r="S35" s="393">
        <f>'Economic Assumptions'!AH12</f>
        <v>2.6</v>
      </c>
      <c r="T35" s="393">
        <f>'Economic Assumptions'!AR12</f>
        <v>2.6</v>
      </c>
      <c r="U35" s="93"/>
      <c r="V35" s="158">
        <f>O35</f>
        <v>2012</v>
      </c>
      <c r="W35" s="393">
        <f>'Economic Assumptions'!J12</f>
        <v>2.6</v>
      </c>
      <c r="X35" s="393">
        <f>'Economic Assumptions'!T12</f>
        <v>2.6</v>
      </c>
      <c r="Y35" s="393">
        <f>'Economic Assumptions'!AD12</f>
        <v>2.6</v>
      </c>
      <c r="Z35" s="393">
        <f>'Economic Assumptions'!AN12</f>
        <v>2.6</v>
      </c>
      <c r="AA35" s="393">
        <f>'Economic Assumptions'!AX12</f>
        <v>2.6</v>
      </c>
      <c r="AB35" s="93"/>
      <c r="AC35" s="93"/>
      <c r="AD35" s="93"/>
      <c r="AE35" s="93"/>
      <c r="AF35" s="93"/>
      <c r="AG35" s="93"/>
      <c r="AH35" s="93"/>
      <c r="AI35" s="93"/>
    </row>
    <row r="36" spans="1:35" x14ac:dyDescent="0.3">
      <c r="A36" s="160">
        <f>'Economic Assumptions'!A13</f>
        <v>2013</v>
      </c>
      <c r="B36" s="205">
        <f>'Economic Assumptions'!C13</f>
        <v>104</v>
      </c>
      <c r="C36" s="205">
        <f>'Economic Assumptions'!M13</f>
        <v>105.55999999999999</v>
      </c>
      <c r="D36" s="205">
        <f>'Economic Assumptions'!W13</f>
        <v>107.12</v>
      </c>
      <c r="E36" s="205">
        <f>'Economic Assumptions'!AG13</f>
        <v>102.44</v>
      </c>
      <c r="F36" s="205">
        <f>'Economic Assumptions'!AQ13</f>
        <v>106.6</v>
      </c>
      <c r="G36" s="228"/>
      <c r="H36" s="160">
        <f t="shared" ref="H36:H73" si="0">A36</f>
        <v>2013</v>
      </c>
      <c r="I36" s="205">
        <f>'Economic Assumptions'!I13</f>
        <v>101.46341463414635</v>
      </c>
      <c r="J36" s="205">
        <f>'Economic Assumptions'!S13</f>
        <v>102.98536585365854</v>
      </c>
      <c r="K36" s="205">
        <f>'Economic Assumptions'!AC13</f>
        <v>104.50731707317074</v>
      </c>
      <c r="L36" s="205">
        <f>'Economic Assumptions'!AM13</f>
        <v>99.941463414634157</v>
      </c>
      <c r="M36" s="205">
        <f>'Economic Assumptions'!AW13</f>
        <v>104</v>
      </c>
      <c r="N36" s="228"/>
      <c r="O36" s="160">
        <f t="shared" ref="O36:O73" si="1">H36</f>
        <v>2013</v>
      </c>
      <c r="P36" s="394">
        <f>'Economic Assumptions'!D13</f>
        <v>3.6</v>
      </c>
      <c r="Q36" s="394">
        <f>'Economic Assumptions'!N13</f>
        <v>3.6389999999999998</v>
      </c>
      <c r="R36" s="394">
        <f>'Economic Assumptions'!X13</f>
        <v>3.6780000000000004</v>
      </c>
      <c r="S36" s="394">
        <f>'Economic Assumptions'!AH13</f>
        <v>3.5609999999999999</v>
      </c>
      <c r="T36" s="394">
        <f>'Economic Assumptions'!AR13</f>
        <v>2.665</v>
      </c>
      <c r="U36" s="93"/>
      <c r="V36" s="160">
        <f t="shared" ref="V36:V73" si="2">O36</f>
        <v>2013</v>
      </c>
      <c r="W36" s="394">
        <f>'Economic Assumptions'!J13</f>
        <v>3.51219512195122</v>
      </c>
      <c r="X36" s="394">
        <f>'Economic Assumptions'!T13</f>
        <v>3.5502439024390244</v>
      </c>
      <c r="Y36" s="394">
        <f>'Economic Assumptions'!AD13</f>
        <v>3.5882926829268298</v>
      </c>
      <c r="Z36" s="394">
        <f>'Economic Assumptions'!AN13</f>
        <v>3.4741463414634151</v>
      </c>
      <c r="AA36" s="394">
        <f>'Economic Assumptions'!AX13</f>
        <v>2.6</v>
      </c>
      <c r="AB36" s="93"/>
      <c r="AC36" s="93"/>
      <c r="AD36" s="93"/>
      <c r="AE36" s="93"/>
      <c r="AF36" s="93"/>
      <c r="AG36" s="93"/>
      <c r="AH36" s="93"/>
      <c r="AI36" s="93"/>
    </row>
    <row r="37" spans="1:35" x14ac:dyDescent="0.3">
      <c r="A37" s="160">
        <f>'Economic Assumptions'!A14</f>
        <v>2014</v>
      </c>
      <c r="B37" s="205">
        <f>'Economic Assumptions'!C14</f>
        <v>98</v>
      </c>
      <c r="C37" s="205">
        <f>'Economic Assumptions'!M14</f>
        <v>101.14339999999997</v>
      </c>
      <c r="D37" s="205">
        <f>'Economic Assumptions'!W14</f>
        <v>104.3336</v>
      </c>
      <c r="E37" s="205">
        <f>'Economic Assumptions'!AG14</f>
        <v>94.903399999999991</v>
      </c>
      <c r="F37" s="205">
        <f>'Economic Assumptions'!AQ14</f>
        <v>109.26499999999999</v>
      </c>
      <c r="G37" s="228"/>
      <c r="H37" s="160">
        <f t="shared" si="0"/>
        <v>2014</v>
      </c>
      <c r="I37" s="205">
        <f>'Economic Assumptions'!I14</f>
        <v>93.277810826888768</v>
      </c>
      <c r="J37" s="205">
        <f>'Economic Assumptions'!S14</f>
        <v>96.269744199881004</v>
      </c>
      <c r="K37" s="205">
        <f>'Economic Assumptions'!AC14</f>
        <v>99.306222486615127</v>
      </c>
      <c r="L37" s="205">
        <f>'Economic Assumptions'!AM14</f>
        <v>90.33042236763832</v>
      </c>
      <c r="M37" s="205">
        <f>'Economic Assumptions'!AW14</f>
        <v>104</v>
      </c>
      <c r="N37" s="228"/>
      <c r="O37" s="160">
        <f t="shared" si="1"/>
        <v>2014</v>
      </c>
      <c r="P37" s="394">
        <f>'Economic Assumptions'!D14</f>
        <v>3.9</v>
      </c>
      <c r="Q37" s="394">
        <f>'Economic Assumptions'!N14</f>
        <v>3.9935849999999991</v>
      </c>
      <c r="R37" s="394">
        <f>'Economic Assumptions'!X14</f>
        <v>4.0883400000000005</v>
      </c>
      <c r="S37" s="394">
        <f>'Economic Assumptions'!AH14</f>
        <v>3.8075849999999996</v>
      </c>
      <c r="T37" s="394">
        <f>'Economic Assumptions'!AR14</f>
        <v>2.7316249999999997</v>
      </c>
      <c r="U37" s="93"/>
      <c r="V37" s="160">
        <f t="shared" si="2"/>
        <v>2014</v>
      </c>
      <c r="W37" s="394">
        <f>'Economic Assumptions'!J14</f>
        <v>3.7120761451516957</v>
      </c>
      <c r="X37" s="394">
        <f>'Economic Assumptions'!T14</f>
        <v>3.8011516954193927</v>
      </c>
      <c r="Y37" s="394">
        <f>'Economic Assumptions'!AD14</f>
        <v>3.8913408685306377</v>
      </c>
      <c r="Z37" s="394">
        <f>'Economic Assumptions'!AN14</f>
        <v>3.6241142177275432</v>
      </c>
      <c r="AA37" s="394">
        <f>'Economic Assumptions'!AX14</f>
        <v>2.6</v>
      </c>
      <c r="AB37" s="93"/>
      <c r="AC37" s="93"/>
      <c r="AD37" s="93"/>
      <c r="AE37" s="93"/>
      <c r="AF37" s="93"/>
      <c r="AG37" s="93"/>
      <c r="AH37" s="93"/>
      <c r="AI37" s="93"/>
    </row>
    <row r="38" spans="1:35" x14ac:dyDescent="0.3">
      <c r="A38" s="160">
        <f>'Economic Assumptions'!A15</f>
        <v>2015</v>
      </c>
      <c r="B38" s="205">
        <f>'Economic Assumptions'!C15</f>
        <v>94</v>
      </c>
      <c r="C38" s="205">
        <f>'Economic Assumptions'!M15</f>
        <v>98.660550999999955</v>
      </c>
      <c r="D38" s="205">
        <f>'Economic Assumptions'!W15</f>
        <v>103.46360800000001</v>
      </c>
      <c r="E38" s="205">
        <f>'Economic Assumptions'!AG15</f>
        <v>89.479848999999987</v>
      </c>
      <c r="F38" s="205">
        <f>'Economic Assumptions'!AQ15</f>
        <v>111.99662499999998</v>
      </c>
      <c r="G38" s="228"/>
      <c r="H38" s="160">
        <f t="shared" si="0"/>
        <v>2015</v>
      </c>
      <c r="I38" s="205">
        <f>'Economic Assumptions'!I15</f>
        <v>87.288344626456407</v>
      </c>
      <c r="J38" s="205">
        <f>'Economic Assumptions'!S15</f>
        <v>91.616129539617802</v>
      </c>
      <c r="K38" s="205">
        <f>'Economic Assumptions'!AC15</f>
        <v>96.076245440431833</v>
      </c>
      <c r="L38" s="205">
        <f>'Economic Assumptions'!AM15</f>
        <v>83.090935070588074</v>
      </c>
      <c r="M38" s="205">
        <f>'Economic Assumptions'!AW15</f>
        <v>104.00000000000001</v>
      </c>
      <c r="N38" s="228"/>
      <c r="O38" s="160">
        <f t="shared" si="1"/>
        <v>2015</v>
      </c>
      <c r="P38" s="394">
        <f>'Economic Assumptions'!D15</f>
        <v>4.0999999999999996</v>
      </c>
      <c r="Q38" s="394">
        <f>'Economic Assumptions'!N15</f>
        <v>4.2534887749999992</v>
      </c>
      <c r="R38" s="394">
        <f>'Economic Assumptions'!X15</f>
        <v>4.4109902000000005</v>
      </c>
      <c r="S38" s="394">
        <f>'Economic Assumptions'!AH15</f>
        <v>3.9504712249999994</v>
      </c>
      <c r="T38" s="394">
        <f>'Economic Assumptions'!AR15</f>
        <v>2.7999156249999997</v>
      </c>
      <c r="U38" s="93"/>
      <c r="V38" s="160">
        <f t="shared" si="2"/>
        <v>2015</v>
      </c>
      <c r="W38" s="394">
        <f>'Economic Assumptions'!J15</f>
        <v>3.8072575847709702</v>
      </c>
      <c r="X38" s="394">
        <f>'Economic Assumptions'!T15</f>
        <v>3.9497871708187637</v>
      </c>
      <c r="Y38" s="394">
        <f>'Economic Assumptions'!AD15</f>
        <v>4.0960429012927859</v>
      </c>
      <c r="Z38" s="394">
        <f>'Economic Assumptions'!AN15</f>
        <v>3.6684052523904183</v>
      </c>
      <c r="AA38" s="394">
        <f>'Economic Assumptions'!AX15</f>
        <v>2.6000000000000005</v>
      </c>
      <c r="AB38" s="93"/>
      <c r="AC38" s="93"/>
      <c r="AD38" s="93"/>
      <c r="AE38" s="93"/>
      <c r="AF38" s="93"/>
      <c r="AG38" s="93"/>
      <c r="AH38" s="93"/>
      <c r="AI38" s="93"/>
    </row>
    <row r="39" spans="1:35" x14ac:dyDescent="0.3">
      <c r="A39" s="160">
        <f>'Economic Assumptions'!A16</f>
        <v>2016</v>
      </c>
      <c r="B39" s="205">
        <f>'Economic Assumptions'!C16</f>
        <v>93</v>
      </c>
      <c r="C39" s="205">
        <f>'Economic Assumptions'!M16</f>
        <v>99.140459264999947</v>
      </c>
      <c r="D39" s="205">
        <f>'Economic Assumptions'!W16</f>
        <v>105.56751624000002</v>
      </c>
      <c r="E39" s="205">
        <f>'Economic Assumptions'!AG16</f>
        <v>87.137651264999988</v>
      </c>
      <c r="F39" s="205">
        <f>'Economic Assumptions'!AQ16</f>
        <v>114.79654062499996</v>
      </c>
      <c r="G39" s="228"/>
      <c r="H39" s="160">
        <f t="shared" si="0"/>
        <v>2016</v>
      </c>
      <c r="I39" s="205">
        <f>'Economic Assumptions'!I16</f>
        <v>84.253409966377234</v>
      </c>
      <c r="J39" s="205">
        <f>'Economic Assumptions'!S16</f>
        <v>89.816362996870566</v>
      </c>
      <c r="K39" s="205">
        <f>'Economic Assumptions'!AC16</f>
        <v>95.638959407536646</v>
      </c>
      <c r="L39" s="205">
        <f>'Economic Assumptions'!AM16</f>
        <v>78.942411349862937</v>
      </c>
      <c r="M39" s="205">
        <f>'Economic Assumptions'!AW16</f>
        <v>104</v>
      </c>
      <c r="N39" s="228"/>
      <c r="O39" s="160">
        <f t="shared" si="1"/>
        <v>2016</v>
      </c>
      <c r="P39" s="394">
        <f>'Economic Assumptions'!D16</f>
        <v>4.4000000000000004</v>
      </c>
      <c r="Q39" s="394">
        <f>'Economic Assumptions'!N16</f>
        <v>4.6172911066249993</v>
      </c>
      <c r="R39" s="394">
        <f>'Economic Assumptions'!X16</f>
        <v>4.8433199060000014</v>
      </c>
      <c r="S39" s="394">
        <f>'Economic Assumptions'!AH16</f>
        <v>4.1912141566249996</v>
      </c>
      <c r="T39" s="394">
        <f>'Economic Assumptions'!AR16</f>
        <v>2.8699135156249995</v>
      </c>
      <c r="U39" s="93"/>
      <c r="V39" s="160">
        <f t="shared" si="2"/>
        <v>2016</v>
      </c>
      <c r="W39" s="394">
        <f>'Economic Assumptions'!J16</f>
        <v>3.986182837118923</v>
      </c>
      <c r="X39" s="394">
        <f>'Economic Assumptions'!T16</f>
        <v>4.1830378552750931</v>
      </c>
      <c r="Y39" s="394">
        <f>'Economic Assumptions'!AD16</f>
        <v>4.3878087918121906</v>
      </c>
      <c r="Z39" s="394">
        <f>'Economic Assumptions'!AN16</f>
        <v>3.7970331676882805</v>
      </c>
      <c r="AA39" s="394">
        <f>'Economic Assumptions'!AX16</f>
        <v>2.6000000000000005</v>
      </c>
      <c r="AB39" s="93"/>
      <c r="AC39" s="93"/>
      <c r="AD39" s="93"/>
      <c r="AE39" s="93"/>
      <c r="AF39" s="93"/>
      <c r="AG39" s="93"/>
      <c r="AH39" s="93"/>
      <c r="AI39" s="93"/>
    </row>
    <row r="40" spans="1:35" x14ac:dyDescent="0.3">
      <c r="A40" s="160">
        <f>'Economic Assumptions'!A17</f>
        <v>2017</v>
      </c>
      <c r="B40" s="205">
        <f>'Economic Assumptions'!C17</f>
        <v>91</v>
      </c>
      <c r="C40" s="205">
        <f>'Economic Assumptions'!M17</f>
        <v>98.627566153974939</v>
      </c>
      <c r="D40" s="205">
        <f>'Economic Assumptions'!W17</f>
        <v>106.73454172720002</v>
      </c>
      <c r="E40" s="205">
        <f>'Economic Assumptions'!AG17</f>
        <v>83.830586496024992</v>
      </c>
      <c r="F40" s="205">
        <f>'Economic Assumptions'!AQ17</f>
        <v>117.66645414062495</v>
      </c>
      <c r="G40" s="228"/>
      <c r="H40" s="160">
        <f t="shared" si="0"/>
        <v>2017</v>
      </c>
      <c r="I40" s="205">
        <f>'Economic Assumptions'!I17</f>
        <v>80.430740172466074</v>
      </c>
      <c r="J40" s="205">
        <f>'Economic Assumptions'!S17</f>
        <v>87.172397221682061</v>
      </c>
      <c r="K40" s="205">
        <f>'Economic Assumptions'!AC17</f>
        <v>94.337782341622685</v>
      </c>
      <c r="L40" s="205">
        <f>'Economic Assumptions'!AM17</f>
        <v>74.094023307332193</v>
      </c>
      <c r="M40" s="205">
        <f>'Economic Assumptions'!AW17</f>
        <v>104</v>
      </c>
      <c r="N40" s="228"/>
      <c r="O40" s="160">
        <f t="shared" si="1"/>
        <v>2017</v>
      </c>
      <c r="P40" s="394">
        <f>'Economic Assumptions'!D17</f>
        <v>4.7</v>
      </c>
      <c r="Q40" s="394">
        <f>'Economic Assumptions'!N17</f>
        <v>4.9865504732243737</v>
      </c>
      <c r="R40" s="394">
        <f>'Economic Assumptions'!X17</f>
        <v>5.2886195031800014</v>
      </c>
      <c r="S40" s="394">
        <f>'Economic Assumptions'!AH17</f>
        <v>4.4283459442756241</v>
      </c>
      <c r="T40" s="394">
        <f>'Economic Assumptions'!AR17</f>
        <v>2.9416613535156242</v>
      </c>
      <c r="U40" s="93"/>
      <c r="V40" s="160">
        <f t="shared" si="2"/>
        <v>2017</v>
      </c>
      <c r="W40" s="394">
        <f>'Economic Assumptions'!J17</f>
        <v>4.1541151517647315</v>
      </c>
      <c r="X40" s="394">
        <f>'Economic Assumptions'!T17</f>
        <v>4.4073840161406306</v>
      </c>
      <c r="Y40" s="394">
        <f>'Economic Assumptions'!AD17</f>
        <v>4.6743690234209598</v>
      </c>
      <c r="Z40" s="394">
        <f>'Economic Assumptions'!AN17</f>
        <v>3.9140125498662273</v>
      </c>
      <c r="AA40" s="394">
        <f>'Economic Assumptions'!AX17</f>
        <v>2.6000000000000005</v>
      </c>
      <c r="AB40" s="93"/>
      <c r="AC40" s="93"/>
      <c r="AD40" s="93"/>
      <c r="AE40" s="93"/>
      <c r="AF40" s="93"/>
      <c r="AG40" s="93"/>
      <c r="AH40" s="93"/>
      <c r="AI40" s="93"/>
    </row>
    <row r="41" spans="1:35" x14ac:dyDescent="0.3">
      <c r="A41" s="160">
        <f>'Economic Assumptions'!A18</f>
        <v>2018</v>
      </c>
      <c r="B41" s="205">
        <f>'Economic Assumptions'!C18</f>
        <v>90</v>
      </c>
      <c r="C41" s="205">
        <f>'Economic Assumptions'!M18</f>
        <v>99.106979646284557</v>
      </c>
      <c r="D41" s="205">
        <f>'Economic Assumptions'!W18</f>
        <v>108.93657797901602</v>
      </c>
      <c r="E41" s="205">
        <f>'Economic Assumptions'!AG18</f>
        <v>81.573127698584614</v>
      </c>
      <c r="F41" s="205">
        <f>'Economic Assumptions'!AQ18</f>
        <v>120.60811549414056</v>
      </c>
      <c r="G41" s="228"/>
      <c r="H41" s="160">
        <f t="shared" si="0"/>
        <v>2018</v>
      </c>
      <c r="I41" s="205">
        <f>'Economic Assumptions'!I18</f>
        <v>77.606717936445435</v>
      </c>
      <c r="J41" s="205">
        <f>'Economic Assumptions'!S18</f>
        <v>85.459637943802718</v>
      </c>
      <c r="K41" s="205">
        <f>'Economic Assumptions'!AC18</f>
        <v>93.935669779767665</v>
      </c>
      <c r="L41" s="205">
        <f>'Economic Assumptions'!AM18</f>
        <v>70.340252361085561</v>
      </c>
      <c r="M41" s="205">
        <f>'Economic Assumptions'!AW18</f>
        <v>104.00000000000001</v>
      </c>
      <c r="N41" s="228"/>
      <c r="O41" s="160">
        <f t="shared" si="1"/>
        <v>2018</v>
      </c>
      <c r="P41" s="394">
        <f>'Economic Assumptions'!D18</f>
        <v>4.9000000000000004</v>
      </c>
      <c r="Q41" s="394">
        <f>'Economic Assumptions'!N18</f>
        <v>5.2613487303227391</v>
      </c>
      <c r="R41" s="394">
        <f>'Economic Assumptions'!X18</f>
        <v>5.6472780882754021</v>
      </c>
      <c r="S41" s="394">
        <f>'Economic Assumptions'!AH18</f>
        <v>4.5619207551114895</v>
      </c>
      <c r="T41" s="394">
        <f>'Economic Assumptions'!AR18</f>
        <v>3.0152028873535146</v>
      </c>
      <c r="U41" s="93"/>
      <c r="V41" s="160">
        <f t="shared" si="2"/>
        <v>2018</v>
      </c>
      <c r="W41" s="394">
        <f>'Economic Assumptions'!J18</f>
        <v>4.2252546432064735</v>
      </c>
      <c r="X41" s="394">
        <f>'Economic Assumptions'!T18</f>
        <v>4.5368445208825792</v>
      </c>
      <c r="Y41" s="394">
        <f>'Economic Assumptions'!AD18</f>
        <v>4.8696301967273099</v>
      </c>
      <c r="Z41" s="394">
        <f>'Economic Assumptions'!AN18</f>
        <v>3.9337299698928172</v>
      </c>
      <c r="AA41" s="394">
        <f>'Economic Assumptions'!AX18</f>
        <v>2.6000000000000005</v>
      </c>
      <c r="AB41" s="93"/>
      <c r="AC41" s="93"/>
      <c r="AD41" s="93"/>
      <c r="AE41" s="93"/>
      <c r="AF41" s="93"/>
      <c r="AG41" s="93"/>
      <c r="AH41" s="93"/>
      <c r="AI41" s="93"/>
    </row>
    <row r="42" spans="1:35" x14ac:dyDescent="0.3">
      <c r="A42" s="160">
        <f>'Economic Assumptions'!A19</f>
        <v>2019</v>
      </c>
      <c r="B42" s="205">
        <f>'Economic Assumptions'!C19</f>
        <v>90</v>
      </c>
      <c r="C42" s="205">
        <f>'Economic Assumptions'!M19</f>
        <v>100.59358434097882</v>
      </c>
      <c r="D42" s="205">
        <f>'Economic Assumptions'!W19</f>
        <v>112.20467531838651</v>
      </c>
      <c r="E42" s="205">
        <f>'Economic Assumptions'!AG19</f>
        <v>80.349530783105848</v>
      </c>
      <c r="F42" s="205">
        <f>'Economic Assumptions'!AQ19</f>
        <v>123.62331838149407</v>
      </c>
      <c r="G42" s="228"/>
      <c r="H42" s="160">
        <f t="shared" si="0"/>
        <v>2019</v>
      </c>
      <c r="I42" s="205">
        <f>'Economic Assumptions'!I19</f>
        <v>75.713871157507754</v>
      </c>
      <c r="J42" s="205">
        <f>'Economic Assumptions'!S19</f>
        <v>84.62588537849733</v>
      </c>
      <c r="K42" s="205">
        <f>'Economic Assumptions'!AC19</f>
        <v>94.393892559181168</v>
      </c>
      <c r="L42" s="205">
        <f>'Economic Assumptions'!AM19</f>
        <v>67.595266903091982</v>
      </c>
      <c r="M42" s="205">
        <f>'Economic Assumptions'!AW19</f>
        <v>104.00000000000001</v>
      </c>
      <c r="N42" s="228"/>
      <c r="O42" s="160">
        <f t="shared" si="1"/>
        <v>2019</v>
      </c>
      <c r="P42" s="394">
        <f>'Economic Assumptions'!D19</f>
        <v>5.0999999999999996</v>
      </c>
      <c r="Q42" s="394">
        <f>'Economic Assumptions'!N19</f>
        <v>5.5402689612775786</v>
      </c>
      <c r="R42" s="394">
        <f>'Economic Assumptions'!X19</f>
        <v>6.0166964309236635</v>
      </c>
      <c r="S42" s="394">
        <f>'Economic Assumptions'!AH19</f>
        <v>4.6934919437848164</v>
      </c>
      <c r="T42" s="394">
        <f>'Economic Assumptions'!AR19</f>
        <v>3.0905829595373522</v>
      </c>
      <c r="U42" s="93"/>
      <c r="V42" s="160">
        <f t="shared" si="2"/>
        <v>2019</v>
      </c>
      <c r="W42" s="394">
        <f>'Economic Assumptions'!J19</f>
        <v>4.2904526989254386</v>
      </c>
      <c r="X42" s="394">
        <f>'Economic Assumptions'!T19</f>
        <v>4.6608356701345546</v>
      </c>
      <c r="Y42" s="394">
        <f>'Economic Assumptions'!AD19</f>
        <v>5.0616375373865665</v>
      </c>
      <c r="Z42" s="394">
        <f>'Economic Assumptions'!AN19</f>
        <v>3.9484716034502689</v>
      </c>
      <c r="AA42" s="394">
        <f>'Economic Assumptions'!AX19</f>
        <v>2.600000000000001</v>
      </c>
      <c r="AB42" s="93"/>
      <c r="AC42" s="93"/>
      <c r="AD42" s="93"/>
      <c r="AE42" s="93"/>
      <c r="AF42" s="93"/>
      <c r="AG42" s="93"/>
      <c r="AH42" s="93"/>
      <c r="AI42" s="93"/>
    </row>
    <row r="43" spans="1:35" x14ac:dyDescent="0.3">
      <c r="A43" s="160">
        <f>'Economic Assumptions'!A20</f>
        <v>2020</v>
      </c>
      <c r="B43" s="205">
        <f>'Economic Assumptions'!C20</f>
        <v>89</v>
      </c>
      <c r="C43" s="205">
        <f>'Economic Assumptions'!M20</f>
        <v>101.10248810609349</v>
      </c>
      <c r="D43" s="205">
        <f>'Economic Assumptions'!W20</f>
        <v>114.57081557793811</v>
      </c>
      <c r="E43" s="205">
        <f>'Economic Assumptions'!AG20</f>
        <v>78.144287821359256</v>
      </c>
      <c r="F43" s="205">
        <f>'Economic Assumptions'!AQ20</f>
        <v>126.71390134103142</v>
      </c>
      <c r="G43" s="228"/>
      <c r="H43" s="160">
        <f t="shared" si="0"/>
        <v>2020</v>
      </c>
      <c r="I43" s="205">
        <f>'Economic Assumptions'!I20</f>
        <v>73.046444802365201</v>
      </c>
      <c r="J43" s="205">
        <f>'Economic Assumptions'!S20</f>
        <v>82.979520413747679</v>
      </c>
      <c r="K43" s="205">
        <f>'Economic Assumptions'!AC20</f>
        <v>94.033604000851909</v>
      </c>
      <c r="L43" s="205">
        <f>'Economic Assumptions'!AM20</f>
        <v>64.136656258011897</v>
      </c>
      <c r="M43" s="205">
        <f>'Economic Assumptions'!AW20</f>
        <v>104.00000000000003</v>
      </c>
      <c r="N43" s="228"/>
      <c r="O43" s="160">
        <f t="shared" si="1"/>
        <v>2020</v>
      </c>
      <c r="P43" s="394">
        <f>'Economic Assumptions'!D20</f>
        <v>5.4</v>
      </c>
      <c r="Q43" s="394">
        <f>'Economic Assumptions'!N20</f>
        <v>5.9233729956967425</v>
      </c>
      <c r="R43" s="394">
        <f>'Economic Assumptions'!X20</f>
        <v>6.4971973238513741</v>
      </c>
      <c r="S43" s="394">
        <f>'Economic Assumptions'!AH20</f>
        <v>4.9230895646280448</v>
      </c>
      <c r="T43" s="394">
        <f>'Economic Assumptions'!AR20</f>
        <v>3.1678475335257859</v>
      </c>
      <c r="U43" s="93"/>
      <c r="V43" s="160">
        <f t="shared" si="2"/>
        <v>2020</v>
      </c>
      <c r="W43" s="394">
        <f>'Economic Assumptions'!J20</f>
        <v>4.4320314823906983</v>
      </c>
      <c r="X43" s="394">
        <f>'Economic Assumptions'!T20</f>
        <v>4.8615880738649748</v>
      </c>
      <c r="Y43" s="394">
        <f>'Economic Assumptions'!AD20</f>
        <v>5.332552423447015</v>
      </c>
      <c r="Z43" s="394">
        <f>'Economic Assumptions'!AN20</f>
        <v>4.0406088779741873</v>
      </c>
      <c r="AA43" s="394">
        <f>'Economic Assumptions'!AX20</f>
        <v>2.600000000000001</v>
      </c>
      <c r="AB43" s="93"/>
      <c r="AC43" s="93"/>
      <c r="AD43" s="93"/>
      <c r="AE43" s="93"/>
      <c r="AF43" s="93"/>
      <c r="AG43" s="93"/>
      <c r="AH43" s="93"/>
      <c r="AI43" s="93"/>
    </row>
    <row r="44" spans="1:35" x14ac:dyDescent="0.3">
      <c r="A44" s="160">
        <f>'Economic Assumptions'!A21</f>
        <v>2021</v>
      </c>
      <c r="B44" s="205">
        <f>'Economic Assumptions'!C21</f>
        <v>91.224999999999994</v>
      </c>
      <c r="C44" s="205">
        <f>'Economic Assumptions'!M21</f>
        <v>104.84402542768487</v>
      </c>
      <c r="D44" s="205">
        <f>'Economic Assumptions'!W21</f>
        <v>120.23294004527625</v>
      </c>
      <c r="E44" s="205">
        <f>'Economic Assumptions'!AG21</f>
        <v>79.197123504038856</v>
      </c>
      <c r="F44" s="205">
        <f>'Economic Assumptions'!AQ21</f>
        <v>129.88174887455719</v>
      </c>
      <c r="G44" s="228"/>
      <c r="H44" s="160">
        <f t="shared" si="0"/>
        <v>2021</v>
      </c>
      <c r="I44" s="205">
        <f>'Economic Assumptions'!I21</f>
        <v>73.046444802365215</v>
      </c>
      <c r="J44" s="205">
        <f>'Economic Assumptions'!S21</f>
        <v>83.951584721963911</v>
      </c>
      <c r="K44" s="205">
        <f>'Economic Assumptions'!AC21</f>
        <v>96.273925113108888</v>
      </c>
      <c r="L44" s="205">
        <f>'Economic Assumptions'!AM21</f>
        <v>63.415382960195942</v>
      </c>
      <c r="M44" s="205">
        <f>'Economic Assumptions'!AW21</f>
        <v>104.00000000000001</v>
      </c>
      <c r="N44" s="228"/>
      <c r="O44" s="160">
        <f t="shared" si="1"/>
        <v>2021</v>
      </c>
      <c r="P44" s="394">
        <f>'Economic Assumptions'!D21</f>
        <v>5.5350000000000001</v>
      </c>
      <c r="Q44" s="394">
        <f>'Economic Assumptions'!N21</f>
        <v>6.1472235906321933</v>
      </c>
      <c r="R44" s="394">
        <f>'Economic Assumptions'!X21</f>
        <v>6.8271132435669148</v>
      </c>
      <c r="S44" s="394">
        <f>'Economic Assumptions'!AH21</f>
        <v>4.9842432211586241</v>
      </c>
      <c r="T44" s="394">
        <f>'Economic Assumptions'!AR21</f>
        <v>3.2470437218639301</v>
      </c>
      <c r="U44" s="93"/>
      <c r="V44" s="160">
        <f t="shared" si="2"/>
        <v>2021</v>
      </c>
      <c r="W44" s="394">
        <f>'Economic Assumptions'!J21</f>
        <v>4.4320314823906983</v>
      </c>
      <c r="X44" s="394">
        <f>'Economic Assumptions'!T21</f>
        <v>4.9222562751538703</v>
      </c>
      <c r="Y44" s="394">
        <f>'Economic Assumptions'!AD21</f>
        <v>5.4666632031318958</v>
      </c>
      <c r="Z44" s="394">
        <f>'Economic Assumptions'!AN21</f>
        <v>3.9910249091359433</v>
      </c>
      <c r="AA44" s="394">
        <f>'Economic Assumptions'!AX21</f>
        <v>2.600000000000001</v>
      </c>
      <c r="AB44" s="93"/>
      <c r="AC44" s="93"/>
      <c r="AD44" s="93"/>
      <c r="AE44" s="93"/>
      <c r="AF44" s="93"/>
      <c r="AG44" s="93"/>
      <c r="AH44" s="93"/>
      <c r="AI44" s="93"/>
    </row>
    <row r="45" spans="1:35" x14ac:dyDescent="0.3">
      <c r="A45" s="160">
        <f>'Economic Assumptions'!A22</f>
        <v>2022</v>
      </c>
      <c r="B45" s="205">
        <f>'Economic Assumptions'!C22</f>
        <v>93.505624999999981</v>
      </c>
      <c r="C45" s="205">
        <f>'Economic Assumptions'!M22</f>
        <v>108.69731080910012</v>
      </c>
      <c r="D45" s="205">
        <f>'Economic Assumptions'!W22</f>
        <v>126.12055324663453</v>
      </c>
      <c r="E45" s="205">
        <f>'Economic Assumptions'!AG22</f>
        <v>80.289791651478254</v>
      </c>
      <c r="F45" s="205">
        <f>'Economic Assumptions'!AQ22</f>
        <v>133.12879259642111</v>
      </c>
      <c r="G45" s="228"/>
      <c r="H45" s="160">
        <f t="shared" si="0"/>
        <v>2022</v>
      </c>
      <c r="I45" s="205">
        <f>'Economic Assumptions'!I22</f>
        <v>73.046444802365201</v>
      </c>
      <c r="J45" s="205">
        <f>'Economic Assumptions'!S22</f>
        <v>84.914165475953652</v>
      </c>
      <c r="K45" s="205">
        <f>'Economic Assumptions'!AC22</f>
        <v>98.52517462103539</v>
      </c>
      <c r="L45" s="205">
        <f>'Economic Assumptions'!AM22</f>
        <v>62.722256913026463</v>
      </c>
      <c r="M45" s="205">
        <f>'Economic Assumptions'!AW22</f>
        <v>104.00000000000001</v>
      </c>
      <c r="N45" s="228"/>
      <c r="O45" s="160">
        <f t="shared" si="1"/>
        <v>2022</v>
      </c>
      <c r="P45" s="394">
        <f>'Economic Assumptions'!D22</f>
        <v>5.6733750000000001</v>
      </c>
      <c r="Q45" s="394">
        <f>'Economic Assumptions'!N22</f>
        <v>6.3778069444916756</v>
      </c>
      <c r="R45" s="394">
        <f>'Economic Assumptions'!X22</f>
        <v>7.1703016408739222</v>
      </c>
      <c r="S45" s="394">
        <f>'Economic Assumptions'!AH22</f>
        <v>5.0478545728412447</v>
      </c>
      <c r="T45" s="394">
        <f>'Economic Assumptions'!AR22</f>
        <v>3.3282198149105282</v>
      </c>
      <c r="U45" s="93"/>
      <c r="V45" s="160">
        <f t="shared" si="2"/>
        <v>2022</v>
      </c>
      <c r="W45" s="394">
        <f>'Economic Assumptions'!J22</f>
        <v>4.4320314823906992</v>
      </c>
      <c r="X45" s="394">
        <f>'Economic Assumptions'!T22</f>
        <v>4.9823325915521419</v>
      </c>
      <c r="Y45" s="394">
        <f>'Economic Assumptions'!AD22</f>
        <v>5.6014281817420688</v>
      </c>
      <c r="Z45" s="394">
        <f>'Economic Assumptions'!AN22</f>
        <v>3.9433759244474849</v>
      </c>
      <c r="AA45" s="394">
        <f>'Economic Assumptions'!AX22</f>
        <v>2.600000000000001</v>
      </c>
      <c r="AB45" s="93"/>
      <c r="AC45" s="93"/>
      <c r="AD45" s="93"/>
      <c r="AE45" s="93"/>
      <c r="AF45" s="93"/>
      <c r="AG45" s="93"/>
      <c r="AH45" s="93"/>
      <c r="AI45" s="93"/>
    </row>
    <row r="46" spans="1:35" x14ac:dyDescent="0.3">
      <c r="A46" s="160">
        <f>'Economic Assumptions'!A23</f>
        <v>2023</v>
      </c>
      <c r="B46" s="205">
        <f>'Economic Assumptions'!C23</f>
        <v>95.843265624999972</v>
      </c>
      <c r="C46" s="205">
        <f>'Economic Assumptions'!M23</f>
        <v>112.6654110962366</v>
      </c>
      <c r="D46" s="205">
        <f>'Economic Assumptions'!W23</f>
        <v>132.24181046903357</v>
      </c>
      <c r="E46" s="205">
        <f>'Economic Assumptions'!AG23</f>
        <v>81.423085401706075</v>
      </c>
      <c r="F46" s="205">
        <f>'Economic Assumptions'!AQ23</f>
        <v>136.45701241133162</v>
      </c>
      <c r="G46" s="228"/>
      <c r="H46" s="160">
        <f t="shared" si="0"/>
        <v>2023</v>
      </c>
      <c r="I46" s="205">
        <f>'Economic Assumptions'!I23</f>
        <v>73.046444802365201</v>
      </c>
      <c r="J46" s="205">
        <f>'Economic Assumptions'!S23</f>
        <v>85.867355198197146</v>
      </c>
      <c r="K46" s="205">
        <f>'Economic Assumptions'!AC23</f>
        <v>100.78740583387864</v>
      </c>
      <c r="L46" s="205">
        <f>'Economic Assumptions'!AM23</f>
        <v>62.056179687209948</v>
      </c>
      <c r="M46" s="205">
        <f>'Economic Assumptions'!AW23</f>
        <v>104.00000000000001</v>
      </c>
      <c r="N46" s="228"/>
      <c r="O46" s="160">
        <f t="shared" si="1"/>
        <v>2023</v>
      </c>
      <c r="P46" s="394">
        <f>'Economic Assumptions'!D23</f>
        <v>5.8152093749999993</v>
      </c>
      <c r="Q46" s="394">
        <f>'Economic Assumptions'!N23</f>
        <v>6.6153084236590498</v>
      </c>
      <c r="R46" s="394">
        <f>'Economic Assumptions'!X23</f>
        <v>7.5272450651001392</v>
      </c>
      <c r="S46" s="394">
        <f>'Economic Assumptions'!AH23</f>
        <v>5.1139711292486254</v>
      </c>
      <c r="T46" s="394">
        <f>'Economic Assumptions'!AR23</f>
        <v>3.411425310283291</v>
      </c>
      <c r="U46" s="93"/>
      <c r="V46" s="160">
        <f t="shared" si="2"/>
        <v>2023</v>
      </c>
      <c r="W46" s="394">
        <f>'Economic Assumptions'!J23</f>
        <v>4.4320314823906983</v>
      </c>
      <c r="X46" s="394">
        <f>'Economic Assumptions'!T23</f>
        <v>5.0418227975465282</v>
      </c>
      <c r="Y46" s="394">
        <f>'Economic Assumptions'!AD23</f>
        <v>5.7368505504918028</v>
      </c>
      <c r="Z46" s="394">
        <f>'Economic Assumptions'!AN23</f>
        <v>3.8975864123322341</v>
      </c>
      <c r="AA46" s="394">
        <f>'Economic Assumptions'!AX23</f>
        <v>2.600000000000001</v>
      </c>
      <c r="AB46" s="93"/>
      <c r="AC46" s="93"/>
      <c r="AD46" s="93"/>
      <c r="AE46" s="93"/>
      <c r="AF46" s="93"/>
      <c r="AG46" s="93"/>
      <c r="AH46" s="93"/>
      <c r="AI46" s="93"/>
    </row>
    <row r="47" spans="1:35" x14ac:dyDescent="0.3">
      <c r="A47" s="160">
        <f>'Economic Assumptions'!A24</f>
        <v>2024</v>
      </c>
      <c r="B47" s="205">
        <f>'Economic Assumptions'!C24</f>
        <v>98.239347265624957</v>
      </c>
      <c r="C47" s="205">
        <f>'Economic Assumptions'!M24</f>
        <v>116.75147390330513</v>
      </c>
      <c r="D47" s="205">
        <f>'Economic Assumptions'!W24</f>
        <v>138.60514642372954</v>
      </c>
      <c r="E47" s="205">
        <f>'Economic Assumptions'!AG24</f>
        <v>82.597820761305471</v>
      </c>
      <c r="F47" s="205">
        <f>'Economic Assumptions'!AQ24</f>
        <v>139.8684377216149</v>
      </c>
      <c r="G47" s="228"/>
      <c r="H47" s="160">
        <f t="shared" si="0"/>
        <v>2024</v>
      </c>
      <c r="I47" s="205">
        <f>'Economic Assumptions'!I24</f>
        <v>73.046444802365201</v>
      </c>
      <c r="J47" s="205">
        <f>'Economic Assumptions'!S24</f>
        <v>86.811245508516308</v>
      </c>
      <c r="K47" s="205">
        <f>'Economic Assumptions'!AC24</f>
        <v>103.06067232093083</v>
      </c>
      <c r="L47" s="205">
        <f>'Economic Assumptions'!AM24</f>
        <v>61.41609571898627</v>
      </c>
      <c r="M47" s="205">
        <f>'Economic Assumptions'!AW24</f>
        <v>104.00000000000001</v>
      </c>
      <c r="N47" s="228"/>
      <c r="O47" s="160">
        <f t="shared" si="1"/>
        <v>2024</v>
      </c>
      <c r="P47" s="394">
        <f>'Economic Assumptions'!D24</f>
        <v>5.960589609374999</v>
      </c>
      <c r="Q47" s="394">
        <f>'Economic Assumptions'!N24</f>
        <v>6.859918284388935</v>
      </c>
      <c r="R47" s="394">
        <f>'Economic Assumptions'!X24</f>
        <v>7.8984426514281436</v>
      </c>
      <c r="S47" s="394">
        <f>'Economic Assumptions'!AH24</f>
        <v>5.1826417966848952</v>
      </c>
      <c r="T47" s="394">
        <f>'Economic Assumptions'!AR24</f>
        <v>3.4967109430403731</v>
      </c>
      <c r="U47" s="93"/>
      <c r="V47" s="160">
        <f t="shared" si="2"/>
        <v>2024</v>
      </c>
      <c r="W47" s="394">
        <f>'Economic Assumptions'!J24</f>
        <v>4.4320314823906992</v>
      </c>
      <c r="X47" s="394">
        <f>'Economic Assumptions'!T24</f>
        <v>5.1007326112873113</v>
      </c>
      <c r="Y47" s="394">
        <f>'Economic Assumptions'!AD24</f>
        <v>5.8729335161622691</v>
      </c>
      <c r="Z47" s="394">
        <f>'Economic Assumptions'!AN24</f>
        <v>3.8535838080068467</v>
      </c>
      <c r="AA47" s="394">
        <f>'Economic Assumptions'!AX24</f>
        <v>2.600000000000001</v>
      </c>
      <c r="AB47" s="93"/>
      <c r="AC47" s="93"/>
      <c r="AD47" s="93"/>
      <c r="AE47" s="93"/>
      <c r="AF47" s="93"/>
      <c r="AG47" s="93"/>
      <c r="AH47" s="93"/>
      <c r="AI47" s="93"/>
    </row>
    <row r="48" spans="1:35" x14ac:dyDescent="0.3">
      <c r="A48" s="160">
        <f>'Economic Assumptions'!A25</f>
        <v>2025</v>
      </c>
      <c r="B48" s="205">
        <f>'Economic Assumptions'!C25</f>
        <v>100.69533094726557</v>
      </c>
      <c r="C48" s="205">
        <f>'Economic Assumptions'!M25</f>
        <v>120.95872969349531</v>
      </c>
      <c r="D48" s="205">
        <f>'Economic Assumptions'!W25</f>
        <v>145.21928449808203</v>
      </c>
      <c r="E48" s="205">
        <f>'Economic Assumptions'!AG25</f>
        <v>83.814837131526502</v>
      </c>
      <c r="F48" s="205">
        <f>'Economic Assumptions'!AQ25</f>
        <v>143.36514866465527</v>
      </c>
      <c r="G48" s="228"/>
      <c r="H48" s="160">
        <f t="shared" si="0"/>
        <v>2025</v>
      </c>
      <c r="I48" s="205">
        <f>'Economic Assumptions'!I25</f>
        <v>73.046444802365201</v>
      </c>
      <c r="J48" s="205">
        <f>'Economic Assumptions'!S25</f>
        <v>87.745927132881164</v>
      </c>
      <c r="K48" s="205">
        <f>'Economic Assumptions'!AC25</f>
        <v>105.34502791279795</v>
      </c>
      <c r="L48" s="205">
        <f>'Economic Assumptions'!AM25</f>
        <v>60.800990637327423</v>
      </c>
      <c r="M48" s="205">
        <f>'Economic Assumptions'!AW25</f>
        <v>104.00000000000003</v>
      </c>
      <c r="N48" s="228"/>
      <c r="O48" s="160">
        <f t="shared" si="1"/>
        <v>2025</v>
      </c>
      <c r="P48" s="394">
        <f>'Economic Assumptions'!D25</f>
        <v>6.1096043496093735</v>
      </c>
      <c r="Q48" s="394">
        <f>'Economic Assumptions'!N25</f>
        <v>7.1118317988891429</v>
      </c>
      <c r="R48" s="394">
        <f>'Economic Assumptions'!X25</f>
        <v>8.2844106712053627</v>
      </c>
      <c r="S48" s="394">
        <f>'Economic Assumptions'!AH25</f>
        <v>5.2539169099689964</v>
      </c>
      <c r="T48" s="394">
        <f>'Economic Assumptions'!AR25</f>
        <v>3.584128716616382</v>
      </c>
      <c r="U48" s="93"/>
      <c r="V48" s="160">
        <f t="shared" si="2"/>
        <v>2025</v>
      </c>
      <c r="W48" s="394">
        <f>'Economic Assumptions'!J25</f>
        <v>4.4320314823906992</v>
      </c>
      <c r="X48" s="394">
        <f>'Economic Assumptions'!T25</f>
        <v>5.1590676951379395</v>
      </c>
      <c r="Y48" s="394">
        <f>'Economic Assumptions'!AD25</f>
        <v>6.0096803011774682</v>
      </c>
      <c r="Z48" s="394">
        <f>'Economic Assumptions'!AN25</f>
        <v>3.8112983784844015</v>
      </c>
      <c r="AA48" s="394">
        <f>'Economic Assumptions'!AX25</f>
        <v>2.600000000000001</v>
      </c>
      <c r="AB48" s="93"/>
      <c r="AC48" s="93"/>
      <c r="AD48" s="93"/>
      <c r="AE48" s="93"/>
      <c r="AF48" s="93"/>
      <c r="AG48" s="93"/>
      <c r="AH48" s="93"/>
      <c r="AI48" s="93"/>
    </row>
    <row r="49" spans="1:35" x14ac:dyDescent="0.3">
      <c r="A49" s="160">
        <f>'Economic Assumptions'!A26</f>
        <v>2026</v>
      </c>
      <c r="B49" s="205">
        <f>'Economic Assumptions'!C26</f>
        <v>103.21271422094721</v>
      </c>
      <c r="C49" s="205">
        <f>'Economic Assumptions'!M26</f>
        <v>125.29049391257936</v>
      </c>
      <c r="D49" s="205">
        <f>'Economic Assumptions'!W26</f>
        <v>152.09324630670613</v>
      </c>
      <c r="E49" s="205">
        <f>'Economic Assumptions'!AG26</f>
        <v>85.074997848235228</v>
      </c>
      <c r="F49" s="205">
        <f>'Economic Assumptions'!AQ26</f>
        <v>146.94927738127163</v>
      </c>
      <c r="G49" s="228"/>
      <c r="H49" s="160">
        <f t="shared" si="0"/>
        <v>2026</v>
      </c>
      <c r="I49" s="205">
        <f>'Economic Assumptions'!I26</f>
        <v>73.046444802365201</v>
      </c>
      <c r="J49" s="205">
        <f>'Economic Assumptions'!S26</f>
        <v>88.671489912130241</v>
      </c>
      <c r="K49" s="205">
        <f>'Economic Assumptions'!AC26</f>
        <v>107.64052670267417</v>
      </c>
      <c r="L49" s="205">
        <f>'Economic Assumptions'!AM26</f>
        <v>60.209889656416223</v>
      </c>
      <c r="M49" s="205">
        <f>'Economic Assumptions'!AW26</f>
        <v>104.00000000000001</v>
      </c>
      <c r="N49" s="228"/>
      <c r="O49" s="160">
        <f t="shared" si="1"/>
        <v>2026</v>
      </c>
      <c r="P49" s="394">
        <f>'Economic Assumptions'!D26</f>
        <v>6.2623444583496068</v>
      </c>
      <c r="Q49" s="394">
        <f>'Economic Assumptions'!N26</f>
        <v>7.371249384612713</v>
      </c>
      <c r="R49" s="394">
        <f>'Economic Assumptions'!X26</f>
        <v>8.6856831000817571</v>
      </c>
      <c r="S49" s="394">
        <f>'Economic Assumptions'!AH26</f>
        <v>5.3278482650596946</v>
      </c>
      <c r="T49" s="394">
        <f>'Economic Assumptions'!AR26</f>
        <v>3.6737319345317911</v>
      </c>
      <c r="U49" s="93"/>
      <c r="V49" s="160">
        <f t="shared" si="2"/>
        <v>2026</v>
      </c>
      <c r="W49" s="394">
        <f>'Economic Assumptions'!J26</f>
        <v>4.4320314823906983</v>
      </c>
      <c r="X49" s="394">
        <f>'Economic Assumptions'!T26</f>
        <v>5.2168336562192925</v>
      </c>
      <c r="Y49" s="394">
        <f>'Economic Assumptions'!AD26</f>
        <v>6.1470941436805457</v>
      </c>
      <c r="Z49" s="394">
        <f>'Economic Assumptions'!AN26</f>
        <v>3.7706631120652707</v>
      </c>
      <c r="AA49" s="394">
        <f>'Economic Assumptions'!AX26</f>
        <v>2.600000000000001</v>
      </c>
      <c r="AB49" s="93"/>
      <c r="AC49" s="93"/>
      <c r="AD49" s="93"/>
      <c r="AE49" s="93"/>
      <c r="AF49" s="93"/>
      <c r="AG49" s="93"/>
      <c r="AH49" s="93"/>
      <c r="AI49" s="93"/>
    </row>
    <row r="50" spans="1:35" x14ac:dyDescent="0.3">
      <c r="A50" s="160">
        <f>'Economic Assumptions'!A27</f>
        <v>2027</v>
      </c>
      <c r="B50" s="205">
        <f>'Economic Assumptions'!C27</f>
        <v>105.79303207647088</v>
      </c>
      <c r="C50" s="205">
        <f>'Economic Assumptions'!M27</f>
        <v>129.7501691767917</v>
      </c>
      <c r="D50" s="205">
        <f>'Economic Assumptions'!W27</f>
        <v>159.236361551431</v>
      </c>
      <c r="E50" s="205">
        <f>'Economic Assumptions'!AG27</f>
        <v>86.379190736035369</v>
      </c>
      <c r="F50" s="205">
        <f>'Economic Assumptions'!AQ27</f>
        <v>150.62300931580342</v>
      </c>
      <c r="G50" s="228"/>
      <c r="H50" s="160">
        <f t="shared" si="0"/>
        <v>2027</v>
      </c>
      <c r="I50" s="205">
        <f>'Economic Assumptions'!I27</f>
        <v>73.046444802365215</v>
      </c>
      <c r="J50" s="205">
        <f>'Economic Assumptions'!S27</f>
        <v>89.588022810606162</v>
      </c>
      <c r="K50" s="205">
        <f>'Economic Assumptions'!AC27</f>
        <v>109.94722304762297</v>
      </c>
      <c r="L50" s="205">
        <f>'Economic Assumptions'!AM27</f>
        <v>59.641856030857674</v>
      </c>
      <c r="M50" s="205">
        <f>'Economic Assumptions'!AW27</f>
        <v>104.00000000000003</v>
      </c>
      <c r="N50" s="228"/>
      <c r="O50" s="160">
        <f t="shared" si="1"/>
        <v>2027</v>
      </c>
      <c r="P50" s="394">
        <f>'Economic Assumptions'!D27</f>
        <v>6.418903069808346</v>
      </c>
      <c r="Q50" s="394">
        <f>'Economic Assumptions'!N27</f>
        <v>7.6383767368406419</v>
      </c>
      <c r="R50" s="394">
        <f>'Economic Assumptions'!X27</f>
        <v>9.1028122045429498</v>
      </c>
      <c r="S50" s="394">
        <f>'Economic Assumptions'!AH27</f>
        <v>5.4044891525425385</v>
      </c>
      <c r="T50" s="394">
        <f>'Economic Assumptions'!AR27</f>
        <v>3.7655752328950856</v>
      </c>
      <c r="U50" s="93"/>
      <c r="V50" s="160">
        <f t="shared" si="2"/>
        <v>2027</v>
      </c>
      <c r="W50" s="394">
        <f>'Economic Assumptions'!J27</f>
        <v>4.4320314823906983</v>
      </c>
      <c r="X50" s="394">
        <f>'Economic Assumptions'!T27</f>
        <v>5.2740360469486331</v>
      </c>
      <c r="Y50" s="394">
        <f>'Economic Assumptions'!AD27</f>
        <v>6.2851782976104689</v>
      </c>
      <c r="Z50" s="394">
        <f>'Economic Assumptions'!AN27</f>
        <v>3.7316136121405452</v>
      </c>
      <c r="AA50" s="394">
        <f>'Economic Assumptions'!AX27</f>
        <v>2.600000000000001</v>
      </c>
      <c r="AB50" s="93"/>
      <c r="AC50" s="93"/>
      <c r="AD50" s="93"/>
      <c r="AE50" s="93"/>
      <c r="AF50" s="93"/>
      <c r="AG50" s="93"/>
      <c r="AH50" s="93"/>
      <c r="AI50" s="93"/>
    </row>
    <row r="51" spans="1:35" x14ac:dyDescent="0.3">
      <c r="A51" s="160">
        <f>'Economic Assumptions'!A28</f>
        <v>2028</v>
      </c>
      <c r="B51" s="205">
        <f>'Economic Assumptions'!C28</f>
        <v>108.43785787838264</v>
      </c>
      <c r="C51" s="205">
        <f>'Economic Assumptions'!M28</f>
        <v>134.34124751635534</v>
      </c>
      <c r="D51" s="205">
        <f>'Economic Assumptions'!W28</f>
        <v>166.6582781998857</v>
      </c>
      <c r="E51" s="205">
        <f>'Economic Assumptions'!AG28</f>
        <v>87.7283286769066</v>
      </c>
      <c r="F51" s="205">
        <f>'Economic Assumptions'!AQ28</f>
        <v>154.38858454869847</v>
      </c>
      <c r="G51" s="228"/>
      <c r="H51" s="160">
        <f t="shared" si="0"/>
        <v>2028</v>
      </c>
      <c r="I51" s="205">
        <f>'Economic Assumptions'!I28</f>
        <v>73.046444802365215</v>
      </c>
      <c r="J51" s="205">
        <f>'Economic Assumptions'!S28</f>
        <v>90.495613924706717</v>
      </c>
      <c r="K51" s="205">
        <f>'Economic Assumptions'!AC28</f>
        <v>112.26517156986418</v>
      </c>
      <c r="L51" s="205">
        <f>'Economic Assumptions'!AM28</f>
        <v>59.09598957117457</v>
      </c>
      <c r="M51" s="205">
        <f>'Economic Assumptions'!AW28</f>
        <v>104.00000000000003</v>
      </c>
      <c r="N51" s="228"/>
      <c r="O51" s="160">
        <f t="shared" si="1"/>
        <v>2028</v>
      </c>
      <c r="P51" s="394">
        <f>'Economic Assumptions'!D28</f>
        <v>6.5793756465535544</v>
      </c>
      <c r="Q51" s="394">
        <f>'Economic Assumptions'!N28</f>
        <v>7.9134249646384589</v>
      </c>
      <c r="R51" s="394">
        <f>'Economic Assumptions'!X28</f>
        <v>9.5363691474244465</v>
      </c>
      <c r="S51" s="394">
        <f>'Economic Assumptions'!AH28</f>
        <v>5.483894391999609</v>
      </c>
      <c r="T51" s="394">
        <f>'Economic Assumptions'!AR28</f>
        <v>3.8597146137174625</v>
      </c>
      <c r="U51" s="93"/>
      <c r="V51" s="160">
        <f t="shared" si="2"/>
        <v>2028</v>
      </c>
      <c r="W51" s="394">
        <f>'Economic Assumptions'!J28</f>
        <v>4.4320314823906983</v>
      </c>
      <c r="X51" s="394">
        <f>'Economic Assumptions'!T28</f>
        <v>5.3306803655732971</v>
      </c>
      <c r="Y51" s="394">
        <f>'Economic Assumptions'!AD28</f>
        <v>6.423936032779074</v>
      </c>
      <c r="Z51" s="394">
        <f>'Economic Assumptions'!AN28</f>
        <v>3.6940879951397121</v>
      </c>
      <c r="AA51" s="394">
        <f>'Economic Assumptions'!AX28</f>
        <v>2.600000000000001</v>
      </c>
      <c r="AB51" s="93"/>
      <c r="AC51" s="93"/>
      <c r="AD51" s="93"/>
      <c r="AE51" s="93"/>
      <c r="AF51" s="93"/>
      <c r="AG51" s="93"/>
      <c r="AH51" s="93"/>
      <c r="AI51" s="93"/>
    </row>
    <row r="52" spans="1:35" x14ac:dyDescent="0.3">
      <c r="A52" s="160">
        <f>'Economic Assumptions'!A29</f>
        <v>2029</v>
      </c>
      <c r="B52" s="205">
        <f>'Economic Assumptions'!C29</f>
        <v>111.1488043253422</v>
      </c>
      <c r="C52" s="205">
        <f>'Economic Assumptions'!M29</f>
        <v>139.0673126760602</v>
      </c>
      <c r="D52" s="205">
        <f>'Economic Assumptions'!W29</f>
        <v>174.36897299284183</v>
      </c>
      <c r="E52" s="205">
        <f>'Economic Assumptions'!AG29</f>
        <v>89.123350193712554</v>
      </c>
      <c r="F52" s="205">
        <f>'Economic Assumptions'!AQ29</f>
        <v>158.24829916241592</v>
      </c>
      <c r="G52" s="228"/>
      <c r="H52" s="160">
        <f t="shared" si="0"/>
        <v>2029</v>
      </c>
      <c r="I52" s="205">
        <f>'Economic Assumptions'!I29</f>
        <v>73.046444802365215</v>
      </c>
      <c r="J52" s="205">
        <f>'Economic Assumptions'!S29</f>
        <v>91.394350491352625</v>
      </c>
      <c r="K52" s="205">
        <f>'Economic Assumptions'!AC29</f>
        <v>114.59442715806756</v>
      </c>
      <c r="L52" s="205">
        <f>'Economic Assumptions'!AM29</f>
        <v>58.571425217235202</v>
      </c>
      <c r="M52" s="205">
        <f>'Economic Assumptions'!AW29</f>
        <v>104.00000000000003</v>
      </c>
      <c r="N52" s="228"/>
      <c r="O52" s="160">
        <f t="shared" si="1"/>
        <v>2029</v>
      </c>
      <c r="P52" s="394">
        <f>'Economic Assumptions'!D29</f>
        <v>6.7438600377173925</v>
      </c>
      <c r="Q52" s="394">
        <f>'Economic Assumptions'!N29</f>
        <v>8.1966107302718747</v>
      </c>
      <c r="R52" s="394">
        <f>'Economic Assumptions'!X29</f>
        <v>9.9869446130110191</v>
      </c>
      <c r="S52" s="394">
        <f>'Economic Assumptions'!AH29</f>
        <v>5.5661203672834532</v>
      </c>
      <c r="T52" s="394">
        <f>'Economic Assumptions'!AR29</f>
        <v>3.9562074790603989</v>
      </c>
      <c r="U52" s="93"/>
      <c r="V52" s="160">
        <f t="shared" si="2"/>
        <v>2029</v>
      </c>
      <c r="W52" s="394">
        <f>'Economic Assumptions'!J29</f>
        <v>4.4320314823906983</v>
      </c>
      <c r="X52" s="394">
        <f>'Economic Assumptions'!T29</f>
        <v>5.3867720566991855</v>
      </c>
      <c r="Y52" s="394">
        <f>'Economic Assumptions'!AD29</f>
        <v>6.5633706349485017</v>
      </c>
      <c r="Z52" s="394">
        <f>'Economic Assumptions'!AN29</f>
        <v>3.6580267924608623</v>
      </c>
      <c r="AA52" s="394">
        <f>'Economic Assumptions'!AX29</f>
        <v>2.6000000000000014</v>
      </c>
      <c r="AB52" s="93"/>
      <c r="AC52" s="93"/>
      <c r="AD52" s="93"/>
      <c r="AE52" s="93"/>
      <c r="AF52" s="93"/>
      <c r="AG52" s="93"/>
      <c r="AH52" s="93"/>
      <c r="AI52" s="93"/>
    </row>
    <row r="53" spans="1:35" x14ac:dyDescent="0.3">
      <c r="A53" s="160">
        <f>'Economic Assumptions'!A30</f>
        <v>2030</v>
      </c>
      <c r="B53" s="205">
        <f>'Economic Assumptions'!C30</f>
        <v>113.92752443347574</v>
      </c>
      <c r="C53" s="205">
        <f>'Economic Assumptions'!M30</f>
        <v>143.93204247433462</v>
      </c>
      <c r="D53" s="205">
        <f>'Economic Assumptions'!W30</f>
        <v>182.37876229076065</v>
      </c>
      <c r="E53" s="205">
        <f>'Economic Assumptions'!AG30</f>
        <v>90.565220048940404</v>
      </c>
      <c r="F53" s="205">
        <f>'Economic Assumptions'!AQ30</f>
        <v>162.20450664147631</v>
      </c>
      <c r="G53" s="228"/>
      <c r="H53" s="160">
        <f t="shared" si="0"/>
        <v>2030</v>
      </c>
      <c r="I53" s="205">
        <f>'Economic Assumptions'!I30</f>
        <v>73.046444802365215</v>
      </c>
      <c r="J53" s="205">
        <f>'Economic Assumptions'!S30</f>
        <v>92.28431889637271</v>
      </c>
      <c r="K53" s="205">
        <f>'Economic Assumptions'!AC30</f>
        <v>116.93504496865243</v>
      </c>
      <c r="L53" s="205">
        <f>'Economic Assumptions'!AM30</f>
        <v>58.067331667352001</v>
      </c>
      <c r="M53" s="205">
        <f>'Economic Assumptions'!AW30</f>
        <v>104.00000000000004</v>
      </c>
      <c r="N53" s="228"/>
      <c r="O53" s="160">
        <f t="shared" si="1"/>
        <v>2030</v>
      </c>
      <c r="P53" s="394">
        <f>'Economic Assumptions'!D30</f>
        <v>6.9124565386603267</v>
      </c>
      <c r="Q53" s="394">
        <f>'Economic Assumptions'!N30</f>
        <v>8.4881563921688858</v>
      </c>
      <c r="R53" s="394">
        <f>'Economic Assumptions'!X30</f>
        <v>10.455149452344283</v>
      </c>
      <c r="S53" s="394">
        <f>'Economic Assumptions'!AH30</f>
        <v>5.6512250627171356</v>
      </c>
      <c r="T53" s="394">
        <f>'Economic Assumptions'!AR30</f>
        <v>4.0551126660369086</v>
      </c>
      <c r="U53" s="93"/>
      <c r="V53" s="160">
        <f t="shared" si="2"/>
        <v>2030</v>
      </c>
      <c r="W53" s="394">
        <f>'Economic Assumptions'!J30</f>
        <v>4.4320314823906992</v>
      </c>
      <c r="X53" s="394">
        <f>'Economic Assumptions'!T30</f>
        <v>5.4423165118140879</v>
      </c>
      <c r="Y53" s="394">
        <f>'Economic Assumptions'!AD30</f>
        <v>6.7034854059089994</v>
      </c>
      <c r="Z53" s="394">
        <f>'Economic Assumptions'!AN30</f>
        <v>3.6233728562280167</v>
      </c>
      <c r="AA53" s="394">
        <f>'Economic Assumptions'!AX30</f>
        <v>2.6000000000000014</v>
      </c>
      <c r="AB53" s="93"/>
      <c r="AC53" s="93"/>
      <c r="AD53" s="93"/>
      <c r="AE53" s="93"/>
      <c r="AF53" s="93"/>
      <c r="AG53" s="93"/>
      <c r="AH53" s="93"/>
      <c r="AI53" s="93"/>
    </row>
    <row r="54" spans="1:35" x14ac:dyDescent="0.3">
      <c r="A54" s="160">
        <f>'Economic Assumptions'!A31</f>
        <v>2031</v>
      </c>
      <c r="B54" s="205">
        <f>'Economic Assumptions'!C31</f>
        <v>116.77571254431263</v>
      </c>
      <c r="C54" s="205">
        <f>'Economic Assumptions'!M31</f>
        <v>148.93921122228653</v>
      </c>
      <c r="D54" s="205">
        <f>'Economic Assumptions'!W31</f>
        <v>190.69831327032034</v>
      </c>
      <c r="E54" s="205">
        <f>'Economic Assumptions'!AG31</f>
        <v>92.054929859043185</v>
      </c>
      <c r="F54" s="205">
        <f>'Economic Assumptions'!AQ31</f>
        <v>166.25961930751322</v>
      </c>
      <c r="G54" s="228"/>
      <c r="H54" s="160">
        <f t="shared" si="0"/>
        <v>2031</v>
      </c>
      <c r="I54" s="205">
        <f>'Economic Assumptions'!I31</f>
        <v>73.046444802365215</v>
      </c>
      <c r="J54" s="205">
        <f>'Economic Assumptions'!S31</f>
        <v>93.165604682807256</v>
      </c>
      <c r="K54" s="205">
        <f>'Economic Assumptions'!AC31</f>
        <v>119.28708042709378</v>
      </c>
      <c r="L54" s="205">
        <f>'Economic Assumptions'!AM31</f>
        <v>57.582910060878881</v>
      </c>
      <c r="M54" s="205">
        <f>'Economic Assumptions'!AW31</f>
        <v>104.00000000000004</v>
      </c>
      <c r="N54" s="228"/>
      <c r="O54" s="160">
        <f t="shared" si="1"/>
        <v>2031</v>
      </c>
      <c r="P54" s="394">
        <f>'Economic Assumptions'!D31</f>
        <v>7.0852679521268342</v>
      </c>
      <c r="Q54" s="394">
        <f>'Economic Assumptions'!N31</f>
        <v>8.788290151517927</v>
      </c>
      <c r="R54" s="394">
        <f>'Economic Assumptions'!X31</f>
        <v>10.94161534938112</v>
      </c>
      <c r="S54" s="394">
        <f>'Economic Assumptions'!AH31</f>
        <v>5.739268100242886</v>
      </c>
      <c r="T54" s="394">
        <f>'Economic Assumptions'!AR31</f>
        <v>4.1564904826878308</v>
      </c>
      <c r="U54" s="93"/>
      <c r="V54" s="160">
        <f t="shared" si="2"/>
        <v>2031</v>
      </c>
      <c r="W54" s="394">
        <f>'Economic Assumptions'!J31</f>
        <v>4.4320314823906992</v>
      </c>
      <c r="X54" s="394">
        <f>'Economic Assumptions'!T31</f>
        <v>5.4973190698059193</v>
      </c>
      <c r="Y54" s="394">
        <f>'Economic Assumptions'!AD31</f>
        <v>6.8442836635571096</v>
      </c>
      <c r="Z54" s="394">
        <f>'Economic Assumptions'!AN31</f>
        <v>3.5900712687262084</v>
      </c>
      <c r="AA54" s="394">
        <f>'Economic Assumptions'!AX31</f>
        <v>2.6000000000000014</v>
      </c>
      <c r="AB54" s="93"/>
      <c r="AC54" s="93"/>
      <c r="AD54" s="93"/>
      <c r="AE54" s="93"/>
      <c r="AF54" s="93"/>
      <c r="AG54" s="93"/>
      <c r="AH54" s="93"/>
      <c r="AI54" s="93"/>
    </row>
    <row r="55" spans="1:35" x14ac:dyDescent="0.3">
      <c r="A55" s="160">
        <f>'Economic Assumptions'!A32</f>
        <v>2032</v>
      </c>
      <c r="B55" s="205">
        <f>'Economic Assumptions'!C32</f>
        <v>119.69510535792043</v>
      </c>
      <c r="C55" s="205">
        <f>'Economic Assumptions'!M32</f>
        <v>154.09269220422863</v>
      </c>
      <c r="D55" s="205">
        <f>'Economic Assumptions'!W32</f>
        <v>199.33865548203775</v>
      </c>
      <c r="E55" s="205">
        <f>'Economic Assumptions'!AG32</f>
        <v>93.59349872476534</v>
      </c>
      <c r="F55" s="205">
        <f>'Economic Assumptions'!AQ32</f>
        <v>170.41610979020103</v>
      </c>
      <c r="G55" s="228"/>
      <c r="H55" s="160">
        <f t="shared" si="0"/>
        <v>2032</v>
      </c>
      <c r="I55" s="205">
        <f>'Economic Assumptions'!I32</f>
        <v>73.046444802365215</v>
      </c>
      <c r="J55" s="205">
        <f>'Economic Assumptions'!S32</f>
        <v>94.038292559130241</v>
      </c>
      <c r="K55" s="205">
        <f>'Economic Assumptions'!AC32</f>
        <v>121.65058922923485</v>
      </c>
      <c r="L55" s="205">
        <f>'Economic Assumptions'!AM32</f>
        <v>57.117392712219342</v>
      </c>
      <c r="M55" s="205">
        <f>'Economic Assumptions'!AW32</f>
        <v>104.00000000000004</v>
      </c>
      <c r="N55" s="228"/>
      <c r="O55" s="160">
        <f t="shared" si="1"/>
        <v>2032</v>
      </c>
      <c r="P55" s="394">
        <f>'Economic Assumptions'!D32</f>
        <v>7.2623996509300044</v>
      </c>
      <c r="Q55" s="394">
        <f>'Economic Assumptions'!N32</f>
        <v>9.0972462025938654</v>
      </c>
      <c r="R55" s="394">
        <f>'Economic Assumptions'!X32</f>
        <v>11.446995508665726</v>
      </c>
      <c r="S55" s="394">
        <f>'Economic Assumptions'!AH32</f>
        <v>5.8303107775424126</v>
      </c>
      <c r="T55" s="394">
        <f>'Economic Assumptions'!AR32</f>
        <v>4.2604027447550266</v>
      </c>
      <c r="U55" s="93"/>
      <c r="V55" s="160">
        <f t="shared" si="2"/>
        <v>2032</v>
      </c>
      <c r="W55" s="394">
        <f>'Economic Assumptions'!J32</f>
        <v>4.4320314823906992</v>
      </c>
      <c r="X55" s="394">
        <f>'Economic Assumptions'!T32</f>
        <v>5.5517850174758783</v>
      </c>
      <c r="Y55" s="394">
        <f>'Economic Assumptions'!AD32</f>
        <v>6.985768741974236</v>
      </c>
      <c r="Z55" s="394">
        <f>'Economic Assumptions'!AN32</f>
        <v>3.5580692553708122</v>
      </c>
      <c r="AA55" s="394">
        <f>'Economic Assumptions'!AX32</f>
        <v>2.6000000000000014</v>
      </c>
      <c r="AB55" s="93"/>
      <c r="AC55" s="93"/>
      <c r="AD55" s="93"/>
      <c r="AE55" s="93"/>
      <c r="AF55" s="93"/>
      <c r="AG55" s="93"/>
      <c r="AH55" s="93"/>
      <c r="AI55" s="93"/>
    </row>
    <row r="56" spans="1:35" x14ac:dyDescent="0.3">
      <c r="A56" s="160">
        <f>'Economic Assumptions'!A33</f>
        <v>2033</v>
      </c>
      <c r="B56" s="205">
        <f>'Economic Assumptions'!C33</f>
        <v>122.68748299186842</v>
      </c>
      <c r="C56" s="205">
        <f>'Economic Assumptions'!M33</f>
        <v>159.39646022124003</v>
      </c>
      <c r="D56" s="205">
        <f>'Economic Assumptions'!W33</f>
        <v>208.31119278044687</v>
      </c>
      <c r="E56" s="205">
        <f>'Economic Assumptions'!AG33</f>
        <v>95.181973877841855</v>
      </c>
      <c r="F56" s="205">
        <f>'Economic Assumptions'!AQ33</f>
        <v>174.67651253495603</v>
      </c>
      <c r="G56" s="228"/>
      <c r="H56" s="160">
        <f t="shared" si="0"/>
        <v>2033</v>
      </c>
      <c r="I56" s="205">
        <f>'Economic Assumptions'!I33</f>
        <v>73.046444802365215</v>
      </c>
      <c r="J56" s="205">
        <f>'Economic Assumptions'!S33</f>
        <v>94.902466407391529</v>
      </c>
      <c r="K56" s="205">
        <f>'Economic Assumptions'!AC33</f>
        <v>124.0256273426059</v>
      </c>
      <c r="L56" s="205">
        <f>'Economic Assumptions'!AM33</f>
        <v>56.670041894239198</v>
      </c>
      <c r="M56" s="205">
        <f>'Economic Assumptions'!AW33</f>
        <v>104.00000000000004</v>
      </c>
      <c r="N56" s="228"/>
      <c r="O56" s="160">
        <f t="shared" si="1"/>
        <v>2033</v>
      </c>
      <c r="P56" s="394">
        <f>'Economic Assumptions'!D33</f>
        <v>7.4439596422032537</v>
      </c>
      <c r="Q56" s="394">
        <f>'Economic Assumptions'!N33</f>
        <v>9.4152648869060229</v>
      </c>
      <c r="R56" s="394">
        <f>'Economic Assumptions'!X33</f>
        <v>11.971965365198947</v>
      </c>
      <c r="S56" s="394">
        <f>'Economic Assumptions'!AH33</f>
        <v>5.9244161071525259</v>
      </c>
      <c r="T56" s="394">
        <f>'Economic Assumptions'!AR33</f>
        <v>4.3669128133739017</v>
      </c>
      <c r="U56" s="93"/>
      <c r="V56" s="160">
        <f t="shared" si="2"/>
        <v>2033</v>
      </c>
      <c r="W56" s="394">
        <f>'Economic Assumptions'!J33</f>
        <v>4.4320314823906992</v>
      </c>
      <c r="X56" s="394">
        <f>'Economic Assumptions'!T33</f>
        <v>5.6057195900466192</v>
      </c>
      <c r="Y56" s="394">
        <f>'Economic Assumptions'!AD33</f>
        <v>7.1279439915055924</v>
      </c>
      <c r="Z56" s="394">
        <f>'Economic Assumptions'!AN33</f>
        <v>3.5273161010731879</v>
      </c>
      <c r="AA56" s="394">
        <f>'Economic Assumptions'!AX33</f>
        <v>2.6000000000000014</v>
      </c>
      <c r="AB56" s="93"/>
      <c r="AC56" s="93"/>
      <c r="AD56" s="93"/>
      <c r="AE56" s="93"/>
      <c r="AF56" s="93"/>
      <c r="AG56" s="93"/>
      <c r="AH56" s="93"/>
      <c r="AI56" s="93"/>
    </row>
    <row r="57" spans="1:35" x14ac:dyDescent="0.3">
      <c r="A57" s="160">
        <f>'Economic Assumptions'!A34</f>
        <v>2034</v>
      </c>
      <c r="B57" s="205">
        <f>'Economic Assumptions'!C34</f>
        <v>125.75467006666513</v>
      </c>
      <c r="C57" s="205">
        <f>'Economic Assumptions'!M34</f>
        <v>164.85459419935535</v>
      </c>
      <c r="D57" s="205">
        <f>'Economic Assumptions'!W34</f>
        <v>217.62771563865698</v>
      </c>
      <c r="E57" s="205">
        <f>'Economic Assumptions'!AG34</f>
        <v>96.821431344470938</v>
      </c>
      <c r="F57" s="205">
        <f>'Economic Assumptions'!AQ34</f>
        <v>179.04342534832992</v>
      </c>
      <c r="G57" s="228"/>
      <c r="H57" s="160">
        <f t="shared" si="0"/>
        <v>2034</v>
      </c>
      <c r="I57" s="205">
        <f>'Economic Assumptions'!I34</f>
        <v>73.046444802365215</v>
      </c>
      <c r="J57" s="205">
        <f>'Economic Assumptions'!S34</f>
        <v>95.758209291279556</v>
      </c>
      <c r="K57" s="205">
        <f>'Economic Assumptions'!AC34</f>
        <v>126.41225100774946</v>
      </c>
      <c r="L57" s="205">
        <f>'Economic Assumptions'!AM34</f>
        <v>56.24014866915585</v>
      </c>
      <c r="M57" s="205">
        <f>'Economic Assumptions'!AW34</f>
        <v>104.00000000000004</v>
      </c>
      <c r="N57" s="228"/>
      <c r="O57" s="160">
        <f t="shared" si="1"/>
        <v>2034</v>
      </c>
      <c r="P57" s="394">
        <f>'Economic Assumptions'!D34</f>
        <v>7.6300586332583347</v>
      </c>
      <c r="Q57" s="394">
        <f>'Economic Assumptions'!N34</f>
        <v>9.7425928512646927</v>
      </c>
      <c r="R57" s="394">
        <f>'Economic Assumptions'!X34</f>
        <v>12.517223317209996</v>
      </c>
      <c r="S57" s="394">
        <f>'Economic Assumptions'!AH34</f>
        <v>6.0216488566003186</v>
      </c>
      <c r="T57" s="394">
        <f>'Economic Assumptions'!AR34</f>
        <v>4.4760856337082489</v>
      </c>
      <c r="U57" s="93"/>
      <c r="V57" s="160">
        <f t="shared" si="2"/>
        <v>2034</v>
      </c>
      <c r="W57" s="394">
        <f>'Economic Assumptions'!J34</f>
        <v>4.4320314823906992</v>
      </c>
      <c r="X57" s="394">
        <f>'Economic Assumptions'!T34</f>
        <v>5.6591279716654483</v>
      </c>
      <c r="Y57" s="394">
        <f>'Economic Assumptions'!AD34</f>
        <v>7.2708127788395389</v>
      </c>
      <c r="Z57" s="394">
        <f>'Economic Assumptions'!AN34</f>
        <v>3.4977630698701048</v>
      </c>
      <c r="AA57" s="394">
        <f>'Economic Assumptions'!AX34</f>
        <v>2.6000000000000014</v>
      </c>
      <c r="AB57" s="93"/>
      <c r="AC57" s="93"/>
      <c r="AD57" s="93"/>
      <c r="AE57" s="93"/>
      <c r="AF57" s="93"/>
      <c r="AG57" s="93"/>
      <c r="AH57" s="93"/>
      <c r="AI57" s="93"/>
    </row>
    <row r="58" spans="1:35" x14ac:dyDescent="0.3">
      <c r="A58" s="160">
        <f>'Economic Assumptions'!A35</f>
        <v>2035</v>
      </c>
      <c r="B58" s="205">
        <f>'Economic Assumptions'!C35</f>
        <v>128.89853681833173</v>
      </c>
      <c r="C58" s="205">
        <f>'Economic Assumptions'!M35</f>
        <v>170.47127986401227</v>
      </c>
      <c r="D58" s="205">
        <f>'Economic Assumptions'!W35</f>
        <v>227.30041385948329</v>
      </c>
      <c r="E58" s="205">
        <f>'Economic Assumptions'!AG35</f>
        <v>98.512976625970481</v>
      </c>
      <c r="F58" s="205">
        <f>'Economic Assumptions'!AQ35</f>
        <v>183.51951098203816</v>
      </c>
      <c r="G58" s="228"/>
      <c r="H58" s="160">
        <f t="shared" si="0"/>
        <v>2035</v>
      </c>
      <c r="I58" s="205">
        <f>'Economic Assumptions'!I35</f>
        <v>73.046444802365215</v>
      </c>
      <c r="J58" s="205">
        <f>'Economic Assumptions'!S35</f>
        <v>96.605603464105243</v>
      </c>
      <c r="K58" s="205">
        <f>'Economic Assumptions'!AC35</f>
        <v>128.81051673955227</v>
      </c>
      <c r="L58" s="205">
        <f>'Economic Assumptions'!AM35</f>
        <v>55.827031765051352</v>
      </c>
      <c r="M58" s="205">
        <f>'Economic Assumptions'!AW35</f>
        <v>104.00000000000004</v>
      </c>
      <c r="N58" s="228"/>
      <c r="O58" s="160">
        <f t="shared" si="1"/>
        <v>2035</v>
      </c>
      <c r="P58" s="394">
        <f>'Economic Assumptions'!D35</f>
        <v>7.8208100990897922</v>
      </c>
      <c r="Q58" s="394">
        <f>'Economic Assumptions'!N35</f>
        <v>10.079483209865119</v>
      </c>
      <c r="R58" s="394">
        <f>'Economic Assumptions'!X35</f>
        <v>13.083491482557754</v>
      </c>
      <c r="S58" s="394">
        <f>'Economic Assumptions'!AH35</f>
        <v>6.1220755895827716</v>
      </c>
      <c r="T58" s="394">
        <f>'Economic Assumptions'!AR35</f>
        <v>4.587987774550955</v>
      </c>
      <c r="U58" s="93"/>
      <c r="V58" s="160">
        <f t="shared" si="2"/>
        <v>2035</v>
      </c>
      <c r="W58" s="394">
        <f>'Economic Assumptions'!J35</f>
        <v>4.4320314823906992</v>
      </c>
      <c r="X58" s="394">
        <f>'Economic Assumptions'!T35</f>
        <v>5.7120152959026314</v>
      </c>
      <c r="Y58" s="394">
        <f>'Economic Assumptions'!AD35</f>
        <v>7.4143784870873102</v>
      </c>
      <c r="Z58" s="394">
        <f>'Economic Assumptions'!AN35</f>
        <v>3.4693633276895812</v>
      </c>
      <c r="AA58" s="394">
        <f>'Economic Assumptions'!AX35</f>
        <v>2.6000000000000019</v>
      </c>
      <c r="AB58" s="93"/>
      <c r="AC58" s="93"/>
      <c r="AD58" s="93"/>
      <c r="AE58" s="93"/>
      <c r="AF58" s="93"/>
      <c r="AG58" s="93"/>
      <c r="AH58" s="93"/>
      <c r="AI58" s="93"/>
    </row>
    <row r="59" spans="1:35" x14ac:dyDescent="0.3">
      <c r="A59" s="160">
        <f>'Economic Assumptions'!A36</f>
        <v>2036</v>
      </c>
      <c r="B59" s="205">
        <f>'Economic Assumptions'!C36</f>
        <v>132.12100023879</v>
      </c>
      <c r="C59" s="205">
        <f>'Economic Assumptions'!M36</f>
        <v>176.25081248243072</v>
      </c>
      <c r="D59" s="205">
        <f>'Economic Assumptions'!W36</f>
        <v>237.34188969572605</v>
      </c>
      <c r="E59" s="205">
        <f>'Economic Assumptions'!AG36</f>
        <v>100.25774539703919</v>
      </c>
      <c r="F59" s="205">
        <f>'Economic Assumptions'!AQ36</f>
        <v>188.10749875658908</v>
      </c>
      <c r="G59" s="228"/>
      <c r="H59" s="160">
        <f t="shared" si="0"/>
        <v>2036</v>
      </c>
      <c r="I59" s="205">
        <f>'Economic Assumptions'!I36</f>
        <v>73.046444802365201</v>
      </c>
      <c r="J59" s="205">
        <f>'Economic Assumptions'!S36</f>
        <v>97.444730376708222</v>
      </c>
      <c r="K59" s="205">
        <f>'Economic Assumptions'!AC36</f>
        <v>131.22048132858339</v>
      </c>
      <c r="L59" s="205">
        <f>'Economic Assumptions'!AM36</f>
        <v>55.430036496228972</v>
      </c>
      <c r="M59" s="205">
        <f>'Economic Assumptions'!AW36</f>
        <v>104.00000000000004</v>
      </c>
      <c r="N59" s="228"/>
      <c r="O59" s="160">
        <f t="shared" si="1"/>
        <v>2036</v>
      </c>
      <c r="P59" s="394">
        <f>'Economic Assumptions'!D36</f>
        <v>8.0163303515670368</v>
      </c>
      <c r="Q59" s="394">
        <f>'Economic Assumptions'!N36</f>
        <v>10.426195710490338</v>
      </c>
      <c r="R59" s="394">
        <f>'Economic Assumptions'!X36</f>
        <v>13.671516479511732</v>
      </c>
      <c r="S59" s="394">
        <f>'Economic Assumptions'!AH36</f>
        <v>6.2257647082162748</v>
      </c>
      <c r="T59" s="394">
        <f>'Economic Assumptions'!AR36</f>
        <v>4.7026874689147284</v>
      </c>
      <c r="U59" s="93"/>
      <c r="V59" s="160">
        <f t="shared" si="2"/>
        <v>2036</v>
      </c>
      <c r="W59" s="394">
        <f>'Economic Assumptions'!J36</f>
        <v>4.4320314823906992</v>
      </c>
      <c r="X59" s="394">
        <f>'Economic Assumptions'!T36</f>
        <v>5.7643866462448168</v>
      </c>
      <c r="Y59" s="394">
        <f>'Economic Assumptions'!AD36</f>
        <v>7.5586445158631195</v>
      </c>
      <c r="Z59" s="394">
        <f>'Economic Assumptions'!AN36</f>
        <v>3.4420718681307365</v>
      </c>
      <c r="AA59" s="394">
        <f>'Economic Assumptions'!AX36</f>
        <v>2.6000000000000019</v>
      </c>
      <c r="AB59" s="93"/>
      <c r="AC59" s="93"/>
      <c r="AD59" s="93"/>
      <c r="AE59" s="93"/>
      <c r="AF59" s="93"/>
      <c r="AG59" s="93"/>
      <c r="AH59" s="93"/>
      <c r="AI59" s="93"/>
    </row>
    <row r="60" spans="1:35" x14ac:dyDescent="0.3">
      <c r="A60" s="160">
        <f>'Economic Assumptions'!A37</f>
        <v>2037</v>
      </c>
      <c r="B60" s="205">
        <f>'Economic Assumptions'!C37</f>
        <v>135.42402524475975</v>
      </c>
      <c r="C60" s="205">
        <f>'Economic Assumptions'!M37</f>
        <v>182.19759967563689</v>
      </c>
      <c r="D60" s="205">
        <f>'Economic Assumptions'!W37</f>
        <v>247.76517139256759</v>
      </c>
      <c r="E60" s="205">
        <f>'Economic Assumptions'!AG37</f>
        <v>102.05690422205335</v>
      </c>
      <c r="F60" s="205">
        <f>'Economic Assumptions'!AQ37</f>
        <v>192.8101862255038</v>
      </c>
      <c r="G60" s="228"/>
      <c r="H60" s="160">
        <f t="shared" si="0"/>
        <v>2037</v>
      </c>
      <c r="I60" s="205">
        <f>'Economic Assumptions'!I37</f>
        <v>73.046444802365201</v>
      </c>
      <c r="J60" s="205">
        <f>'Economic Assumptions'!S37</f>
        <v>98.275670685285831</v>
      </c>
      <c r="K60" s="205">
        <f>'Economic Assumptions'!AC37</f>
        <v>133.64220184243905</v>
      </c>
      <c r="L60" s="205">
        <f>'Economic Assumptions'!AM37</f>
        <v>55.048533725702121</v>
      </c>
      <c r="M60" s="205">
        <f>'Economic Assumptions'!AW37</f>
        <v>104.00000000000004</v>
      </c>
      <c r="N60" s="228"/>
      <c r="O60" s="160">
        <f t="shared" si="1"/>
        <v>2037</v>
      </c>
      <c r="P60" s="394">
        <f>'Economic Assumptions'!D37</f>
        <v>8.2167386103562112</v>
      </c>
      <c r="Q60" s="394">
        <f>'Economic Assumptions'!N37</f>
        <v>10.782996904936867</v>
      </c>
      <c r="R60" s="394">
        <f>'Economic Assumptions'!X37</f>
        <v>14.282070232686259</v>
      </c>
      <c r="S60" s="394">
        <f>'Economic Assumptions'!AH37</f>
        <v>6.3327864963822051</v>
      </c>
      <c r="T60" s="394">
        <f>'Economic Assumptions'!AR37</f>
        <v>4.820254655637596</v>
      </c>
      <c r="U60" s="93"/>
      <c r="V60" s="160">
        <f t="shared" si="2"/>
        <v>2037</v>
      </c>
      <c r="W60" s="394">
        <f>'Economic Assumptions'!J37</f>
        <v>4.4320314823906992</v>
      </c>
      <c r="X60" s="394">
        <f>'Economic Assumptions'!T37</f>
        <v>5.8162470565836646</v>
      </c>
      <c r="Y60" s="394">
        <f>'Economic Assumptions'!AD37</f>
        <v>7.703614281364664</v>
      </c>
      <c r="Z60" s="394">
        <f>'Economic Assumptions'!AN37</f>
        <v>3.4158454411400418</v>
      </c>
      <c r="AA60" s="394">
        <f>'Economic Assumptions'!AX37</f>
        <v>2.6000000000000019</v>
      </c>
      <c r="AB60" s="93"/>
      <c r="AC60" s="93"/>
      <c r="AD60" s="93"/>
      <c r="AE60" s="93"/>
      <c r="AF60" s="93"/>
      <c r="AG60" s="93"/>
      <c r="AH60" s="93"/>
      <c r="AI60" s="93"/>
    </row>
    <row r="61" spans="1:35" x14ac:dyDescent="0.3">
      <c r="A61" s="160">
        <f>'Economic Assumptions'!A38</f>
        <v>2038</v>
      </c>
      <c r="B61" s="205">
        <f>'Economic Assumptions'!C38</f>
        <v>138.80962587587874</v>
      </c>
      <c r="C61" s="205">
        <f>'Economic Assumptions'!M38</f>
        <v>188.31616430189041</v>
      </c>
      <c r="D61" s="205">
        <f>'Economic Assumptions'!W38</f>
        <v>258.58372716546364</v>
      </c>
      <c r="E61" s="205">
        <f>'Economic Assumptions'!AG38</f>
        <v>103.91165128984153</v>
      </c>
      <c r="F61" s="205">
        <f>'Economic Assumptions'!AQ38</f>
        <v>197.63044088114137</v>
      </c>
      <c r="G61" s="228"/>
      <c r="H61" s="160">
        <f t="shared" si="0"/>
        <v>2038</v>
      </c>
      <c r="I61" s="205">
        <f>'Economic Assumptions'!I38</f>
        <v>73.046444802365201</v>
      </c>
      <c r="J61" s="205">
        <f>'Economic Assumptions'!S38</f>
        <v>99.098504259145585</v>
      </c>
      <c r="K61" s="205">
        <f>'Economic Assumptions'!AC38</f>
        <v>136.07573562709402</v>
      </c>
      <c r="L61" s="205">
        <f>'Economic Assumptions'!AM38</f>
        <v>54.681918868171429</v>
      </c>
      <c r="M61" s="205">
        <f>'Economic Assumptions'!AW38</f>
        <v>104.00000000000003</v>
      </c>
      <c r="N61" s="228"/>
      <c r="O61" s="160">
        <f t="shared" si="1"/>
        <v>2038</v>
      </c>
      <c r="P61" s="394">
        <f>'Economic Assumptions'!D38</f>
        <v>8.4221570756151163</v>
      </c>
      <c r="Q61" s="394">
        <f>'Economic Assumptions'!N38</f>
        <v>11.150160323769825</v>
      </c>
      <c r="R61" s="394">
        <f>'Economic Assumptions'!X38</f>
        <v>14.915950804925751</v>
      </c>
      <c r="S61" s="394">
        <f>'Economic Assumptions'!AH38</f>
        <v>6.4432131641953774</v>
      </c>
      <c r="T61" s="394">
        <f>'Economic Assumptions'!AR38</f>
        <v>4.9407610220285356</v>
      </c>
      <c r="U61" s="93"/>
      <c r="V61" s="160">
        <f t="shared" si="2"/>
        <v>2038</v>
      </c>
      <c r="W61" s="394">
        <f>'Economic Assumptions'!J38</f>
        <v>4.4320314823906992</v>
      </c>
      <c r="X61" s="394">
        <f>'Economic Assumptions'!T38</f>
        <v>5.8676015116996947</v>
      </c>
      <c r="Y61" s="394">
        <f>'Economic Assumptions'!AD38</f>
        <v>7.8492912164540209</v>
      </c>
      <c r="Z61" s="394">
        <f>'Economic Assumptions'!AN38</f>
        <v>3.3906424844709351</v>
      </c>
      <c r="AA61" s="394">
        <f>'Economic Assumptions'!AX38</f>
        <v>2.6000000000000014</v>
      </c>
      <c r="AB61" s="93"/>
      <c r="AC61" s="93"/>
      <c r="AD61" s="93"/>
      <c r="AE61" s="93"/>
      <c r="AF61" s="93"/>
      <c r="AG61" s="93"/>
      <c r="AH61" s="93"/>
      <c r="AI61" s="93"/>
    </row>
    <row r="62" spans="1:35" x14ac:dyDescent="0.3">
      <c r="A62" s="160">
        <f>'Economic Assumptions'!A39</f>
        <v>2039</v>
      </c>
      <c r="B62" s="205">
        <f>'Economic Assumptions'!C39</f>
        <v>142.27986652277571</v>
      </c>
      <c r="C62" s="205">
        <f>'Economic Assumptions'!M39</f>
        <v>194.61114741331571</v>
      </c>
      <c r="D62" s="205">
        <f>'Economic Assumptions'!W39</f>
        <v>269.8114796273245</v>
      </c>
      <c r="E62" s="205">
        <f>'Economic Assumptions'!AG39</f>
        <v>105.82321716739088</v>
      </c>
      <c r="F62" s="205">
        <f>'Economic Assumptions'!AQ39</f>
        <v>202.57120190316988</v>
      </c>
      <c r="G62" s="228"/>
      <c r="H62" s="160">
        <f t="shared" si="0"/>
        <v>2039</v>
      </c>
      <c r="I62" s="205">
        <f>'Economic Assumptions'!I39</f>
        <v>73.046444802365201</v>
      </c>
      <c r="J62" s="205">
        <f>'Economic Assumptions'!S39</f>
        <v>99.913310188382326</v>
      </c>
      <c r="K62" s="205">
        <f>'Economic Assumptions'!AC39</f>
        <v>138.52114030825948</v>
      </c>
      <c r="L62" s="205">
        <f>'Economic Assumptions'!AM39</f>
        <v>54.329610931910238</v>
      </c>
      <c r="M62" s="205">
        <f>'Economic Assumptions'!AW39</f>
        <v>104.00000000000001</v>
      </c>
      <c r="N62" s="228"/>
      <c r="O62" s="160">
        <f t="shared" si="1"/>
        <v>2039</v>
      </c>
      <c r="P62" s="394">
        <f>'Economic Assumptions'!D39</f>
        <v>8.6327110025054932</v>
      </c>
      <c r="Q62" s="394">
        <f>'Economic Assumptions'!N39</f>
        <v>11.527966655516748</v>
      </c>
      <c r="R62" s="394">
        <f>'Economic Assumptions'!X39</f>
        <v>15.573983255963901</v>
      </c>
      <c r="S62" s="394">
        <f>'Economic Assumptions'!AH39</f>
        <v>6.5571188936228237</v>
      </c>
      <c r="T62" s="394">
        <f>'Economic Assumptions'!AR39</f>
        <v>5.0642800475792482</v>
      </c>
      <c r="U62" s="93"/>
      <c r="V62" s="160">
        <f t="shared" si="2"/>
        <v>2039</v>
      </c>
      <c r="W62" s="394">
        <f>'Economic Assumptions'!J39</f>
        <v>4.4320314823906983</v>
      </c>
      <c r="X62" s="394">
        <f>'Economic Assumptions'!T39</f>
        <v>5.9184549477414201</v>
      </c>
      <c r="Y62" s="394">
        <f>'Economic Assumptions'!AD39</f>
        <v>7.9956787707389356</v>
      </c>
      <c r="Z62" s="394">
        <f>'Economic Assumptions'!AN39</f>
        <v>3.3664230578181837</v>
      </c>
      <c r="AA62" s="394">
        <f>'Economic Assumptions'!AX39</f>
        <v>2.600000000000001</v>
      </c>
      <c r="AB62" s="93"/>
      <c r="AC62" s="93"/>
      <c r="AD62" s="93"/>
      <c r="AE62" s="93"/>
      <c r="AF62" s="93"/>
      <c r="AG62" s="93"/>
      <c r="AH62" s="93"/>
      <c r="AI62" s="93"/>
    </row>
    <row r="63" spans="1:35" x14ac:dyDescent="0.3">
      <c r="A63" s="160">
        <f>'Economic Assumptions'!A40</f>
        <v>2040</v>
      </c>
      <c r="B63" s="205">
        <f>'Economic Assumptions'!C40</f>
        <v>145.83686318584509</v>
      </c>
      <c r="C63" s="205">
        <f>'Economic Assumptions'!M40</f>
        <v>201.08731128758481</v>
      </c>
      <c r="D63" s="205">
        <f>'Economic Assumptions'!W40</f>
        <v>281.46282067921368</v>
      </c>
      <c r="E63" s="205">
        <f>'Economic Assumptions'!AG40</f>
        <v>107.7928655729494</v>
      </c>
      <c r="F63" s="205">
        <f>'Economic Assumptions'!AQ40</f>
        <v>207.6354819507491</v>
      </c>
      <c r="G63" s="228"/>
      <c r="H63" s="160">
        <f t="shared" si="0"/>
        <v>2040</v>
      </c>
      <c r="I63" s="205">
        <f>'Economic Assumptions'!I40</f>
        <v>73.046444802365201</v>
      </c>
      <c r="J63" s="205">
        <f>'Economic Assumptions'!S40</f>
        <v>100.72016679148018</v>
      </c>
      <c r="K63" s="205">
        <f>'Economic Assumptions'!AC40</f>
        <v>140.97847379274774</v>
      </c>
      <c r="L63" s="205">
        <f>'Economic Assumptions'!AM40</f>
        <v>53.991051598039718</v>
      </c>
      <c r="M63" s="205">
        <f>'Economic Assumptions'!AW40</f>
        <v>104.00000000000001</v>
      </c>
      <c r="N63" s="228"/>
      <c r="O63" s="160">
        <f t="shared" si="1"/>
        <v>2040</v>
      </c>
      <c r="P63" s="394">
        <f>'Economic Assumptions'!D40</f>
        <v>8.8485287775681289</v>
      </c>
      <c r="Q63" s="394">
        <f>'Economic Assumptions'!N40</f>
        <v>11.916703930412133</v>
      </c>
      <c r="R63" s="394">
        <f>'Economic Assumptions'!X40</f>
        <v>16.257020528705453</v>
      </c>
      <c r="S63" s="394">
        <f>'Economic Assumptions'!AH40</f>
        <v>6.6745798852811173</v>
      </c>
      <c r="T63" s="394">
        <f>'Economic Assumptions'!AR40</f>
        <v>5.1908870487687286</v>
      </c>
      <c r="U63" s="93"/>
      <c r="V63" s="160">
        <f t="shared" si="2"/>
        <v>2040</v>
      </c>
      <c r="W63" s="394">
        <f>'Economic Assumptions'!J40</f>
        <v>4.4320314823906983</v>
      </c>
      <c r="X63" s="394">
        <f>'Economic Assumptions'!T40</f>
        <v>5.9688122526998129</v>
      </c>
      <c r="Y63" s="394">
        <f>'Economic Assumptions'!AD40</f>
        <v>8.1427804106545079</v>
      </c>
      <c r="Z63" s="394">
        <f>'Economic Assumptions'!AN40</f>
        <v>3.3431487795226125</v>
      </c>
      <c r="AA63" s="394">
        <f>'Economic Assumptions'!AX40</f>
        <v>2.600000000000001</v>
      </c>
      <c r="AB63" s="93"/>
      <c r="AC63" s="93"/>
      <c r="AD63" s="93"/>
      <c r="AE63" s="93"/>
      <c r="AF63" s="93"/>
      <c r="AG63" s="93"/>
      <c r="AH63" s="93"/>
      <c r="AI63" s="93"/>
    </row>
    <row r="64" spans="1:35" x14ac:dyDescent="0.3">
      <c r="A64" s="160">
        <f>'Economic Assumptions'!A41</f>
        <v>2041</v>
      </c>
      <c r="B64" s="205">
        <f>'Economic Assumptions'!C41</f>
        <v>149.4827847654912</v>
      </c>
      <c r="C64" s="205">
        <f>'Economic Assumptions'!M41</f>
        <v>207.74954253654468</v>
      </c>
      <c r="D64" s="205">
        <f>'Economic Assumptions'!W41</f>
        <v>293.55262687923619</v>
      </c>
      <c r="E64" s="205">
        <f>'Economic Assumptions'!AG41</f>
        <v>109.82189416900127</v>
      </c>
      <c r="F64" s="205">
        <f>'Economic Assumptions'!AQ41</f>
        <v>212.8263689995178</v>
      </c>
      <c r="G64" s="228"/>
      <c r="H64" s="160">
        <f t="shared" si="0"/>
        <v>2041</v>
      </c>
      <c r="I64" s="205">
        <f>'Economic Assumptions'!I41</f>
        <v>73.046444802365201</v>
      </c>
      <c r="J64" s="205">
        <f>'Economic Assumptions'!S41</f>
        <v>101.5191516228405</v>
      </c>
      <c r="K64" s="205">
        <f>'Economic Assumptions'!AC41</f>
        <v>143.4477942698432</v>
      </c>
      <c r="L64" s="205">
        <f>'Economic Assumptions'!AM41</f>
        <v>53.66570433573488</v>
      </c>
      <c r="M64" s="205">
        <f>'Economic Assumptions'!AW41</f>
        <v>104.00000000000001</v>
      </c>
      <c r="N64" s="228"/>
      <c r="O64" s="160">
        <f t="shared" si="1"/>
        <v>2041</v>
      </c>
      <c r="P64" s="394">
        <f>'Economic Assumptions'!D41</f>
        <v>9.0697419970073305</v>
      </c>
      <c r="Q64" s="394">
        <f>'Economic Assumptions'!N41</f>
        <v>12.316667708807515</v>
      </c>
      <c r="R64" s="394">
        <f>'Economic Assumptions'!X41</f>
        <v>16.965944364005821</v>
      </c>
      <c r="S64" s="394">
        <f>'Economic Assumptions'!AH41</f>
        <v>6.7956744064411021</v>
      </c>
      <c r="T64" s="394">
        <f>'Economic Assumptions'!AR41</f>
        <v>5.3206592249879465</v>
      </c>
      <c r="U64" s="93"/>
      <c r="V64" s="160">
        <f t="shared" si="2"/>
        <v>2041</v>
      </c>
      <c r="W64" s="394">
        <f>'Economic Assumptions'!J41</f>
        <v>4.4320314823906974</v>
      </c>
      <c r="X64" s="394">
        <f>'Economic Assumptions'!T41</f>
        <v>6.0186782668781227</v>
      </c>
      <c r="Y64" s="394">
        <f>'Economic Assumptions'!AD41</f>
        <v>8.2905996195452794</v>
      </c>
      <c r="Z64" s="394">
        <f>'Economic Assumptions'!AN41</f>
        <v>3.3207827657458928</v>
      </c>
      <c r="AA64" s="394">
        <f>'Economic Assumptions'!AX41</f>
        <v>2.600000000000001</v>
      </c>
      <c r="AB64" s="93"/>
      <c r="AC64" s="93"/>
      <c r="AD64" s="93"/>
      <c r="AE64" s="93"/>
      <c r="AF64" s="93"/>
      <c r="AG64" s="93"/>
      <c r="AH64" s="93"/>
      <c r="AI64" s="93"/>
    </row>
    <row r="65" spans="1:35" x14ac:dyDescent="0.3">
      <c r="A65" s="160">
        <f>'Economic Assumptions'!A42</f>
        <v>2042</v>
      </c>
      <c r="B65" s="205">
        <f>'Economic Assumptions'!C42</f>
        <v>153.21985438462846</v>
      </c>
      <c r="C65" s="205">
        <f>'Economic Assumptions'!M42</f>
        <v>214.6028552937301</v>
      </c>
      <c r="D65" s="205">
        <f>'Economic Assumptions'!W42</f>
        <v>306.09627530475052</v>
      </c>
      <c r="E65" s="205">
        <f>'Economic Assumptions'!AG42</f>
        <v>111.91163537560351</v>
      </c>
      <c r="F65" s="205">
        <f>'Economic Assumptions'!AQ42</f>
        <v>218.14702822450573</v>
      </c>
      <c r="G65" s="228"/>
      <c r="H65" s="160">
        <f t="shared" si="0"/>
        <v>2042</v>
      </c>
      <c r="I65" s="205">
        <f>'Economic Assumptions'!I42</f>
        <v>73.046444802365201</v>
      </c>
      <c r="J65" s="205">
        <f>'Economic Assumptions'!S42</f>
        <v>102.31034148023633</v>
      </c>
      <c r="K65" s="205">
        <f>'Economic Assumptions'!AC42</f>
        <v>145.92916021268064</v>
      </c>
      <c r="L65" s="205">
        <f>'Economic Assumptions'!AM42</f>
        <v>53.353053551959007</v>
      </c>
      <c r="M65" s="205">
        <f>'Economic Assumptions'!AW42</f>
        <v>104.00000000000001</v>
      </c>
      <c r="N65" s="228"/>
      <c r="O65" s="160">
        <f t="shared" si="1"/>
        <v>2042</v>
      </c>
      <c r="P65" s="394">
        <f>'Economic Assumptions'!D42</f>
        <v>9.2964855469325123</v>
      </c>
      <c r="Q65" s="394">
        <f>'Economic Assumptions'!N42</f>
        <v>12.728161274364808</v>
      </c>
      <c r="R65" s="394">
        <f>'Economic Assumptions'!X42</f>
        <v>17.701666244851179</v>
      </c>
      <c r="S65" s="394">
        <f>'Economic Assumptions'!AH42</f>
        <v>6.920482840269667</v>
      </c>
      <c r="T65" s="394">
        <f>'Economic Assumptions'!AR42</f>
        <v>5.4536757056126444</v>
      </c>
      <c r="U65" s="93"/>
      <c r="V65" s="160">
        <f t="shared" si="2"/>
        <v>2042</v>
      </c>
      <c r="W65" s="394">
        <f>'Economic Assumptions'!J42</f>
        <v>4.4320314823906974</v>
      </c>
      <c r="X65" s="394">
        <f>'Economic Assumptions'!T42</f>
        <v>6.0680577833571334</v>
      </c>
      <c r="Y65" s="394">
        <f>'Economic Assumptions'!AD42</f>
        <v>8.4391398977477134</v>
      </c>
      <c r="Z65" s="394">
        <f>'Economic Assumptions'!AN42</f>
        <v>3.2992895720189965</v>
      </c>
      <c r="AA65" s="394">
        <f>'Economic Assumptions'!AX42</f>
        <v>2.600000000000001</v>
      </c>
      <c r="AB65" s="93"/>
      <c r="AC65" s="93"/>
      <c r="AD65" s="93"/>
      <c r="AE65" s="93"/>
      <c r="AF65" s="93"/>
      <c r="AG65" s="93"/>
      <c r="AH65" s="93"/>
      <c r="AI65" s="93"/>
    </row>
    <row r="66" spans="1:35" x14ac:dyDescent="0.3">
      <c r="A66" s="160">
        <f>'Economic Assumptions'!A43</f>
        <v>2043</v>
      </c>
      <c r="B66" s="205">
        <f>'Economic Assumptions'!C43</f>
        <v>157.05035074424416</v>
      </c>
      <c r="C66" s="205">
        <f>'Economic Assumptions'!M43</f>
        <v>221.65239448275173</v>
      </c>
      <c r="D66" s="205">
        <f>'Economic Assumptions'!W43</f>
        <v>319.10965992350873</v>
      </c>
      <c r="E66" s="205">
        <f>'Economic Assumptions'!AG43</f>
        <v>114.06345720458515</v>
      </c>
      <c r="F66" s="205">
        <f>'Economic Assumptions'!AQ43</f>
        <v>223.60070393011836</v>
      </c>
      <c r="G66" s="228"/>
      <c r="H66" s="160">
        <f t="shared" si="0"/>
        <v>2043</v>
      </c>
      <c r="I66" s="205">
        <f>'Economic Assumptions'!I43</f>
        <v>73.046444802365201</v>
      </c>
      <c r="J66" s="205">
        <f>'Economic Assumptions'!S43</f>
        <v>103.09381241219414</v>
      </c>
      <c r="K66" s="205">
        <f>'Economic Assumptions'!AC43</f>
        <v>148.42263037962945</v>
      </c>
      <c r="L66" s="205">
        <f>'Economic Assumptions'!AM43</f>
        <v>53.052603774379264</v>
      </c>
      <c r="M66" s="205">
        <f>'Economic Assumptions'!AW43</f>
        <v>104.00000000000001</v>
      </c>
      <c r="N66" s="228"/>
      <c r="O66" s="160">
        <f t="shared" si="1"/>
        <v>2043</v>
      </c>
      <c r="P66" s="394">
        <f>'Economic Assumptions'!D43</f>
        <v>9.5288976856058234</v>
      </c>
      <c r="Q66" s="394">
        <f>'Economic Assumptions'!N43</f>
        <v>13.151495832153591</v>
      </c>
      <c r="R66" s="394">
        <f>'Economic Assumptions'!X43</f>
        <v>18.465128370870026</v>
      </c>
      <c r="S66" s="394">
        <f>'Economic Assumptions'!AH43</f>
        <v>7.049087736338933</v>
      </c>
      <c r="T66" s="394">
        <f>'Economic Assumptions'!AR43</f>
        <v>5.5900175982529596</v>
      </c>
      <c r="U66" s="93"/>
      <c r="V66" s="160">
        <f t="shared" si="2"/>
        <v>2043</v>
      </c>
      <c r="W66" s="394">
        <f>'Economic Assumptions'!J43</f>
        <v>4.4320314823906966</v>
      </c>
      <c r="X66" s="394">
        <f>'Economic Assumptions'!T43</f>
        <v>6.1169555484558611</v>
      </c>
      <c r="Y66" s="394">
        <f>'Economic Assumptions'!AD43</f>
        <v>8.5884047626730862</v>
      </c>
      <c r="Z66" s="394">
        <f>'Economic Assumptions'!AN43</f>
        <v>3.2786351370716864</v>
      </c>
      <c r="AA66" s="394">
        <f>'Economic Assumptions'!AX43</f>
        <v>2.6000000000000005</v>
      </c>
      <c r="AB66" s="93"/>
      <c r="AC66" s="93"/>
      <c r="AD66" s="93"/>
      <c r="AE66" s="93"/>
      <c r="AF66" s="93"/>
      <c r="AG66" s="93"/>
      <c r="AH66" s="93"/>
      <c r="AI66" s="93"/>
    </row>
    <row r="67" spans="1:35" x14ac:dyDescent="0.3">
      <c r="A67" s="160">
        <f>'Economic Assumptions'!A44</f>
        <v>2044</v>
      </c>
      <c r="B67" s="205">
        <f>'Economic Assumptions'!C44</f>
        <v>160.97660951285025</v>
      </c>
      <c r="C67" s="205">
        <f>'Economic Assumptions'!M44</f>
        <v>228.90343916859908</v>
      </c>
      <c r="D67" s="205">
        <f>'Economic Assumptions'!W44</f>
        <v>332.60920848982011</v>
      </c>
      <c r="E67" s="205">
        <f>'Economic Assumptions'!AG44</f>
        <v>116.27876411512246</v>
      </c>
      <c r="F67" s="205">
        <f>'Economic Assumptions'!AQ44</f>
        <v>229.19072152837128</v>
      </c>
      <c r="G67" s="228"/>
      <c r="H67" s="160">
        <f t="shared" si="0"/>
        <v>2044</v>
      </c>
      <c r="I67" s="205">
        <f>'Economic Assumptions'!I44</f>
        <v>73.046444802365201</v>
      </c>
      <c r="J67" s="205">
        <f>'Economic Assumptions'!S44</f>
        <v>103.86963972530359</v>
      </c>
      <c r="K67" s="205">
        <f>'Economic Assumptions'!AC44</f>
        <v>150.92826381568534</v>
      </c>
      <c r="L67" s="205">
        <f>'Economic Assumptions'!AM44</f>
        <v>52.76387886616849</v>
      </c>
      <c r="M67" s="205">
        <f>'Economic Assumptions'!AW44</f>
        <v>104.00000000000001</v>
      </c>
      <c r="N67" s="228"/>
      <c r="O67" s="160">
        <f t="shared" si="1"/>
        <v>2044</v>
      </c>
      <c r="P67" s="394">
        <f>'Economic Assumptions'!D44</f>
        <v>9.7671201277459687</v>
      </c>
      <c r="Q67" s="394">
        <f>'Economic Assumptions'!N44</f>
        <v>13.586990711776039</v>
      </c>
      <c r="R67" s="394">
        <f>'Economic Assumptions'!X44</f>
        <v>19.257304664136274</v>
      </c>
      <c r="S67" s="394">
        <f>'Economic Assumptions'!AH44</f>
        <v>7.1815738624339946</v>
      </c>
      <c r="T67" s="394">
        <f>'Economic Assumptions'!AR44</f>
        <v>5.7297680382092828</v>
      </c>
      <c r="U67" s="93"/>
      <c r="V67" s="160">
        <f t="shared" si="2"/>
        <v>2044</v>
      </c>
      <c r="W67" s="394">
        <f>'Economic Assumptions'!J44</f>
        <v>4.4320314823906974</v>
      </c>
      <c r="X67" s="394">
        <f>'Economic Assumptions'!T44</f>
        <v>6.1653762621877721</v>
      </c>
      <c r="Y67" s="394">
        <f>'Economic Assumptions'!AD44</f>
        <v>8.7383977488907778</v>
      </c>
      <c r="Z67" s="394">
        <f>'Economic Assumptions'!AN44</f>
        <v>3.258786728854028</v>
      </c>
      <c r="AA67" s="394">
        <f>'Economic Assumptions'!AX44</f>
        <v>2.6000000000000005</v>
      </c>
      <c r="AB67" s="93"/>
      <c r="AC67" s="93"/>
      <c r="AD67" s="93"/>
      <c r="AE67" s="93"/>
      <c r="AF67" s="93"/>
      <c r="AG67" s="93"/>
      <c r="AH67" s="93"/>
      <c r="AI67" s="93"/>
    </row>
    <row r="68" spans="1:35" x14ac:dyDescent="0.3">
      <c r="A68" s="160">
        <f>'Economic Assumptions'!A45</f>
        <v>2045</v>
      </c>
      <c r="B68" s="205">
        <f>'Economic Assumptions'!C45</f>
        <v>165.00102475067149</v>
      </c>
      <c r="C68" s="205">
        <f>'Economic Assumptions'!M45</f>
        <v>236.36140599394929</v>
      </c>
      <c r="D68" s="205">
        <f>'Economic Assumptions'!W45</f>
        <v>346.61189998233596</v>
      </c>
      <c r="E68" s="205">
        <f>'Economic Assumptions'!AG45</f>
        <v>118.55899789121686</v>
      </c>
      <c r="F68" s="205">
        <f>'Economic Assumptions'!AQ45</f>
        <v>234.92048956658056</v>
      </c>
      <c r="G68" s="228"/>
      <c r="H68" s="160">
        <f t="shared" si="0"/>
        <v>2045</v>
      </c>
      <c r="I68" s="205">
        <f>'Economic Assumptions'!I45</f>
        <v>73.046444802365215</v>
      </c>
      <c r="J68" s="205">
        <f>'Economic Assumptions'!S45</f>
        <v>104.63789799145587</v>
      </c>
      <c r="K68" s="205">
        <f>'Economic Assumptions'!AC45</f>
        <v>153.44611985386834</v>
      </c>
      <c r="L68" s="205">
        <f>'Economic Assumptions'!AM45</f>
        <v>52.486421271448869</v>
      </c>
      <c r="M68" s="205">
        <f>'Economic Assumptions'!AW45</f>
        <v>104.00000000000001</v>
      </c>
      <c r="N68" s="228"/>
      <c r="O68" s="160">
        <f t="shared" si="1"/>
        <v>2045</v>
      </c>
      <c r="P68" s="394">
        <f>'Economic Assumptions'!D45</f>
        <v>10.011298130939617</v>
      </c>
      <c r="Q68" s="394">
        <f>'Economic Assumptions'!N45</f>
        <v>14.034973575646326</v>
      </c>
      <c r="R68" s="394">
        <f>'Economic Assumptions'!X45</f>
        <v>20.079201807254009</v>
      </c>
      <c r="S68" s="394">
        <f>'Economic Assumptions'!AH45</f>
        <v>7.3180282576911324</v>
      </c>
      <c r="T68" s="394">
        <f>'Economic Assumptions'!AR45</f>
        <v>5.8730122391645141</v>
      </c>
      <c r="U68" s="93"/>
      <c r="V68" s="160">
        <f t="shared" si="2"/>
        <v>2045</v>
      </c>
      <c r="W68" s="394">
        <f>'Economic Assumptions'!J45</f>
        <v>4.4320314823906974</v>
      </c>
      <c r="X68" s="394">
        <f>'Economic Assumptions'!T45</f>
        <v>6.213324578712542</v>
      </c>
      <c r="Y68" s="394">
        <f>'Economic Assumptions'!AD45</f>
        <v>8.8891224082119695</v>
      </c>
      <c r="Z68" s="394">
        <f>'Economic Assumptions'!AN45</f>
        <v>3.2397128926643752</v>
      </c>
      <c r="AA68" s="394">
        <f>'Economic Assumptions'!AX45</f>
        <v>2.6000000000000005</v>
      </c>
      <c r="AB68" s="93"/>
      <c r="AC68" s="93"/>
      <c r="AD68" s="93"/>
      <c r="AE68" s="93"/>
      <c r="AF68" s="93"/>
      <c r="AG68" s="93"/>
      <c r="AH68" s="93"/>
      <c r="AI68" s="93"/>
    </row>
    <row r="69" spans="1:35" x14ac:dyDescent="0.3">
      <c r="A69" s="160">
        <f>'Economic Assumptions'!A46</f>
        <v>2046</v>
      </c>
      <c r="B69" s="205">
        <f>'Economic Assumptions'!C46</f>
        <v>169.12605036943827</v>
      </c>
      <c r="C69" s="205">
        <f>'Economic Assumptions'!M46</f>
        <v>244.03185270262529</v>
      </c>
      <c r="D69" s="205">
        <f>'Economic Assumptions'!W46</f>
        <v>361.13528260057285</v>
      </c>
      <c r="E69" s="205">
        <f>'Economic Assumptions'!AG46</f>
        <v>120.90563854161539</v>
      </c>
      <c r="F69" s="205">
        <f>'Economic Assumptions'!AQ46</f>
        <v>240.79350180574505</v>
      </c>
      <c r="G69" s="228"/>
      <c r="H69" s="160">
        <f t="shared" si="0"/>
        <v>2046</v>
      </c>
      <c r="I69" s="205">
        <f>'Economic Assumptions'!I46</f>
        <v>73.046444802365215</v>
      </c>
      <c r="J69" s="205">
        <f>'Economic Assumptions'!S46</f>
        <v>105.39866105501156</v>
      </c>
      <c r="K69" s="205">
        <f>'Economic Assumptions'!AC46</f>
        <v>155.97625811662786</v>
      </c>
      <c r="L69" s="205">
        <f>'Economic Assumptions'!AM46</f>
        <v>52.219791290181725</v>
      </c>
      <c r="M69" s="205">
        <f>'Economic Assumptions'!AW46</f>
        <v>104.00000000000003</v>
      </c>
      <c r="N69" s="228"/>
      <c r="O69" s="160">
        <f t="shared" si="1"/>
        <v>2046</v>
      </c>
      <c r="P69" s="394">
        <f>'Economic Assumptions'!D46</f>
        <v>10.261580584213107</v>
      </c>
      <c r="Q69" s="394">
        <f>'Economic Assumptions'!N46</f>
        <v>14.49578063255451</v>
      </c>
      <c r="R69" s="394">
        <f>'Economic Assumptions'!X46</f>
        <v>20.931860314745123</v>
      </c>
      <c r="S69" s="394">
        <f>'Economic Assumptions'!AH46</f>
        <v>7.4585402870992557</v>
      </c>
      <c r="T69" s="394">
        <f>'Economic Assumptions'!AR46</f>
        <v>6.0198375451436261</v>
      </c>
      <c r="U69" s="93"/>
      <c r="V69" s="160">
        <f t="shared" si="2"/>
        <v>2046</v>
      </c>
      <c r="W69" s="394">
        <f>'Economic Assumptions'!J46</f>
        <v>4.4320314823906974</v>
      </c>
      <c r="X69" s="394">
        <f>'Economic Assumptions'!T46</f>
        <v>6.2608051067834118</v>
      </c>
      <c r="Y69" s="394">
        <f>'Economic Assumptions'!AD46</f>
        <v>9.0405823097737539</v>
      </c>
      <c r="Z69" s="394">
        <f>'Economic Assumptions'!AN46</f>
        <v>3.2213834013016367</v>
      </c>
      <c r="AA69" s="394">
        <f>'Economic Assumptions'!AX46</f>
        <v>2.6000000000000005</v>
      </c>
      <c r="AB69" s="93"/>
      <c r="AC69" s="93"/>
      <c r="AD69" s="93"/>
      <c r="AE69" s="93"/>
      <c r="AF69" s="93"/>
      <c r="AG69" s="93"/>
      <c r="AH69" s="93"/>
      <c r="AI69" s="93"/>
    </row>
    <row r="70" spans="1:35" x14ac:dyDescent="0.3">
      <c r="A70" s="160">
        <f>'Economic Assumptions'!A47</f>
        <v>2047</v>
      </c>
      <c r="B70" s="205">
        <f>'Economic Assumptions'!C47</f>
        <v>173.35420162867422</v>
      </c>
      <c r="C70" s="205">
        <f>'Economic Assumptions'!M47</f>
        <v>251.92048175240058</v>
      </c>
      <c r="D70" s="205">
        <f>'Economic Assumptions'!W47</f>
        <v>376.19749233782602</v>
      </c>
      <c r="E70" s="205">
        <f>'Economic Assumptions'!AG47</f>
        <v>123.3202052227271</v>
      </c>
      <c r="F70" s="205">
        <f>'Economic Assumptions'!AQ47</f>
        <v>246.81333935088867</v>
      </c>
      <c r="G70" s="228"/>
      <c r="H70" s="160">
        <f t="shared" si="0"/>
        <v>2047</v>
      </c>
      <c r="I70" s="205">
        <f>'Economic Assumptions'!I47</f>
        <v>73.046444802365215</v>
      </c>
      <c r="J70" s="205">
        <f>'Economic Assumptions'!S47</f>
        <v>106.15200203989839</v>
      </c>
      <c r="K70" s="205">
        <f>'Economic Assumptions'!AC47</f>
        <v>158.51873851725449</v>
      </c>
      <c r="L70" s="205">
        <f>'Economic Assumptions'!AM47</f>
        <v>51.963566381354276</v>
      </c>
      <c r="M70" s="205">
        <f>'Economic Assumptions'!AW47</f>
        <v>104.00000000000003</v>
      </c>
      <c r="N70" s="228"/>
      <c r="O70" s="160">
        <f t="shared" si="1"/>
        <v>2047</v>
      </c>
      <c r="P70" s="394">
        <f>'Economic Assumptions'!D47</f>
        <v>10.518120098818434</v>
      </c>
      <c r="Q70" s="394">
        <f>'Economic Assumptions'!N47</f>
        <v>14.969756856648154</v>
      </c>
      <c r="R70" s="394">
        <f>'Economic Assumptions'!X47</f>
        <v>21.816355638792807</v>
      </c>
      <c r="S70" s="394">
        <f>'Economic Assumptions'!AH47</f>
        <v>7.6032016973980943</v>
      </c>
      <c r="T70" s="394">
        <f>'Economic Assumptions'!AR47</f>
        <v>6.1703334837722164</v>
      </c>
      <c r="U70" s="93"/>
      <c r="V70" s="160">
        <f t="shared" si="2"/>
        <v>2047</v>
      </c>
      <c r="W70" s="394">
        <f>'Economic Assumptions'!J47</f>
        <v>4.4320314823906983</v>
      </c>
      <c r="X70" s="394">
        <f>'Economic Assumptions'!T47</f>
        <v>6.3078224101901768</v>
      </c>
      <c r="Y70" s="394">
        <f>'Economic Assumptions'!AD47</f>
        <v>9.1927810401236449</v>
      </c>
      <c r="Z70" s="394">
        <f>'Economic Assumptions'!AN47</f>
        <v>3.2037692071628094</v>
      </c>
      <c r="AA70" s="394">
        <f>'Economic Assumptions'!AX47</f>
        <v>2.6000000000000005</v>
      </c>
      <c r="AB70" s="93"/>
      <c r="AC70" s="93"/>
      <c r="AD70" s="93"/>
      <c r="AE70" s="93"/>
      <c r="AF70" s="93"/>
      <c r="AG70" s="93"/>
      <c r="AH70" s="93"/>
      <c r="AI70" s="93"/>
    </row>
    <row r="71" spans="1:35" x14ac:dyDescent="0.3">
      <c r="A71" s="160">
        <f>'Economic Assumptions'!A48</f>
        <v>2048</v>
      </c>
      <c r="B71" s="205">
        <f>'Economic Assumptions'!C48</f>
        <v>177.68805666939105</v>
      </c>
      <c r="C71" s="205">
        <f>'Economic Assumptions'!M48</f>
        <v>260.03314401940338</v>
      </c>
      <c r="D71" s="205">
        <f>'Economic Assumptions'!W48</f>
        <v>391.8172721486776</v>
      </c>
      <c r="E71" s="205">
        <f>'Economic Assumptions'!AG48</f>
        <v>125.80425718510301</v>
      </c>
      <c r="F71" s="205">
        <f>'Economic Assumptions'!AQ48</f>
        <v>252.98367283466087</v>
      </c>
      <c r="G71" s="228"/>
      <c r="H71" s="160">
        <f t="shared" si="0"/>
        <v>2048</v>
      </c>
      <c r="I71" s="205">
        <f>'Economic Assumptions'!I48</f>
        <v>73.046444802365215</v>
      </c>
      <c r="J71" s="205">
        <f>'Economic Assumptions'!S48</f>
        <v>106.89799335663999</v>
      </c>
      <c r="K71" s="205">
        <f>'Economic Assumptions'!AC48</f>
        <v>161.07362126129877</v>
      </c>
      <c r="L71" s="205">
        <f>'Economic Assumptions'!AM48</f>
        <v>51.717340493359103</v>
      </c>
      <c r="M71" s="205">
        <f>'Economic Assumptions'!AW48</f>
        <v>104.00000000000003</v>
      </c>
      <c r="N71" s="228"/>
      <c r="O71" s="160">
        <f t="shared" si="1"/>
        <v>2048</v>
      </c>
      <c r="P71" s="394">
        <f>'Economic Assumptions'!D48</f>
        <v>10.781073101288895</v>
      </c>
      <c r="Q71" s="394">
        <f>'Economic Assumptions'!N48</f>
        <v>15.457256211968335</v>
      </c>
      <c r="R71" s="394">
        <f>'Economic Assumptions'!X48</f>
        <v>22.733799310427052</v>
      </c>
      <c r="S71" s="394">
        <f>'Economic Assumptions'!AH48</f>
        <v>7.7521066744075835</v>
      </c>
      <c r="T71" s="394">
        <f>'Economic Assumptions'!AR48</f>
        <v>6.3245918208665213</v>
      </c>
      <c r="U71" s="93"/>
      <c r="V71" s="160">
        <f t="shared" si="2"/>
        <v>2048</v>
      </c>
      <c r="W71" s="394">
        <f>'Economic Assumptions'!J48</f>
        <v>4.4320314823906983</v>
      </c>
      <c r="X71" s="394">
        <f>'Economic Assumptions'!T48</f>
        <v>6.3543810081978505</v>
      </c>
      <c r="Y71" s="394">
        <f>'Economic Assumptions'!AD48</f>
        <v>9.3457222033045113</v>
      </c>
      <c r="Z71" s="394">
        <f>'Economic Assumptions'!AN48</f>
        <v>3.186842396209888</v>
      </c>
      <c r="AA71" s="394">
        <f>'Economic Assumptions'!AX48</f>
        <v>2.6000000000000005</v>
      </c>
      <c r="AB71" s="93"/>
      <c r="AC71" s="93"/>
      <c r="AD71" s="93"/>
      <c r="AE71" s="93"/>
      <c r="AF71" s="93"/>
      <c r="AG71" s="93"/>
      <c r="AH71" s="93"/>
      <c r="AI71" s="93"/>
    </row>
    <row r="72" spans="1:35" x14ac:dyDescent="0.3">
      <c r="A72" s="160">
        <f>'Economic Assumptions'!A49</f>
        <v>2049</v>
      </c>
      <c r="B72" s="205">
        <f>'Economic Assumptions'!C49</f>
        <v>182.13025808612579</v>
      </c>
      <c r="C72" s="205">
        <f>'Economic Assumptions'!M49</f>
        <v>268.37584259642915</v>
      </c>
      <c r="D72" s="205">
        <f>'Economic Assumptions'!W49</f>
        <v>408.01399172987271</v>
      </c>
      <c r="E72" s="205">
        <f>'Economic Assumptions'!AG49</f>
        <v>128.35939474406121</v>
      </c>
      <c r="F72" s="205">
        <f>'Economic Assumptions'!AQ49</f>
        <v>259.30826465552735</v>
      </c>
      <c r="G72" s="228"/>
      <c r="H72" s="160">
        <f t="shared" si="0"/>
        <v>2049</v>
      </c>
      <c r="I72" s="205">
        <f>'Economic Assumptions'!I49</f>
        <v>73.046444802365201</v>
      </c>
      <c r="J72" s="205">
        <f>'Economic Assumptions'!S49</f>
        <v>107.6367067093158</v>
      </c>
      <c r="K72" s="205">
        <f>'Economic Assumptions'!AC49</f>
        <v>163.64096684799696</v>
      </c>
      <c r="L72" s="205">
        <f>'Economic Assumptions'!AM49</f>
        <v>51.480723420505207</v>
      </c>
      <c r="M72" s="205">
        <f>'Economic Assumptions'!AW49</f>
        <v>104.00000000000003</v>
      </c>
      <c r="N72" s="228"/>
      <c r="O72" s="160">
        <f t="shared" si="1"/>
        <v>2049</v>
      </c>
      <c r="P72" s="394">
        <f>'Economic Assumptions'!D49</f>
        <v>11.050599928821116</v>
      </c>
      <c r="Q72" s="394">
        <f>'Economic Assumptions'!N49</f>
        <v>15.95864188268008</v>
      </c>
      <c r="R72" s="394">
        <f>'Economic Assumptions'!X49</f>
        <v>23.685340117272087</v>
      </c>
      <c r="S72" s="394">
        <f>'Economic Assumptions'!AH49</f>
        <v>7.9053519018236909</v>
      </c>
      <c r="T72" s="394">
        <f>'Economic Assumptions'!AR49</f>
        <v>6.4827066163881835</v>
      </c>
      <c r="U72" s="93"/>
      <c r="V72" s="160">
        <f t="shared" si="2"/>
        <v>2049</v>
      </c>
      <c r="W72" s="394">
        <f>'Economic Assumptions'!J49</f>
        <v>4.4320314823906983</v>
      </c>
      <c r="X72" s="394">
        <f>'Economic Assumptions'!T49</f>
        <v>6.4004853759810585</v>
      </c>
      <c r="Y72" s="394">
        <f>'Economic Assumptions'!AD49</f>
        <v>9.4994094209399158</v>
      </c>
      <c r="Z72" s="394">
        <f>'Economic Assumptions'!AN49</f>
        <v>3.1705761437331774</v>
      </c>
      <c r="AA72" s="394">
        <f>'Economic Assumptions'!AX49</f>
        <v>2.6000000000000005</v>
      </c>
      <c r="AB72" s="93"/>
      <c r="AC72" s="93"/>
      <c r="AD72" s="93"/>
      <c r="AE72" s="93"/>
      <c r="AF72" s="93"/>
      <c r="AG72" s="93"/>
      <c r="AH72" s="93"/>
      <c r="AI72" s="93"/>
    </row>
    <row r="73" spans="1:35" x14ac:dyDescent="0.3">
      <c r="A73" s="162">
        <f>'Economic Assumptions'!A50</f>
        <v>2050</v>
      </c>
      <c r="B73" s="207">
        <f>'Economic Assumptions'!C50</f>
        <v>186.68351453827893</v>
      </c>
      <c r="C73" s="207">
        <f>'Economic Assumptions'!M50</f>
        <v>276.95473668752868</v>
      </c>
      <c r="D73" s="207">
        <f>'Economic Assumptions'!W50</f>
        <v>424.80766793392206</v>
      </c>
      <c r="E73" s="207">
        <f>'Economic Assumptions'!AG50</f>
        <v>130.98726027505342</v>
      </c>
      <c r="F73" s="207">
        <f>'Economic Assumptions'!AQ50</f>
        <v>265.79097127191551</v>
      </c>
      <c r="G73" s="228"/>
      <c r="H73" s="162">
        <f t="shared" si="0"/>
        <v>2050</v>
      </c>
      <c r="I73" s="207">
        <f>'Economic Assumptions'!I50</f>
        <v>73.046444802365215</v>
      </c>
      <c r="J73" s="207">
        <f>'Economic Assumptions'!S50</f>
        <v>108.36821310245332</v>
      </c>
      <c r="K73" s="207">
        <f>'Economic Assumptions'!AC50</f>
        <v>166.22083607170345</v>
      </c>
      <c r="L73" s="207">
        <f>'Economic Assumptions'!AM50</f>
        <v>51.253340184640741</v>
      </c>
      <c r="M73" s="207">
        <f>'Economic Assumptions'!AW50</f>
        <v>104.00000000000003</v>
      </c>
      <c r="N73" s="228"/>
      <c r="O73" s="162">
        <f t="shared" si="1"/>
        <v>2050</v>
      </c>
      <c r="P73" s="395">
        <f>'Economic Assumptions'!D50</f>
        <v>11.326864927041642</v>
      </c>
      <c r="Q73" s="395">
        <f>'Economic Assumptions'!N50</f>
        <v>16.474286509140807</v>
      </c>
      <c r="R73" s="395">
        <f>'Economic Assumptions'!X50</f>
        <v>24.672165319010777</v>
      </c>
      <c r="S73" s="395">
        <f>'Economic Assumptions'!AH50</f>
        <v>8.0630366215168614</v>
      </c>
      <c r="T73" s="395">
        <f>'Economic Assumptions'!AR50</f>
        <v>6.6447742817978872</v>
      </c>
      <c r="U73" s="93"/>
      <c r="V73" s="162">
        <f t="shared" si="2"/>
        <v>2050</v>
      </c>
      <c r="W73" s="395">
        <f>'Economic Assumptions'!J50</f>
        <v>4.4320314823906983</v>
      </c>
      <c r="X73" s="395">
        <f>'Economic Assumptions'!T50</f>
        <v>6.4461399450541874</v>
      </c>
      <c r="Y73" s="395">
        <f>'Economic Assumptions'!AD50</f>
        <v>9.6538463323198851</v>
      </c>
      <c r="Z73" s="395">
        <f>'Economic Assumptions'!AN50</f>
        <v>3.1549446718409238</v>
      </c>
      <c r="AA73" s="395">
        <f>'Economic Assumptions'!AX50</f>
        <v>2.6000000000000005</v>
      </c>
      <c r="AB73" s="93"/>
      <c r="AC73" s="93"/>
      <c r="AD73" s="93"/>
      <c r="AE73" s="93"/>
      <c r="AF73" s="93"/>
      <c r="AG73" s="93"/>
      <c r="AH73" s="93"/>
      <c r="AI73" s="93"/>
    </row>
    <row r="74" spans="1:35" x14ac:dyDescent="0.3">
      <c r="A74" s="93"/>
      <c r="B74" s="174"/>
      <c r="C74" s="174"/>
      <c r="D74" s="174"/>
      <c r="E74" s="174"/>
      <c r="F74" s="174"/>
      <c r="G74" s="174"/>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row>
    <row r="75" spans="1:35" x14ac:dyDescent="0.3">
      <c r="A75" s="93"/>
      <c r="B75" s="174"/>
      <c r="C75" s="174"/>
      <c r="D75" s="174"/>
      <c r="E75" s="174"/>
      <c r="F75" s="174"/>
      <c r="G75" s="174"/>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row>
    <row r="76" spans="1:35" x14ac:dyDescent="0.3">
      <c r="A76" s="93"/>
      <c r="B76" s="174"/>
      <c r="C76" s="174"/>
      <c r="D76" s="174"/>
      <c r="E76" s="174"/>
      <c r="F76" s="174"/>
      <c r="G76" s="174"/>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row>
    <row r="77" spans="1:35" x14ac:dyDescent="0.3">
      <c r="A77" s="93"/>
      <c r="B77" s="174"/>
      <c r="C77" s="174"/>
      <c r="D77" s="174"/>
      <c r="E77" s="174"/>
      <c r="F77" s="174"/>
      <c r="G77" s="174"/>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row>
    <row r="78" spans="1:35" x14ac:dyDescent="0.3">
      <c r="A78" s="93"/>
      <c r="B78" s="174"/>
      <c r="C78" s="174"/>
      <c r="D78" s="174"/>
      <c r="E78" s="174"/>
      <c r="F78" s="174"/>
      <c r="G78" s="174"/>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row>
    <row r="79" spans="1:35" x14ac:dyDescent="0.3">
      <c r="A79" s="93"/>
      <c r="B79" s="174"/>
      <c r="C79" s="174"/>
      <c r="D79" s="174"/>
      <c r="E79" s="174"/>
      <c r="F79" s="174"/>
      <c r="G79" s="174"/>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row>
    <row r="80" spans="1:35" x14ac:dyDescent="0.3">
      <c r="A80" s="93"/>
      <c r="B80" s="174"/>
      <c r="C80" s="174"/>
      <c r="D80" s="174"/>
      <c r="E80" s="174"/>
      <c r="F80" s="174"/>
      <c r="G80" s="174"/>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row>
    <row r="81" spans="1:35" x14ac:dyDescent="0.3">
      <c r="A81" s="93"/>
      <c r="B81" s="174"/>
      <c r="C81" s="174"/>
      <c r="D81" s="174"/>
      <c r="E81" s="174"/>
      <c r="F81" s="174"/>
      <c r="G81" s="174"/>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row>
    <row r="82" spans="1:35" x14ac:dyDescent="0.3">
      <c r="A82" s="93"/>
      <c r="B82" s="174"/>
      <c r="C82" s="174"/>
      <c r="D82" s="174"/>
      <c r="E82" s="174"/>
      <c r="F82" s="174"/>
      <c r="G82" s="174"/>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row>
    <row r="83" spans="1:35" x14ac:dyDescent="0.3">
      <c r="A83" s="93"/>
      <c r="B83" s="174"/>
      <c r="C83" s="174"/>
      <c r="D83" s="174"/>
      <c r="E83" s="174"/>
      <c r="F83" s="174"/>
      <c r="G83" s="174"/>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row>
    <row r="84" spans="1:35" x14ac:dyDescent="0.3">
      <c r="A84" s="93"/>
      <c r="B84" s="174"/>
      <c r="C84" s="174"/>
      <c r="D84" s="174"/>
      <c r="E84" s="174"/>
      <c r="F84" s="174"/>
      <c r="G84" s="174"/>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row>
    <row r="85" spans="1:35" x14ac:dyDescent="0.3">
      <c r="A85" s="93"/>
      <c r="B85" s="174"/>
      <c r="C85" s="174"/>
      <c r="D85" s="174"/>
      <c r="E85" s="174"/>
      <c r="F85" s="174"/>
      <c r="G85" s="174"/>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row>
  </sheetData>
  <sheetProtection password="8BC3" sheet="1" objects="1" scenarios="1"/>
  <hyperlinks>
    <hyperlink ref="A1" location="Guide" display="Guide"/>
    <hyperlink ref="A2" location="Input" display="Input"/>
  </hyperlinks>
  <pageMargins left="0.7" right="0.7" top="0.75" bottom="0.75" header="0.3" footer="0.3"/>
  <pageSetup paperSize="9" scale="44" orientation="landscape" horizontalDpi="300" r:id="rId1"/>
  <headerFooter>
    <oddFooter>&amp;LNova Scotia Exploration Economics Model&amp;Rwww.indeva.com</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Z170"/>
  <sheetViews>
    <sheetView showGridLines="0" showRowColHeaders="0" zoomScale="70" zoomScaleNormal="70" workbookViewId="0">
      <pane ySplit="2" topLeftCell="A3" activePane="bottomLeft" state="frozen"/>
      <selection activeCell="D43" sqref="D43"/>
      <selection pane="bottomLeft" activeCell="C36" sqref="C36"/>
    </sheetView>
  </sheetViews>
  <sheetFormatPr defaultRowHeight="14.4" x14ac:dyDescent="0.3"/>
  <cols>
    <col min="2" max="2" width="28.44140625" customWidth="1"/>
    <col min="3" max="3" width="20.6640625" customWidth="1"/>
    <col min="4" max="4" width="13" customWidth="1"/>
    <col min="5" max="5" width="14.109375" customWidth="1"/>
    <col min="6" max="11" width="12.6640625" customWidth="1"/>
    <col min="12" max="12" width="15.44140625" customWidth="1"/>
    <col min="13" max="14" width="11" customWidth="1"/>
    <col min="15" max="15" width="13.5546875" customWidth="1"/>
  </cols>
  <sheetData>
    <row r="1" spans="1:26" ht="18.75" x14ac:dyDescent="0.3">
      <c r="A1" s="15"/>
      <c r="B1" s="2" t="str">
        <f>Input!B8</f>
        <v>Prospect X</v>
      </c>
      <c r="C1" s="2" t="s">
        <v>138</v>
      </c>
      <c r="D1" s="2"/>
      <c r="E1" s="15"/>
      <c r="F1" s="15"/>
      <c r="G1" s="15"/>
      <c r="H1" s="107" t="s">
        <v>769</v>
      </c>
      <c r="I1" s="492"/>
      <c r="J1" s="15"/>
      <c r="K1" s="15"/>
      <c r="L1" s="15"/>
      <c r="M1" s="15"/>
      <c r="N1" s="15"/>
      <c r="O1" s="15"/>
      <c r="P1" s="15"/>
      <c r="Q1" s="15"/>
      <c r="R1" s="15"/>
      <c r="S1" s="15"/>
      <c r="T1" s="15"/>
      <c r="U1" s="15"/>
      <c r="V1" s="15"/>
      <c r="W1" s="15"/>
      <c r="X1" s="15"/>
      <c r="Y1" s="15"/>
      <c r="Z1" s="15"/>
    </row>
    <row r="2" spans="1:26" ht="18.75" x14ac:dyDescent="0.3">
      <c r="A2" s="3"/>
      <c r="B2" s="2"/>
      <c r="C2" s="29" t="s">
        <v>139</v>
      </c>
      <c r="D2" s="59"/>
      <c r="E2" s="59"/>
      <c r="F2" s="29">
        <f>'Selected Economics'!B5</f>
        <v>2012</v>
      </c>
      <c r="G2" s="15"/>
      <c r="H2" s="107" t="s">
        <v>143</v>
      </c>
      <c r="I2" s="492"/>
      <c r="J2" s="15"/>
      <c r="K2" s="15"/>
      <c r="L2" s="15"/>
      <c r="M2" s="15"/>
      <c r="N2" s="15"/>
      <c r="O2" s="15"/>
      <c r="P2" s="15"/>
      <c r="Q2" s="15"/>
      <c r="R2" s="15"/>
      <c r="S2" s="15"/>
      <c r="T2" s="15"/>
      <c r="U2" s="15"/>
      <c r="V2" s="15"/>
      <c r="W2" s="15"/>
      <c r="X2" s="15"/>
      <c r="Y2" s="15"/>
      <c r="Z2" s="15"/>
    </row>
    <row r="3" spans="1:26" ht="18.75" x14ac:dyDescent="0.3">
      <c r="A3" s="3"/>
      <c r="B3" s="2"/>
      <c r="C3" s="15"/>
      <c r="D3" s="15"/>
      <c r="E3" s="15"/>
      <c r="F3" s="15"/>
      <c r="G3" s="15"/>
      <c r="H3" s="15"/>
      <c r="I3" s="15"/>
      <c r="J3" s="15"/>
      <c r="K3" s="15"/>
      <c r="L3" s="15"/>
      <c r="M3" s="15"/>
      <c r="N3" s="15"/>
      <c r="O3" s="15"/>
      <c r="P3" s="15"/>
      <c r="Q3" s="15"/>
      <c r="R3" s="15"/>
      <c r="S3" s="15"/>
      <c r="T3" s="15"/>
      <c r="U3" s="15"/>
      <c r="V3" s="15"/>
      <c r="W3" s="15"/>
      <c r="X3" s="15"/>
      <c r="Y3" s="15"/>
      <c r="Z3" s="15"/>
    </row>
    <row r="4" spans="1:26" ht="15" x14ac:dyDescent="0.25">
      <c r="A4" s="15"/>
      <c r="B4" s="28" t="s">
        <v>140</v>
      </c>
      <c r="C4" s="13" t="s">
        <v>141</v>
      </c>
      <c r="D4" s="27"/>
      <c r="E4" s="15"/>
      <c r="F4" s="15"/>
      <c r="G4" s="15"/>
      <c r="H4" s="15"/>
      <c r="I4" s="15"/>
      <c r="J4" s="15"/>
      <c r="K4" s="15"/>
      <c r="L4" s="15"/>
      <c r="M4" s="15"/>
      <c r="N4" s="15"/>
      <c r="O4" s="15"/>
      <c r="P4" s="15"/>
      <c r="Q4" s="15"/>
      <c r="R4" s="15"/>
      <c r="S4" s="15"/>
      <c r="T4" s="15"/>
      <c r="U4" s="15"/>
      <c r="V4" s="15"/>
      <c r="W4" s="15"/>
      <c r="X4" s="15"/>
      <c r="Y4" s="15"/>
      <c r="Z4" s="15"/>
    </row>
    <row r="5" spans="1:26" ht="15" x14ac:dyDescent="0.25">
      <c r="A5" s="15"/>
      <c r="B5" s="15"/>
      <c r="C5" s="15"/>
      <c r="D5" s="15"/>
      <c r="E5" s="15"/>
      <c r="F5" s="15"/>
      <c r="G5" s="15"/>
      <c r="H5" s="15"/>
      <c r="I5" s="15"/>
      <c r="J5" s="15"/>
      <c r="K5" s="15"/>
      <c r="L5" s="15"/>
      <c r="M5" s="15"/>
      <c r="N5" s="15"/>
      <c r="O5" s="15"/>
      <c r="P5" s="15"/>
      <c r="Q5" s="15"/>
      <c r="R5" s="15"/>
      <c r="S5" s="15"/>
      <c r="T5" s="15"/>
      <c r="U5" s="15"/>
      <c r="V5" s="15"/>
      <c r="W5" s="15"/>
      <c r="X5" s="15"/>
      <c r="Y5" s="15"/>
      <c r="Z5" s="15"/>
    </row>
    <row r="6" spans="1:26" ht="15" x14ac:dyDescent="0.25">
      <c r="A6" s="15"/>
      <c r="B6" s="15"/>
      <c r="C6" s="29" t="s">
        <v>142</v>
      </c>
      <c r="D6" s="15"/>
      <c r="E6" s="15"/>
      <c r="F6" s="15"/>
      <c r="G6" s="15"/>
      <c r="H6" s="15"/>
      <c r="I6" s="15"/>
      <c r="J6" s="15"/>
      <c r="K6" s="15"/>
      <c r="L6" s="15"/>
      <c r="M6" s="15"/>
      <c r="N6" s="15"/>
      <c r="O6" s="15"/>
      <c r="P6" s="15"/>
      <c r="Q6" s="15"/>
      <c r="R6" s="15"/>
      <c r="S6" s="15"/>
      <c r="T6" s="15"/>
      <c r="U6" s="15"/>
      <c r="V6" s="15"/>
      <c r="W6" s="15"/>
      <c r="X6" s="15"/>
      <c r="Y6" s="15"/>
      <c r="Z6" s="15"/>
    </row>
    <row r="7" spans="1:26" ht="15" x14ac:dyDescent="0.25">
      <c r="A7" s="15"/>
      <c r="B7" s="15"/>
      <c r="C7" s="15"/>
      <c r="D7" s="15"/>
      <c r="E7" s="15"/>
      <c r="F7" s="15"/>
      <c r="G7" s="15"/>
      <c r="H7" s="15"/>
      <c r="I7" s="15"/>
      <c r="J7" s="15"/>
      <c r="K7" s="15"/>
      <c r="L7" s="15"/>
      <c r="M7" s="15"/>
      <c r="N7" s="15"/>
      <c r="O7" s="15"/>
      <c r="P7" s="15"/>
      <c r="Q7" s="15"/>
      <c r="R7" s="15"/>
      <c r="S7" s="15"/>
      <c r="T7" s="15"/>
      <c r="U7" s="15"/>
      <c r="V7" s="15"/>
      <c r="W7" s="15"/>
      <c r="X7" s="15"/>
      <c r="Y7" s="15"/>
      <c r="Z7" s="15"/>
    </row>
    <row r="8" spans="1:26" x14ac:dyDescent="0.3">
      <c r="A8" s="15"/>
      <c r="B8" s="15"/>
      <c r="C8" s="30"/>
      <c r="D8" s="31" t="s">
        <v>143</v>
      </c>
      <c r="E8" s="566" t="s">
        <v>144</v>
      </c>
      <c r="F8" s="31" t="s">
        <v>145</v>
      </c>
      <c r="G8" s="15"/>
      <c r="H8" s="15"/>
      <c r="I8" s="15"/>
      <c r="J8" s="15"/>
      <c r="K8" s="15"/>
      <c r="L8" s="15"/>
      <c r="M8" s="15"/>
      <c r="N8" s="15"/>
      <c r="O8" s="15"/>
      <c r="P8" s="15"/>
      <c r="Q8" s="15"/>
      <c r="R8" s="15"/>
      <c r="S8" s="15"/>
      <c r="T8" s="15"/>
      <c r="U8" s="15"/>
      <c r="V8" s="15"/>
      <c r="W8" s="15"/>
      <c r="X8" s="15"/>
      <c r="Y8" s="15"/>
      <c r="Z8" s="15"/>
    </row>
    <row r="9" spans="1:26" x14ac:dyDescent="0.3">
      <c r="A9" s="15"/>
      <c r="B9" s="15"/>
      <c r="C9" s="32"/>
      <c r="D9" s="33" t="s">
        <v>146</v>
      </c>
      <c r="E9" s="567"/>
      <c r="F9" s="33" t="s">
        <v>42</v>
      </c>
      <c r="G9" s="15"/>
      <c r="H9" s="15"/>
      <c r="I9" s="15"/>
      <c r="J9" s="15"/>
      <c r="K9" s="15"/>
      <c r="L9" s="15"/>
      <c r="M9" s="15"/>
      <c r="N9" s="15"/>
      <c r="O9" s="15"/>
      <c r="P9" s="15"/>
      <c r="Q9" s="15"/>
      <c r="R9" s="15"/>
      <c r="S9" s="15"/>
      <c r="T9" s="15"/>
      <c r="U9" s="15"/>
      <c r="V9" s="15"/>
      <c r="W9" s="15"/>
      <c r="X9" s="15"/>
      <c r="Y9" s="15"/>
      <c r="Z9" s="15"/>
    </row>
    <row r="10" spans="1:26" x14ac:dyDescent="0.3">
      <c r="A10" s="15"/>
      <c r="B10" s="15"/>
      <c r="C10" s="34"/>
      <c r="D10" s="35" t="s">
        <v>147</v>
      </c>
      <c r="E10" s="568"/>
      <c r="F10" s="35" t="s">
        <v>2</v>
      </c>
      <c r="G10" s="15"/>
      <c r="H10" s="15"/>
      <c r="I10" s="15"/>
      <c r="J10" s="15"/>
      <c r="K10" s="15"/>
      <c r="L10" s="15"/>
      <c r="M10" s="15"/>
      <c r="N10" s="15"/>
      <c r="O10" s="15"/>
      <c r="P10" s="15"/>
      <c r="Q10" s="15"/>
      <c r="R10" s="15"/>
      <c r="S10" s="15"/>
      <c r="T10" s="15"/>
      <c r="U10" s="15"/>
      <c r="V10" s="15"/>
      <c r="W10" s="15"/>
      <c r="X10" s="15"/>
      <c r="Y10" s="15"/>
      <c r="Z10" s="15"/>
    </row>
    <row r="11" spans="1:26" ht="15" x14ac:dyDescent="0.25">
      <c r="A11" s="15"/>
      <c r="B11" s="15"/>
      <c r="C11" s="28" t="s">
        <v>78</v>
      </c>
      <c r="D11" s="36"/>
      <c r="E11" s="36"/>
      <c r="F11" s="37"/>
      <c r="G11" s="15"/>
      <c r="H11" s="15"/>
      <c r="I11" s="15"/>
      <c r="J11" s="15"/>
      <c r="K11" s="15"/>
      <c r="L11" s="15"/>
      <c r="M11" s="15"/>
      <c r="N11" s="15"/>
      <c r="O11" s="15"/>
      <c r="P11" s="15"/>
      <c r="Q11" s="15"/>
      <c r="R11" s="15"/>
      <c r="S11" s="15"/>
      <c r="T11" s="15"/>
      <c r="U11" s="15"/>
      <c r="V11" s="15"/>
      <c r="W11" s="15"/>
      <c r="X11" s="15"/>
      <c r="Y11" s="15"/>
      <c r="Z11" s="15"/>
    </row>
    <row r="12" spans="1:26" ht="15" x14ac:dyDescent="0.25">
      <c r="A12" s="15"/>
      <c r="B12" s="15"/>
      <c r="C12" s="28" t="s">
        <v>148</v>
      </c>
      <c r="D12" s="36"/>
      <c r="E12" s="36"/>
      <c r="F12" s="36"/>
      <c r="G12" s="15"/>
      <c r="H12" s="15"/>
      <c r="I12" s="15"/>
      <c r="J12" s="15"/>
      <c r="K12" s="15"/>
      <c r="L12" s="15"/>
      <c r="M12" s="15"/>
      <c r="N12" s="15"/>
      <c r="O12" s="15"/>
      <c r="P12" s="15"/>
      <c r="Q12" s="15"/>
      <c r="R12" s="15"/>
      <c r="S12" s="15"/>
      <c r="T12" s="15"/>
      <c r="U12" s="15"/>
      <c r="V12" s="15"/>
      <c r="W12" s="15"/>
      <c r="X12" s="15"/>
      <c r="Y12" s="15"/>
      <c r="Z12" s="15"/>
    </row>
    <row r="13" spans="1:26" ht="15" x14ac:dyDescent="0.25">
      <c r="A13" s="15"/>
      <c r="B13" s="15"/>
      <c r="C13" s="26"/>
      <c r="D13" s="15"/>
      <c r="E13" s="15"/>
      <c r="F13" s="15"/>
      <c r="G13" s="15"/>
      <c r="H13" s="15"/>
      <c r="I13" s="15"/>
      <c r="J13" s="15"/>
      <c r="K13" s="15"/>
      <c r="L13" s="15"/>
      <c r="M13" s="15"/>
      <c r="N13" s="15"/>
      <c r="O13" s="15"/>
      <c r="P13" s="15"/>
      <c r="Q13" s="15"/>
      <c r="R13" s="15"/>
      <c r="S13" s="15"/>
      <c r="T13" s="15"/>
      <c r="U13" s="15"/>
      <c r="V13" s="15"/>
      <c r="W13" s="15"/>
      <c r="X13" s="15"/>
      <c r="Y13" s="15"/>
      <c r="Z13" s="15"/>
    </row>
    <row r="14" spans="1:26" ht="15" x14ac:dyDescent="0.25">
      <c r="A14" s="15"/>
      <c r="B14" s="28" t="s">
        <v>149</v>
      </c>
      <c r="C14" s="13" t="s">
        <v>141</v>
      </c>
      <c r="D14" s="15"/>
      <c r="E14" s="15"/>
      <c r="F14" s="15"/>
      <c r="G14" s="15"/>
      <c r="H14" s="15"/>
      <c r="I14" s="15"/>
      <c r="J14" s="15"/>
      <c r="K14" s="15"/>
      <c r="L14" s="15"/>
      <c r="M14" s="15"/>
      <c r="N14" s="15"/>
      <c r="O14" s="15"/>
      <c r="P14" s="15"/>
      <c r="Q14" s="15"/>
      <c r="R14" s="15"/>
      <c r="S14" s="15"/>
      <c r="T14" s="15"/>
      <c r="U14" s="15"/>
      <c r="V14" s="15"/>
      <c r="W14" s="15"/>
      <c r="X14" s="15"/>
      <c r="Y14" s="15"/>
      <c r="Z14" s="15"/>
    </row>
    <row r="15" spans="1:26"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spans="1:26" x14ac:dyDescent="0.3">
      <c r="A16" s="15"/>
      <c r="B16" s="15"/>
      <c r="C16" s="30"/>
      <c r="D16" s="31" t="s">
        <v>143</v>
      </c>
      <c r="E16" s="566" t="s">
        <v>144</v>
      </c>
      <c r="F16" s="31" t="s">
        <v>145</v>
      </c>
      <c r="G16" s="15"/>
      <c r="H16" s="15"/>
      <c r="I16" s="15"/>
      <c r="J16" s="15"/>
      <c r="K16" s="15"/>
      <c r="L16" s="15"/>
      <c r="M16" s="15"/>
      <c r="N16" s="15"/>
      <c r="O16" s="15"/>
      <c r="P16" s="15"/>
      <c r="Q16" s="15"/>
      <c r="R16" s="15"/>
      <c r="S16" s="15"/>
      <c r="T16" s="15"/>
      <c r="U16" s="15"/>
      <c r="V16" s="15"/>
      <c r="W16" s="15"/>
      <c r="X16" s="15"/>
      <c r="Y16" s="15"/>
      <c r="Z16" s="15"/>
    </row>
    <row r="17" spans="1:26" x14ac:dyDescent="0.3">
      <c r="A17" s="15"/>
      <c r="B17" s="15"/>
      <c r="C17" s="32"/>
      <c r="D17" s="33" t="s">
        <v>146</v>
      </c>
      <c r="E17" s="567"/>
      <c r="F17" s="33" t="s">
        <v>42</v>
      </c>
      <c r="G17" s="15"/>
      <c r="H17" s="15"/>
      <c r="I17" s="15"/>
      <c r="J17" s="15"/>
      <c r="K17" s="15"/>
      <c r="L17" s="15"/>
      <c r="M17" s="15"/>
      <c r="N17" s="15"/>
      <c r="O17" s="15"/>
      <c r="P17" s="15"/>
      <c r="Q17" s="15"/>
      <c r="R17" s="15"/>
      <c r="S17" s="15"/>
      <c r="T17" s="15"/>
      <c r="U17" s="15"/>
      <c r="V17" s="15"/>
      <c r="W17" s="15"/>
      <c r="X17" s="15"/>
      <c r="Y17" s="15"/>
      <c r="Z17" s="15"/>
    </row>
    <row r="18" spans="1:26" x14ac:dyDescent="0.3">
      <c r="A18" s="15"/>
      <c r="B18" s="15"/>
      <c r="C18" s="34"/>
      <c r="D18" s="35" t="s">
        <v>147</v>
      </c>
      <c r="E18" s="568"/>
      <c r="F18" s="35" t="s">
        <v>2</v>
      </c>
      <c r="G18" s="15"/>
      <c r="H18" s="15"/>
      <c r="I18" s="15"/>
      <c r="J18" s="15"/>
      <c r="K18" s="15"/>
      <c r="L18" s="15"/>
      <c r="M18" s="15"/>
      <c r="N18" s="15"/>
      <c r="O18" s="15"/>
      <c r="P18" s="15"/>
      <c r="Q18" s="15"/>
      <c r="R18" s="15"/>
      <c r="S18" s="15"/>
      <c r="T18" s="15"/>
      <c r="U18" s="15"/>
      <c r="V18" s="15"/>
      <c r="W18" s="15"/>
      <c r="X18" s="15"/>
      <c r="Y18" s="15"/>
      <c r="Z18" s="15"/>
    </row>
    <row r="19" spans="1:26" ht="15" x14ac:dyDescent="0.25">
      <c r="A19" s="15"/>
      <c r="B19" s="15"/>
      <c r="C19" s="28" t="s">
        <v>86</v>
      </c>
      <c r="D19" s="36"/>
      <c r="E19" s="36"/>
      <c r="F19" s="36"/>
      <c r="G19" s="15"/>
      <c r="H19" s="15"/>
      <c r="I19" s="15"/>
      <c r="J19" s="15"/>
      <c r="K19" s="15"/>
      <c r="L19" s="15"/>
      <c r="M19" s="15"/>
      <c r="N19" s="15"/>
      <c r="O19" s="15"/>
      <c r="P19" s="15"/>
      <c r="Q19" s="15"/>
      <c r="R19" s="15"/>
      <c r="S19" s="15"/>
      <c r="T19" s="15"/>
      <c r="U19" s="15"/>
      <c r="V19" s="15"/>
      <c r="W19" s="15"/>
      <c r="X19" s="15"/>
      <c r="Y19" s="15"/>
      <c r="Z19" s="15"/>
    </row>
    <row r="20" spans="1:26" ht="15" x14ac:dyDescent="0.25">
      <c r="A20" s="15"/>
      <c r="B20" s="15"/>
      <c r="C20" s="28" t="s">
        <v>150</v>
      </c>
      <c r="D20" s="36"/>
      <c r="E20" s="36"/>
      <c r="F20" s="36"/>
      <c r="G20" s="15"/>
      <c r="H20" s="15"/>
      <c r="I20" s="15"/>
      <c r="J20" s="15"/>
      <c r="K20" s="15"/>
      <c r="L20" s="15"/>
      <c r="M20" s="15"/>
      <c r="N20" s="15"/>
      <c r="O20" s="15"/>
      <c r="P20" s="15"/>
      <c r="Q20" s="15"/>
      <c r="R20" s="15"/>
      <c r="S20" s="15"/>
      <c r="T20" s="15"/>
      <c r="U20" s="15"/>
      <c r="V20" s="15"/>
      <c r="W20" s="15"/>
      <c r="X20" s="15"/>
      <c r="Y20" s="15"/>
      <c r="Z20" s="15"/>
    </row>
    <row r="21" spans="1:26" ht="15" x14ac:dyDescent="0.25">
      <c r="A21" s="15"/>
      <c r="B21" s="15"/>
      <c r="C21" s="26"/>
      <c r="D21" s="15"/>
      <c r="E21" s="15"/>
      <c r="F21" s="15"/>
      <c r="G21" s="15"/>
      <c r="H21" s="15"/>
      <c r="I21" s="15"/>
      <c r="J21" s="15"/>
      <c r="K21" s="15"/>
      <c r="L21" s="15"/>
      <c r="M21" s="15"/>
      <c r="N21" s="15"/>
      <c r="O21" s="15"/>
      <c r="P21" s="15"/>
      <c r="Q21" s="15"/>
      <c r="R21" s="15"/>
      <c r="S21" s="15"/>
      <c r="T21" s="15"/>
      <c r="U21" s="15"/>
      <c r="V21" s="15"/>
      <c r="W21" s="15"/>
      <c r="X21" s="15"/>
      <c r="Y21" s="15"/>
      <c r="Z21" s="15"/>
    </row>
    <row r="22" spans="1:26" ht="15" x14ac:dyDescent="0.25">
      <c r="A22" s="15"/>
      <c r="B22" s="28" t="s">
        <v>151</v>
      </c>
      <c r="C22" s="13" t="s">
        <v>141</v>
      </c>
      <c r="D22" s="15"/>
      <c r="E22" s="15"/>
      <c r="F22" s="15"/>
      <c r="G22" s="15"/>
      <c r="H22" s="15"/>
      <c r="I22" s="15"/>
      <c r="J22" s="15"/>
      <c r="K22" s="15"/>
      <c r="L22" s="15"/>
      <c r="M22" s="15"/>
      <c r="N22" s="15"/>
      <c r="O22" s="15"/>
      <c r="P22" s="15"/>
      <c r="Q22" s="15"/>
      <c r="R22" s="15"/>
      <c r="S22" s="15"/>
      <c r="T22" s="15"/>
      <c r="U22" s="15"/>
      <c r="V22" s="15"/>
      <c r="W22" s="15"/>
      <c r="X22" s="15"/>
      <c r="Y22" s="15"/>
      <c r="Z22" s="15"/>
    </row>
    <row r="23" spans="1:26"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x14ac:dyDescent="0.3">
      <c r="A24" s="15"/>
      <c r="B24" s="15"/>
      <c r="C24" s="30"/>
      <c r="D24" s="31" t="s">
        <v>143</v>
      </c>
      <c r="E24" s="566" t="s">
        <v>144</v>
      </c>
      <c r="F24" s="31" t="s">
        <v>145</v>
      </c>
      <c r="G24" s="15"/>
      <c r="H24" s="15"/>
      <c r="I24" s="15"/>
      <c r="J24" s="15"/>
      <c r="K24" s="15"/>
      <c r="L24" s="15"/>
      <c r="M24" s="15"/>
      <c r="N24" s="15"/>
      <c r="O24" s="15"/>
      <c r="P24" s="15"/>
      <c r="Q24" s="15"/>
      <c r="R24" s="15"/>
      <c r="S24" s="15"/>
      <c r="T24" s="15"/>
      <c r="U24" s="15"/>
      <c r="V24" s="15"/>
      <c r="W24" s="15"/>
      <c r="X24" s="15"/>
      <c r="Y24" s="15"/>
      <c r="Z24" s="15"/>
    </row>
    <row r="25" spans="1:26" x14ac:dyDescent="0.3">
      <c r="A25" s="15"/>
      <c r="B25" s="15"/>
      <c r="C25" s="32"/>
      <c r="D25" s="33" t="s">
        <v>146</v>
      </c>
      <c r="E25" s="567"/>
      <c r="F25" s="33" t="s">
        <v>42</v>
      </c>
      <c r="G25" s="15"/>
      <c r="H25" s="15"/>
      <c r="I25" s="15"/>
      <c r="J25" s="15"/>
      <c r="K25" s="15"/>
      <c r="L25" s="15"/>
      <c r="M25" s="15"/>
      <c r="N25" s="15"/>
      <c r="O25" s="15"/>
      <c r="P25" s="15"/>
      <c r="Q25" s="15"/>
      <c r="R25" s="15"/>
      <c r="S25" s="15"/>
      <c r="T25" s="15"/>
      <c r="U25" s="15"/>
      <c r="V25" s="15"/>
      <c r="W25" s="15"/>
      <c r="X25" s="15"/>
      <c r="Y25" s="15"/>
      <c r="Z25" s="15"/>
    </row>
    <row r="26" spans="1:26" x14ac:dyDescent="0.3">
      <c r="A26" s="15"/>
      <c r="B26" s="15"/>
      <c r="C26" s="34"/>
      <c r="D26" s="35" t="s">
        <v>147</v>
      </c>
      <c r="E26" s="568"/>
      <c r="F26" s="35" t="s">
        <v>2</v>
      </c>
      <c r="G26" s="15"/>
      <c r="H26" s="15"/>
      <c r="I26" s="15"/>
      <c r="J26" s="15"/>
      <c r="K26" s="15"/>
      <c r="L26" s="15"/>
      <c r="M26" s="15"/>
      <c r="N26" s="15"/>
      <c r="O26" s="15"/>
      <c r="P26" s="15"/>
      <c r="Q26" s="15"/>
      <c r="R26" s="15"/>
      <c r="S26" s="15"/>
      <c r="T26" s="15"/>
      <c r="U26" s="15"/>
      <c r="V26" s="15"/>
      <c r="W26" s="15"/>
      <c r="X26" s="15"/>
      <c r="Y26" s="15"/>
      <c r="Z26" s="15"/>
    </row>
    <row r="27" spans="1:26" ht="15" x14ac:dyDescent="0.25">
      <c r="A27" s="15"/>
      <c r="B27" s="15"/>
      <c r="C27" s="28" t="s">
        <v>152</v>
      </c>
      <c r="D27" s="36"/>
      <c r="E27" s="36"/>
      <c r="F27" s="36"/>
      <c r="G27" s="15"/>
      <c r="H27" s="15"/>
      <c r="I27" s="15"/>
      <c r="J27" s="15"/>
      <c r="K27" s="15"/>
      <c r="L27" s="15"/>
      <c r="M27" s="15"/>
      <c r="N27" s="15"/>
      <c r="O27" s="15"/>
      <c r="P27" s="15"/>
      <c r="Q27" s="15"/>
      <c r="R27" s="15"/>
      <c r="S27" s="15"/>
      <c r="T27" s="15"/>
      <c r="U27" s="15"/>
      <c r="V27" s="15"/>
      <c r="W27" s="15"/>
      <c r="X27" s="15"/>
      <c r="Y27" s="15"/>
      <c r="Z27" s="15"/>
    </row>
    <row r="28" spans="1:26" ht="15" x14ac:dyDescent="0.25">
      <c r="A28" s="15"/>
      <c r="B28" s="15"/>
      <c r="C28" s="28" t="s">
        <v>153</v>
      </c>
      <c r="D28" s="36"/>
      <c r="E28" s="36"/>
      <c r="F28" s="36"/>
      <c r="G28" s="15"/>
      <c r="H28" s="15"/>
      <c r="I28" s="15"/>
      <c r="J28" s="15"/>
      <c r="K28" s="15"/>
      <c r="L28" s="15"/>
      <c r="M28" s="15"/>
      <c r="N28" s="15"/>
      <c r="O28" s="15"/>
      <c r="P28" s="15"/>
      <c r="Q28" s="15"/>
      <c r="R28" s="15"/>
      <c r="S28" s="15"/>
      <c r="T28" s="15"/>
      <c r="U28" s="15"/>
      <c r="V28" s="15"/>
      <c r="W28" s="15"/>
      <c r="X28" s="15"/>
      <c r="Y28" s="15"/>
      <c r="Z28" s="15"/>
    </row>
    <row r="29" spans="1:26" ht="15" x14ac:dyDescent="0.25">
      <c r="A29" s="15"/>
      <c r="B29" s="15"/>
      <c r="C29" s="28" t="s">
        <v>154</v>
      </c>
      <c r="D29" s="36"/>
      <c r="E29" s="36"/>
      <c r="F29" s="36"/>
      <c r="G29" s="15"/>
      <c r="H29" s="15"/>
      <c r="I29" s="15"/>
      <c r="J29" s="15"/>
      <c r="K29" s="15"/>
      <c r="L29" s="15"/>
      <c r="M29" s="15"/>
      <c r="N29" s="15"/>
      <c r="O29" s="15"/>
      <c r="P29" s="15"/>
      <c r="Q29" s="15"/>
      <c r="R29" s="15"/>
      <c r="S29" s="15"/>
      <c r="T29" s="15"/>
      <c r="U29" s="15"/>
      <c r="V29" s="15"/>
      <c r="W29" s="15"/>
      <c r="X29" s="15"/>
      <c r="Y29" s="15"/>
      <c r="Z29" s="15"/>
    </row>
    <row r="30" spans="1:26" ht="15" x14ac:dyDescent="0.25">
      <c r="A30" s="15"/>
      <c r="B30" s="15"/>
      <c r="C30" s="28" t="s">
        <v>155</v>
      </c>
      <c r="D30" s="36"/>
      <c r="E30" s="36"/>
      <c r="F30" s="36"/>
      <c r="G30" s="15"/>
      <c r="H30" s="15"/>
      <c r="I30" s="15"/>
      <c r="J30" s="15"/>
      <c r="K30" s="15"/>
      <c r="L30" s="15"/>
      <c r="M30" s="15"/>
      <c r="N30" s="15"/>
      <c r="O30" s="15"/>
      <c r="P30" s="15"/>
      <c r="Q30" s="15"/>
      <c r="R30" s="15"/>
      <c r="S30" s="15"/>
      <c r="T30" s="15"/>
      <c r="U30" s="15"/>
      <c r="V30" s="15"/>
      <c r="W30" s="15"/>
      <c r="X30" s="15"/>
      <c r="Y30" s="15"/>
      <c r="Z30" s="15"/>
    </row>
    <row r="31" spans="1:26" ht="15" x14ac:dyDescent="0.25">
      <c r="A31" s="15"/>
      <c r="B31" s="15"/>
      <c r="C31" s="28" t="s">
        <v>156</v>
      </c>
      <c r="D31" s="36"/>
      <c r="E31" s="36"/>
      <c r="F31" s="36"/>
      <c r="G31" s="15"/>
      <c r="H31" s="15"/>
      <c r="I31" s="15"/>
      <c r="J31" s="15"/>
      <c r="K31" s="15"/>
      <c r="L31" s="15"/>
      <c r="M31" s="15"/>
      <c r="N31" s="15"/>
      <c r="O31" s="15"/>
      <c r="P31" s="15"/>
      <c r="Q31" s="15"/>
      <c r="R31" s="15"/>
      <c r="S31" s="15"/>
      <c r="T31" s="15"/>
      <c r="U31" s="15"/>
      <c r="V31" s="15"/>
      <c r="W31" s="15"/>
      <c r="X31" s="15"/>
      <c r="Y31" s="15"/>
      <c r="Z31" s="15"/>
    </row>
    <row r="32" spans="1:26" ht="15" x14ac:dyDescent="0.25">
      <c r="A32" s="15"/>
      <c r="B32" s="15"/>
      <c r="C32" s="28"/>
      <c r="D32" s="15"/>
      <c r="E32" s="15"/>
      <c r="F32" s="15"/>
      <c r="G32" s="15"/>
      <c r="H32" s="15"/>
      <c r="I32" s="15"/>
      <c r="J32" s="15"/>
      <c r="K32" s="15"/>
      <c r="L32" s="15"/>
      <c r="M32" s="15"/>
      <c r="N32" s="15"/>
      <c r="O32" s="15"/>
      <c r="P32" s="15"/>
      <c r="Q32" s="15"/>
      <c r="R32" s="15"/>
      <c r="S32" s="15"/>
      <c r="T32" s="15"/>
      <c r="U32" s="15"/>
      <c r="V32" s="15"/>
      <c r="W32" s="15"/>
      <c r="X32" s="15"/>
      <c r="Y32" s="15"/>
      <c r="Z32" s="15"/>
    </row>
    <row r="33" spans="1:26" ht="15" x14ac:dyDescent="0.25">
      <c r="A33" s="15"/>
      <c r="B33" s="28" t="s">
        <v>88</v>
      </c>
      <c r="C33" s="13" t="s">
        <v>141</v>
      </c>
      <c r="D33" s="15"/>
      <c r="E33" s="29"/>
      <c r="F33" s="15"/>
      <c r="G33" s="15"/>
      <c r="H33" s="15"/>
      <c r="I33" s="15"/>
      <c r="J33" s="15"/>
      <c r="K33" s="15"/>
      <c r="L33" s="15"/>
      <c r="M33" s="15"/>
      <c r="N33" s="15"/>
      <c r="O33" s="15"/>
      <c r="P33" s="15"/>
      <c r="Q33" s="15"/>
      <c r="R33" s="15"/>
      <c r="S33" s="15"/>
      <c r="T33" s="15"/>
      <c r="U33" s="15"/>
      <c r="V33" s="15"/>
      <c r="W33" s="15"/>
      <c r="X33" s="15"/>
      <c r="Y33" s="15"/>
      <c r="Z33" s="15"/>
    </row>
    <row r="34" spans="1:26" x14ac:dyDescent="0.3">
      <c r="A34" s="15"/>
      <c r="B34" s="26"/>
      <c r="C34" s="26"/>
      <c r="D34" s="15"/>
      <c r="E34" s="29"/>
      <c r="F34" s="15"/>
      <c r="G34" s="15"/>
      <c r="H34" s="15"/>
      <c r="I34" s="15"/>
      <c r="J34" s="15"/>
      <c r="K34" s="15"/>
      <c r="L34" s="15"/>
      <c r="M34" s="15"/>
      <c r="N34" s="15"/>
      <c r="O34" s="15"/>
      <c r="P34" s="15"/>
      <c r="Q34" s="15"/>
      <c r="R34" s="15"/>
      <c r="S34" s="15"/>
      <c r="T34" s="15"/>
      <c r="U34" s="15"/>
      <c r="V34" s="15"/>
      <c r="W34" s="15"/>
      <c r="X34" s="15"/>
      <c r="Y34" s="15"/>
      <c r="Z34" s="15"/>
    </row>
    <row r="35" spans="1:26" x14ac:dyDescent="0.3">
      <c r="A35" s="15"/>
      <c r="B35" s="28" t="s">
        <v>157</v>
      </c>
      <c r="C35" s="38"/>
      <c r="D35" s="15" t="s">
        <v>2</v>
      </c>
      <c r="E35" s="29"/>
      <c r="F35" s="15"/>
      <c r="G35" s="15"/>
      <c r="H35" s="15"/>
      <c r="I35" s="15"/>
      <c r="J35" s="15"/>
      <c r="K35" s="15"/>
      <c r="L35" s="15"/>
      <c r="M35" s="15"/>
      <c r="N35" s="15"/>
      <c r="O35" s="15"/>
      <c r="P35" s="15"/>
      <c r="Q35" s="15"/>
      <c r="R35" s="15"/>
      <c r="S35" s="15"/>
      <c r="T35" s="15"/>
      <c r="U35" s="15"/>
      <c r="V35" s="15"/>
      <c r="W35" s="15"/>
      <c r="X35" s="15"/>
      <c r="Y35" s="15"/>
      <c r="Z35" s="15"/>
    </row>
    <row r="36" spans="1:26" x14ac:dyDescent="0.3">
      <c r="A36" s="15"/>
      <c r="B36" s="39" t="s">
        <v>158</v>
      </c>
      <c r="C36" s="37"/>
      <c r="D36" s="15" t="s">
        <v>159</v>
      </c>
      <c r="E36" s="29"/>
      <c r="F36" s="15"/>
      <c r="G36" s="15"/>
      <c r="H36" s="15"/>
      <c r="I36" s="15"/>
      <c r="J36" s="15"/>
      <c r="K36" s="15"/>
      <c r="L36" s="15"/>
      <c r="M36" s="15"/>
      <c r="N36" s="15"/>
      <c r="O36" s="15"/>
      <c r="P36" s="15"/>
      <c r="Q36" s="15"/>
      <c r="R36" s="15"/>
      <c r="S36" s="15"/>
      <c r="T36" s="15"/>
      <c r="U36" s="15"/>
      <c r="V36" s="15"/>
      <c r="W36" s="15"/>
      <c r="X36" s="15"/>
      <c r="Y36" s="15"/>
      <c r="Z36" s="15"/>
    </row>
    <row r="37" spans="1:26" x14ac:dyDescent="0.3">
      <c r="A37" s="15"/>
      <c r="B37" s="26"/>
      <c r="C37" s="40"/>
      <c r="D37" s="15"/>
      <c r="E37" s="29"/>
      <c r="F37" s="15"/>
      <c r="G37" s="15"/>
      <c r="H37" s="15"/>
      <c r="I37" s="15"/>
      <c r="J37" s="15"/>
      <c r="K37" s="15"/>
      <c r="L37" s="15"/>
      <c r="M37" s="15"/>
      <c r="N37" s="15"/>
      <c r="O37" s="15"/>
      <c r="P37" s="15"/>
      <c r="Q37" s="15"/>
      <c r="R37" s="15"/>
      <c r="S37" s="15"/>
      <c r="T37" s="15"/>
      <c r="U37" s="15"/>
      <c r="V37" s="15"/>
      <c r="W37" s="15"/>
      <c r="X37" s="15"/>
      <c r="Y37" s="15"/>
      <c r="Z37" s="15"/>
    </row>
    <row r="38" spans="1:26" x14ac:dyDescent="0.3">
      <c r="A38" s="15"/>
      <c r="B38" s="28" t="s">
        <v>160</v>
      </c>
      <c r="C38" s="13" t="s">
        <v>141</v>
      </c>
      <c r="D38" s="15"/>
      <c r="E38" s="29"/>
      <c r="F38" s="15"/>
      <c r="G38" s="15"/>
      <c r="H38" s="15"/>
      <c r="I38" s="15"/>
      <c r="J38" s="15"/>
      <c r="K38" s="15"/>
      <c r="L38" s="15"/>
      <c r="M38" s="15"/>
      <c r="N38" s="15"/>
      <c r="O38" s="15"/>
      <c r="P38" s="15"/>
      <c r="Q38" s="15"/>
      <c r="R38" s="15"/>
      <c r="S38" s="15"/>
      <c r="T38" s="15"/>
      <c r="U38" s="15"/>
      <c r="V38" s="15"/>
      <c r="W38" s="15"/>
      <c r="X38" s="15"/>
      <c r="Y38" s="15"/>
      <c r="Z38" s="15"/>
    </row>
    <row r="39" spans="1:26" x14ac:dyDescent="0.3">
      <c r="A39" s="15"/>
      <c r="B39" s="28" t="s">
        <v>121</v>
      </c>
      <c r="C39" s="13" t="s">
        <v>141</v>
      </c>
      <c r="D39" s="15"/>
      <c r="E39" s="29"/>
      <c r="F39" s="15"/>
      <c r="G39" s="15"/>
      <c r="H39" s="15"/>
      <c r="I39" s="15"/>
      <c r="J39" s="15"/>
      <c r="K39" s="15"/>
      <c r="L39" s="15"/>
      <c r="M39" s="15"/>
      <c r="N39" s="15"/>
      <c r="O39" s="15"/>
      <c r="P39" s="15"/>
      <c r="Q39" s="15"/>
      <c r="R39" s="15"/>
      <c r="S39" s="15"/>
      <c r="T39" s="15"/>
      <c r="U39" s="15"/>
      <c r="V39" s="15"/>
      <c r="W39" s="15"/>
      <c r="X39" s="15"/>
      <c r="Y39" s="15"/>
      <c r="Z39" s="15"/>
    </row>
    <row r="40" spans="1:26" x14ac:dyDescent="0.3">
      <c r="A40" s="15"/>
      <c r="B40" s="41"/>
      <c r="C40" s="26"/>
      <c r="D40" s="15"/>
      <c r="E40" s="29"/>
      <c r="F40" s="15"/>
      <c r="G40" s="15"/>
      <c r="H40" s="15"/>
      <c r="I40" s="15"/>
      <c r="J40" s="15"/>
      <c r="K40" s="15"/>
      <c r="L40" s="15"/>
      <c r="M40" s="15"/>
      <c r="N40" s="15"/>
      <c r="O40" s="15"/>
      <c r="P40" s="15"/>
      <c r="Q40" s="15"/>
      <c r="R40" s="15"/>
      <c r="S40" s="15"/>
      <c r="T40" s="15"/>
      <c r="U40" s="15"/>
      <c r="V40" s="15"/>
      <c r="W40" s="15"/>
      <c r="X40" s="15"/>
      <c r="Y40" s="15"/>
      <c r="Z40" s="15"/>
    </row>
    <row r="41" spans="1:26" x14ac:dyDescent="0.3">
      <c r="A41" s="15"/>
      <c r="B41" s="15"/>
      <c r="C41" s="29" t="s">
        <v>161</v>
      </c>
      <c r="D41" s="15"/>
      <c r="E41" s="15"/>
      <c r="F41" s="15"/>
      <c r="G41" s="15"/>
      <c r="H41" s="15"/>
      <c r="I41" s="15"/>
      <c r="J41" s="15"/>
      <c r="K41" s="15"/>
      <c r="L41" s="15"/>
      <c r="M41" s="15"/>
      <c r="N41" s="15"/>
      <c r="O41" s="15"/>
      <c r="P41" s="15"/>
      <c r="Q41" s="15"/>
      <c r="R41" s="15"/>
      <c r="S41" s="15"/>
      <c r="T41" s="15"/>
      <c r="U41" s="15"/>
      <c r="V41" s="15"/>
      <c r="W41" s="15"/>
      <c r="X41" s="15"/>
      <c r="Y41" s="15"/>
      <c r="Z41" s="15"/>
    </row>
    <row r="42" spans="1:26" x14ac:dyDescent="0.3">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x14ac:dyDescent="0.3">
      <c r="A43" s="15"/>
      <c r="B43" s="15"/>
      <c r="C43" s="30"/>
      <c r="D43" s="30" t="s">
        <v>162</v>
      </c>
      <c r="E43" s="30" t="s">
        <v>163</v>
      </c>
      <c r="F43" s="30" t="s">
        <v>164</v>
      </c>
      <c r="G43" s="30" t="s">
        <v>165</v>
      </c>
      <c r="H43" s="30" t="s">
        <v>166</v>
      </c>
      <c r="I43" s="30" t="s">
        <v>865</v>
      </c>
      <c r="J43" s="30" t="s">
        <v>167</v>
      </c>
      <c r="K43" s="30" t="s">
        <v>13</v>
      </c>
      <c r="L43" s="31" t="s">
        <v>168</v>
      </c>
      <c r="M43" s="31" t="s">
        <v>647</v>
      </c>
      <c r="N43" s="31" t="s">
        <v>342</v>
      </c>
      <c r="O43" s="31" t="s">
        <v>18</v>
      </c>
      <c r="P43" s="15"/>
      <c r="Q43" s="15"/>
      <c r="R43" s="15"/>
      <c r="S43" s="15"/>
      <c r="T43" s="15"/>
      <c r="U43" s="15"/>
      <c r="V43" s="15"/>
      <c r="W43" s="15"/>
      <c r="X43" s="15"/>
      <c r="Y43" s="15"/>
      <c r="Z43" s="15"/>
    </row>
    <row r="44" spans="1:26" x14ac:dyDescent="0.3">
      <c r="A44" s="15"/>
      <c r="B44" s="15"/>
      <c r="C44" s="32" t="s">
        <v>169</v>
      </c>
      <c r="D44" s="32" t="s">
        <v>170</v>
      </c>
      <c r="E44" s="32"/>
      <c r="F44" s="32" t="s">
        <v>171</v>
      </c>
      <c r="G44" s="32" t="s">
        <v>172</v>
      </c>
      <c r="H44" s="32" t="s">
        <v>173</v>
      </c>
      <c r="I44" s="32" t="s">
        <v>866</v>
      </c>
      <c r="J44" s="32"/>
      <c r="K44" s="32" t="s">
        <v>41</v>
      </c>
      <c r="L44" s="35" t="s">
        <v>174</v>
      </c>
      <c r="M44" s="35" t="s">
        <v>649</v>
      </c>
      <c r="N44" s="35" t="s">
        <v>649</v>
      </c>
      <c r="O44" s="35" t="s">
        <v>42</v>
      </c>
      <c r="P44" s="15"/>
      <c r="Q44" s="15"/>
      <c r="R44" s="15"/>
      <c r="S44" s="15"/>
      <c r="T44" s="15"/>
      <c r="U44" s="15"/>
      <c r="V44" s="15"/>
      <c r="W44" s="15"/>
      <c r="X44" s="15"/>
      <c r="Y44" s="15"/>
      <c r="Z44" s="15"/>
    </row>
    <row r="45" spans="1:26" x14ac:dyDescent="0.3">
      <c r="A45" s="15"/>
      <c r="B45" s="30"/>
      <c r="C45" s="30"/>
      <c r="D45" s="30"/>
      <c r="E45" s="30"/>
      <c r="F45" s="30"/>
      <c r="G45" s="30"/>
      <c r="H45" s="30"/>
      <c r="I45" s="30"/>
      <c r="J45" s="30"/>
      <c r="K45" s="30"/>
      <c r="L45" s="30"/>
      <c r="M45" s="30"/>
      <c r="N45" s="30"/>
      <c r="O45" s="30"/>
      <c r="P45" s="15"/>
      <c r="Q45" s="15"/>
      <c r="R45" s="15"/>
      <c r="S45" s="15"/>
      <c r="T45" s="15"/>
      <c r="U45" s="15"/>
      <c r="V45" s="15"/>
      <c r="W45" s="15"/>
      <c r="X45" s="15"/>
      <c r="Y45" s="15"/>
      <c r="Z45" s="15"/>
    </row>
    <row r="46" spans="1:26" x14ac:dyDescent="0.3">
      <c r="A46" s="15"/>
      <c r="B46" s="32" t="s">
        <v>13</v>
      </c>
      <c r="C46" s="42">
        <f t="shared" ref="C46:K46" si="0">SUM(C48:C57)</f>
        <v>0</v>
      </c>
      <c r="D46" s="42">
        <f t="shared" si="0"/>
        <v>0</v>
      </c>
      <c r="E46" s="42">
        <f t="shared" si="0"/>
        <v>0</v>
      </c>
      <c r="F46" s="42">
        <f t="shared" si="0"/>
        <v>0</v>
      </c>
      <c r="G46" s="42">
        <f t="shared" si="0"/>
        <v>0</v>
      </c>
      <c r="H46" s="42">
        <f t="shared" si="0"/>
        <v>0</v>
      </c>
      <c r="I46" s="42">
        <f t="shared" si="0"/>
        <v>0</v>
      </c>
      <c r="J46" s="42">
        <f t="shared" si="0"/>
        <v>0</v>
      </c>
      <c r="K46" s="42">
        <f t="shared" si="0"/>
        <v>0</v>
      </c>
      <c r="L46" s="42">
        <f>SUM(L48:L57)</f>
        <v>0</v>
      </c>
      <c r="M46" s="42">
        <f>SUM(M48:M57)</f>
        <v>0</v>
      </c>
      <c r="N46" s="42">
        <f>SUM(N48:N57)</f>
        <v>0</v>
      </c>
      <c r="O46" s="42">
        <f>SUM(O48:O57)</f>
        <v>0</v>
      </c>
      <c r="P46" s="15"/>
      <c r="Q46" s="15"/>
      <c r="R46" s="15"/>
      <c r="S46" s="15"/>
      <c r="T46" s="15"/>
      <c r="U46" s="15"/>
      <c r="V46" s="15"/>
      <c r="W46" s="15"/>
      <c r="X46" s="15"/>
      <c r="Y46" s="15"/>
      <c r="Z46" s="15"/>
    </row>
    <row r="47" spans="1:26" x14ac:dyDescent="0.3">
      <c r="A47" s="15"/>
      <c r="B47" s="28" t="s">
        <v>175</v>
      </c>
      <c r="C47" s="28"/>
      <c r="D47" s="28"/>
      <c r="E47" s="28"/>
      <c r="F47" s="28"/>
      <c r="G47" s="28"/>
      <c r="H47" s="28"/>
      <c r="I47" s="28"/>
      <c r="J47" s="28"/>
      <c r="K47" s="28"/>
      <c r="L47" s="28"/>
      <c r="M47" s="28"/>
      <c r="N47" s="28"/>
      <c r="O47" s="28"/>
      <c r="P47" s="15"/>
      <c r="Q47" s="15"/>
      <c r="R47" s="15"/>
      <c r="S47" s="15"/>
      <c r="T47" s="15"/>
      <c r="U47" s="15"/>
      <c r="V47" s="15"/>
      <c r="W47" s="15"/>
      <c r="X47" s="15"/>
      <c r="Y47" s="15"/>
      <c r="Z47" s="15"/>
    </row>
    <row r="48" spans="1:26" x14ac:dyDescent="0.3">
      <c r="A48" s="15"/>
      <c r="B48" s="28">
        <v>1</v>
      </c>
      <c r="C48" s="36"/>
      <c r="D48" s="502"/>
      <c r="E48" s="502"/>
      <c r="F48" s="502"/>
      <c r="G48" s="502"/>
      <c r="H48" s="502"/>
      <c r="I48" s="502"/>
      <c r="J48" s="502"/>
      <c r="K48" s="43">
        <f>SUM(C48:I48)</f>
        <v>0</v>
      </c>
      <c r="L48" s="503"/>
      <c r="M48" s="503"/>
      <c r="N48" s="503"/>
      <c r="O48" s="503"/>
      <c r="P48" s="15"/>
      <c r="Q48" s="15"/>
      <c r="R48" s="15"/>
      <c r="S48" s="15"/>
      <c r="T48" s="15"/>
      <c r="U48" s="15"/>
      <c r="V48" s="15"/>
      <c r="W48" s="15"/>
      <c r="X48" s="15"/>
      <c r="Y48" s="15"/>
      <c r="Z48" s="15"/>
    </row>
    <row r="49" spans="1:26" x14ac:dyDescent="0.3">
      <c r="A49" s="15"/>
      <c r="B49" s="28">
        <f>B48+1</f>
        <v>2</v>
      </c>
      <c r="C49" s="36"/>
      <c r="D49" s="502"/>
      <c r="E49" s="502"/>
      <c r="F49" s="502"/>
      <c r="G49" s="502"/>
      <c r="H49" s="502"/>
      <c r="I49" s="502"/>
      <c r="J49" s="502"/>
      <c r="K49" s="43">
        <f t="shared" ref="K49:K87" si="1">SUM(C49:I49)</f>
        <v>0</v>
      </c>
      <c r="L49" s="503"/>
      <c r="M49" s="503"/>
      <c r="N49" s="503"/>
      <c r="O49" s="503"/>
      <c r="P49" s="15"/>
      <c r="Q49" s="15"/>
      <c r="R49" s="15"/>
      <c r="S49" s="15"/>
      <c r="T49" s="15"/>
      <c r="U49" s="15"/>
      <c r="V49" s="15"/>
      <c r="W49" s="15"/>
      <c r="X49" s="15"/>
      <c r="Y49" s="15"/>
      <c r="Z49" s="15"/>
    </row>
    <row r="50" spans="1:26" x14ac:dyDescent="0.3">
      <c r="A50" s="15"/>
      <c r="B50" s="28">
        <f t="shared" ref="B50:B87" si="2">B49+1</f>
        <v>3</v>
      </c>
      <c r="C50" s="36"/>
      <c r="D50" s="502"/>
      <c r="E50" s="502"/>
      <c r="F50" s="502"/>
      <c r="G50" s="502"/>
      <c r="H50" s="502"/>
      <c r="I50" s="502"/>
      <c r="J50" s="502"/>
      <c r="K50" s="43">
        <f t="shared" si="1"/>
        <v>0</v>
      </c>
      <c r="L50" s="503"/>
      <c r="M50" s="503"/>
      <c r="N50" s="503"/>
      <c r="O50" s="503"/>
      <c r="P50" s="15"/>
      <c r="Q50" s="15"/>
      <c r="R50" s="15"/>
      <c r="S50" s="15"/>
      <c r="T50" s="15"/>
      <c r="U50" s="15"/>
      <c r="V50" s="15"/>
      <c r="W50" s="15"/>
      <c r="X50" s="15"/>
      <c r="Y50" s="15"/>
      <c r="Z50" s="15"/>
    </row>
    <row r="51" spans="1:26" x14ac:dyDescent="0.3">
      <c r="A51" s="15"/>
      <c r="B51" s="28">
        <f t="shared" si="2"/>
        <v>4</v>
      </c>
      <c r="C51" s="36"/>
      <c r="D51" s="502"/>
      <c r="E51" s="502"/>
      <c r="F51" s="502"/>
      <c r="G51" s="502"/>
      <c r="H51" s="502"/>
      <c r="I51" s="502"/>
      <c r="J51" s="502"/>
      <c r="K51" s="43">
        <f t="shared" si="1"/>
        <v>0</v>
      </c>
      <c r="L51" s="503"/>
      <c r="M51" s="503"/>
      <c r="N51" s="503"/>
      <c r="O51" s="503"/>
      <c r="P51" s="15"/>
      <c r="Q51" s="15"/>
      <c r="R51" s="15"/>
      <c r="S51" s="15"/>
      <c r="T51" s="15"/>
      <c r="U51" s="15"/>
      <c r="V51" s="15"/>
      <c r="W51" s="15"/>
      <c r="X51" s="15"/>
      <c r="Y51" s="15"/>
      <c r="Z51" s="15"/>
    </row>
    <row r="52" spans="1:26" x14ac:dyDescent="0.3">
      <c r="A52" s="15"/>
      <c r="B52" s="28">
        <f t="shared" si="2"/>
        <v>5</v>
      </c>
      <c r="C52" s="36"/>
      <c r="D52" s="36"/>
      <c r="E52" s="36"/>
      <c r="F52" s="36"/>
      <c r="G52" s="36"/>
      <c r="H52" s="36"/>
      <c r="I52" s="36"/>
      <c r="J52" s="36"/>
      <c r="K52" s="43">
        <f t="shared" si="1"/>
        <v>0</v>
      </c>
      <c r="L52" s="503"/>
      <c r="M52" s="503"/>
      <c r="N52" s="503"/>
      <c r="O52" s="503"/>
      <c r="P52" s="15"/>
      <c r="Q52" s="15"/>
      <c r="R52" s="15"/>
      <c r="S52" s="15"/>
      <c r="T52" s="15"/>
      <c r="U52" s="15"/>
      <c r="V52" s="15"/>
      <c r="W52" s="15"/>
      <c r="X52" s="15"/>
      <c r="Y52" s="15"/>
      <c r="Z52" s="15"/>
    </row>
    <row r="53" spans="1:26" x14ac:dyDescent="0.3">
      <c r="A53" s="15"/>
      <c r="B53" s="28">
        <f t="shared" si="2"/>
        <v>6</v>
      </c>
      <c r="C53" s="36"/>
      <c r="D53" s="36"/>
      <c r="E53" s="36"/>
      <c r="F53" s="36"/>
      <c r="G53" s="36"/>
      <c r="H53" s="36"/>
      <c r="I53" s="36"/>
      <c r="J53" s="36"/>
      <c r="K53" s="43">
        <f t="shared" si="1"/>
        <v>0</v>
      </c>
      <c r="L53" s="503"/>
      <c r="M53" s="503"/>
      <c r="N53" s="503"/>
      <c r="O53" s="503"/>
      <c r="P53" s="15"/>
      <c r="Q53" s="15"/>
      <c r="R53" s="15"/>
      <c r="S53" s="15"/>
      <c r="T53" s="15"/>
      <c r="U53" s="15"/>
      <c r="V53" s="15"/>
      <c r="W53" s="15"/>
      <c r="X53" s="15"/>
      <c r="Y53" s="15"/>
      <c r="Z53" s="15"/>
    </row>
    <row r="54" spans="1:26" x14ac:dyDescent="0.3">
      <c r="A54" s="15"/>
      <c r="B54" s="28">
        <f t="shared" si="2"/>
        <v>7</v>
      </c>
      <c r="C54" s="36"/>
      <c r="D54" s="36"/>
      <c r="E54" s="36"/>
      <c r="F54" s="36"/>
      <c r="G54" s="36"/>
      <c r="H54" s="36"/>
      <c r="I54" s="36"/>
      <c r="J54" s="36"/>
      <c r="K54" s="43">
        <f t="shared" si="1"/>
        <v>0</v>
      </c>
      <c r="L54" s="503"/>
      <c r="M54" s="503"/>
      <c r="N54" s="503"/>
      <c r="O54" s="503"/>
      <c r="P54" s="15"/>
      <c r="Q54" s="15"/>
      <c r="R54" s="15"/>
      <c r="S54" s="15"/>
      <c r="T54" s="15"/>
      <c r="U54" s="15"/>
      <c r="V54" s="15"/>
      <c r="W54" s="15"/>
      <c r="X54" s="15"/>
      <c r="Y54" s="15"/>
      <c r="Z54" s="15"/>
    </row>
    <row r="55" spans="1:26" x14ac:dyDescent="0.3">
      <c r="A55" s="15"/>
      <c r="B55" s="28">
        <f t="shared" si="2"/>
        <v>8</v>
      </c>
      <c r="C55" s="36"/>
      <c r="D55" s="36"/>
      <c r="E55" s="36"/>
      <c r="F55" s="36"/>
      <c r="G55" s="36"/>
      <c r="H55" s="36"/>
      <c r="I55" s="36"/>
      <c r="J55" s="36"/>
      <c r="K55" s="43">
        <f t="shared" si="1"/>
        <v>0</v>
      </c>
      <c r="L55" s="503"/>
      <c r="M55" s="503"/>
      <c r="N55" s="503"/>
      <c r="O55" s="503"/>
      <c r="P55" s="15"/>
      <c r="Q55" s="15"/>
      <c r="R55" s="15"/>
      <c r="S55" s="15"/>
      <c r="T55" s="15"/>
      <c r="U55" s="15"/>
      <c r="V55" s="15"/>
      <c r="W55" s="15"/>
      <c r="X55" s="15"/>
      <c r="Y55" s="15"/>
      <c r="Z55" s="15"/>
    </row>
    <row r="56" spans="1:26" x14ac:dyDescent="0.3">
      <c r="A56" s="15"/>
      <c r="B56" s="28">
        <f t="shared" si="2"/>
        <v>9</v>
      </c>
      <c r="C56" s="36"/>
      <c r="D56" s="36"/>
      <c r="E56" s="36"/>
      <c r="F56" s="36"/>
      <c r="G56" s="36"/>
      <c r="H56" s="36"/>
      <c r="I56" s="36"/>
      <c r="J56" s="36"/>
      <c r="K56" s="43">
        <f t="shared" si="1"/>
        <v>0</v>
      </c>
      <c r="L56" s="503"/>
      <c r="M56" s="503"/>
      <c r="N56" s="503"/>
      <c r="O56" s="503"/>
      <c r="P56" s="15"/>
      <c r="Q56" s="15"/>
      <c r="R56" s="15"/>
      <c r="S56" s="15"/>
      <c r="T56" s="15"/>
      <c r="U56" s="15"/>
      <c r="V56" s="15"/>
      <c r="W56" s="15"/>
      <c r="X56" s="15"/>
      <c r="Y56" s="15"/>
      <c r="Z56" s="15"/>
    </row>
    <row r="57" spans="1:26" x14ac:dyDescent="0.3">
      <c r="A57" s="15"/>
      <c r="B57" s="28">
        <f t="shared" si="2"/>
        <v>10</v>
      </c>
      <c r="C57" s="36"/>
      <c r="D57" s="36"/>
      <c r="E57" s="36"/>
      <c r="F57" s="36"/>
      <c r="G57" s="36"/>
      <c r="H57" s="36"/>
      <c r="I57" s="36"/>
      <c r="J57" s="36"/>
      <c r="K57" s="43">
        <f t="shared" si="1"/>
        <v>0</v>
      </c>
      <c r="L57" s="13"/>
      <c r="M57" s="13"/>
      <c r="N57" s="98"/>
      <c r="O57" s="13"/>
      <c r="P57" s="15"/>
      <c r="Q57" s="15"/>
      <c r="R57" s="15"/>
      <c r="S57" s="15"/>
      <c r="T57" s="15"/>
      <c r="U57" s="15"/>
      <c r="V57" s="15"/>
      <c r="W57" s="15"/>
      <c r="X57" s="15"/>
      <c r="Y57" s="15"/>
      <c r="Z57" s="15"/>
    </row>
    <row r="58" spans="1:26" x14ac:dyDescent="0.3">
      <c r="A58" s="15"/>
      <c r="B58" s="28">
        <f t="shared" si="2"/>
        <v>11</v>
      </c>
      <c r="C58" s="36"/>
      <c r="D58" s="36"/>
      <c r="E58" s="36"/>
      <c r="F58" s="36"/>
      <c r="G58" s="36"/>
      <c r="H58" s="36"/>
      <c r="I58" s="36"/>
      <c r="J58" s="36"/>
      <c r="K58" s="43">
        <f t="shared" si="1"/>
        <v>0</v>
      </c>
      <c r="L58" s="13"/>
      <c r="M58" s="13"/>
      <c r="N58" s="98"/>
      <c r="O58" s="13"/>
      <c r="P58" s="15"/>
      <c r="Q58" s="15"/>
      <c r="R58" s="15"/>
      <c r="S58" s="15"/>
      <c r="T58" s="15"/>
      <c r="U58" s="15"/>
      <c r="V58" s="15"/>
      <c r="W58" s="15"/>
      <c r="X58" s="15"/>
      <c r="Y58" s="15"/>
      <c r="Z58" s="15"/>
    </row>
    <row r="59" spans="1:26" x14ac:dyDescent="0.3">
      <c r="A59" s="15"/>
      <c r="B59" s="28">
        <f t="shared" si="2"/>
        <v>12</v>
      </c>
      <c r="C59" s="36"/>
      <c r="D59" s="36"/>
      <c r="E59" s="36"/>
      <c r="F59" s="36"/>
      <c r="G59" s="36"/>
      <c r="H59" s="36"/>
      <c r="I59" s="36"/>
      <c r="J59" s="36"/>
      <c r="K59" s="43">
        <f t="shared" si="1"/>
        <v>0</v>
      </c>
      <c r="L59" s="13"/>
      <c r="M59" s="13"/>
      <c r="N59" s="98"/>
      <c r="O59" s="13"/>
      <c r="P59" s="15"/>
      <c r="Q59" s="15"/>
      <c r="R59" s="15"/>
      <c r="S59" s="15"/>
      <c r="T59" s="15"/>
      <c r="U59" s="15"/>
      <c r="V59" s="15"/>
      <c r="W59" s="15"/>
      <c r="X59" s="15"/>
      <c r="Y59" s="15"/>
      <c r="Z59" s="15"/>
    </row>
    <row r="60" spans="1:26" x14ac:dyDescent="0.3">
      <c r="A60" s="15"/>
      <c r="B60" s="28">
        <f t="shared" si="2"/>
        <v>13</v>
      </c>
      <c r="C60" s="36"/>
      <c r="D60" s="36"/>
      <c r="E60" s="36"/>
      <c r="F60" s="36"/>
      <c r="G60" s="36"/>
      <c r="H60" s="36"/>
      <c r="I60" s="36"/>
      <c r="J60" s="36"/>
      <c r="K60" s="43">
        <f t="shared" si="1"/>
        <v>0</v>
      </c>
      <c r="L60" s="13"/>
      <c r="M60" s="13"/>
      <c r="N60" s="98"/>
      <c r="O60" s="13"/>
      <c r="P60" s="15"/>
      <c r="Q60" s="15"/>
      <c r="R60" s="15"/>
      <c r="S60" s="15"/>
      <c r="T60" s="15"/>
      <c r="U60" s="15"/>
      <c r="V60" s="15"/>
      <c r="W60" s="15"/>
      <c r="X60" s="15"/>
      <c r="Y60" s="15"/>
      <c r="Z60" s="15"/>
    </row>
    <row r="61" spans="1:26" x14ac:dyDescent="0.3">
      <c r="A61" s="15"/>
      <c r="B61" s="28">
        <f t="shared" si="2"/>
        <v>14</v>
      </c>
      <c r="C61" s="36"/>
      <c r="D61" s="36"/>
      <c r="E61" s="36"/>
      <c r="F61" s="36"/>
      <c r="G61" s="36"/>
      <c r="H61" s="36"/>
      <c r="I61" s="36"/>
      <c r="J61" s="36"/>
      <c r="K61" s="43">
        <f t="shared" si="1"/>
        <v>0</v>
      </c>
      <c r="L61" s="13"/>
      <c r="M61" s="13"/>
      <c r="N61" s="98"/>
      <c r="O61" s="13"/>
      <c r="P61" s="15"/>
      <c r="Q61" s="15"/>
      <c r="R61" s="15"/>
      <c r="S61" s="15"/>
      <c r="T61" s="15"/>
      <c r="U61" s="15"/>
      <c r="V61" s="15"/>
      <c r="W61" s="15"/>
      <c r="X61" s="15"/>
      <c r="Y61" s="15"/>
      <c r="Z61" s="15"/>
    </row>
    <row r="62" spans="1:26" x14ac:dyDescent="0.3">
      <c r="A62" s="15"/>
      <c r="B62" s="28">
        <f t="shared" si="2"/>
        <v>15</v>
      </c>
      <c r="C62" s="36"/>
      <c r="D62" s="36"/>
      <c r="E62" s="36"/>
      <c r="F62" s="36"/>
      <c r="G62" s="36"/>
      <c r="H62" s="36"/>
      <c r="I62" s="36"/>
      <c r="J62" s="36"/>
      <c r="K62" s="43">
        <f t="shared" si="1"/>
        <v>0</v>
      </c>
      <c r="L62" s="13"/>
      <c r="M62" s="13"/>
      <c r="N62" s="98"/>
      <c r="O62" s="13"/>
      <c r="P62" s="15"/>
      <c r="Q62" s="15"/>
      <c r="R62" s="15"/>
      <c r="S62" s="15"/>
      <c r="T62" s="15"/>
      <c r="U62" s="15"/>
      <c r="V62" s="15"/>
      <c r="W62" s="15"/>
      <c r="X62" s="15"/>
      <c r="Y62" s="15"/>
      <c r="Z62" s="15"/>
    </row>
    <row r="63" spans="1:26" x14ac:dyDescent="0.3">
      <c r="A63" s="15"/>
      <c r="B63" s="28">
        <f t="shared" si="2"/>
        <v>16</v>
      </c>
      <c r="C63" s="36"/>
      <c r="D63" s="36"/>
      <c r="E63" s="36"/>
      <c r="F63" s="36"/>
      <c r="G63" s="36"/>
      <c r="H63" s="36"/>
      <c r="I63" s="36"/>
      <c r="J63" s="36"/>
      <c r="K63" s="43">
        <f t="shared" si="1"/>
        <v>0</v>
      </c>
      <c r="L63" s="13"/>
      <c r="M63" s="13"/>
      <c r="N63" s="98"/>
      <c r="O63" s="13"/>
      <c r="P63" s="15"/>
      <c r="Q63" s="15"/>
      <c r="R63" s="15"/>
      <c r="S63" s="15"/>
      <c r="T63" s="15"/>
      <c r="U63" s="15"/>
      <c r="V63" s="15"/>
      <c r="W63" s="15"/>
      <c r="X63" s="15"/>
      <c r="Y63" s="15"/>
      <c r="Z63" s="15"/>
    </row>
    <row r="64" spans="1:26" x14ac:dyDescent="0.3">
      <c r="A64" s="15"/>
      <c r="B64" s="28">
        <f t="shared" si="2"/>
        <v>17</v>
      </c>
      <c r="C64" s="36"/>
      <c r="D64" s="36"/>
      <c r="E64" s="36"/>
      <c r="F64" s="36"/>
      <c r="G64" s="36"/>
      <c r="H64" s="36"/>
      <c r="I64" s="36"/>
      <c r="J64" s="36"/>
      <c r="K64" s="43">
        <f t="shared" si="1"/>
        <v>0</v>
      </c>
      <c r="L64" s="13"/>
      <c r="M64" s="13"/>
      <c r="N64" s="98"/>
      <c r="O64" s="13"/>
      <c r="P64" s="15"/>
      <c r="Q64" s="15"/>
      <c r="R64" s="15"/>
      <c r="S64" s="15"/>
      <c r="T64" s="15"/>
      <c r="U64" s="15"/>
      <c r="V64" s="15"/>
      <c r="W64" s="15"/>
      <c r="X64" s="15"/>
      <c r="Y64" s="15"/>
      <c r="Z64" s="15"/>
    </row>
    <row r="65" spans="1:26" x14ac:dyDescent="0.3">
      <c r="A65" s="15"/>
      <c r="B65" s="28">
        <f t="shared" si="2"/>
        <v>18</v>
      </c>
      <c r="C65" s="36"/>
      <c r="D65" s="36"/>
      <c r="E65" s="36"/>
      <c r="F65" s="36"/>
      <c r="G65" s="36"/>
      <c r="H65" s="36"/>
      <c r="I65" s="36"/>
      <c r="J65" s="36"/>
      <c r="K65" s="43">
        <f t="shared" si="1"/>
        <v>0</v>
      </c>
      <c r="L65" s="13"/>
      <c r="M65" s="13"/>
      <c r="N65" s="98"/>
      <c r="O65" s="13"/>
      <c r="P65" s="15"/>
      <c r="Q65" s="15"/>
      <c r="R65" s="15"/>
      <c r="S65" s="15"/>
      <c r="T65" s="15"/>
      <c r="U65" s="15"/>
      <c r="V65" s="15"/>
      <c r="W65" s="15"/>
      <c r="X65" s="15"/>
      <c r="Y65" s="15"/>
      <c r="Z65" s="15"/>
    </row>
    <row r="66" spans="1:26" x14ac:dyDescent="0.3">
      <c r="A66" s="15"/>
      <c r="B66" s="28">
        <f t="shared" si="2"/>
        <v>19</v>
      </c>
      <c r="C66" s="36"/>
      <c r="D66" s="36"/>
      <c r="E66" s="36"/>
      <c r="F66" s="36"/>
      <c r="G66" s="36"/>
      <c r="H66" s="36"/>
      <c r="I66" s="36"/>
      <c r="J66" s="36"/>
      <c r="K66" s="43">
        <f t="shared" si="1"/>
        <v>0</v>
      </c>
      <c r="L66" s="13"/>
      <c r="M66" s="13"/>
      <c r="N66" s="98"/>
      <c r="O66" s="13"/>
      <c r="P66" s="15"/>
      <c r="Q66" s="15"/>
      <c r="R66" s="15"/>
      <c r="S66" s="15"/>
      <c r="T66" s="15"/>
      <c r="U66" s="15"/>
      <c r="V66" s="15"/>
      <c r="W66" s="15"/>
      <c r="X66" s="15"/>
      <c r="Y66" s="15"/>
      <c r="Z66" s="15"/>
    </row>
    <row r="67" spans="1:26" x14ac:dyDescent="0.3">
      <c r="A67" s="15"/>
      <c r="B67" s="28">
        <f t="shared" si="2"/>
        <v>20</v>
      </c>
      <c r="C67" s="36"/>
      <c r="D67" s="36"/>
      <c r="E67" s="36"/>
      <c r="F67" s="36"/>
      <c r="G67" s="36"/>
      <c r="H67" s="36"/>
      <c r="I67" s="36"/>
      <c r="J67" s="36"/>
      <c r="K67" s="43">
        <f t="shared" si="1"/>
        <v>0</v>
      </c>
      <c r="L67" s="13"/>
      <c r="M67" s="13"/>
      <c r="N67" s="98"/>
      <c r="O67" s="13"/>
      <c r="P67" s="15"/>
      <c r="Q67" s="15"/>
      <c r="R67" s="15"/>
      <c r="S67" s="15"/>
      <c r="T67" s="15"/>
      <c r="U67" s="15"/>
      <c r="V67" s="15"/>
      <c r="W67" s="15"/>
      <c r="X67" s="15"/>
      <c r="Y67" s="15"/>
      <c r="Z67" s="15"/>
    </row>
    <row r="68" spans="1:26" x14ac:dyDescent="0.3">
      <c r="A68" s="15"/>
      <c r="B68" s="28">
        <f t="shared" si="2"/>
        <v>21</v>
      </c>
      <c r="C68" s="36"/>
      <c r="D68" s="36"/>
      <c r="E68" s="36"/>
      <c r="F68" s="36"/>
      <c r="G68" s="36"/>
      <c r="H68" s="36"/>
      <c r="I68" s="36"/>
      <c r="J68" s="36"/>
      <c r="K68" s="43">
        <f t="shared" si="1"/>
        <v>0</v>
      </c>
      <c r="L68" s="13"/>
      <c r="M68" s="13"/>
      <c r="N68" s="98"/>
      <c r="O68" s="13"/>
      <c r="P68" s="15"/>
      <c r="Q68" s="15"/>
      <c r="R68" s="15"/>
      <c r="S68" s="15"/>
      <c r="T68" s="15"/>
      <c r="U68" s="15"/>
      <c r="V68" s="15"/>
      <c r="W68" s="15"/>
      <c r="X68" s="15"/>
      <c r="Y68" s="15"/>
      <c r="Z68" s="15"/>
    </row>
    <row r="69" spans="1:26" x14ac:dyDescent="0.3">
      <c r="A69" s="15"/>
      <c r="B69" s="28">
        <f t="shared" si="2"/>
        <v>22</v>
      </c>
      <c r="C69" s="36"/>
      <c r="D69" s="36"/>
      <c r="E69" s="36"/>
      <c r="F69" s="36"/>
      <c r="G69" s="36"/>
      <c r="H69" s="36"/>
      <c r="I69" s="36"/>
      <c r="J69" s="36"/>
      <c r="K69" s="43">
        <f t="shared" si="1"/>
        <v>0</v>
      </c>
      <c r="L69" s="13"/>
      <c r="M69" s="13"/>
      <c r="N69" s="98"/>
      <c r="O69" s="13"/>
      <c r="P69" s="15"/>
      <c r="Q69" s="15"/>
      <c r="R69" s="15"/>
      <c r="S69" s="15"/>
      <c r="T69" s="15"/>
      <c r="U69" s="15"/>
      <c r="V69" s="15"/>
      <c r="W69" s="15"/>
      <c r="X69" s="15"/>
      <c r="Y69" s="15"/>
      <c r="Z69" s="15"/>
    </row>
    <row r="70" spans="1:26" x14ac:dyDescent="0.3">
      <c r="A70" s="15"/>
      <c r="B70" s="28">
        <f t="shared" si="2"/>
        <v>23</v>
      </c>
      <c r="C70" s="36"/>
      <c r="D70" s="36"/>
      <c r="E70" s="36"/>
      <c r="F70" s="36"/>
      <c r="G70" s="36"/>
      <c r="H70" s="36"/>
      <c r="I70" s="36"/>
      <c r="J70" s="36"/>
      <c r="K70" s="43">
        <f t="shared" si="1"/>
        <v>0</v>
      </c>
      <c r="L70" s="13"/>
      <c r="M70" s="13"/>
      <c r="N70" s="98"/>
      <c r="O70" s="13"/>
      <c r="P70" s="15"/>
      <c r="Q70" s="15"/>
      <c r="R70" s="15"/>
      <c r="S70" s="15"/>
      <c r="T70" s="15"/>
      <c r="U70" s="15"/>
      <c r="V70" s="15"/>
      <c r="W70" s="15"/>
      <c r="X70" s="15"/>
      <c r="Y70" s="15"/>
      <c r="Z70" s="15"/>
    </row>
    <row r="71" spans="1:26" x14ac:dyDescent="0.3">
      <c r="A71" s="15"/>
      <c r="B71" s="28">
        <f t="shared" si="2"/>
        <v>24</v>
      </c>
      <c r="C71" s="36"/>
      <c r="D71" s="36"/>
      <c r="E71" s="36"/>
      <c r="F71" s="36"/>
      <c r="G71" s="36"/>
      <c r="H71" s="36"/>
      <c r="I71" s="36"/>
      <c r="J71" s="36"/>
      <c r="K71" s="43">
        <f t="shared" si="1"/>
        <v>0</v>
      </c>
      <c r="L71" s="13"/>
      <c r="M71" s="13"/>
      <c r="N71" s="98"/>
      <c r="O71" s="13"/>
      <c r="P71" s="15"/>
      <c r="Q71" s="15"/>
      <c r="R71" s="15"/>
      <c r="S71" s="15"/>
      <c r="T71" s="15"/>
      <c r="U71" s="15"/>
      <c r="V71" s="15"/>
      <c r="W71" s="15"/>
      <c r="X71" s="15"/>
      <c r="Y71" s="15"/>
      <c r="Z71" s="15"/>
    </row>
    <row r="72" spans="1:26" x14ac:dyDescent="0.3">
      <c r="A72" s="15"/>
      <c r="B72" s="28">
        <f t="shared" si="2"/>
        <v>25</v>
      </c>
      <c r="C72" s="36"/>
      <c r="D72" s="36"/>
      <c r="E72" s="36"/>
      <c r="F72" s="36"/>
      <c r="G72" s="36"/>
      <c r="H72" s="36"/>
      <c r="I72" s="36"/>
      <c r="J72" s="36"/>
      <c r="K72" s="43">
        <f t="shared" si="1"/>
        <v>0</v>
      </c>
      <c r="L72" s="13"/>
      <c r="M72" s="13"/>
      <c r="N72" s="98"/>
      <c r="O72" s="13"/>
      <c r="P72" s="15"/>
      <c r="Q72" s="15"/>
      <c r="R72" s="15"/>
      <c r="S72" s="15"/>
      <c r="T72" s="15"/>
      <c r="U72" s="15"/>
      <c r="V72" s="15"/>
      <c r="W72" s="15"/>
      <c r="X72" s="15"/>
      <c r="Y72" s="15"/>
      <c r="Z72" s="15"/>
    </row>
    <row r="73" spans="1:26" x14ac:dyDescent="0.3">
      <c r="A73" s="15"/>
      <c r="B73" s="28">
        <f t="shared" si="2"/>
        <v>26</v>
      </c>
      <c r="C73" s="36"/>
      <c r="D73" s="36"/>
      <c r="E73" s="36"/>
      <c r="F73" s="36"/>
      <c r="G73" s="36"/>
      <c r="H73" s="36"/>
      <c r="I73" s="36"/>
      <c r="J73" s="36"/>
      <c r="K73" s="43">
        <f t="shared" si="1"/>
        <v>0</v>
      </c>
      <c r="L73" s="13"/>
      <c r="M73" s="13"/>
      <c r="N73" s="98"/>
      <c r="O73" s="13"/>
      <c r="P73" s="15"/>
      <c r="Q73" s="15"/>
      <c r="R73" s="15"/>
      <c r="S73" s="15"/>
      <c r="T73" s="15"/>
      <c r="U73" s="15"/>
      <c r="V73" s="15"/>
      <c r="W73" s="15"/>
      <c r="X73" s="15"/>
      <c r="Y73" s="15"/>
      <c r="Z73" s="15"/>
    </row>
    <row r="74" spans="1:26" x14ac:dyDescent="0.3">
      <c r="A74" s="15"/>
      <c r="B74" s="28">
        <f t="shared" si="2"/>
        <v>27</v>
      </c>
      <c r="C74" s="36"/>
      <c r="D74" s="36"/>
      <c r="E74" s="36"/>
      <c r="F74" s="36"/>
      <c r="G74" s="36"/>
      <c r="H74" s="36"/>
      <c r="I74" s="36"/>
      <c r="J74" s="36"/>
      <c r="K74" s="43">
        <f t="shared" si="1"/>
        <v>0</v>
      </c>
      <c r="L74" s="13"/>
      <c r="M74" s="13"/>
      <c r="N74" s="98"/>
      <c r="O74" s="13"/>
      <c r="P74" s="15"/>
      <c r="Q74" s="15"/>
      <c r="R74" s="15"/>
      <c r="S74" s="15"/>
      <c r="T74" s="15"/>
      <c r="U74" s="15"/>
      <c r="V74" s="15"/>
      <c r="W74" s="15"/>
      <c r="X74" s="15"/>
      <c r="Y74" s="15"/>
      <c r="Z74" s="15"/>
    </row>
    <row r="75" spans="1:26" x14ac:dyDescent="0.3">
      <c r="A75" s="15"/>
      <c r="B75" s="28">
        <f t="shared" si="2"/>
        <v>28</v>
      </c>
      <c r="C75" s="36"/>
      <c r="D75" s="36"/>
      <c r="E75" s="36"/>
      <c r="F75" s="36"/>
      <c r="G75" s="36"/>
      <c r="H75" s="36"/>
      <c r="I75" s="36"/>
      <c r="J75" s="36"/>
      <c r="K75" s="43">
        <f t="shared" si="1"/>
        <v>0</v>
      </c>
      <c r="L75" s="13"/>
      <c r="M75" s="13"/>
      <c r="N75" s="98"/>
      <c r="O75" s="13"/>
      <c r="P75" s="15"/>
      <c r="Q75" s="15"/>
      <c r="R75" s="15"/>
      <c r="S75" s="15"/>
      <c r="T75" s="15"/>
      <c r="U75" s="15"/>
      <c r="V75" s="15"/>
      <c r="W75" s="15"/>
      <c r="X75" s="15"/>
      <c r="Y75" s="15"/>
      <c r="Z75" s="15"/>
    </row>
    <row r="76" spans="1:26" x14ac:dyDescent="0.3">
      <c r="A76" s="15"/>
      <c r="B76" s="28">
        <f t="shared" si="2"/>
        <v>29</v>
      </c>
      <c r="C76" s="36"/>
      <c r="D76" s="36"/>
      <c r="E76" s="36"/>
      <c r="F76" s="36"/>
      <c r="G76" s="36"/>
      <c r="H76" s="36"/>
      <c r="I76" s="36"/>
      <c r="J76" s="36"/>
      <c r="K76" s="43">
        <f t="shared" si="1"/>
        <v>0</v>
      </c>
      <c r="L76" s="13"/>
      <c r="M76" s="13"/>
      <c r="N76" s="98"/>
      <c r="O76" s="13"/>
      <c r="P76" s="15"/>
      <c r="Q76" s="15"/>
      <c r="R76" s="15"/>
      <c r="S76" s="15"/>
      <c r="T76" s="15"/>
      <c r="U76" s="15"/>
      <c r="V76" s="15"/>
      <c r="W76" s="15"/>
      <c r="X76" s="15"/>
      <c r="Y76" s="15"/>
      <c r="Z76" s="15"/>
    </row>
    <row r="77" spans="1:26" x14ac:dyDescent="0.3">
      <c r="A77" s="15"/>
      <c r="B77" s="28">
        <f t="shared" si="2"/>
        <v>30</v>
      </c>
      <c r="C77" s="36"/>
      <c r="D77" s="36"/>
      <c r="E77" s="36"/>
      <c r="F77" s="36"/>
      <c r="G77" s="36"/>
      <c r="H77" s="36"/>
      <c r="I77" s="36"/>
      <c r="J77" s="36"/>
      <c r="K77" s="43">
        <f t="shared" si="1"/>
        <v>0</v>
      </c>
      <c r="L77" s="13"/>
      <c r="M77" s="13"/>
      <c r="N77" s="98"/>
      <c r="O77" s="13"/>
      <c r="P77" s="15"/>
      <c r="Q77" s="15"/>
      <c r="R77" s="15"/>
      <c r="S77" s="15"/>
      <c r="T77" s="15"/>
      <c r="U77" s="15"/>
      <c r="V77" s="15"/>
      <c r="W77" s="15"/>
      <c r="X77" s="15"/>
      <c r="Y77" s="15"/>
      <c r="Z77" s="15"/>
    </row>
    <row r="78" spans="1:26" x14ac:dyDescent="0.3">
      <c r="A78" s="15"/>
      <c r="B78" s="28">
        <f t="shared" si="2"/>
        <v>31</v>
      </c>
      <c r="C78" s="36"/>
      <c r="D78" s="36"/>
      <c r="E78" s="36"/>
      <c r="F78" s="36"/>
      <c r="G78" s="36"/>
      <c r="H78" s="36"/>
      <c r="I78" s="36"/>
      <c r="J78" s="36"/>
      <c r="K78" s="43">
        <f t="shared" si="1"/>
        <v>0</v>
      </c>
      <c r="L78" s="13"/>
      <c r="M78" s="13"/>
      <c r="N78" s="98"/>
      <c r="O78" s="13"/>
      <c r="P78" s="15"/>
      <c r="Q78" s="15"/>
      <c r="R78" s="15"/>
      <c r="S78" s="15"/>
      <c r="T78" s="15"/>
      <c r="U78" s="15"/>
      <c r="V78" s="15"/>
      <c r="W78" s="15"/>
      <c r="X78" s="15"/>
      <c r="Y78" s="15"/>
      <c r="Z78" s="15"/>
    </row>
    <row r="79" spans="1:26" x14ac:dyDescent="0.3">
      <c r="A79" s="15"/>
      <c r="B79" s="28">
        <f t="shared" si="2"/>
        <v>32</v>
      </c>
      <c r="C79" s="36"/>
      <c r="D79" s="36"/>
      <c r="E79" s="36"/>
      <c r="F79" s="36"/>
      <c r="G79" s="36"/>
      <c r="H79" s="36"/>
      <c r="I79" s="36"/>
      <c r="J79" s="36"/>
      <c r="K79" s="43">
        <f t="shared" si="1"/>
        <v>0</v>
      </c>
      <c r="L79" s="13"/>
      <c r="M79" s="13"/>
      <c r="N79" s="98"/>
      <c r="O79" s="13"/>
      <c r="P79" s="15"/>
      <c r="Q79" s="15"/>
      <c r="R79" s="15"/>
      <c r="S79" s="15"/>
      <c r="T79" s="15"/>
      <c r="U79" s="15"/>
      <c r="V79" s="15"/>
      <c r="W79" s="15"/>
      <c r="X79" s="15"/>
      <c r="Y79" s="15"/>
      <c r="Z79" s="15"/>
    </row>
    <row r="80" spans="1:26" x14ac:dyDescent="0.3">
      <c r="A80" s="15"/>
      <c r="B80" s="28">
        <f t="shared" si="2"/>
        <v>33</v>
      </c>
      <c r="C80" s="36"/>
      <c r="D80" s="36"/>
      <c r="E80" s="36"/>
      <c r="F80" s="36"/>
      <c r="G80" s="36"/>
      <c r="H80" s="36"/>
      <c r="I80" s="36"/>
      <c r="J80" s="36"/>
      <c r="K80" s="43">
        <f t="shared" si="1"/>
        <v>0</v>
      </c>
      <c r="L80" s="13"/>
      <c r="M80" s="13"/>
      <c r="N80" s="98"/>
      <c r="O80" s="13"/>
      <c r="P80" s="15"/>
      <c r="Q80" s="15"/>
      <c r="R80" s="15"/>
      <c r="S80" s="15"/>
      <c r="T80" s="15"/>
      <c r="U80" s="15"/>
      <c r="V80" s="15"/>
      <c r="W80" s="15"/>
      <c r="X80" s="15"/>
      <c r="Y80" s="15"/>
      <c r="Z80" s="15"/>
    </row>
    <row r="81" spans="1:26" x14ac:dyDescent="0.3">
      <c r="A81" s="15"/>
      <c r="B81" s="28">
        <f t="shared" si="2"/>
        <v>34</v>
      </c>
      <c r="C81" s="36"/>
      <c r="D81" s="36"/>
      <c r="E81" s="36"/>
      <c r="F81" s="36"/>
      <c r="G81" s="36"/>
      <c r="H81" s="36"/>
      <c r="I81" s="36"/>
      <c r="J81" s="36"/>
      <c r="K81" s="43">
        <f t="shared" si="1"/>
        <v>0</v>
      </c>
      <c r="L81" s="13"/>
      <c r="M81" s="13"/>
      <c r="N81" s="98"/>
      <c r="O81" s="13"/>
      <c r="P81" s="15"/>
      <c r="Q81" s="15"/>
      <c r="R81" s="15"/>
      <c r="S81" s="15"/>
      <c r="T81" s="15"/>
      <c r="U81" s="15"/>
      <c r="V81" s="15"/>
      <c r="W81" s="15"/>
      <c r="X81" s="15"/>
      <c r="Y81" s="15"/>
      <c r="Z81" s="15"/>
    </row>
    <row r="82" spans="1:26" x14ac:dyDescent="0.3">
      <c r="A82" s="15"/>
      <c r="B82" s="28">
        <f t="shared" si="2"/>
        <v>35</v>
      </c>
      <c r="C82" s="36"/>
      <c r="D82" s="36"/>
      <c r="E82" s="36"/>
      <c r="F82" s="36"/>
      <c r="G82" s="36"/>
      <c r="H82" s="36"/>
      <c r="I82" s="36"/>
      <c r="J82" s="36"/>
      <c r="K82" s="43">
        <f t="shared" si="1"/>
        <v>0</v>
      </c>
      <c r="L82" s="13"/>
      <c r="M82" s="13"/>
      <c r="N82" s="98"/>
      <c r="O82" s="13"/>
      <c r="P82" s="15"/>
      <c r="Q82" s="15"/>
      <c r="R82" s="15"/>
      <c r="S82" s="15"/>
      <c r="T82" s="15"/>
      <c r="U82" s="15"/>
      <c r="V82" s="15"/>
      <c r="W82" s="15"/>
      <c r="X82" s="15"/>
      <c r="Y82" s="15"/>
      <c r="Z82" s="15"/>
    </row>
    <row r="83" spans="1:26" x14ac:dyDescent="0.3">
      <c r="A83" s="15"/>
      <c r="B83" s="28">
        <f t="shared" si="2"/>
        <v>36</v>
      </c>
      <c r="C83" s="36"/>
      <c r="D83" s="36"/>
      <c r="E83" s="36"/>
      <c r="F83" s="36"/>
      <c r="G83" s="36"/>
      <c r="H83" s="36"/>
      <c r="I83" s="36"/>
      <c r="J83" s="36"/>
      <c r="K83" s="43">
        <f t="shared" si="1"/>
        <v>0</v>
      </c>
      <c r="L83" s="13"/>
      <c r="M83" s="13"/>
      <c r="N83" s="98"/>
      <c r="O83" s="13"/>
      <c r="P83" s="15"/>
      <c r="Q83" s="15"/>
      <c r="R83" s="15"/>
      <c r="S83" s="15"/>
      <c r="T83" s="15"/>
      <c r="U83" s="15"/>
      <c r="V83" s="15"/>
      <c r="W83" s="15"/>
      <c r="X83" s="15"/>
      <c r="Y83" s="15"/>
      <c r="Z83" s="15"/>
    </row>
    <row r="84" spans="1:26" x14ac:dyDescent="0.3">
      <c r="A84" s="15"/>
      <c r="B84" s="28">
        <f t="shared" si="2"/>
        <v>37</v>
      </c>
      <c r="C84" s="36"/>
      <c r="D84" s="36"/>
      <c r="E84" s="36"/>
      <c r="F84" s="36"/>
      <c r="G84" s="36"/>
      <c r="H84" s="36"/>
      <c r="I84" s="36"/>
      <c r="J84" s="36"/>
      <c r="K84" s="43">
        <f t="shared" si="1"/>
        <v>0</v>
      </c>
      <c r="L84" s="13"/>
      <c r="M84" s="13"/>
      <c r="N84" s="98"/>
      <c r="O84" s="13"/>
      <c r="P84" s="15"/>
      <c r="Q84" s="15"/>
      <c r="R84" s="15"/>
      <c r="S84" s="15"/>
      <c r="T84" s="15"/>
      <c r="U84" s="15"/>
      <c r="V84" s="15"/>
      <c r="W84" s="15"/>
      <c r="X84" s="15"/>
      <c r="Y84" s="15"/>
      <c r="Z84" s="15"/>
    </row>
    <row r="85" spans="1:26" x14ac:dyDescent="0.3">
      <c r="A85" s="15"/>
      <c r="B85" s="28">
        <f t="shared" si="2"/>
        <v>38</v>
      </c>
      <c r="C85" s="36"/>
      <c r="D85" s="36"/>
      <c r="E85" s="36"/>
      <c r="F85" s="36"/>
      <c r="G85" s="36"/>
      <c r="H85" s="36"/>
      <c r="I85" s="36"/>
      <c r="J85" s="36"/>
      <c r="K85" s="43">
        <f t="shared" si="1"/>
        <v>0</v>
      </c>
      <c r="L85" s="13"/>
      <c r="M85" s="13"/>
      <c r="N85" s="98"/>
      <c r="O85" s="13"/>
      <c r="P85" s="15"/>
      <c r="Q85" s="15"/>
      <c r="R85" s="15"/>
      <c r="S85" s="15"/>
      <c r="T85" s="15"/>
      <c r="U85" s="15"/>
      <c r="V85" s="15"/>
      <c r="W85" s="15"/>
      <c r="X85" s="15"/>
      <c r="Y85" s="15"/>
      <c r="Z85" s="15"/>
    </row>
    <row r="86" spans="1:26" x14ac:dyDescent="0.3">
      <c r="A86" s="15"/>
      <c r="B86" s="28">
        <f t="shared" si="2"/>
        <v>39</v>
      </c>
      <c r="C86" s="36"/>
      <c r="D86" s="36"/>
      <c r="E86" s="36"/>
      <c r="F86" s="36"/>
      <c r="G86" s="36"/>
      <c r="H86" s="36"/>
      <c r="I86" s="36"/>
      <c r="J86" s="36"/>
      <c r="K86" s="43">
        <f t="shared" si="1"/>
        <v>0</v>
      </c>
      <c r="L86" s="13"/>
      <c r="M86" s="13"/>
      <c r="N86" s="98"/>
      <c r="O86" s="13"/>
      <c r="P86" s="15"/>
      <c r="Q86" s="15"/>
      <c r="R86" s="15"/>
      <c r="S86" s="15"/>
      <c r="T86" s="15"/>
      <c r="U86" s="15"/>
      <c r="V86" s="15"/>
      <c r="W86" s="15"/>
      <c r="X86" s="15"/>
      <c r="Y86" s="15"/>
      <c r="Z86" s="15"/>
    </row>
    <row r="87" spans="1:26" x14ac:dyDescent="0.3">
      <c r="A87" s="15"/>
      <c r="B87" s="28">
        <f t="shared" si="2"/>
        <v>40</v>
      </c>
      <c r="C87" s="36"/>
      <c r="D87" s="36"/>
      <c r="E87" s="36"/>
      <c r="F87" s="36"/>
      <c r="G87" s="36"/>
      <c r="H87" s="36"/>
      <c r="I87" s="36"/>
      <c r="J87" s="36"/>
      <c r="K87" s="43">
        <f t="shared" si="1"/>
        <v>0</v>
      </c>
      <c r="L87" s="13"/>
      <c r="M87" s="13"/>
      <c r="N87" s="98"/>
      <c r="O87" s="13"/>
      <c r="P87" s="15"/>
      <c r="Q87" s="15"/>
      <c r="R87" s="15"/>
      <c r="S87" s="15"/>
      <c r="T87" s="15"/>
      <c r="U87" s="15"/>
      <c r="V87" s="15"/>
      <c r="W87" s="15"/>
      <c r="X87" s="15"/>
      <c r="Y87" s="15"/>
      <c r="Z87" s="15"/>
    </row>
    <row r="88" spans="1:26" x14ac:dyDescent="0.3">
      <c r="A88" s="15"/>
      <c r="B88" s="26"/>
      <c r="C88" s="26"/>
      <c r="D88" s="26"/>
      <c r="E88" s="26"/>
      <c r="F88" s="15"/>
      <c r="G88" s="15"/>
      <c r="H88" s="15"/>
      <c r="I88" s="15"/>
      <c r="J88" s="15"/>
      <c r="K88" s="15"/>
      <c r="L88" s="15"/>
      <c r="M88" s="15"/>
      <c r="N88" s="15"/>
      <c r="O88" s="15"/>
      <c r="P88" s="15"/>
      <c r="Q88" s="15"/>
      <c r="R88" s="15"/>
      <c r="S88" s="15"/>
      <c r="T88" s="15"/>
      <c r="U88" s="15"/>
      <c r="V88" s="15"/>
      <c r="W88" s="15"/>
      <c r="X88" s="15"/>
      <c r="Y88" s="15"/>
      <c r="Z88" s="15"/>
    </row>
    <row r="89" spans="1:26" x14ac:dyDescent="0.3">
      <c r="A89" s="15"/>
      <c r="B89" s="26"/>
      <c r="C89" s="26"/>
      <c r="D89" s="26"/>
      <c r="E89" s="26"/>
      <c r="F89" s="15"/>
      <c r="G89" s="15"/>
      <c r="H89" s="15"/>
      <c r="I89" s="15"/>
      <c r="J89" s="15"/>
      <c r="K89" s="15"/>
      <c r="L89" s="15"/>
      <c r="M89" s="15"/>
      <c r="N89" s="15"/>
      <c r="O89" s="15"/>
      <c r="P89" s="15"/>
      <c r="Q89" s="15"/>
      <c r="R89" s="15"/>
      <c r="S89" s="15"/>
      <c r="T89" s="15"/>
      <c r="U89" s="15"/>
      <c r="V89" s="15"/>
      <c r="W89" s="15"/>
      <c r="X89" s="15"/>
      <c r="Y89" s="15"/>
      <c r="Z89" s="15"/>
    </row>
    <row r="90" spans="1:26" x14ac:dyDescent="0.3">
      <c r="A90" s="15"/>
      <c r="B90" s="28" t="s">
        <v>176</v>
      </c>
      <c r="C90" s="13" t="s">
        <v>141</v>
      </c>
      <c r="D90" s="26"/>
      <c r="E90" s="26"/>
      <c r="F90" s="15"/>
      <c r="G90" s="15"/>
      <c r="H90" s="15"/>
      <c r="I90" s="15"/>
      <c r="J90" s="15"/>
      <c r="K90" s="15"/>
      <c r="L90" s="15"/>
      <c r="M90" s="15"/>
      <c r="N90" s="15"/>
      <c r="O90" s="15"/>
      <c r="P90" s="15"/>
      <c r="Q90" s="15"/>
      <c r="R90" s="15"/>
      <c r="S90" s="15"/>
      <c r="T90" s="15"/>
      <c r="U90" s="15"/>
      <c r="V90" s="15"/>
      <c r="W90" s="15"/>
      <c r="X90" s="15"/>
      <c r="Y90" s="15"/>
      <c r="Z90" s="15"/>
    </row>
    <row r="91" spans="1:26" x14ac:dyDescent="0.3">
      <c r="A91" s="15"/>
      <c r="B91" s="26"/>
      <c r="C91" s="44"/>
      <c r="D91" s="26"/>
      <c r="E91" s="26"/>
      <c r="F91" s="15"/>
      <c r="G91" s="15"/>
      <c r="H91" s="15"/>
      <c r="I91" s="15"/>
      <c r="J91" s="15"/>
      <c r="K91" s="15"/>
      <c r="L91" s="15"/>
      <c r="M91" s="15"/>
      <c r="N91" s="15"/>
      <c r="O91" s="15"/>
      <c r="P91" s="15"/>
      <c r="Q91" s="15"/>
      <c r="R91" s="15"/>
      <c r="S91" s="15"/>
      <c r="T91" s="15"/>
      <c r="U91" s="15"/>
      <c r="V91" s="15"/>
      <c r="W91" s="15"/>
      <c r="X91" s="15"/>
      <c r="Y91" s="15"/>
      <c r="Z91" s="15"/>
    </row>
    <row r="92" spans="1:26" x14ac:dyDescent="0.3">
      <c r="A92" s="15"/>
      <c r="B92" s="28" t="s">
        <v>177</v>
      </c>
      <c r="C92" s="36"/>
      <c r="D92" s="26"/>
      <c r="E92" s="26"/>
      <c r="F92" s="15"/>
      <c r="G92" s="15"/>
      <c r="H92" s="15"/>
      <c r="I92" s="15"/>
      <c r="J92" s="15"/>
      <c r="K92" s="15"/>
      <c r="L92" s="15"/>
      <c r="M92" s="15"/>
      <c r="N92" s="15"/>
      <c r="O92" s="15"/>
      <c r="P92" s="15"/>
      <c r="Q92" s="15"/>
      <c r="R92" s="15"/>
      <c r="S92" s="15"/>
      <c r="T92" s="15"/>
      <c r="U92" s="15"/>
      <c r="V92" s="15"/>
      <c r="W92" s="15"/>
      <c r="X92" s="15"/>
      <c r="Y92" s="15"/>
      <c r="Z92" s="15"/>
    </row>
    <row r="93" spans="1:26" x14ac:dyDescent="0.3">
      <c r="A93" s="15"/>
      <c r="B93" s="15"/>
      <c r="C93" s="15"/>
      <c r="D93" s="26"/>
      <c r="E93" s="26"/>
      <c r="F93" s="15"/>
      <c r="G93" s="15"/>
      <c r="H93" s="15"/>
      <c r="I93" s="15"/>
      <c r="J93" s="15"/>
      <c r="K93" s="15"/>
      <c r="L93" s="15"/>
      <c r="M93" s="15"/>
      <c r="N93" s="15"/>
      <c r="O93" s="15"/>
      <c r="P93" s="15"/>
      <c r="Q93" s="15"/>
      <c r="R93" s="15"/>
      <c r="S93" s="15"/>
      <c r="T93" s="15"/>
      <c r="U93" s="15"/>
      <c r="V93" s="15"/>
      <c r="W93" s="15"/>
      <c r="X93" s="15"/>
      <c r="Y93" s="15"/>
      <c r="Z93" s="15"/>
    </row>
    <row r="94" spans="1:26" x14ac:dyDescent="0.3">
      <c r="A94" s="15"/>
      <c r="B94" s="15"/>
      <c r="C94" s="15"/>
      <c r="D94" s="26"/>
      <c r="E94" s="26"/>
      <c r="F94" s="15"/>
      <c r="G94" s="15"/>
      <c r="H94" s="15"/>
      <c r="I94" s="15"/>
      <c r="J94" s="15"/>
      <c r="K94" s="15"/>
      <c r="L94" s="15"/>
      <c r="M94" s="15"/>
      <c r="N94" s="15"/>
      <c r="O94" s="15"/>
      <c r="P94" s="15"/>
      <c r="Q94" s="15"/>
      <c r="R94" s="15"/>
      <c r="S94" s="15"/>
      <c r="T94" s="15"/>
      <c r="U94" s="15"/>
      <c r="V94" s="15"/>
      <c r="W94" s="15"/>
      <c r="X94" s="15"/>
      <c r="Y94" s="15"/>
      <c r="Z94" s="15"/>
    </row>
    <row r="95" spans="1:26" x14ac:dyDescent="0.3">
      <c r="A95" s="15"/>
      <c r="B95" s="28" t="s">
        <v>178</v>
      </c>
      <c r="C95" s="13" t="s">
        <v>141</v>
      </c>
      <c r="D95" s="26"/>
      <c r="E95" s="26"/>
      <c r="F95" s="15"/>
      <c r="G95" s="15"/>
      <c r="H95" s="15"/>
      <c r="I95" s="15"/>
      <c r="J95" s="15"/>
      <c r="K95" s="15"/>
      <c r="L95" s="15"/>
      <c r="M95" s="15"/>
      <c r="N95" s="15"/>
      <c r="O95" s="15"/>
      <c r="P95" s="15"/>
      <c r="Q95" s="15"/>
      <c r="R95" s="15"/>
      <c r="S95" s="15"/>
      <c r="T95" s="15"/>
      <c r="U95" s="15"/>
      <c r="V95" s="15"/>
      <c r="W95" s="15"/>
      <c r="X95" s="15"/>
      <c r="Y95" s="15"/>
      <c r="Z95" s="15"/>
    </row>
    <row r="96" spans="1:26" x14ac:dyDescent="0.3">
      <c r="A96" s="15"/>
      <c r="B96" s="26"/>
      <c r="C96" s="26"/>
      <c r="D96" s="26"/>
      <c r="E96" s="26"/>
      <c r="F96" s="15"/>
      <c r="G96" s="15"/>
      <c r="H96" s="15"/>
      <c r="I96" s="15"/>
      <c r="J96" s="15"/>
      <c r="K96" s="15"/>
      <c r="L96" s="15"/>
      <c r="M96" s="15"/>
      <c r="N96" s="15"/>
      <c r="O96" s="15"/>
      <c r="P96" s="15"/>
      <c r="Q96" s="15"/>
      <c r="R96" s="15"/>
      <c r="S96" s="15"/>
      <c r="T96" s="15"/>
      <c r="U96" s="15"/>
      <c r="V96" s="15"/>
      <c r="W96" s="15"/>
      <c r="X96" s="15"/>
      <c r="Y96" s="15"/>
      <c r="Z96" s="15"/>
    </row>
    <row r="97" spans="1:26" x14ac:dyDescent="0.3">
      <c r="A97" s="15"/>
      <c r="B97" s="45" t="s">
        <v>78</v>
      </c>
      <c r="C97" s="36"/>
      <c r="D97" s="26"/>
      <c r="E97" s="26"/>
      <c r="F97" s="15"/>
      <c r="G97" s="15"/>
      <c r="H97" s="15"/>
      <c r="I97" s="15"/>
      <c r="J97" s="15"/>
      <c r="K97" s="15"/>
      <c r="L97" s="15"/>
      <c r="M97" s="15"/>
      <c r="N97" s="15"/>
      <c r="O97" s="15"/>
      <c r="P97" s="15"/>
      <c r="Q97" s="15"/>
      <c r="R97" s="15"/>
      <c r="S97" s="15"/>
      <c r="T97" s="15"/>
      <c r="U97" s="15"/>
      <c r="V97" s="15"/>
      <c r="W97" s="15"/>
      <c r="X97" s="15"/>
      <c r="Y97" s="15"/>
      <c r="Z97" s="15"/>
    </row>
    <row r="98" spans="1:26" x14ac:dyDescent="0.3">
      <c r="A98" s="15"/>
      <c r="B98" s="45" t="s">
        <v>86</v>
      </c>
      <c r="C98" s="36"/>
      <c r="D98" s="26"/>
      <c r="E98" s="26"/>
      <c r="F98" s="15"/>
      <c r="G98" s="15"/>
      <c r="H98" s="15"/>
      <c r="I98" s="15"/>
      <c r="J98" s="15"/>
      <c r="K98" s="15"/>
      <c r="L98" s="15"/>
      <c r="M98" s="15"/>
      <c r="N98" s="15"/>
      <c r="O98" s="15"/>
      <c r="P98" s="15"/>
      <c r="Q98" s="15"/>
      <c r="R98" s="15"/>
      <c r="S98" s="15"/>
      <c r="T98" s="15"/>
      <c r="U98" s="15"/>
      <c r="V98" s="15"/>
      <c r="W98" s="15"/>
      <c r="X98" s="15"/>
      <c r="Y98" s="15"/>
      <c r="Z98" s="15"/>
    </row>
    <row r="99" spans="1:26" x14ac:dyDescent="0.3">
      <c r="A99" s="15"/>
      <c r="B99" s="45" t="s">
        <v>87</v>
      </c>
      <c r="C99" s="36"/>
      <c r="D99" s="26"/>
      <c r="E99" s="26"/>
      <c r="F99" s="15"/>
      <c r="G99" s="15"/>
      <c r="H99" s="15"/>
      <c r="I99" s="15"/>
      <c r="J99" s="15"/>
      <c r="K99" s="15"/>
      <c r="L99" s="15"/>
      <c r="M99" s="15"/>
      <c r="N99" s="15"/>
      <c r="O99" s="15"/>
      <c r="P99" s="15"/>
      <c r="Q99" s="15"/>
      <c r="R99" s="15"/>
      <c r="S99" s="15"/>
      <c r="T99" s="15"/>
      <c r="U99" s="15"/>
      <c r="V99" s="15"/>
      <c r="W99" s="15"/>
      <c r="X99" s="15"/>
      <c r="Y99" s="15"/>
      <c r="Z99" s="15"/>
    </row>
    <row r="100" spans="1:26" x14ac:dyDescent="0.3">
      <c r="A100" s="15"/>
      <c r="B100" s="45" t="s">
        <v>88</v>
      </c>
      <c r="C100" s="36"/>
      <c r="D100" s="26"/>
      <c r="E100" s="26"/>
      <c r="F100" s="15"/>
      <c r="G100" s="15"/>
      <c r="H100" s="15"/>
      <c r="I100" s="15"/>
      <c r="J100" s="15"/>
      <c r="K100" s="15"/>
      <c r="L100" s="15"/>
      <c r="M100" s="15"/>
      <c r="N100" s="15"/>
      <c r="O100" s="15"/>
      <c r="P100" s="15"/>
      <c r="Q100" s="15"/>
      <c r="R100" s="15"/>
      <c r="S100" s="15"/>
      <c r="T100" s="15"/>
      <c r="U100" s="15"/>
      <c r="V100" s="15"/>
      <c r="W100" s="15"/>
      <c r="X100" s="15"/>
      <c r="Y100" s="15"/>
      <c r="Z100" s="15"/>
    </row>
    <row r="101" spans="1:26" x14ac:dyDescent="0.3">
      <c r="A101" s="15"/>
      <c r="B101" s="28" t="s">
        <v>179</v>
      </c>
      <c r="C101" s="36"/>
      <c r="D101" s="26"/>
      <c r="E101" s="26"/>
      <c r="F101" s="15"/>
      <c r="G101" s="15"/>
      <c r="H101" s="15"/>
      <c r="I101" s="15"/>
      <c r="J101" s="15"/>
      <c r="K101" s="15"/>
      <c r="L101" s="15"/>
      <c r="M101" s="15"/>
      <c r="N101" s="15"/>
      <c r="O101" s="15"/>
      <c r="P101" s="15"/>
      <c r="Q101" s="15"/>
      <c r="R101" s="15"/>
      <c r="S101" s="15"/>
      <c r="T101" s="15"/>
      <c r="U101" s="15"/>
      <c r="V101" s="15"/>
      <c r="W101" s="15"/>
      <c r="X101" s="15"/>
      <c r="Y101" s="15"/>
      <c r="Z101" s="15"/>
    </row>
    <row r="102" spans="1:26" x14ac:dyDescent="0.3">
      <c r="A102" s="15"/>
      <c r="B102" s="28" t="s">
        <v>180</v>
      </c>
      <c r="C102" s="36"/>
      <c r="D102" s="26"/>
      <c r="E102" s="26"/>
      <c r="F102" s="15"/>
      <c r="G102" s="15"/>
      <c r="H102" s="15"/>
      <c r="I102" s="15"/>
      <c r="J102" s="15"/>
      <c r="K102" s="15"/>
      <c r="L102" s="15"/>
      <c r="M102" s="15"/>
      <c r="N102" s="15"/>
      <c r="O102" s="15"/>
      <c r="P102" s="15"/>
      <c r="Q102" s="15"/>
      <c r="R102" s="15"/>
      <c r="S102" s="15"/>
      <c r="T102" s="15"/>
      <c r="U102" s="15"/>
      <c r="V102" s="15"/>
      <c r="W102" s="15"/>
      <c r="X102" s="15"/>
      <c r="Y102" s="15"/>
      <c r="Z102" s="15"/>
    </row>
    <row r="103" spans="1:26" x14ac:dyDescent="0.3">
      <c r="A103" s="15"/>
      <c r="B103" s="28" t="s">
        <v>181</v>
      </c>
      <c r="C103" s="36"/>
      <c r="D103" s="26"/>
      <c r="E103" s="26"/>
      <c r="F103" s="15"/>
      <c r="G103" s="15"/>
      <c r="H103" s="15"/>
      <c r="I103" s="15"/>
      <c r="J103" s="15"/>
      <c r="K103" s="15"/>
      <c r="L103" s="15"/>
      <c r="M103" s="15"/>
      <c r="N103" s="15"/>
      <c r="O103" s="15"/>
      <c r="P103" s="15"/>
      <c r="Q103" s="15"/>
      <c r="R103" s="15"/>
      <c r="S103" s="15"/>
      <c r="T103" s="15"/>
      <c r="U103" s="15"/>
      <c r="V103" s="15"/>
      <c r="W103" s="15"/>
      <c r="X103" s="15"/>
      <c r="Y103" s="15"/>
      <c r="Z103" s="15"/>
    </row>
    <row r="104" spans="1:26" x14ac:dyDescent="0.3">
      <c r="A104" s="15"/>
      <c r="B104" s="26"/>
      <c r="C104" s="26"/>
      <c r="D104" s="26"/>
      <c r="E104" s="26"/>
      <c r="F104" s="15"/>
      <c r="G104" s="15"/>
      <c r="H104" s="15"/>
      <c r="I104" s="15"/>
      <c r="J104" s="15"/>
      <c r="K104" s="15"/>
      <c r="L104" s="15"/>
      <c r="M104" s="15"/>
      <c r="N104" s="15"/>
      <c r="O104" s="15"/>
      <c r="P104" s="15"/>
      <c r="Q104" s="15"/>
      <c r="R104" s="15"/>
      <c r="S104" s="15"/>
      <c r="T104" s="15"/>
      <c r="U104" s="15"/>
      <c r="V104" s="15"/>
      <c r="W104" s="15"/>
      <c r="X104" s="15"/>
      <c r="Y104" s="15"/>
      <c r="Z104" s="15"/>
    </row>
    <row r="105" spans="1:26" x14ac:dyDescent="0.3">
      <c r="A105" s="15"/>
      <c r="B105" s="26"/>
      <c r="C105" s="26"/>
      <c r="D105" s="26"/>
      <c r="E105" s="26"/>
      <c r="F105" s="15"/>
      <c r="G105" s="15"/>
      <c r="H105" s="15"/>
      <c r="I105" s="15"/>
      <c r="J105" s="15"/>
      <c r="K105" s="15"/>
      <c r="L105" s="15"/>
      <c r="M105" s="15"/>
      <c r="N105" s="15"/>
      <c r="O105" s="15"/>
      <c r="P105" s="15"/>
      <c r="Q105" s="15"/>
      <c r="R105" s="15"/>
      <c r="S105" s="15"/>
      <c r="T105" s="15"/>
      <c r="U105" s="15"/>
      <c r="V105" s="15"/>
      <c r="W105" s="15"/>
      <c r="X105" s="15"/>
      <c r="Y105" s="15"/>
      <c r="Z105" s="15"/>
    </row>
    <row r="106" spans="1:26" x14ac:dyDescent="0.3">
      <c r="A106" s="15"/>
      <c r="B106" s="26"/>
      <c r="C106" s="26"/>
      <c r="D106" s="26"/>
      <c r="E106" s="26"/>
      <c r="F106" s="15"/>
      <c r="G106" s="15"/>
      <c r="H106" s="15"/>
      <c r="I106" s="15"/>
      <c r="J106" s="15"/>
      <c r="K106" s="15"/>
      <c r="L106" s="15"/>
      <c r="M106" s="15"/>
      <c r="N106" s="15"/>
      <c r="O106" s="15"/>
      <c r="P106" s="15"/>
      <c r="Q106" s="15"/>
      <c r="R106" s="15"/>
      <c r="S106" s="15"/>
      <c r="T106" s="15"/>
      <c r="U106" s="15"/>
      <c r="V106" s="15"/>
      <c r="W106" s="15"/>
      <c r="X106" s="15"/>
      <c r="Y106" s="15"/>
      <c r="Z106" s="15"/>
    </row>
    <row r="107" spans="1:26" x14ac:dyDescent="0.3">
      <c r="A107" s="15"/>
      <c r="B107" s="26"/>
      <c r="C107" s="26"/>
      <c r="D107" s="26"/>
      <c r="E107" s="26"/>
      <c r="F107" s="15"/>
      <c r="G107" s="15"/>
      <c r="H107" s="15"/>
      <c r="I107" s="15"/>
      <c r="J107" s="15"/>
      <c r="K107" s="15"/>
      <c r="L107" s="15"/>
      <c r="M107" s="15"/>
      <c r="N107" s="15"/>
      <c r="O107" s="15"/>
      <c r="P107" s="15"/>
      <c r="Q107" s="15"/>
      <c r="R107" s="15"/>
      <c r="S107" s="15"/>
      <c r="T107" s="15"/>
      <c r="U107" s="15"/>
      <c r="V107" s="15"/>
      <c r="W107" s="15"/>
      <c r="X107" s="15"/>
      <c r="Y107" s="15"/>
      <c r="Z107" s="15"/>
    </row>
    <row r="108" spans="1:26" x14ac:dyDescent="0.3">
      <c r="A108" s="15"/>
      <c r="B108" s="26"/>
      <c r="C108" s="26"/>
      <c r="D108" s="26"/>
      <c r="E108" s="26"/>
      <c r="F108" s="15"/>
      <c r="G108" s="15"/>
      <c r="H108" s="15"/>
      <c r="I108" s="15"/>
      <c r="J108" s="15"/>
      <c r="K108" s="15"/>
      <c r="L108" s="15"/>
      <c r="M108" s="15"/>
      <c r="N108" s="15"/>
      <c r="O108" s="15"/>
      <c r="P108" s="15"/>
      <c r="Q108" s="15"/>
      <c r="R108" s="15"/>
      <c r="S108" s="15"/>
      <c r="T108" s="15"/>
      <c r="U108" s="15"/>
      <c r="V108" s="15"/>
      <c r="W108" s="15"/>
      <c r="X108" s="15"/>
      <c r="Y108" s="15"/>
      <c r="Z108" s="15"/>
    </row>
    <row r="109" spans="1:26" x14ac:dyDescent="0.3">
      <c r="A109" s="15"/>
      <c r="B109" s="26"/>
      <c r="C109" s="26"/>
      <c r="D109" s="26"/>
      <c r="E109" s="26"/>
      <c r="F109" s="15"/>
      <c r="G109" s="15"/>
      <c r="H109" s="15"/>
      <c r="I109" s="15"/>
      <c r="J109" s="15"/>
      <c r="K109" s="15"/>
      <c r="L109" s="15"/>
      <c r="M109" s="15"/>
      <c r="N109" s="15"/>
      <c r="O109" s="15"/>
      <c r="P109" s="15"/>
      <c r="Q109" s="15"/>
      <c r="R109" s="15"/>
      <c r="S109" s="15"/>
      <c r="T109" s="15"/>
      <c r="U109" s="15"/>
      <c r="V109" s="15"/>
      <c r="W109" s="15"/>
      <c r="X109" s="15"/>
      <c r="Y109" s="15"/>
      <c r="Z109" s="15"/>
    </row>
    <row r="110" spans="1:26" x14ac:dyDescent="0.3">
      <c r="A110" s="15"/>
      <c r="B110" s="26"/>
      <c r="C110" s="26"/>
      <c r="D110" s="26"/>
      <c r="E110" s="26"/>
      <c r="F110" s="15"/>
      <c r="G110" s="15"/>
      <c r="H110" s="15"/>
      <c r="I110" s="15"/>
      <c r="J110" s="15"/>
      <c r="K110" s="15"/>
      <c r="L110" s="15"/>
      <c r="M110" s="15"/>
      <c r="N110" s="15"/>
      <c r="O110" s="15"/>
      <c r="P110" s="15"/>
      <c r="Q110" s="15"/>
      <c r="R110" s="15"/>
      <c r="S110" s="15"/>
      <c r="T110" s="15"/>
      <c r="U110" s="15"/>
      <c r="V110" s="15"/>
      <c r="W110" s="15"/>
      <c r="X110" s="15"/>
      <c r="Y110" s="15"/>
      <c r="Z110" s="15"/>
    </row>
    <row r="111" spans="1:26" x14ac:dyDescent="0.3">
      <c r="A111" s="15"/>
      <c r="B111" s="26"/>
      <c r="C111" s="26"/>
      <c r="D111" s="26"/>
      <c r="E111" s="26"/>
      <c r="F111" s="15"/>
      <c r="G111" s="15"/>
      <c r="H111" s="15"/>
      <c r="I111" s="15"/>
      <c r="J111" s="15"/>
      <c r="K111" s="15"/>
      <c r="L111" s="15"/>
      <c r="M111" s="15"/>
      <c r="N111" s="15"/>
      <c r="O111" s="15"/>
      <c r="P111" s="15"/>
      <c r="Q111" s="15"/>
      <c r="R111" s="15"/>
      <c r="S111" s="15"/>
      <c r="T111" s="15"/>
      <c r="U111" s="15"/>
      <c r="V111" s="15"/>
      <c r="W111" s="15"/>
      <c r="X111" s="15"/>
      <c r="Y111" s="15"/>
      <c r="Z111" s="15"/>
    </row>
    <row r="112" spans="1:26" x14ac:dyDescent="0.3">
      <c r="A112" s="15"/>
      <c r="B112" s="26"/>
      <c r="C112" s="26"/>
      <c r="D112" s="26"/>
      <c r="E112" s="26"/>
      <c r="F112" s="15"/>
      <c r="G112" s="15"/>
      <c r="H112" s="15"/>
      <c r="I112" s="15"/>
      <c r="J112" s="15"/>
      <c r="K112" s="15"/>
      <c r="L112" s="15"/>
      <c r="M112" s="15"/>
      <c r="N112" s="15"/>
      <c r="O112" s="15"/>
      <c r="P112" s="15"/>
      <c r="Q112" s="15"/>
      <c r="R112" s="15"/>
      <c r="S112" s="15"/>
      <c r="T112" s="15"/>
      <c r="U112" s="15"/>
      <c r="V112" s="15"/>
      <c r="W112" s="15"/>
      <c r="X112" s="15"/>
      <c r="Y112" s="15"/>
      <c r="Z112" s="15"/>
    </row>
    <row r="113" spans="1:26" x14ac:dyDescent="0.3">
      <c r="A113" s="15"/>
      <c r="B113" s="26"/>
      <c r="C113" s="26"/>
      <c r="D113" s="26"/>
      <c r="E113" s="26"/>
      <c r="F113" s="15"/>
      <c r="G113" s="15"/>
      <c r="H113" s="15"/>
      <c r="I113" s="15"/>
      <c r="J113" s="15"/>
      <c r="K113" s="15"/>
      <c r="L113" s="15"/>
      <c r="M113" s="15"/>
      <c r="N113" s="15"/>
      <c r="O113" s="15"/>
      <c r="P113" s="15"/>
      <c r="Q113" s="15"/>
      <c r="R113" s="15"/>
      <c r="S113" s="15"/>
      <c r="T113" s="15"/>
      <c r="U113" s="15"/>
      <c r="V113" s="15"/>
      <c r="W113" s="15"/>
      <c r="X113" s="15"/>
      <c r="Y113" s="15"/>
      <c r="Z113" s="15"/>
    </row>
    <row r="114" spans="1:26" x14ac:dyDescent="0.3">
      <c r="A114" s="15"/>
      <c r="B114" s="26"/>
      <c r="C114" s="26"/>
      <c r="D114" s="26"/>
      <c r="E114" s="26"/>
      <c r="F114" s="15"/>
      <c r="G114" s="15"/>
      <c r="H114" s="15"/>
      <c r="I114" s="15"/>
      <c r="J114" s="15"/>
      <c r="K114" s="15"/>
      <c r="L114" s="15"/>
      <c r="M114" s="15"/>
      <c r="N114" s="15"/>
      <c r="O114" s="15"/>
      <c r="P114" s="15"/>
      <c r="Q114" s="15"/>
      <c r="R114" s="15"/>
      <c r="S114" s="15"/>
      <c r="T114" s="15"/>
      <c r="U114" s="15"/>
      <c r="V114" s="15"/>
      <c r="W114" s="15"/>
      <c r="X114" s="15"/>
      <c r="Y114" s="15"/>
      <c r="Z114" s="15"/>
    </row>
    <row r="115" spans="1:26" x14ac:dyDescent="0.3">
      <c r="A115" s="15"/>
      <c r="B115" s="26"/>
      <c r="C115" s="26"/>
      <c r="D115" s="26"/>
      <c r="E115" s="26"/>
      <c r="F115" s="15"/>
      <c r="G115" s="15"/>
      <c r="H115" s="15"/>
      <c r="I115" s="15"/>
      <c r="J115" s="15"/>
      <c r="K115" s="15"/>
      <c r="L115" s="15"/>
      <c r="M115" s="15"/>
      <c r="N115" s="15"/>
      <c r="O115" s="15"/>
      <c r="P115" s="15"/>
      <c r="Q115" s="15"/>
      <c r="R115" s="15"/>
      <c r="S115" s="15"/>
      <c r="T115" s="15"/>
      <c r="U115" s="15"/>
      <c r="V115" s="15"/>
      <c r="W115" s="15"/>
      <c r="X115" s="15"/>
      <c r="Y115" s="15"/>
      <c r="Z115" s="15"/>
    </row>
    <row r="116" spans="1:26" x14ac:dyDescent="0.3">
      <c r="A116" s="15"/>
      <c r="B116" s="26"/>
      <c r="C116" s="26"/>
      <c r="D116" s="26"/>
      <c r="E116" s="26"/>
      <c r="F116" s="15"/>
      <c r="G116" s="15"/>
      <c r="H116" s="15"/>
      <c r="I116" s="15"/>
      <c r="J116" s="15"/>
      <c r="K116" s="15"/>
      <c r="L116" s="15"/>
      <c r="M116" s="15"/>
      <c r="N116" s="15"/>
      <c r="O116" s="15"/>
      <c r="P116" s="15"/>
      <c r="Q116" s="15"/>
      <c r="R116" s="15"/>
      <c r="S116" s="15"/>
      <c r="T116" s="15"/>
      <c r="U116" s="15"/>
      <c r="V116" s="15"/>
      <c r="W116" s="15"/>
      <c r="X116" s="15"/>
      <c r="Y116" s="15"/>
      <c r="Z116" s="15"/>
    </row>
    <row r="117" spans="1:26" x14ac:dyDescent="0.3">
      <c r="A117" s="15"/>
      <c r="B117" s="26"/>
      <c r="C117" s="26"/>
      <c r="D117" s="26"/>
      <c r="E117" s="26"/>
      <c r="F117" s="15"/>
      <c r="G117" s="15"/>
      <c r="H117" s="15"/>
      <c r="I117" s="15"/>
      <c r="J117" s="15"/>
      <c r="K117" s="15"/>
      <c r="L117" s="15"/>
      <c r="M117" s="15"/>
      <c r="N117" s="15"/>
      <c r="O117" s="15"/>
      <c r="P117" s="15"/>
      <c r="Q117" s="15"/>
      <c r="R117" s="15"/>
      <c r="S117" s="15"/>
      <c r="T117" s="15"/>
      <c r="U117" s="15"/>
      <c r="V117" s="15"/>
      <c r="W117" s="15"/>
      <c r="X117" s="15"/>
      <c r="Y117" s="15"/>
      <c r="Z117" s="15"/>
    </row>
    <row r="118" spans="1:26" x14ac:dyDescent="0.3">
      <c r="A118" s="15"/>
      <c r="B118" s="26"/>
      <c r="C118" s="26"/>
      <c r="D118" s="26"/>
      <c r="E118" s="26"/>
      <c r="F118" s="15"/>
      <c r="G118" s="15"/>
      <c r="H118" s="15"/>
      <c r="I118" s="15"/>
      <c r="J118" s="15"/>
      <c r="K118" s="15"/>
      <c r="L118" s="15"/>
      <c r="M118" s="15"/>
      <c r="N118" s="15"/>
      <c r="O118" s="15"/>
      <c r="P118" s="15"/>
      <c r="Q118" s="15"/>
      <c r="R118" s="15"/>
      <c r="S118" s="15"/>
      <c r="T118" s="15"/>
      <c r="U118" s="15"/>
      <c r="V118" s="15"/>
      <c r="W118" s="15"/>
      <c r="X118" s="15"/>
      <c r="Y118" s="15"/>
      <c r="Z118" s="15"/>
    </row>
    <row r="119" spans="1:26" x14ac:dyDescent="0.3">
      <c r="A119" s="15"/>
      <c r="B119" s="26"/>
      <c r="C119" s="26"/>
      <c r="D119" s="26"/>
      <c r="E119" s="26"/>
      <c r="F119" s="15"/>
      <c r="G119" s="15"/>
      <c r="H119" s="15"/>
      <c r="I119" s="15"/>
      <c r="J119" s="15"/>
      <c r="K119" s="15"/>
      <c r="L119" s="15"/>
      <c r="M119" s="15"/>
      <c r="N119" s="15"/>
      <c r="O119" s="15"/>
      <c r="P119" s="15"/>
      <c r="Q119" s="15"/>
      <c r="R119" s="15"/>
      <c r="S119" s="15"/>
      <c r="T119" s="15"/>
      <c r="U119" s="15"/>
      <c r="V119" s="15"/>
      <c r="W119" s="15"/>
      <c r="X119" s="15"/>
      <c r="Y119" s="15"/>
      <c r="Z119" s="15"/>
    </row>
    <row r="120" spans="1:26" x14ac:dyDescent="0.3">
      <c r="A120" s="15"/>
      <c r="B120" s="26"/>
      <c r="C120" s="26"/>
      <c r="D120" s="26"/>
      <c r="E120" s="26"/>
      <c r="F120" s="15"/>
      <c r="G120" s="15"/>
      <c r="H120" s="15"/>
      <c r="I120" s="15"/>
      <c r="J120" s="15"/>
      <c r="K120" s="15"/>
      <c r="L120" s="15"/>
      <c r="M120" s="15"/>
      <c r="N120" s="15"/>
      <c r="O120" s="15"/>
      <c r="P120" s="15"/>
      <c r="Q120" s="15"/>
      <c r="R120" s="15"/>
      <c r="S120" s="15"/>
      <c r="T120" s="15"/>
      <c r="U120" s="15"/>
      <c r="V120" s="15"/>
      <c r="W120" s="15"/>
      <c r="X120" s="15"/>
      <c r="Y120" s="15"/>
      <c r="Z120" s="15"/>
    </row>
    <row r="121" spans="1:26" x14ac:dyDescent="0.3">
      <c r="A121" s="15"/>
      <c r="B121" s="26"/>
      <c r="C121" s="26"/>
      <c r="D121" s="26"/>
      <c r="E121" s="26"/>
      <c r="F121" s="15"/>
      <c r="G121" s="15"/>
      <c r="H121" s="15"/>
      <c r="I121" s="15"/>
      <c r="J121" s="15"/>
      <c r="K121" s="15"/>
      <c r="L121" s="15"/>
      <c r="M121" s="15"/>
      <c r="N121" s="15"/>
      <c r="O121" s="15"/>
      <c r="P121" s="15"/>
      <c r="Q121" s="15"/>
      <c r="R121" s="15"/>
      <c r="S121" s="15"/>
      <c r="T121" s="15"/>
      <c r="U121" s="15"/>
      <c r="V121" s="15"/>
      <c r="W121" s="15"/>
      <c r="X121" s="15"/>
      <c r="Y121" s="15"/>
      <c r="Z121" s="15"/>
    </row>
    <row r="122" spans="1:26" x14ac:dyDescent="0.3">
      <c r="A122" s="15"/>
      <c r="B122" s="26"/>
      <c r="C122" s="26"/>
      <c r="D122" s="26"/>
      <c r="E122" s="26"/>
      <c r="F122" s="15"/>
      <c r="G122" s="15"/>
      <c r="H122" s="15"/>
      <c r="I122" s="15"/>
      <c r="J122" s="15"/>
      <c r="K122" s="15"/>
      <c r="L122" s="15"/>
      <c r="M122" s="15"/>
      <c r="N122" s="15"/>
      <c r="O122" s="15"/>
      <c r="P122" s="15"/>
      <c r="Q122" s="15"/>
      <c r="R122" s="15"/>
      <c r="S122" s="15"/>
      <c r="T122" s="15"/>
      <c r="U122" s="15"/>
      <c r="V122" s="15"/>
      <c r="W122" s="15"/>
      <c r="X122" s="15"/>
      <c r="Y122" s="15"/>
      <c r="Z122" s="15"/>
    </row>
    <row r="123" spans="1:26" x14ac:dyDescent="0.3">
      <c r="A123" s="15"/>
      <c r="B123" s="26"/>
      <c r="C123" s="26"/>
      <c r="D123" s="26"/>
      <c r="E123" s="26"/>
      <c r="F123" s="15"/>
      <c r="G123" s="15"/>
      <c r="H123" s="15"/>
      <c r="I123" s="15"/>
      <c r="J123" s="15"/>
      <c r="K123" s="15"/>
      <c r="L123" s="15"/>
      <c r="M123" s="15"/>
      <c r="N123" s="15"/>
      <c r="O123" s="15"/>
      <c r="P123" s="15"/>
      <c r="Q123" s="15"/>
      <c r="R123" s="15"/>
      <c r="S123" s="15"/>
      <c r="T123" s="15"/>
      <c r="U123" s="15"/>
      <c r="V123" s="15"/>
      <c r="W123" s="15"/>
      <c r="X123" s="15"/>
      <c r="Y123" s="15"/>
      <c r="Z123" s="15"/>
    </row>
    <row r="124" spans="1:26" x14ac:dyDescent="0.3">
      <c r="A124" s="15"/>
      <c r="B124" s="26"/>
      <c r="C124" s="26"/>
      <c r="D124" s="26"/>
      <c r="E124" s="26"/>
      <c r="F124" s="15"/>
      <c r="G124" s="15"/>
      <c r="H124" s="15"/>
      <c r="I124" s="15"/>
      <c r="J124" s="15"/>
      <c r="K124" s="15"/>
      <c r="L124" s="15"/>
      <c r="M124" s="15"/>
      <c r="N124" s="15"/>
      <c r="O124" s="15"/>
      <c r="P124" s="15"/>
      <c r="Q124" s="15"/>
      <c r="R124" s="15"/>
      <c r="S124" s="15"/>
      <c r="T124" s="15"/>
      <c r="U124" s="15"/>
      <c r="V124" s="15"/>
      <c r="W124" s="15"/>
      <c r="X124" s="15"/>
      <c r="Y124" s="15"/>
      <c r="Z124" s="15"/>
    </row>
    <row r="125" spans="1:26" x14ac:dyDescent="0.3">
      <c r="A125" s="15"/>
      <c r="B125" s="26"/>
      <c r="C125" s="26"/>
      <c r="D125" s="26"/>
      <c r="E125" s="26"/>
      <c r="F125" s="15"/>
      <c r="G125" s="15"/>
      <c r="H125" s="15"/>
      <c r="I125" s="15"/>
      <c r="J125" s="15"/>
      <c r="K125" s="15"/>
      <c r="L125" s="15"/>
      <c r="M125" s="15"/>
      <c r="N125" s="15"/>
      <c r="O125" s="15"/>
      <c r="P125" s="15"/>
      <c r="Q125" s="15"/>
      <c r="R125" s="15"/>
      <c r="S125" s="15"/>
      <c r="T125" s="15"/>
      <c r="U125" s="15"/>
      <c r="V125" s="15"/>
      <c r="W125" s="15"/>
      <c r="X125" s="15"/>
      <c r="Y125" s="15"/>
      <c r="Z125" s="15"/>
    </row>
    <row r="126" spans="1:26" x14ac:dyDescent="0.3">
      <c r="A126" s="15"/>
      <c r="B126" s="26"/>
      <c r="C126" s="26"/>
      <c r="D126" s="26"/>
      <c r="E126" s="26"/>
      <c r="F126" s="15"/>
      <c r="G126" s="15"/>
      <c r="H126" s="15"/>
      <c r="I126" s="15"/>
      <c r="J126" s="15"/>
      <c r="K126" s="15"/>
      <c r="L126" s="15"/>
      <c r="M126" s="15"/>
      <c r="N126" s="15"/>
      <c r="O126" s="15"/>
      <c r="P126" s="15"/>
      <c r="Q126" s="15"/>
      <c r="R126" s="15"/>
      <c r="S126" s="15"/>
      <c r="T126" s="15"/>
      <c r="U126" s="15"/>
      <c r="V126" s="15"/>
      <c r="W126" s="15"/>
      <c r="X126" s="15"/>
      <c r="Y126" s="15"/>
      <c r="Z126" s="15"/>
    </row>
    <row r="127" spans="1:26" x14ac:dyDescent="0.3">
      <c r="A127" s="15"/>
      <c r="B127" s="26"/>
      <c r="C127" s="26"/>
      <c r="D127" s="26"/>
      <c r="E127" s="26"/>
      <c r="F127" s="15"/>
      <c r="G127" s="15"/>
      <c r="H127" s="15"/>
      <c r="I127" s="15"/>
      <c r="J127" s="15"/>
      <c r="K127" s="15"/>
      <c r="L127" s="15"/>
      <c r="M127" s="15"/>
      <c r="N127" s="15"/>
      <c r="O127" s="15"/>
      <c r="P127" s="15"/>
      <c r="Q127" s="15"/>
      <c r="R127" s="15"/>
      <c r="S127" s="15"/>
      <c r="T127" s="15"/>
      <c r="U127" s="15"/>
      <c r="V127" s="15"/>
      <c r="W127" s="15"/>
      <c r="X127" s="15"/>
      <c r="Y127" s="15"/>
      <c r="Z127" s="15"/>
    </row>
    <row r="128" spans="1:26" x14ac:dyDescent="0.3">
      <c r="A128" s="15"/>
      <c r="B128" s="26"/>
      <c r="C128" s="26"/>
      <c r="D128" s="26"/>
      <c r="E128" s="26"/>
      <c r="F128" s="15"/>
      <c r="G128" s="15"/>
      <c r="H128" s="15"/>
      <c r="I128" s="15"/>
      <c r="J128" s="15"/>
      <c r="K128" s="15"/>
      <c r="L128" s="15"/>
      <c r="M128" s="15"/>
      <c r="N128" s="15"/>
      <c r="O128" s="15"/>
      <c r="P128" s="15"/>
      <c r="Q128" s="15"/>
      <c r="R128" s="15"/>
      <c r="S128" s="15"/>
      <c r="T128" s="15"/>
      <c r="U128" s="15"/>
      <c r="V128" s="15"/>
      <c r="W128" s="15"/>
      <c r="X128" s="15"/>
      <c r="Y128" s="15"/>
      <c r="Z128" s="15"/>
    </row>
    <row r="129" spans="1:26" x14ac:dyDescent="0.3">
      <c r="A129" s="15"/>
      <c r="B129" s="26"/>
      <c r="C129" s="26"/>
      <c r="D129" s="26"/>
      <c r="E129" s="26"/>
      <c r="F129" s="15"/>
      <c r="G129" s="15"/>
      <c r="H129" s="15"/>
      <c r="I129" s="15"/>
      <c r="J129" s="15"/>
      <c r="K129" s="15"/>
      <c r="L129" s="15"/>
      <c r="M129" s="15"/>
      <c r="N129" s="15"/>
      <c r="O129" s="15"/>
      <c r="P129" s="15"/>
      <c r="Q129" s="15"/>
      <c r="R129" s="15"/>
      <c r="S129" s="15"/>
      <c r="T129" s="15"/>
      <c r="U129" s="15"/>
      <c r="V129" s="15"/>
      <c r="W129" s="15"/>
      <c r="X129" s="15"/>
      <c r="Y129" s="15"/>
      <c r="Z129" s="15"/>
    </row>
    <row r="130" spans="1:26" x14ac:dyDescent="0.3">
      <c r="A130" s="15"/>
      <c r="B130" s="26"/>
      <c r="C130" s="26"/>
      <c r="D130" s="26"/>
      <c r="E130" s="26"/>
      <c r="F130" s="15"/>
      <c r="G130" s="15"/>
      <c r="H130" s="15"/>
      <c r="I130" s="15"/>
      <c r="J130" s="15"/>
      <c r="K130" s="15"/>
      <c r="L130" s="15"/>
      <c r="M130" s="15"/>
      <c r="N130" s="15"/>
      <c r="O130" s="15"/>
      <c r="P130" s="15"/>
      <c r="Q130" s="15"/>
      <c r="R130" s="15"/>
      <c r="S130" s="15"/>
      <c r="T130" s="15"/>
      <c r="U130" s="15"/>
      <c r="V130" s="15"/>
      <c r="W130" s="15"/>
      <c r="X130" s="15"/>
      <c r="Y130" s="15"/>
      <c r="Z130" s="15"/>
    </row>
    <row r="131" spans="1:26" x14ac:dyDescent="0.3">
      <c r="A131" s="15"/>
      <c r="B131" s="26"/>
      <c r="C131" s="26"/>
      <c r="D131" s="26"/>
      <c r="E131" s="26"/>
      <c r="F131" s="15"/>
      <c r="G131" s="15"/>
      <c r="H131" s="15"/>
      <c r="I131" s="15"/>
      <c r="J131" s="15"/>
      <c r="K131" s="15"/>
      <c r="L131" s="15"/>
      <c r="M131" s="15"/>
      <c r="N131" s="15"/>
      <c r="O131" s="15"/>
      <c r="P131" s="15"/>
      <c r="Q131" s="15"/>
      <c r="R131" s="15"/>
      <c r="S131" s="15"/>
      <c r="T131" s="15"/>
      <c r="U131" s="15"/>
      <c r="V131" s="15"/>
      <c r="W131" s="15"/>
      <c r="X131" s="15"/>
      <c r="Y131" s="15"/>
      <c r="Z131" s="15"/>
    </row>
    <row r="132" spans="1:26" x14ac:dyDescent="0.3">
      <c r="A132" s="15"/>
      <c r="B132" s="26"/>
      <c r="C132" s="26"/>
      <c r="D132" s="26"/>
      <c r="E132" s="26"/>
      <c r="F132" s="15"/>
      <c r="G132" s="15"/>
      <c r="H132" s="15"/>
      <c r="I132" s="15"/>
      <c r="J132" s="15"/>
      <c r="K132" s="15"/>
      <c r="L132" s="15"/>
      <c r="M132" s="15"/>
      <c r="N132" s="15"/>
      <c r="O132" s="15"/>
      <c r="P132" s="15"/>
      <c r="Q132" s="15"/>
      <c r="R132" s="15"/>
      <c r="S132" s="15"/>
      <c r="T132" s="15"/>
      <c r="U132" s="15"/>
      <c r="V132" s="15"/>
      <c r="W132" s="15"/>
      <c r="X132" s="15"/>
      <c r="Y132" s="15"/>
      <c r="Z132" s="15"/>
    </row>
    <row r="133" spans="1:26" x14ac:dyDescent="0.3">
      <c r="A133" s="15"/>
      <c r="B133" s="26"/>
      <c r="C133" s="26"/>
      <c r="D133" s="26"/>
      <c r="E133" s="26"/>
      <c r="F133" s="15"/>
      <c r="G133" s="15"/>
      <c r="H133" s="15"/>
      <c r="I133" s="15"/>
      <c r="J133" s="15"/>
      <c r="K133" s="15"/>
      <c r="L133" s="15"/>
      <c r="M133" s="15"/>
      <c r="N133" s="15"/>
      <c r="O133" s="15"/>
      <c r="P133" s="15"/>
      <c r="Q133" s="15"/>
      <c r="R133" s="15"/>
      <c r="S133" s="15"/>
      <c r="T133" s="15"/>
      <c r="U133" s="15"/>
      <c r="V133" s="15"/>
      <c r="W133" s="15"/>
      <c r="X133" s="15"/>
      <c r="Y133" s="15"/>
      <c r="Z133" s="15"/>
    </row>
    <row r="134" spans="1:26" x14ac:dyDescent="0.3">
      <c r="A134" s="15"/>
      <c r="B134" s="26"/>
      <c r="C134" s="26"/>
      <c r="D134" s="26"/>
      <c r="E134" s="26"/>
      <c r="F134" s="15"/>
      <c r="G134" s="15"/>
      <c r="H134" s="15"/>
      <c r="I134" s="15"/>
      <c r="J134" s="15"/>
      <c r="K134" s="15"/>
      <c r="L134" s="15"/>
      <c r="M134" s="15"/>
      <c r="N134" s="15"/>
      <c r="O134" s="15"/>
      <c r="P134" s="15"/>
      <c r="Q134" s="15"/>
      <c r="R134" s="15"/>
      <c r="S134" s="15"/>
      <c r="T134" s="15"/>
      <c r="U134" s="15"/>
      <c r="V134" s="15"/>
      <c r="W134" s="15"/>
      <c r="X134" s="15"/>
      <c r="Y134" s="15"/>
      <c r="Z134" s="15"/>
    </row>
    <row r="135" spans="1:26" x14ac:dyDescent="0.3">
      <c r="A135" s="15"/>
      <c r="B135" s="26"/>
      <c r="C135" s="26"/>
      <c r="D135" s="26"/>
      <c r="E135" s="26"/>
      <c r="F135" s="15"/>
      <c r="G135" s="15"/>
      <c r="H135" s="15"/>
      <c r="I135" s="15"/>
      <c r="J135" s="15"/>
      <c r="K135" s="15"/>
      <c r="L135" s="15"/>
      <c r="M135" s="15"/>
      <c r="N135" s="15"/>
      <c r="O135" s="15"/>
      <c r="P135" s="15"/>
      <c r="Q135" s="15"/>
      <c r="R135" s="15"/>
      <c r="S135" s="15"/>
      <c r="T135" s="15"/>
      <c r="U135" s="15"/>
      <c r="V135" s="15"/>
      <c r="W135" s="15"/>
      <c r="X135" s="15"/>
      <c r="Y135" s="15"/>
      <c r="Z135" s="15"/>
    </row>
    <row r="136" spans="1:26" x14ac:dyDescent="0.3">
      <c r="A136" s="15"/>
      <c r="B136" s="26"/>
      <c r="C136" s="26"/>
      <c r="D136" s="26"/>
      <c r="E136" s="26"/>
      <c r="F136" s="15"/>
      <c r="G136" s="15"/>
      <c r="H136" s="15"/>
      <c r="I136" s="15"/>
      <c r="J136" s="15"/>
      <c r="K136" s="15"/>
      <c r="L136" s="15"/>
      <c r="M136" s="15"/>
      <c r="N136" s="15"/>
      <c r="O136" s="15"/>
      <c r="P136" s="15"/>
      <c r="Q136" s="15"/>
      <c r="R136" s="15"/>
      <c r="S136" s="15"/>
      <c r="T136" s="15"/>
      <c r="U136" s="15"/>
      <c r="V136" s="15"/>
      <c r="W136" s="15"/>
      <c r="X136" s="15"/>
      <c r="Y136" s="15"/>
      <c r="Z136" s="15"/>
    </row>
    <row r="137" spans="1:26" x14ac:dyDescent="0.3">
      <c r="A137" s="15"/>
      <c r="B137" s="26"/>
      <c r="C137" s="26"/>
      <c r="D137" s="26"/>
      <c r="E137" s="26"/>
      <c r="F137" s="15"/>
      <c r="G137" s="15"/>
      <c r="H137" s="15"/>
      <c r="I137" s="15"/>
      <c r="J137" s="15"/>
      <c r="K137" s="15"/>
      <c r="L137" s="15"/>
      <c r="M137" s="15"/>
      <c r="N137" s="15"/>
      <c r="O137" s="15"/>
      <c r="P137" s="15"/>
      <c r="Q137" s="15"/>
      <c r="R137" s="15"/>
      <c r="S137" s="15"/>
      <c r="T137" s="15"/>
      <c r="U137" s="15"/>
      <c r="V137" s="15"/>
      <c r="W137" s="15"/>
      <c r="X137" s="15"/>
      <c r="Y137" s="15"/>
      <c r="Z137" s="15"/>
    </row>
    <row r="138" spans="1:26" x14ac:dyDescent="0.3">
      <c r="A138" s="15"/>
      <c r="B138" s="26"/>
      <c r="C138" s="26"/>
      <c r="D138" s="26"/>
      <c r="E138" s="26"/>
      <c r="F138" s="15"/>
      <c r="G138" s="15"/>
      <c r="H138" s="15"/>
      <c r="I138" s="15"/>
      <c r="J138" s="15"/>
      <c r="K138" s="15"/>
      <c r="L138" s="15"/>
      <c r="M138" s="15"/>
      <c r="N138" s="15"/>
      <c r="O138" s="15"/>
      <c r="P138" s="15"/>
      <c r="Q138" s="15"/>
      <c r="R138" s="15"/>
      <c r="S138" s="15"/>
      <c r="T138" s="15"/>
      <c r="U138" s="15"/>
      <c r="V138" s="15"/>
      <c r="W138" s="15"/>
      <c r="X138" s="15"/>
      <c r="Y138" s="15"/>
      <c r="Z138" s="15"/>
    </row>
    <row r="139" spans="1:26" x14ac:dyDescent="0.3">
      <c r="A139" s="15"/>
      <c r="B139" s="26"/>
      <c r="C139" s="26"/>
      <c r="D139" s="26"/>
      <c r="E139" s="26"/>
      <c r="F139" s="15"/>
      <c r="G139" s="15"/>
      <c r="H139" s="15"/>
      <c r="I139" s="15"/>
      <c r="J139" s="15"/>
      <c r="K139" s="15"/>
      <c r="L139" s="15"/>
      <c r="M139" s="15"/>
      <c r="N139" s="15"/>
      <c r="O139" s="15"/>
      <c r="P139" s="15"/>
      <c r="Q139" s="15"/>
      <c r="R139" s="15"/>
      <c r="S139" s="15"/>
      <c r="T139" s="15"/>
      <c r="U139" s="15"/>
      <c r="V139" s="15"/>
      <c r="W139" s="15"/>
      <c r="X139" s="15"/>
      <c r="Y139" s="15"/>
      <c r="Z139" s="15"/>
    </row>
    <row r="140" spans="1:26" x14ac:dyDescent="0.3">
      <c r="A140" s="15"/>
      <c r="B140" s="26"/>
      <c r="C140" s="26"/>
      <c r="D140" s="26"/>
      <c r="E140" s="26"/>
      <c r="F140" s="15"/>
      <c r="G140" s="15"/>
      <c r="H140" s="15"/>
      <c r="I140" s="15"/>
      <c r="J140" s="15"/>
      <c r="K140" s="15"/>
      <c r="L140" s="15"/>
      <c r="M140" s="15"/>
      <c r="N140" s="15"/>
      <c r="O140" s="15"/>
      <c r="P140" s="15"/>
      <c r="Q140" s="15"/>
      <c r="R140" s="15"/>
      <c r="S140" s="15"/>
      <c r="T140" s="15"/>
      <c r="U140" s="15"/>
      <c r="V140" s="15"/>
      <c r="W140" s="15"/>
      <c r="X140" s="15"/>
      <c r="Y140" s="15"/>
      <c r="Z140" s="15"/>
    </row>
    <row r="141" spans="1:26" x14ac:dyDescent="0.3">
      <c r="A141" s="15"/>
      <c r="B141" s="26"/>
      <c r="C141" s="26"/>
      <c r="D141" s="26"/>
      <c r="E141" s="26"/>
      <c r="F141" s="15"/>
      <c r="G141" s="15"/>
      <c r="H141" s="15"/>
      <c r="I141" s="15"/>
      <c r="J141" s="15"/>
      <c r="K141" s="15"/>
      <c r="L141" s="15"/>
      <c r="M141" s="15"/>
      <c r="N141" s="15"/>
      <c r="O141" s="15"/>
      <c r="P141" s="15"/>
      <c r="Q141" s="15"/>
      <c r="R141" s="15"/>
      <c r="S141" s="15"/>
      <c r="T141" s="15"/>
      <c r="U141" s="15"/>
      <c r="V141" s="15"/>
      <c r="W141" s="15"/>
      <c r="X141" s="15"/>
      <c r="Y141" s="15"/>
      <c r="Z141" s="15"/>
    </row>
    <row r="142" spans="1:26" x14ac:dyDescent="0.3">
      <c r="A142" s="15"/>
      <c r="B142" s="26"/>
      <c r="C142" s="26"/>
      <c r="D142" s="26"/>
      <c r="E142" s="26"/>
      <c r="F142" s="15"/>
      <c r="G142" s="15"/>
      <c r="H142" s="15"/>
      <c r="I142" s="15"/>
      <c r="J142" s="15"/>
      <c r="K142" s="15"/>
      <c r="L142" s="15"/>
      <c r="M142" s="15"/>
      <c r="N142" s="15"/>
      <c r="O142" s="15"/>
      <c r="P142" s="15"/>
      <c r="Q142" s="15"/>
      <c r="R142" s="15"/>
      <c r="S142" s="15"/>
      <c r="T142" s="15"/>
      <c r="U142" s="15"/>
      <c r="V142" s="15"/>
      <c r="W142" s="15"/>
      <c r="X142" s="15"/>
      <c r="Y142" s="15"/>
      <c r="Z142" s="15"/>
    </row>
    <row r="143" spans="1:26" x14ac:dyDescent="0.3">
      <c r="A143" s="15"/>
      <c r="B143" s="26"/>
      <c r="C143" s="26"/>
      <c r="D143" s="26"/>
      <c r="E143" s="26"/>
      <c r="F143" s="15"/>
      <c r="G143" s="15"/>
      <c r="H143" s="15"/>
      <c r="I143" s="15"/>
      <c r="J143" s="15"/>
      <c r="K143" s="15"/>
      <c r="L143" s="15"/>
      <c r="M143" s="15"/>
      <c r="N143" s="15"/>
      <c r="O143" s="15"/>
      <c r="P143" s="15"/>
      <c r="Q143" s="15"/>
      <c r="R143" s="15"/>
      <c r="S143" s="15"/>
      <c r="T143" s="15"/>
      <c r="U143" s="15"/>
      <c r="V143" s="15"/>
      <c r="W143" s="15"/>
      <c r="X143" s="15"/>
      <c r="Y143" s="15"/>
      <c r="Z143" s="15"/>
    </row>
    <row r="144" spans="1:26" x14ac:dyDescent="0.3">
      <c r="A144" s="15"/>
      <c r="B144" s="26"/>
      <c r="C144" s="26"/>
      <c r="D144" s="26"/>
      <c r="E144" s="26"/>
      <c r="F144" s="15"/>
      <c r="G144" s="15"/>
      <c r="H144" s="15"/>
      <c r="I144" s="15"/>
      <c r="J144" s="15"/>
      <c r="K144" s="15"/>
      <c r="L144" s="15"/>
      <c r="M144" s="15"/>
      <c r="N144" s="15"/>
      <c r="O144" s="15"/>
      <c r="P144" s="15"/>
      <c r="Q144" s="15"/>
      <c r="R144" s="15"/>
      <c r="S144" s="15"/>
      <c r="T144" s="15"/>
      <c r="U144" s="15"/>
      <c r="V144" s="15"/>
      <c r="W144" s="15"/>
      <c r="X144" s="15"/>
      <c r="Y144" s="15"/>
      <c r="Z144" s="15"/>
    </row>
    <row r="145" spans="1:26" x14ac:dyDescent="0.3">
      <c r="A145" s="15"/>
      <c r="B145" s="26"/>
      <c r="C145" s="26"/>
      <c r="D145" s="26"/>
      <c r="E145" s="26"/>
      <c r="F145" s="15"/>
      <c r="G145" s="15"/>
      <c r="H145" s="15"/>
      <c r="I145" s="15"/>
      <c r="J145" s="15"/>
      <c r="K145" s="15"/>
      <c r="L145" s="15"/>
      <c r="M145" s="15"/>
      <c r="N145" s="15"/>
      <c r="O145" s="15"/>
      <c r="P145" s="15"/>
      <c r="Q145" s="15"/>
      <c r="R145" s="15"/>
      <c r="S145" s="15"/>
      <c r="T145" s="15"/>
      <c r="U145" s="15"/>
      <c r="V145" s="15"/>
      <c r="W145" s="15"/>
      <c r="X145" s="15"/>
      <c r="Y145" s="15"/>
      <c r="Z145" s="15"/>
    </row>
    <row r="146" spans="1:26" x14ac:dyDescent="0.3">
      <c r="A146" s="15"/>
      <c r="B146" s="26"/>
      <c r="C146" s="26"/>
      <c r="D146" s="26"/>
      <c r="E146" s="26"/>
      <c r="F146" s="15"/>
      <c r="G146" s="15"/>
      <c r="H146" s="15"/>
      <c r="I146" s="15"/>
      <c r="J146" s="15"/>
      <c r="K146" s="15"/>
      <c r="L146" s="15"/>
      <c r="M146" s="15"/>
      <c r="N146" s="15"/>
      <c r="O146" s="15"/>
      <c r="P146" s="15"/>
      <c r="Q146" s="15"/>
      <c r="R146" s="15"/>
      <c r="S146" s="15"/>
      <c r="T146" s="15"/>
      <c r="U146" s="15"/>
      <c r="V146" s="15"/>
      <c r="W146" s="15"/>
      <c r="X146" s="15"/>
      <c r="Y146" s="15"/>
      <c r="Z146" s="15"/>
    </row>
    <row r="147" spans="1:26" x14ac:dyDescent="0.3">
      <c r="A147" s="15"/>
      <c r="B147" s="26"/>
      <c r="C147" s="26"/>
      <c r="D147" s="26"/>
      <c r="E147" s="26"/>
      <c r="F147" s="15"/>
      <c r="G147" s="15"/>
      <c r="H147" s="15"/>
      <c r="I147" s="15"/>
      <c r="J147" s="15"/>
      <c r="K147" s="15"/>
      <c r="L147" s="15"/>
      <c r="M147" s="15"/>
      <c r="N147" s="15"/>
      <c r="O147" s="15"/>
      <c r="P147" s="15"/>
      <c r="Q147" s="15"/>
      <c r="R147" s="15"/>
      <c r="S147" s="15"/>
      <c r="T147" s="15"/>
      <c r="U147" s="15"/>
      <c r="V147" s="15"/>
      <c r="W147" s="15"/>
      <c r="X147" s="15"/>
      <c r="Y147" s="15"/>
      <c r="Z147" s="15"/>
    </row>
    <row r="148" spans="1:26" x14ac:dyDescent="0.3">
      <c r="A148" s="15"/>
      <c r="B148" s="26"/>
      <c r="C148" s="26"/>
      <c r="D148" s="26"/>
      <c r="E148" s="26"/>
      <c r="F148" s="15"/>
      <c r="G148" s="15"/>
      <c r="H148" s="15"/>
      <c r="I148" s="15"/>
      <c r="J148" s="15"/>
      <c r="K148" s="15"/>
      <c r="L148" s="15"/>
      <c r="M148" s="15"/>
      <c r="N148" s="15"/>
      <c r="O148" s="15"/>
      <c r="P148" s="15"/>
      <c r="Q148" s="15"/>
      <c r="R148" s="15"/>
      <c r="S148" s="15"/>
      <c r="T148" s="15"/>
      <c r="U148" s="15"/>
      <c r="V148" s="15"/>
      <c r="W148" s="15"/>
      <c r="X148" s="15"/>
      <c r="Y148" s="15"/>
      <c r="Z148" s="15"/>
    </row>
    <row r="149" spans="1:26" x14ac:dyDescent="0.3">
      <c r="A149" s="15"/>
      <c r="B149" s="26"/>
      <c r="C149" s="26"/>
      <c r="D149" s="26"/>
      <c r="E149" s="26"/>
      <c r="F149" s="15"/>
      <c r="G149" s="15"/>
      <c r="H149" s="15"/>
      <c r="I149" s="15"/>
      <c r="J149" s="15"/>
      <c r="K149" s="15"/>
      <c r="L149" s="15"/>
      <c r="M149" s="15"/>
      <c r="N149" s="15"/>
      <c r="O149" s="15"/>
      <c r="P149" s="15"/>
      <c r="Q149" s="15"/>
      <c r="R149" s="15"/>
      <c r="S149" s="15"/>
      <c r="T149" s="15"/>
      <c r="U149" s="15"/>
      <c r="V149" s="15"/>
      <c r="W149" s="15"/>
      <c r="X149" s="15"/>
      <c r="Y149" s="15"/>
      <c r="Z149" s="15"/>
    </row>
    <row r="150" spans="1:26" x14ac:dyDescent="0.3">
      <c r="A150" s="15"/>
      <c r="B150" s="26"/>
      <c r="C150" s="26"/>
      <c r="D150" s="26"/>
      <c r="E150" s="26"/>
      <c r="F150" s="15"/>
      <c r="G150" s="15"/>
      <c r="H150" s="15"/>
      <c r="I150" s="15"/>
      <c r="J150" s="15"/>
      <c r="K150" s="15"/>
      <c r="L150" s="15"/>
      <c r="M150" s="15"/>
      <c r="N150" s="15"/>
      <c r="O150" s="15"/>
      <c r="P150" s="15"/>
      <c r="Q150" s="15"/>
      <c r="R150" s="15"/>
      <c r="S150" s="15"/>
      <c r="T150" s="15"/>
      <c r="U150" s="15"/>
      <c r="V150" s="15"/>
      <c r="W150" s="15"/>
      <c r="X150" s="15"/>
      <c r="Y150" s="15"/>
      <c r="Z150" s="15"/>
    </row>
    <row r="151" spans="1:26" x14ac:dyDescent="0.3">
      <c r="A151" s="15"/>
      <c r="B151" s="26"/>
      <c r="C151" s="26"/>
      <c r="D151" s="26"/>
      <c r="E151" s="26"/>
      <c r="F151" s="15"/>
      <c r="G151" s="15"/>
      <c r="H151" s="15"/>
      <c r="I151" s="15"/>
      <c r="J151" s="15"/>
      <c r="K151" s="15"/>
      <c r="L151" s="15"/>
      <c r="M151" s="15"/>
      <c r="N151" s="15"/>
      <c r="O151" s="15"/>
      <c r="P151" s="15"/>
      <c r="Q151" s="15"/>
      <c r="R151" s="15"/>
      <c r="S151" s="15"/>
      <c r="T151" s="15"/>
      <c r="U151" s="15"/>
      <c r="V151" s="15"/>
      <c r="W151" s="15"/>
      <c r="X151" s="15"/>
      <c r="Y151" s="15"/>
      <c r="Z151" s="15"/>
    </row>
    <row r="152" spans="1:26" x14ac:dyDescent="0.3">
      <c r="A152" s="15"/>
      <c r="B152" s="26"/>
      <c r="C152" s="26"/>
      <c r="D152" s="26"/>
      <c r="E152" s="26"/>
      <c r="F152" s="15"/>
      <c r="G152" s="15"/>
      <c r="H152" s="15"/>
      <c r="I152" s="15"/>
      <c r="J152" s="15"/>
      <c r="K152" s="15"/>
      <c r="L152" s="15"/>
      <c r="M152" s="15"/>
      <c r="N152" s="15"/>
      <c r="O152" s="15"/>
      <c r="P152" s="15"/>
      <c r="Q152" s="15"/>
      <c r="R152" s="15"/>
      <c r="S152" s="15"/>
      <c r="T152" s="15"/>
      <c r="U152" s="15"/>
      <c r="V152" s="15"/>
      <c r="W152" s="15"/>
      <c r="X152" s="15"/>
      <c r="Y152" s="15"/>
      <c r="Z152" s="15"/>
    </row>
    <row r="153" spans="1:26" x14ac:dyDescent="0.3">
      <c r="A153" s="15"/>
      <c r="B153" s="26"/>
      <c r="C153" s="26"/>
      <c r="D153" s="26"/>
      <c r="E153" s="26"/>
      <c r="F153" s="15"/>
      <c r="G153" s="15"/>
      <c r="H153" s="15"/>
      <c r="I153" s="15"/>
      <c r="J153" s="15"/>
      <c r="K153" s="15"/>
      <c r="L153" s="15"/>
      <c r="M153" s="15"/>
      <c r="N153" s="15"/>
      <c r="O153" s="15"/>
      <c r="P153" s="15"/>
      <c r="Q153" s="15"/>
      <c r="R153" s="15"/>
      <c r="S153" s="15"/>
      <c r="T153" s="15"/>
      <c r="U153" s="15"/>
      <c r="V153" s="15"/>
      <c r="W153" s="15"/>
      <c r="X153" s="15"/>
      <c r="Y153" s="15"/>
      <c r="Z153" s="15"/>
    </row>
    <row r="154" spans="1:26" x14ac:dyDescent="0.3">
      <c r="A154" s="15"/>
      <c r="B154" s="26"/>
      <c r="C154" s="26"/>
      <c r="D154" s="26"/>
      <c r="E154" s="26"/>
      <c r="F154" s="15"/>
      <c r="G154" s="15"/>
      <c r="H154" s="15"/>
      <c r="I154" s="15"/>
      <c r="J154" s="15"/>
      <c r="K154" s="15"/>
      <c r="L154" s="15"/>
      <c r="M154" s="15"/>
      <c r="N154" s="15"/>
      <c r="O154" s="15"/>
      <c r="P154" s="15"/>
      <c r="Q154" s="15"/>
      <c r="R154" s="15"/>
      <c r="S154" s="15"/>
      <c r="T154" s="15"/>
      <c r="U154" s="15"/>
      <c r="V154" s="15"/>
      <c r="W154" s="15"/>
      <c r="X154" s="15"/>
      <c r="Y154" s="15"/>
      <c r="Z154" s="15"/>
    </row>
    <row r="155" spans="1:26" x14ac:dyDescent="0.3">
      <c r="A155" s="15"/>
      <c r="B155" s="26"/>
      <c r="C155" s="26"/>
      <c r="D155" s="26"/>
      <c r="E155" s="26"/>
      <c r="F155" s="15"/>
      <c r="G155" s="15"/>
      <c r="H155" s="15"/>
      <c r="I155" s="15"/>
      <c r="J155" s="15"/>
      <c r="K155" s="15"/>
      <c r="L155" s="15"/>
      <c r="M155" s="15"/>
      <c r="N155" s="15"/>
      <c r="O155" s="15"/>
      <c r="P155" s="15"/>
      <c r="Q155" s="15"/>
      <c r="R155" s="15"/>
      <c r="S155" s="15"/>
      <c r="T155" s="15"/>
      <c r="U155" s="15"/>
      <c r="V155" s="15"/>
      <c r="W155" s="15"/>
      <c r="X155" s="15"/>
      <c r="Y155" s="15"/>
      <c r="Z155" s="15"/>
    </row>
    <row r="156" spans="1:26" x14ac:dyDescent="0.3">
      <c r="A156" s="15"/>
      <c r="B156" s="26"/>
      <c r="C156" s="26"/>
      <c r="D156" s="26"/>
      <c r="E156" s="26"/>
      <c r="F156" s="15"/>
      <c r="G156" s="15"/>
      <c r="H156" s="15"/>
      <c r="I156" s="15"/>
      <c r="J156" s="15"/>
      <c r="K156" s="15"/>
      <c r="L156" s="15"/>
      <c r="M156" s="15"/>
      <c r="N156" s="15"/>
      <c r="O156" s="15"/>
      <c r="P156" s="15"/>
      <c r="Q156" s="15"/>
      <c r="R156" s="15"/>
      <c r="S156" s="15"/>
      <c r="T156" s="15"/>
      <c r="U156" s="15"/>
      <c r="V156" s="15"/>
      <c r="W156" s="15"/>
      <c r="X156" s="15"/>
      <c r="Y156" s="15"/>
      <c r="Z156" s="15"/>
    </row>
    <row r="157" spans="1:26" x14ac:dyDescent="0.3">
      <c r="A157" s="15"/>
      <c r="B157" s="26"/>
      <c r="C157" s="26"/>
      <c r="D157" s="26"/>
      <c r="E157" s="26"/>
      <c r="F157" s="15"/>
      <c r="G157" s="15"/>
      <c r="H157" s="15"/>
      <c r="I157" s="15"/>
      <c r="J157" s="15"/>
      <c r="K157" s="15"/>
      <c r="L157" s="15"/>
      <c r="M157" s="15"/>
      <c r="N157" s="15"/>
      <c r="O157" s="15"/>
      <c r="P157" s="15"/>
      <c r="Q157" s="15"/>
      <c r="R157" s="15"/>
      <c r="S157" s="15"/>
      <c r="T157" s="15"/>
      <c r="U157" s="15"/>
      <c r="V157" s="15"/>
      <c r="W157" s="15"/>
      <c r="X157" s="15"/>
      <c r="Y157" s="15"/>
      <c r="Z157" s="15"/>
    </row>
    <row r="158" spans="1:26" x14ac:dyDescent="0.3">
      <c r="A158" s="15"/>
      <c r="B158" s="26"/>
      <c r="C158" s="26"/>
      <c r="D158" s="26"/>
      <c r="E158" s="26"/>
      <c r="F158" s="15"/>
      <c r="G158" s="15"/>
      <c r="H158" s="15"/>
      <c r="I158" s="15"/>
      <c r="J158" s="15"/>
      <c r="K158" s="15"/>
      <c r="L158" s="15"/>
      <c r="M158" s="15"/>
      <c r="N158" s="15"/>
      <c r="O158" s="15"/>
      <c r="P158" s="15"/>
      <c r="Q158" s="15"/>
      <c r="R158" s="15"/>
      <c r="S158" s="15"/>
      <c r="T158" s="15"/>
      <c r="U158" s="15"/>
      <c r="V158" s="15"/>
      <c r="W158" s="15"/>
      <c r="X158" s="15"/>
      <c r="Y158" s="15"/>
      <c r="Z158" s="15"/>
    </row>
    <row r="159" spans="1:26" x14ac:dyDescent="0.3">
      <c r="A159" s="15"/>
      <c r="B159" s="26"/>
      <c r="C159" s="26"/>
      <c r="D159" s="26"/>
      <c r="E159" s="26"/>
      <c r="F159" s="15"/>
      <c r="G159" s="15"/>
      <c r="H159" s="15"/>
      <c r="I159" s="15"/>
      <c r="J159" s="15"/>
      <c r="K159" s="15"/>
      <c r="L159" s="15"/>
      <c r="M159" s="15"/>
      <c r="N159" s="15"/>
      <c r="O159" s="15"/>
      <c r="P159" s="15"/>
      <c r="Q159" s="15"/>
      <c r="R159" s="15"/>
      <c r="S159" s="15"/>
      <c r="T159" s="15"/>
      <c r="U159" s="15"/>
      <c r="V159" s="15"/>
      <c r="W159" s="15"/>
      <c r="X159" s="15"/>
      <c r="Y159" s="15"/>
      <c r="Z159" s="15"/>
    </row>
    <row r="160" spans="1:26" x14ac:dyDescent="0.3">
      <c r="A160" s="15"/>
      <c r="B160" s="26"/>
      <c r="C160" s="26"/>
      <c r="D160" s="26"/>
      <c r="E160" s="26"/>
      <c r="F160" s="15"/>
      <c r="G160" s="15"/>
      <c r="H160" s="15"/>
      <c r="I160" s="15"/>
      <c r="J160" s="15"/>
      <c r="K160" s="15"/>
      <c r="L160" s="15"/>
      <c r="M160" s="15"/>
      <c r="N160" s="15"/>
      <c r="O160" s="15"/>
      <c r="P160" s="15"/>
      <c r="Q160" s="15"/>
      <c r="R160" s="15"/>
      <c r="S160" s="15"/>
      <c r="T160" s="15"/>
      <c r="U160" s="15"/>
      <c r="V160" s="15"/>
      <c r="W160" s="15"/>
      <c r="X160" s="15"/>
      <c r="Y160" s="15"/>
      <c r="Z160" s="15"/>
    </row>
    <row r="161" spans="1:26" x14ac:dyDescent="0.3">
      <c r="A161" s="15"/>
      <c r="B161" s="26"/>
      <c r="C161" s="26"/>
      <c r="D161" s="26"/>
      <c r="E161" s="26"/>
      <c r="F161" s="15"/>
      <c r="G161" s="15"/>
      <c r="H161" s="15"/>
      <c r="I161" s="15"/>
      <c r="J161" s="15"/>
      <c r="K161" s="15"/>
      <c r="L161" s="15"/>
      <c r="M161" s="15"/>
      <c r="N161" s="15"/>
      <c r="O161" s="15"/>
      <c r="P161" s="15"/>
      <c r="Q161" s="15"/>
      <c r="R161" s="15"/>
      <c r="S161" s="15"/>
      <c r="T161" s="15"/>
      <c r="U161" s="15"/>
      <c r="V161" s="15"/>
      <c r="W161" s="15"/>
      <c r="X161" s="15"/>
      <c r="Y161" s="15"/>
      <c r="Z161" s="15"/>
    </row>
    <row r="162" spans="1:26" x14ac:dyDescent="0.3">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x14ac:dyDescent="0.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x14ac:dyDescent="0.3">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x14ac:dyDescent="0.3">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x14ac:dyDescent="0.3">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x14ac:dyDescent="0.3">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x14ac:dyDescent="0.3">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x14ac:dyDescent="0.3">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x14ac:dyDescent="0.3">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sheetData>
  <sheetProtection password="8BC3" sheet="1" objects="1" scenarios="1"/>
  <mergeCells count="3">
    <mergeCell ref="E8:E10"/>
    <mergeCell ref="E16:E18"/>
    <mergeCell ref="E24:E26"/>
  </mergeCells>
  <dataValidations xWindow="546" yWindow="226" count="1">
    <dataValidation type="list" allowBlank="1" showInputMessage="1" showErrorMessage="1" promptTitle="Manual Override" prompt="Select whether to allow model to calculate or to manually override" sqref="C90 C95 C14 C4 C22 C38:C39 C33:C34">
      <formula1>Manual_override</formula1>
    </dataValidation>
  </dataValidations>
  <hyperlinks>
    <hyperlink ref="H1" location="Guide" display="Guide"/>
    <hyperlink ref="H2" location="Input" display="Input"/>
  </hyperlinks>
  <pageMargins left="0.7" right="0.7" top="0.75" bottom="0.75" header="0.3" footer="0.3"/>
  <pageSetup paperSize="9" scale="41" orientation="portrait" r:id="rId1"/>
  <headerFooter>
    <oddFooter>&amp;LNova Scotia Exploration Economics Model&amp;Rwww.indeva.com</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BI107"/>
  <sheetViews>
    <sheetView showGridLines="0" showRowColHeaders="0" zoomScale="60" zoomScaleNormal="60" workbookViewId="0">
      <pane xSplit="1" ySplit="7" topLeftCell="B8" activePane="bottomRight" state="frozen"/>
      <selection activeCell="D43" sqref="D43"/>
      <selection pane="topRight" activeCell="D43" sqref="D43"/>
      <selection pane="bottomLeft" activeCell="D43" sqref="D43"/>
      <selection pane="bottomRight"/>
    </sheetView>
  </sheetViews>
  <sheetFormatPr defaultRowHeight="14.4" x14ac:dyDescent="0.3"/>
  <cols>
    <col min="1" max="1" width="14.44140625" customWidth="1"/>
    <col min="2" max="2" width="15.33203125" customWidth="1"/>
    <col min="3" max="9" width="11.6640625" customWidth="1"/>
    <col min="10" max="11" width="12.33203125" customWidth="1"/>
    <col min="12" max="12" width="16.33203125" customWidth="1"/>
    <col min="13" max="21" width="11.6640625" customWidth="1"/>
    <col min="22" max="22" width="14.5546875" customWidth="1"/>
    <col min="23" max="31" width="11.6640625" customWidth="1"/>
    <col min="32" max="32" width="15.33203125" customWidth="1"/>
    <col min="33" max="66" width="11.6640625" customWidth="1"/>
  </cols>
  <sheetData>
    <row r="1" spans="1:61" ht="18.75" x14ac:dyDescent="0.3">
      <c r="A1" s="107" t="s">
        <v>769</v>
      </c>
      <c r="B1" s="5" t="s">
        <v>568</v>
      </c>
      <c r="C1" s="5"/>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75" x14ac:dyDescent="0.25">
      <c r="A2" s="107" t="s">
        <v>143</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ht="15" x14ac:dyDescent="0.25">
      <c r="A3" s="1" t="s">
        <v>430</v>
      </c>
      <c r="B3" s="46" t="s">
        <v>569</v>
      </c>
      <c r="C3" s="46"/>
      <c r="D3" s="1"/>
      <c r="E3" s="1"/>
      <c r="F3" s="1"/>
      <c r="G3" s="1"/>
      <c r="H3" s="1"/>
      <c r="I3" s="1"/>
      <c r="J3" s="1"/>
      <c r="K3" s="1"/>
      <c r="L3" s="46" t="s">
        <v>570</v>
      </c>
      <c r="M3" s="46"/>
      <c r="N3" s="1"/>
      <c r="O3" s="1"/>
      <c r="P3" s="1"/>
      <c r="Q3" s="1"/>
      <c r="R3" s="1"/>
      <c r="S3" s="1"/>
      <c r="T3" s="1"/>
      <c r="U3" s="1"/>
      <c r="V3" s="46" t="s">
        <v>571</v>
      </c>
      <c r="W3" s="46"/>
      <c r="X3" s="1"/>
      <c r="Y3" s="1"/>
      <c r="Z3" s="1"/>
      <c r="AA3" s="1"/>
      <c r="AB3" s="1"/>
      <c r="AC3" s="1"/>
      <c r="AD3" s="1"/>
      <c r="AE3" s="1"/>
      <c r="AF3" s="46" t="s">
        <v>572</v>
      </c>
      <c r="AG3" s="46"/>
      <c r="AH3" s="1"/>
      <c r="AI3" s="1"/>
      <c r="AJ3" s="1"/>
      <c r="AK3" s="1"/>
      <c r="AL3" s="1"/>
      <c r="AM3" s="1"/>
      <c r="AN3" s="1"/>
      <c r="AO3" s="1"/>
      <c r="AP3" s="46" t="s">
        <v>573</v>
      </c>
      <c r="AQ3" s="46"/>
      <c r="AR3" s="1"/>
      <c r="AS3" s="1"/>
      <c r="AT3" s="1"/>
      <c r="AU3" s="1"/>
      <c r="AV3" s="1"/>
      <c r="AW3" s="1"/>
      <c r="AX3" s="1"/>
      <c r="AY3" s="1"/>
      <c r="AZ3" s="1"/>
      <c r="BA3" s="1"/>
      <c r="BB3" s="1"/>
      <c r="BC3" s="1"/>
      <c r="BD3" s="1"/>
      <c r="BE3" s="1"/>
      <c r="BF3" s="1"/>
      <c r="BG3" s="1"/>
      <c r="BH3" s="1"/>
      <c r="BI3" s="1"/>
    </row>
    <row r="4" spans="1:61" ht="15" x14ac:dyDescent="0.25">
      <c r="A4" s="1" t="s">
        <v>475</v>
      </c>
      <c r="B4" s="60" t="s">
        <v>115</v>
      </c>
      <c r="C4" s="95">
        <v>40998</v>
      </c>
      <c r="D4" s="1"/>
      <c r="E4" s="1"/>
      <c r="F4" s="1"/>
      <c r="G4" s="1"/>
      <c r="H4" s="1"/>
      <c r="I4" s="1"/>
      <c r="J4" s="1"/>
      <c r="K4" s="1"/>
      <c r="L4" s="60" t="s">
        <v>1066</v>
      </c>
      <c r="M4" s="95">
        <f>C4</f>
        <v>40998</v>
      </c>
      <c r="N4" s="108">
        <v>1.4999999999999999E-2</v>
      </c>
      <c r="O4" s="1"/>
      <c r="P4" s="1"/>
      <c r="Q4" s="1"/>
      <c r="R4" s="1"/>
      <c r="S4" s="1"/>
      <c r="T4" s="1"/>
      <c r="U4" s="1"/>
      <c r="V4" s="60" t="s">
        <v>1067</v>
      </c>
      <c r="W4" s="95">
        <f>M4</f>
        <v>40998</v>
      </c>
      <c r="X4" s="108">
        <v>0.03</v>
      </c>
      <c r="Y4" s="1"/>
      <c r="Z4" s="1"/>
      <c r="AA4" s="1"/>
      <c r="AB4" s="1"/>
      <c r="AC4" s="1"/>
      <c r="AD4" s="1"/>
      <c r="AE4" s="1"/>
      <c r="AF4" s="60" t="s">
        <v>1068</v>
      </c>
      <c r="AG4" s="95">
        <f>W4</f>
        <v>40998</v>
      </c>
      <c r="AH4" s="108">
        <v>-1.4999999999999999E-2</v>
      </c>
      <c r="AI4" s="1"/>
      <c r="AJ4" s="1"/>
      <c r="AK4" s="1"/>
      <c r="AL4" s="1"/>
      <c r="AM4" s="1"/>
      <c r="AN4" s="1"/>
      <c r="AO4" s="1"/>
      <c r="AP4" s="60" t="s">
        <v>747</v>
      </c>
      <c r="AQ4" s="95">
        <f>AG4</f>
        <v>40998</v>
      </c>
      <c r="AR4" s="1"/>
      <c r="AS4" s="1"/>
      <c r="AT4" s="1"/>
      <c r="AU4" s="1"/>
      <c r="AV4" s="1"/>
      <c r="AW4" s="1"/>
      <c r="AX4" s="1"/>
      <c r="AY4" s="1"/>
      <c r="AZ4" s="1"/>
      <c r="BA4" s="1"/>
      <c r="BB4" s="1"/>
      <c r="BC4" s="1"/>
      <c r="BD4" s="1"/>
      <c r="BE4" s="1"/>
      <c r="BF4" s="1"/>
      <c r="BG4" s="1"/>
      <c r="BH4" s="1"/>
      <c r="BI4" s="1"/>
    </row>
    <row r="5" spans="1:61" ht="15" customHeight="1" x14ac:dyDescent="0.3">
      <c r="A5" s="10"/>
      <c r="B5" s="7" t="s">
        <v>758</v>
      </c>
      <c r="C5" s="7" t="s">
        <v>758</v>
      </c>
      <c r="D5" s="7" t="s">
        <v>758</v>
      </c>
      <c r="E5" s="7" t="s">
        <v>574</v>
      </c>
      <c r="F5" s="7" t="s">
        <v>436</v>
      </c>
      <c r="G5" s="7" t="s">
        <v>437</v>
      </c>
      <c r="H5" s="101" t="s">
        <v>785</v>
      </c>
      <c r="I5" s="7" t="s">
        <v>786</v>
      </c>
      <c r="J5" s="569" t="s">
        <v>787</v>
      </c>
      <c r="K5" s="1"/>
      <c r="L5" s="7" t="s">
        <v>758</v>
      </c>
      <c r="M5" s="7" t="s">
        <v>758</v>
      </c>
      <c r="N5" s="7" t="s">
        <v>758</v>
      </c>
      <c r="O5" s="7" t="s">
        <v>574</v>
      </c>
      <c r="P5" s="7" t="s">
        <v>436</v>
      </c>
      <c r="Q5" s="7" t="s">
        <v>437</v>
      </c>
      <c r="R5" s="101" t="s">
        <v>785</v>
      </c>
      <c r="S5" s="7" t="s">
        <v>786</v>
      </c>
      <c r="T5" s="569" t="s">
        <v>787</v>
      </c>
      <c r="U5" s="1"/>
      <c r="V5" s="7" t="s">
        <v>758</v>
      </c>
      <c r="W5" s="7" t="s">
        <v>758</v>
      </c>
      <c r="X5" s="7" t="s">
        <v>758</v>
      </c>
      <c r="Y5" s="7" t="s">
        <v>574</v>
      </c>
      <c r="Z5" s="7" t="s">
        <v>436</v>
      </c>
      <c r="AA5" s="7" t="s">
        <v>437</v>
      </c>
      <c r="AB5" s="101" t="s">
        <v>785</v>
      </c>
      <c r="AC5" s="7" t="s">
        <v>786</v>
      </c>
      <c r="AD5" s="569" t="s">
        <v>787</v>
      </c>
      <c r="AE5" s="1"/>
      <c r="AF5" s="7" t="s">
        <v>758</v>
      </c>
      <c r="AG5" s="7" t="s">
        <v>758</v>
      </c>
      <c r="AH5" s="7" t="s">
        <v>758</v>
      </c>
      <c r="AI5" s="7" t="s">
        <v>574</v>
      </c>
      <c r="AJ5" s="7" t="s">
        <v>436</v>
      </c>
      <c r="AK5" s="7" t="s">
        <v>437</v>
      </c>
      <c r="AL5" s="101" t="s">
        <v>785</v>
      </c>
      <c r="AM5" s="7" t="s">
        <v>786</v>
      </c>
      <c r="AN5" s="569" t="s">
        <v>787</v>
      </c>
      <c r="AO5" s="1"/>
      <c r="AP5" s="7" t="s">
        <v>758</v>
      </c>
      <c r="AQ5" s="7" t="s">
        <v>758</v>
      </c>
      <c r="AR5" s="7" t="s">
        <v>758</v>
      </c>
      <c r="AS5" s="7" t="s">
        <v>574</v>
      </c>
      <c r="AT5" s="7" t="s">
        <v>436</v>
      </c>
      <c r="AU5" s="7" t="s">
        <v>437</v>
      </c>
      <c r="AV5" s="101" t="s">
        <v>785</v>
      </c>
      <c r="AW5" s="7" t="s">
        <v>786</v>
      </c>
      <c r="AX5" s="569" t="s">
        <v>787</v>
      </c>
      <c r="AY5" s="1"/>
      <c r="AZ5" s="1"/>
      <c r="BA5" s="1"/>
      <c r="BB5" s="1"/>
      <c r="BC5" s="1"/>
      <c r="BD5" s="1"/>
      <c r="BE5" s="1"/>
      <c r="BF5" s="1"/>
      <c r="BG5" s="1"/>
      <c r="BH5" s="1"/>
      <c r="BI5" s="1"/>
    </row>
    <row r="6" spans="1:61" x14ac:dyDescent="0.3">
      <c r="A6" s="47" t="s">
        <v>14</v>
      </c>
      <c r="B6" s="8" t="s">
        <v>1058</v>
      </c>
      <c r="C6" s="8" t="s">
        <v>759</v>
      </c>
      <c r="D6" s="8" t="s">
        <v>439</v>
      </c>
      <c r="E6" s="8" t="s">
        <v>444</v>
      </c>
      <c r="F6" s="8" t="s">
        <v>438</v>
      </c>
      <c r="G6" s="8" t="s">
        <v>440</v>
      </c>
      <c r="H6" s="110"/>
      <c r="I6" s="8" t="s">
        <v>759</v>
      </c>
      <c r="J6" s="570"/>
      <c r="K6" s="1"/>
      <c r="L6" s="8" t="s">
        <v>1058</v>
      </c>
      <c r="M6" s="8" t="s">
        <v>759</v>
      </c>
      <c r="N6" s="8" t="s">
        <v>439</v>
      </c>
      <c r="O6" s="8" t="s">
        <v>444</v>
      </c>
      <c r="P6" s="8" t="s">
        <v>438</v>
      </c>
      <c r="Q6" s="8" t="s">
        <v>440</v>
      </c>
      <c r="R6" s="110"/>
      <c r="S6" s="8" t="s">
        <v>759</v>
      </c>
      <c r="T6" s="570"/>
      <c r="U6" s="1"/>
      <c r="V6" s="8" t="s">
        <v>1058</v>
      </c>
      <c r="W6" s="8" t="s">
        <v>759</v>
      </c>
      <c r="X6" s="8" t="s">
        <v>439</v>
      </c>
      <c r="Y6" s="8" t="s">
        <v>444</v>
      </c>
      <c r="Z6" s="8" t="s">
        <v>438</v>
      </c>
      <c r="AA6" s="8" t="s">
        <v>440</v>
      </c>
      <c r="AB6" s="110"/>
      <c r="AC6" s="8" t="s">
        <v>759</v>
      </c>
      <c r="AD6" s="570"/>
      <c r="AE6" s="1"/>
      <c r="AF6" s="8" t="s">
        <v>1058</v>
      </c>
      <c r="AG6" s="8" t="s">
        <v>759</v>
      </c>
      <c r="AH6" s="8" t="s">
        <v>439</v>
      </c>
      <c r="AI6" s="8" t="s">
        <v>444</v>
      </c>
      <c r="AJ6" s="8" t="s">
        <v>438</v>
      </c>
      <c r="AK6" s="8" t="s">
        <v>440</v>
      </c>
      <c r="AL6" s="110"/>
      <c r="AM6" s="8" t="s">
        <v>759</v>
      </c>
      <c r="AN6" s="570"/>
      <c r="AO6" s="1"/>
      <c r="AP6" s="8" t="s">
        <v>1058</v>
      </c>
      <c r="AQ6" s="8" t="s">
        <v>759</v>
      </c>
      <c r="AR6" s="8" t="s">
        <v>439</v>
      </c>
      <c r="AS6" s="8" t="s">
        <v>444</v>
      </c>
      <c r="AT6" s="8" t="s">
        <v>438</v>
      </c>
      <c r="AU6" s="8" t="s">
        <v>440</v>
      </c>
      <c r="AV6" s="110"/>
      <c r="AW6" s="8" t="s">
        <v>759</v>
      </c>
      <c r="AX6" s="570"/>
      <c r="AY6" s="1"/>
      <c r="AZ6" s="1"/>
      <c r="BA6" s="1"/>
      <c r="BB6" s="1"/>
      <c r="BC6" s="1"/>
      <c r="BD6" s="1"/>
      <c r="BE6" s="1"/>
      <c r="BF6" s="1"/>
      <c r="BG6" s="1"/>
      <c r="BH6" s="1"/>
      <c r="BI6" s="1"/>
    </row>
    <row r="7" spans="1:61" x14ac:dyDescent="0.3">
      <c r="A7" s="48"/>
      <c r="B7" s="9" t="s">
        <v>441</v>
      </c>
      <c r="C7" s="9" t="s">
        <v>441</v>
      </c>
      <c r="D7" s="9" t="s">
        <v>442</v>
      </c>
      <c r="E7" s="9" t="s">
        <v>443</v>
      </c>
      <c r="F7" s="9"/>
      <c r="G7" s="9" t="s">
        <v>444</v>
      </c>
      <c r="H7" s="111"/>
      <c r="I7" s="9" t="s">
        <v>441</v>
      </c>
      <c r="J7" s="571"/>
      <c r="K7" s="1"/>
      <c r="L7" s="9" t="s">
        <v>441</v>
      </c>
      <c r="M7" s="9" t="s">
        <v>441</v>
      </c>
      <c r="N7" s="9" t="s">
        <v>442</v>
      </c>
      <c r="O7" s="9" t="s">
        <v>443</v>
      </c>
      <c r="P7" s="9"/>
      <c r="Q7" s="9" t="s">
        <v>444</v>
      </c>
      <c r="R7" s="111"/>
      <c r="S7" s="9" t="s">
        <v>441</v>
      </c>
      <c r="T7" s="571"/>
      <c r="U7" s="1"/>
      <c r="V7" s="9" t="s">
        <v>441</v>
      </c>
      <c r="W7" s="9" t="s">
        <v>441</v>
      </c>
      <c r="X7" s="9" t="s">
        <v>442</v>
      </c>
      <c r="Y7" s="9" t="s">
        <v>443</v>
      </c>
      <c r="Z7" s="9"/>
      <c r="AA7" s="9" t="s">
        <v>444</v>
      </c>
      <c r="AB7" s="111"/>
      <c r="AC7" s="9" t="s">
        <v>441</v>
      </c>
      <c r="AD7" s="571"/>
      <c r="AE7" s="1"/>
      <c r="AF7" s="9" t="s">
        <v>441</v>
      </c>
      <c r="AG7" s="9" t="s">
        <v>441</v>
      </c>
      <c r="AH7" s="9" t="s">
        <v>442</v>
      </c>
      <c r="AI7" s="9" t="s">
        <v>443</v>
      </c>
      <c r="AJ7" s="9"/>
      <c r="AK7" s="9" t="s">
        <v>444</v>
      </c>
      <c r="AL7" s="111"/>
      <c r="AM7" s="9" t="s">
        <v>441</v>
      </c>
      <c r="AN7" s="571"/>
      <c r="AO7" s="1"/>
      <c r="AP7" s="9" t="s">
        <v>441</v>
      </c>
      <c r="AQ7" s="9" t="s">
        <v>441</v>
      </c>
      <c r="AR7" s="9" t="s">
        <v>442</v>
      </c>
      <c r="AS7" s="9" t="s">
        <v>443</v>
      </c>
      <c r="AT7" s="9"/>
      <c r="AU7" s="9" t="s">
        <v>444</v>
      </c>
      <c r="AV7" s="111"/>
      <c r="AW7" s="9" t="s">
        <v>441</v>
      </c>
      <c r="AX7" s="571"/>
      <c r="AY7" s="1"/>
      <c r="AZ7" s="1"/>
      <c r="BA7" s="1"/>
      <c r="BB7" s="1"/>
      <c r="BC7" s="1"/>
      <c r="BD7" s="1"/>
      <c r="BE7" s="1"/>
      <c r="BF7" s="1"/>
      <c r="BG7" s="1"/>
      <c r="BH7" s="1"/>
      <c r="BI7" s="1"/>
    </row>
    <row r="8" spans="1:61" ht="15" x14ac:dyDescent="0.25">
      <c r="A8" s="1"/>
      <c r="B8" s="1"/>
      <c r="C8" s="1"/>
      <c r="D8" s="1"/>
      <c r="E8" s="1"/>
      <c r="F8" s="1"/>
      <c r="G8" s="1"/>
      <c r="H8" s="51"/>
      <c r="I8" s="12"/>
      <c r="J8" s="12"/>
      <c r="K8" s="1"/>
      <c r="L8" s="1"/>
      <c r="M8" s="1"/>
      <c r="N8" s="1"/>
      <c r="O8" s="1"/>
      <c r="P8" s="1"/>
      <c r="Q8" s="1"/>
      <c r="R8" s="51"/>
      <c r="S8" s="12"/>
      <c r="T8" s="12"/>
      <c r="U8" s="1"/>
      <c r="V8" s="1"/>
      <c r="W8" s="1"/>
      <c r="X8" s="1"/>
      <c r="Y8" s="1"/>
      <c r="Z8" s="1"/>
      <c r="AA8" s="1"/>
      <c r="AB8" s="51"/>
      <c r="AC8" s="12"/>
      <c r="AD8" s="12"/>
      <c r="AE8" s="1"/>
      <c r="AF8" s="1"/>
      <c r="AG8" s="1"/>
      <c r="AH8" s="1"/>
      <c r="AI8" s="1"/>
      <c r="AJ8" s="1"/>
      <c r="AK8" s="1"/>
      <c r="AL8" s="51"/>
      <c r="AM8" s="12"/>
      <c r="AN8" s="12"/>
      <c r="AO8" s="1"/>
      <c r="AP8" s="1"/>
      <c r="AQ8" s="1"/>
      <c r="AR8" s="1"/>
      <c r="AS8" s="1"/>
      <c r="AT8" s="1"/>
      <c r="AU8" s="1"/>
      <c r="AV8" s="51"/>
      <c r="AW8" s="12"/>
      <c r="AX8" s="12"/>
      <c r="AY8" s="1"/>
      <c r="AZ8" s="1"/>
      <c r="BA8" s="1"/>
      <c r="BB8" s="1"/>
      <c r="BC8" s="1"/>
      <c r="BD8" s="1"/>
      <c r="BE8" s="1"/>
      <c r="BF8" s="1"/>
      <c r="BG8" s="1"/>
      <c r="BH8" s="1"/>
      <c r="BI8" s="1"/>
    </row>
    <row r="9" spans="1:61" ht="30" x14ac:dyDescent="0.25">
      <c r="A9" s="50" t="s">
        <v>760</v>
      </c>
      <c r="B9" s="61">
        <v>-3.5</v>
      </c>
      <c r="C9" s="61">
        <v>-3</v>
      </c>
      <c r="D9" s="61">
        <v>-0.7</v>
      </c>
      <c r="E9" s="1"/>
      <c r="F9" s="1"/>
      <c r="G9" s="1"/>
      <c r="H9" s="12"/>
      <c r="I9" s="12"/>
      <c r="J9" s="12"/>
      <c r="K9" s="1"/>
      <c r="L9" s="6">
        <f>$B$9</f>
        <v>-3.5</v>
      </c>
      <c r="M9" s="6">
        <f>$C$9</f>
        <v>-3</v>
      </c>
      <c r="N9" s="6">
        <f>$D$9</f>
        <v>-0.7</v>
      </c>
      <c r="O9" s="1"/>
      <c r="P9" s="1"/>
      <c r="Q9" s="1"/>
      <c r="R9" s="12"/>
      <c r="S9" s="12"/>
      <c r="T9" s="12"/>
      <c r="U9" s="1"/>
      <c r="V9" s="6">
        <f>$B$9</f>
        <v>-3.5</v>
      </c>
      <c r="W9" s="6">
        <f>$C$9</f>
        <v>-3</v>
      </c>
      <c r="X9" s="6">
        <f>$D$9</f>
        <v>-0.7</v>
      </c>
      <c r="Y9" s="1"/>
      <c r="Z9" s="1"/>
      <c r="AA9" s="1"/>
      <c r="AB9" s="12"/>
      <c r="AC9" s="12"/>
      <c r="AD9" s="12"/>
      <c r="AE9" s="1"/>
      <c r="AF9" s="6">
        <f>$B$9</f>
        <v>-3.5</v>
      </c>
      <c r="AG9" s="6">
        <f>$C$9</f>
        <v>-3</v>
      </c>
      <c r="AH9" s="6">
        <f>$D$9</f>
        <v>-0.7</v>
      </c>
      <c r="AI9" s="1"/>
      <c r="AJ9" s="1"/>
      <c r="AK9" s="1"/>
      <c r="AL9" s="12"/>
      <c r="AM9" s="12"/>
      <c r="AN9" s="12"/>
      <c r="AO9" s="1"/>
      <c r="AP9" s="6">
        <f>$B$9</f>
        <v>-3.5</v>
      </c>
      <c r="AQ9" s="6">
        <f>$C$9</f>
        <v>-3</v>
      </c>
      <c r="AR9" s="6">
        <f>$D$9</f>
        <v>-0.7</v>
      </c>
      <c r="AS9" s="1"/>
      <c r="AT9" s="1"/>
      <c r="AU9" s="1"/>
      <c r="AV9" s="12"/>
      <c r="AW9" s="12"/>
      <c r="AX9" s="12"/>
      <c r="AY9" s="1"/>
      <c r="AZ9" s="1"/>
      <c r="BA9" s="1"/>
      <c r="BB9" s="1"/>
      <c r="BC9" s="1"/>
      <c r="BD9" s="1"/>
      <c r="BE9" s="1"/>
      <c r="BF9" s="1"/>
      <c r="BG9" s="1"/>
      <c r="BH9" s="1"/>
      <c r="BI9" s="1"/>
    </row>
    <row r="10" spans="1:61" ht="15" x14ac:dyDescent="0.25">
      <c r="A10" s="1"/>
      <c r="B10" s="1"/>
      <c r="C10" s="1"/>
      <c r="D10" s="1"/>
      <c r="E10" s="1"/>
      <c r="F10" s="1"/>
      <c r="G10" s="1"/>
      <c r="H10" s="12"/>
      <c r="I10" s="12"/>
      <c r="J10" s="12"/>
      <c r="K10" s="1"/>
      <c r="L10" s="1"/>
      <c r="M10" s="1"/>
      <c r="N10" s="1"/>
      <c r="O10" s="1"/>
      <c r="P10" s="1"/>
      <c r="Q10" s="1"/>
      <c r="R10" s="12"/>
      <c r="S10" s="12"/>
      <c r="T10" s="12"/>
      <c r="U10" s="1"/>
      <c r="V10" s="1"/>
      <c r="W10" s="1"/>
      <c r="X10" s="1"/>
      <c r="Y10" s="1"/>
      <c r="Z10" s="1"/>
      <c r="AA10" s="1"/>
      <c r="AB10" s="12"/>
      <c r="AC10" s="12"/>
      <c r="AD10" s="12"/>
      <c r="AE10" s="1"/>
      <c r="AF10" s="1"/>
      <c r="AG10" s="1"/>
      <c r="AH10" s="1"/>
      <c r="AI10" s="1"/>
      <c r="AJ10" s="1"/>
      <c r="AK10" s="1"/>
      <c r="AL10" s="12"/>
      <c r="AM10" s="12"/>
      <c r="AN10" s="12"/>
      <c r="AO10" s="1"/>
      <c r="AP10" s="1"/>
      <c r="AQ10" s="1"/>
      <c r="AR10" s="1"/>
      <c r="AS10" s="1"/>
      <c r="AT10" s="1"/>
      <c r="AU10" s="1"/>
      <c r="AV10" s="12"/>
      <c r="AW10" s="12"/>
      <c r="AX10" s="12"/>
      <c r="AY10" s="1"/>
      <c r="AZ10" s="1"/>
      <c r="BA10" s="1"/>
      <c r="BB10" s="1"/>
      <c r="BC10" s="1"/>
      <c r="BD10" s="1"/>
      <c r="BE10" s="1"/>
      <c r="BF10" s="1"/>
      <c r="BG10" s="1"/>
      <c r="BH10" s="1"/>
      <c r="BI10" s="1"/>
    </row>
    <row r="11" spans="1:61" ht="15" x14ac:dyDescent="0.25">
      <c r="A11" s="1"/>
      <c r="B11" s="1"/>
      <c r="C11" s="1"/>
      <c r="D11" s="1"/>
      <c r="E11" s="1"/>
      <c r="F11" s="1"/>
      <c r="G11" s="1"/>
      <c r="H11" s="52"/>
      <c r="I11" s="12"/>
      <c r="J11" s="12"/>
      <c r="K11" s="1"/>
      <c r="L11" s="1"/>
      <c r="M11" s="1"/>
      <c r="N11" s="1"/>
      <c r="O11" s="1"/>
      <c r="P11" s="1"/>
      <c r="Q11" s="1"/>
      <c r="R11" s="52"/>
      <c r="S11" s="12"/>
      <c r="T11" s="12"/>
      <c r="U11" s="1"/>
      <c r="V11" s="1"/>
      <c r="W11" s="1"/>
      <c r="X11" s="1"/>
      <c r="Y11" s="1"/>
      <c r="Z11" s="1"/>
      <c r="AA11" s="1"/>
      <c r="AB11" s="52"/>
      <c r="AC11" s="12"/>
      <c r="AD11" s="12"/>
      <c r="AE11" s="1"/>
      <c r="AF11" s="1"/>
      <c r="AG11" s="1"/>
      <c r="AH11" s="1"/>
      <c r="AI11" s="1"/>
      <c r="AJ11" s="1"/>
      <c r="AK11" s="1"/>
      <c r="AL11" s="52"/>
      <c r="AM11" s="12"/>
      <c r="AN11" s="12"/>
      <c r="AO11" s="1"/>
      <c r="AP11" s="1"/>
      <c r="AQ11" s="1"/>
      <c r="AR11" s="1"/>
      <c r="AS11" s="1"/>
      <c r="AT11" s="1"/>
      <c r="AU11" s="1"/>
      <c r="AV11" s="52"/>
      <c r="AW11" s="12"/>
      <c r="AX11" s="12"/>
      <c r="AY11" s="1"/>
      <c r="AZ11" s="1"/>
      <c r="BA11" s="1"/>
      <c r="BB11" s="1"/>
      <c r="BC11" s="1"/>
      <c r="BD11" s="1"/>
      <c r="BE11" s="1"/>
      <c r="BF11" s="1"/>
      <c r="BG11" s="1"/>
      <c r="BH11" s="1"/>
      <c r="BI11" s="1"/>
    </row>
    <row r="12" spans="1:61" ht="15" x14ac:dyDescent="0.25">
      <c r="A12" s="10">
        <v>2012</v>
      </c>
      <c r="B12" s="62">
        <f>C12*1.08</f>
        <v>112.32000000000001</v>
      </c>
      <c r="C12" s="61">
        <v>104</v>
      </c>
      <c r="D12" s="61">
        <v>2.6</v>
      </c>
      <c r="E12" s="61">
        <v>1</v>
      </c>
      <c r="F12" s="54">
        <v>2.5000000000000001E-2</v>
      </c>
      <c r="G12" s="54">
        <v>2.5000000000000001E-2</v>
      </c>
      <c r="H12" s="179">
        <f>1</f>
        <v>1</v>
      </c>
      <c r="I12" s="179">
        <f>C12*H12</f>
        <v>104</v>
      </c>
      <c r="J12" s="183">
        <f>D12*H12</f>
        <v>2.6</v>
      </c>
      <c r="K12" s="1"/>
      <c r="L12" s="112">
        <f>M12*1.08</f>
        <v>112.32000000000001</v>
      </c>
      <c r="M12" s="61">
        <f>$C12+$N$4*M11</f>
        <v>104</v>
      </c>
      <c r="N12" s="61">
        <f>$D12+$N$4*N11</f>
        <v>2.6</v>
      </c>
      <c r="O12" s="62">
        <v>1</v>
      </c>
      <c r="P12" s="54">
        <v>2.5000000000000001E-2</v>
      </c>
      <c r="Q12" s="54">
        <v>2.5000000000000001E-2</v>
      </c>
      <c r="R12" s="91">
        <f>1</f>
        <v>1</v>
      </c>
      <c r="S12" s="91">
        <f>M12*R12</f>
        <v>104</v>
      </c>
      <c r="T12" s="6">
        <f>N12*R12</f>
        <v>2.6</v>
      </c>
      <c r="U12" s="1"/>
      <c r="V12" s="62">
        <f>W12*1.08</f>
        <v>112.32000000000001</v>
      </c>
      <c r="W12" s="61">
        <f>$C12+$X$4*W11</f>
        <v>104</v>
      </c>
      <c r="X12" s="61">
        <f>$D12+$X$4*X11</f>
        <v>2.6</v>
      </c>
      <c r="Y12" s="62">
        <v>1</v>
      </c>
      <c r="Z12" s="54">
        <v>2.5000000000000001E-2</v>
      </c>
      <c r="AA12" s="54">
        <v>2.5000000000000001E-2</v>
      </c>
      <c r="AB12" s="91">
        <f>1</f>
        <v>1</v>
      </c>
      <c r="AC12" s="91">
        <f>W12*AB12</f>
        <v>104</v>
      </c>
      <c r="AD12" s="6">
        <f>X12*AB12</f>
        <v>2.6</v>
      </c>
      <c r="AE12" s="1"/>
      <c r="AF12" s="62">
        <f>AG12*1.08</f>
        <v>112.32000000000001</v>
      </c>
      <c r="AG12" s="61">
        <f>$C12+$AH$4*AG11</f>
        <v>104</v>
      </c>
      <c r="AH12" s="61">
        <f>$D12+$AH$4*AH11</f>
        <v>2.6</v>
      </c>
      <c r="AI12" s="62">
        <v>1</v>
      </c>
      <c r="AJ12" s="54">
        <v>2.5000000000000001E-2</v>
      </c>
      <c r="AK12" s="54">
        <v>2.5000000000000001E-2</v>
      </c>
      <c r="AL12" s="91">
        <f>1</f>
        <v>1</v>
      </c>
      <c r="AM12" s="91">
        <f>AG12*AL12</f>
        <v>104</v>
      </c>
      <c r="AN12" s="6">
        <f>AH12*AL12</f>
        <v>2.6</v>
      </c>
      <c r="AO12" s="1"/>
      <c r="AP12" s="61">
        <f>B12</f>
        <v>112.32000000000001</v>
      </c>
      <c r="AQ12" s="61">
        <f>C12</f>
        <v>104</v>
      </c>
      <c r="AR12" s="61">
        <f>D12</f>
        <v>2.6</v>
      </c>
      <c r="AS12" s="62">
        <v>1</v>
      </c>
      <c r="AT12" s="54">
        <v>2.5000000000000001E-2</v>
      </c>
      <c r="AU12" s="54">
        <v>2.5000000000000001E-2</v>
      </c>
      <c r="AV12" s="91">
        <f>1</f>
        <v>1</v>
      </c>
      <c r="AW12" s="91">
        <f>AQ12*AV12</f>
        <v>104</v>
      </c>
      <c r="AX12" s="6">
        <f>AR12*AV12</f>
        <v>2.6</v>
      </c>
      <c r="AY12" s="1"/>
      <c r="AZ12" s="1"/>
      <c r="BA12" s="1"/>
      <c r="BB12" s="1"/>
      <c r="BC12" s="1"/>
      <c r="BD12" s="1"/>
      <c r="BE12" s="1"/>
      <c r="BF12" s="1"/>
      <c r="BG12" s="1"/>
      <c r="BH12" s="1"/>
      <c r="BI12" s="1"/>
    </row>
    <row r="13" spans="1:61" ht="15" x14ac:dyDescent="0.25">
      <c r="A13" s="47">
        <f>A12+1</f>
        <v>2013</v>
      </c>
      <c r="B13" s="62">
        <f t="shared" ref="B13:B59" si="0">C13*1.08</f>
        <v>112.32000000000001</v>
      </c>
      <c r="C13" s="61">
        <v>104</v>
      </c>
      <c r="D13" s="61">
        <v>3.6</v>
      </c>
      <c r="E13" s="62">
        <v>1</v>
      </c>
      <c r="F13" s="54">
        <v>2.5000000000000001E-2</v>
      </c>
      <c r="G13" s="54">
        <f>G12</f>
        <v>2.5000000000000001E-2</v>
      </c>
      <c r="H13" s="179">
        <f>H12/(1+F13)</f>
        <v>0.97560975609756106</v>
      </c>
      <c r="I13" s="179">
        <f t="shared" ref="I13:I60" si="1">C13*H13</f>
        <v>101.46341463414635</v>
      </c>
      <c r="J13" s="183">
        <f t="shared" ref="J13:J60" si="2">D13*H13</f>
        <v>3.51219512195122</v>
      </c>
      <c r="K13" s="1"/>
      <c r="L13" s="112">
        <f t="shared" ref="L13:L60" si="3">M13*1.08</f>
        <v>114.00479999999999</v>
      </c>
      <c r="M13" s="61">
        <f>($C13-$C12)+($N$4+1)*M12</f>
        <v>105.55999999999999</v>
      </c>
      <c r="N13" s="61">
        <f>($D13-$D12)+($N$4+1)*N12</f>
        <v>3.6389999999999998</v>
      </c>
      <c r="O13" s="62">
        <v>1</v>
      </c>
      <c r="P13" s="54">
        <v>2.5000000000000001E-2</v>
      </c>
      <c r="Q13" s="54">
        <f t="shared" ref="Q13:Q60" si="4">Q12</f>
        <v>2.5000000000000001E-2</v>
      </c>
      <c r="R13" s="91">
        <f>R12/(1+P13)</f>
        <v>0.97560975609756106</v>
      </c>
      <c r="S13" s="91">
        <f t="shared" ref="S13:S60" si="5">M13*R13</f>
        <v>102.98536585365854</v>
      </c>
      <c r="T13" s="6">
        <f t="shared" ref="T13:T60" si="6">N13*R13</f>
        <v>3.5502439024390244</v>
      </c>
      <c r="U13" s="1"/>
      <c r="V13" s="62">
        <f t="shared" ref="V13:V60" si="7">W13*1.08</f>
        <v>115.68960000000001</v>
      </c>
      <c r="W13" s="61">
        <f>($C13-$C12)+($X$4+1)*W12</f>
        <v>107.12</v>
      </c>
      <c r="X13" s="61">
        <f>($D13-$D12)+($X$4+1)*X12</f>
        <v>3.6780000000000004</v>
      </c>
      <c r="Y13" s="62">
        <v>1</v>
      </c>
      <c r="Z13" s="54">
        <v>2.5000000000000001E-2</v>
      </c>
      <c r="AA13" s="54">
        <f t="shared" ref="AA13:AA60" si="8">AA12</f>
        <v>2.5000000000000001E-2</v>
      </c>
      <c r="AB13" s="91">
        <f>AB12/(1+Z13)</f>
        <v>0.97560975609756106</v>
      </c>
      <c r="AC13" s="91">
        <f t="shared" ref="AC13:AC60" si="9">W13*AB13</f>
        <v>104.50731707317074</v>
      </c>
      <c r="AD13" s="6">
        <f t="shared" ref="AD13:AD60" si="10">X13*AB13</f>
        <v>3.5882926829268298</v>
      </c>
      <c r="AE13" s="1"/>
      <c r="AF13" s="62">
        <f t="shared" ref="AF13:AF60" si="11">AG13*1.08</f>
        <v>110.63520000000001</v>
      </c>
      <c r="AG13" s="61">
        <f>($C13-$C12)+($AH$4+1)*AG12</f>
        <v>102.44</v>
      </c>
      <c r="AH13" s="61">
        <f>($D13-$D12)+($AH$4+1)*AH12</f>
        <v>3.5609999999999999</v>
      </c>
      <c r="AI13" s="62">
        <v>1</v>
      </c>
      <c r="AJ13" s="54">
        <v>2.5000000000000001E-2</v>
      </c>
      <c r="AK13" s="54">
        <f t="shared" ref="AK13:AK60" si="12">AK12</f>
        <v>2.5000000000000001E-2</v>
      </c>
      <c r="AL13" s="91">
        <f>AL12/(1+AJ13)</f>
        <v>0.97560975609756106</v>
      </c>
      <c r="AM13" s="91">
        <f t="shared" ref="AM13:AM60" si="13">AG13*AL13</f>
        <v>99.941463414634157</v>
      </c>
      <c r="AN13" s="6">
        <f t="shared" ref="AN13:AN60" si="14">AH13*AL13</f>
        <v>3.4741463414634151</v>
      </c>
      <c r="AO13" s="1"/>
      <c r="AP13" s="61">
        <f>AP12*(1+$AT13)</f>
        <v>115.128</v>
      </c>
      <c r="AQ13" s="61">
        <f>AQ12*(1+$AT13)</f>
        <v>106.6</v>
      </c>
      <c r="AR13" s="61">
        <f>AR12*(1+$AT13)</f>
        <v>2.665</v>
      </c>
      <c r="AS13" s="62">
        <v>1</v>
      </c>
      <c r="AT13" s="54">
        <v>2.5000000000000001E-2</v>
      </c>
      <c r="AU13" s="54">
        <f t="shared" ref="AU13:AU60" si="15">AU12</f>
        <v>2.5000000000000001E-2</v>
      </c>
      <c r="AV13" s="91">
        <f>AV12/(1+AT13)</f>
        <v>0.97560975609756106</v>
      </c>
      <c r="AW13" s="91">
        <f t="shared" ref="AW13:AW60" si="16">AQ13*AV13</f>
        <v>104</v>
      </c>
      <c r="AX13" s="6">
        <f t="shared" ref="AX13:AX60" si="17">AR13*AV13</f>
        <v>2.6</v>
      </c>
      <c r="AY13" s="1"/>
      <c r="AZ13" s="1"/>
      <c r="BA13" s="1"/>
      <c r="BB13" s="1"/>
      <c r="BC13" s="1"/>
      <c r="BD13" s="1"/>
      <c r="BE13" s="1"/>
      <c r="BF13" s="1"/>
      <c r="BG13" s="1"/>
      <c r="BH13" s="1"/>
      <c r="BI13" s="1"/>
    </row>
    <row r="14" spans="1:61" ht="15" x14ac:dyDescent="0.25">
      <c r="A14" s="47">
        <f t="shared" ref="A14:A60" si="18">A13+1</f>
        <v>2014</v>
      </c>
      <c r="B14" s="62">
        <f t="shared" si="0"/>
        <v>105.84</v>
      </c>
      <c r="C14" s="61">
        <v>98</v>
      </c>
      <c r="D14" s="62">
        <v>3.9</v>
      </c>
      <c r="E14" s="62">
        <v>1</v>
      </c>
      <c r="F14" s="54">
        <v>2.5000000000000001E-2</v>
      </c>
      <c r="G14" s="54">
        <f t="shared" ref="G14:G29" si="19">G13</f>
        <v>2.5000000000000001E-2</v>
      </c>
      <c r="H14" s="179">
        <f t="shared" ref="H14:H60" si="20">H13/(1+F14)</f>
        <v>0.95181439619274255</v>
      </c>
      <c r="I14" s="179">
        <f t="shared" si="1"/>
        <v>93.277810826888768</v>
      </c>
      <c r="J14" s="183">
        <f t="shared" si="2"/>
        <v>3.7120761451516957</v>
      </c>
      <c r="K14" s="1"/>
      <c r="L14" s="112">
        <f t="shared" si="3"/>
        <v>109.23487199999998</v>
      </c>
      <c r="M14" s="61">
        <f t="shared" ref="M14:M60" si="21">(C14-C13)+($N$4+1)*M13</f>
        <v>101.14339999999997</v>
      </c>
      <c r="N14" s="61">
        <f t="shared" ref="N14:N60" si="22">(D14-D13)+($N$4+1)*N13</f>
        <v>3.9935849999999991</v>
      </c>
      <c r="O14" s="62">
        <v>1</v>
      </c>
      <c r="P14" s="54">
        <v>2.5000000000000001E-2</v>
      </c>
      <c r="Q14" s="54">
        <f t="shared" si="4"/>
        <v>2.5000000000000001E-2</v>
      </c>
      <c r="R14" s="91">
        <f t="shared" ref="R14:R60" si="23">R13/(1+P14)</f>
        <v>0.95181439619274255</v>
      </c>
      <c r="S14" s="91">
        <f t="shared" si="5"/>
        <v>96.269744199881004</v>
      </c>
      <c r="T14" s="6">
        <f t="shared" si="6"/>
        <v>3.8011516954193927</v>
      </c>
      <c r="U14" s="1"/>
      <c r="V14" s="62">
        <f t="shared" si="7"/>
        <v>112.68028800000002</v>
      </c>
      <c r="W14" s="61">
        <f t="shared" ref="W14:W60" si="24">($C14-$C13)+($X$4+1)*W13</f>
        <v>104.3336</v>
      </c>
      <c r="X14" s="61">
        <f t="shared" ref="X14:X60" si="25">($D14-$D13)+($X$4+1)*X13</f>
        <v>4.0883400000000005</v>
      </c>
      <c r="Y14" s="62">
        <v>1</v>
      </c>
      <c r="Z14" s="54">
        <v>2.5000000000000001E-2</v>
      </c>
      <c r="AA14" s="54">
        <f t="shared" si="8"/>
        <v>2.5000000000000001E-2</v>
      </c>
      <c r="AB14" s="91">
        <f t="shared" ref="AB14:AB60" si="26">AB13/(1+Z14)</f>
        <v>0.95181439619274255</v>
      </c>
      <c r="AC14" s="91">
        <f t="shared" si="9"/>
        <v>99.306222486615127</v>
      </c>
      <c r="AD14" s="6">
        <f t="shared" si="10"/>
        <v>3.8913408685306377</v>
      </c>
      <c r="AE14" s="1"/>
      <c r="AF14" s="62">
        <f t="shared" si="11"/>
        <v>102.495672</v>
      </c>
      <c r="AG14" s="61">
        <f t="shared" ref="AG14:AG60" si="27">($C14-$C13)+($AH$4+1)*AG13</f>
        <v>94.903399999999991</v>
      </c>
      <c r="AH14" s="61">
        <f t="shared" ref="AH14:AH60" si="28">($D14-$D13)+($AH$4+1)*AH13</f>
        <v>3.8075849999999996</v>
      </c>
      <c r="AI14" s="62">
        <v>1</v>
      </c>
      <c r="AJ14" s="54">
        <v>2.5000000000000001E-2</v>
      </c>
      <c r="AK14" s="54">
        <f t="shared" si="12"/>
        <v>2.5000000000000001E-2</v>
      </c>
      <c r="AL14" s="91">
        <f t="shared" ref="AL14:AL60" si="29">AL13/(1+AJ14)</f>
        <v>0.95181439619274255</v>
      </c>
      <c r="AM14" s="91">
        <f t="shared" si="13"/>
        <v>90.33042236763832</v>
      </c>
      <c r="AN14" s="6">
        <f t="shared" si="14"/>
        <v>3.6241142177275432</v>
      </c>
      <c r="AO14" s="1"/>
      <c r="AP14" s="61">
        <f t="shared" ref="AP14:AP60" si="30">AP13*(1+$AT14)</f>
        <v>118.00619999999999</v>
      </c>
      <c r="AQ14" s="61">
        <f t="shared" ref="AQ14:AQ60" si="31">AQ13*(1+$AT14)</f>
        <v>109.26499999999999</v>
      </c>
      <c r="AR14" s="61">
        <f t="shared" ref="AR14:AR60" si="32">AR13*(1+$AT14)</f>
        <v>2.7316249999999997</v>
      </c>
      <c r="AS14" s="62">
        <v>1</v>
      </c>
      <c r="AT14" s="54">
        <v>2.5000000000000001E-2</v>
      </c>
      <c r="AU14" s="54">
        <f t="shared" si="15"/>
        <v>2.5000000000000001E-2</v>
      </c>
      <c r="AV14" s="91">
        <f t="shared" ref="AV14:AV60" si="33">AV13/(1+AT14)</f>
        <v>0.95181439619274255</v>
      </c>
      <c r="AW14" s="91">
        <f t="shared" si="16"/>
        <v>104</v>
      </c>
      <c r="AX14" s="6">
        <f t="shared" si="17"/>
        <v>2.6</v>
      </c>
      <c r="AY14" s="1"/>
      <c r="AZ14" s="1"/>
      <c r="BA14" s="1"/>
      <c r="BB14" s="1"/>
      <c r="BC14" s="1"/>
      <c r="BD14" s="1"/>
      <c r="BE14" s="1"/>
      <c r="BF14" s="1"/>
      <c r="BG14" s="1"/>
      <c r="BH14" s="1"/>
      <c r="BI14" s="1"/>
    </row>
    <row r="15" spans="1:61" ht="15" x14ac:dyDescent="0.25">
      <c r="A15" s="47">
        <f t="shared" si="18"/>
        <v>2015</v>
      </c>
      <c r="B15" s="62">
        <f t="shared" si="0"/>
        <v>101.52000000000001</v>
      </c>
      <c r="C15" s="61">
        <v>94</v>
      </c>
      <c r="D15" s="62">
        <v>4.0999999999999996</v>
      </c>
      <c r="E15" s="62">
        <v>1</v>
      </c>
      <c r="F15" s="54">
        <v>2.5000000000000001E-2</v>
      </c>
      <c r="G15" s="54">
        <f t="shared" si="19"/>
        <v>2.5000000000000001E-2</v>
      </c>
      <c r="H15" s="179">
        <f t="shared" si="20"/>
        <v>0.92859941091974896</v>
      </c>
      <c r="I15" s="179">
        <f t="shared" si="1"/>
        <v>87.288344626456407</v>
      </c>
      <c r="J15" s="183">
        <f t="shared" si="2"/>
        <v>3.8072575847709702</v>
      </c>
      <c r="K15" s="1"/>
      <c r="L15" s="112">
        <f t="shared" si="3"/>
        <v>106.55339507999996</v>
      </c>
      <c r="M15" s="61">
        <f t="shared" si="21"/>
        <v>98.660550999999955</v>
      </c>
      <c r="N15" s="61">
        <f t="shared" si="22"/>
        <v>4.2534887749999992</v>
      </c>
      <c r="O15" s="62">
        <v>1</v>
      </c>
      <c r="P15" s="54">
        <v>2.5000000000000001E-2</v>
      </c>
      <c r="Q15" s="54">
        <f t="shared" si="4"/>
        <v>2.5000000000000001E-2</v>
      </c>
      <c r="R15" s="91">
        <f t="shared" si="23"/>
        <v>0.92859941091974896</v>
      </c>
      <c r="S15" s="91">
        <f t="shared" si="5"/>
        <v>91.616129539617802</v>
      </c>
      <c r="T15" s="6">
        <f t="shared" si="6"/>
        <v>3.9497871708187637</v>
      </c>
      <c r="U15" s="1"/>
      <c r="V15" s="62">
        <f t="shared" si="7"/>
        <v>111.74069664000001</v>
      </c>
      <c r="W15" s="61">
        <f t="shared" si="24"/>
        <v>103.46360800000001</v>
      </c>
      <c r="X15" s="61">
        <f t="shared" si="25"/>
        <v>4.4109902000000005</v>
      </c>
      <c r="Y15" s="62">
        <v>1</v>
      </c>
      <c r="Z15" s="54">
        <v>2.5000000000000001E-2</v>
      </c>
      <c r="AA15" s="54">
        <f t="shared" si="8"/>
        <v>2.5000000000000001E-2</v>
      </c>
      <c r="AB15" s="91">
        <f t="shared" si="26"/>
        <v>0.92859941091974896</v>
      </c>
      <c r="AC15" s="91">
        <f t="shared" si="9"/>
        <v>96.076245440431833</v>
      </c>
      <c r="AD15" s="6">
        <f t="shared" si="10"/>
        <v>4.0960429012927859</v>
      </c>
      <c r="AE15" s="1"/>
      <c r="AF15" s="62">
        <f t="shared" si="11"/>
        <v>96.638236919999997</v>
      </c>
      <c r="AG15" s="61">
        <f t="shared" si="27"/>
        <v>89.479848999999987</v>
      </c>
      <c r="AH15" s="61">
        <f t="shared" si="28"/>
        <v>3.9504712249999994</v>
      </c>
      <c r="AI15" s="62">
        <v>1</v>
      </c>
      <c r="AJ15" s="54">
        <v>2.5000000000000001E-2</v>
      </c>
      <c r="AK15" s="54">
        <f t="shared" si="12"/>
        <v>2.5000000000000001E-2</v>
      </c>
      <c r="AL15" s="91">
        <f t="shared" si="29"/>
        <v>0.92859941091974896</v>
      </c>
      <c r="AM15" s="91">
        <f t="shared" si="13"/>
        <v>83.090935070588074</v>
      </c>
      <c r="AN15" s="6">
        <f t="shared" si="14"/>
        <v>3.6684052523904183</v>
      </c>
      <c r="AO15" s="1"/>
      <c r="AP15" s="61">
        <f t="shared" si="30"/>
        <v>120.95635499999999</v>
      </c>
      <c r="AQ15" s="61">
        <f t="shared" si="31"/>
        <v>111.99662499999998</v>
      </c>
      <c r="AR15" s="61">
        <f t="shared" si="32"/>
        <v>2.7999156249999997</v>
      </c>
      <c r="AS15" s="62">
        <v>1</v>
      </c>
      <c r="AT15" s="54">
        <v>2.5000000000000001E-2</v>
      </c>
      <c r="AU15" s="54">
        <f t="shared" si="15"/>
        <v>2.5000000000000001E-2</v>
      </c>
      <c r="AV15" s="91">
        <f t="shared" si="33"/>
        <v>0.92859941091974896</v>
      </c>
      <c r="AW15" s="91">
        <f t="shared" si="16"/>
        <v>104.00000000000001</v>
      </c>
      <c r="AX15" s="6">
        <f t="shared" si="17"/>
        <v>2.6000000000000005</v>
      </c>
      <c r="AY15" s="1"/>
      <c r="AZ15" s="1"/>
      <c r="BA15" s="1"/>
      <c r="BB15" s="1"/>
      <c r="BC15" s="1"/>
      <c r="BD15" s="1"/>
      <c r="BE15" s="1"/>
      <c r="BF15" s="1"/>
      <c r="BG15" s="1"/>
      <c r="BH15" s="1"/>
      <c r="BI15" s="1"/>
    </row>
    <row r="16" spans="1:61" ht="15" x14ac:dyDescent="0.25">
      <c r="A16" s="47">
        <f t="shared" si="18"/>
        <v>2016</v>
      </c>
      <c r="B16" s="62">
        <f t="shared" si="0"/>
        <v>100.44000000000001</v>
      </c>
      <c r="C16" s="61">
        <v>93</v>
      </c>
      <c r="D16" s="62">
        <v>4.4000000000000004</v>
      </c>
      <c r="E16" s="62">
        <v>1</v>
      </c>
      <c r="F16" s="54">
        <v>2.5000000000000001E-2</v>
      </c>
      <c r="G16" s="54">
        <f t="shared" si="19"/>
        <v>2.5000000000000001E-2</v>
      </c>
      <c r="H16" s="179">
        <f t="shared" si="20"/>
        <v>0.90595064479975518</v>
      </c>
      <c r="I16" s="179">
        <f t="shared" si="1"/>
        <v>84.253409966377234</v>
      </c>
      <c r="J16" s="183">
        <f t="shared" si="2"/>
        <v>3.986182837118923</v>
      </c>
      <c r="K16" s="1"/>
      <c r="L16" s="112">
        <f t="shared" si="3"/>
        <v>107.07169600619994</v>
      </c>
      <c r="M16" s="61">
        <f t="shared" si="21"/>
        <v>99.140459264999947</v>
      </c>
      <c r="N16" s="61">
        <f t="shared" si="22"/>
        <v>4.6172911066249993</v>
      </c>
      <c r="O16" s="62">
        <v>1</v>
      </c>
      <c r="P16" s="54">
        <v>2.5000000000000001E-2</v>
      </c>
      <c r="Q16" s="54">
        <f t="shared" si="4"/>
        <v>2.5000000000000001E-2</v>
      </c>
      <c r="R16" s="91">
        <f t="shared" si="23"/>
        <v>0.90595064479975518</v>
      </c>
      <c r="S16" s="91">
        <f t="shared" si="5"/>
        <v>89.816362996870566</v>
      </c>
      <c r="T16" s="6">
        <f t="shared" si="6"/>
        <v>4.1830378552750931</v>
      </c>
      <c r="U16" s="1"/>
      <c r="V16" s="62">
        <f t="shared" si="7"/>
        <v>114.01291753920003</v>
      </c>
      <c r="W16" s="61">
        <f t="shared" si="24"/>
        <v>105.56751624000002</v>
      </c>
      <c r="X16" s="61">
        <f t="shared" si="25"/>
        <v>4.8433199060000014</v>
      </c>
      <c r="Y16" s="62">
        <v>1</v>
      </c>
      <c r="Z16" s="54">
        <v>2.5000000000000001E-2</v>
      </c>
      <c r="AA16" s="54">
        <f t="shared" si="8"/>
        <v>2.5000000000000001E-2</v>
      </c>
      <c r="AB16" s="91">
        <f t="shared" si="26"/>
        <v>0.90595064479975518</v>
      </c>
      <c r="AC16" s="91">
        <f t="shared" si="9"/>
        <v>95.638959407536646</v>
      </c>
      <c r="AD16" s="6">
        <f t="shared" si="10"/>
        <v>4.3878087918121906</v>
      </c>
      <c r="AE16" s="1"/>
      <c r="AF16" s="62">
        <f t="shared" si="11"/>
        <v>94.108663366199991</v>
      </c>
      <c r="AG16" s="61">
        <f t="shared" si="27"/>
        <v>87.137651264999988</v>
      </c>
      <c r="AH16" s="61">
        <f t="shared" si="28"/>
        <v>4.1912141566249996</v>
      </c>
      <c r="AI16" s="62">
        <v>1</v>
      </c>
      <c r="AJ16" s="54">
        <v>2.5000000000000001E-2</v>
      </c>
      <c r="AK16" s="54">
        <f t="shared" si="12"/>
        <v>2.5000000000000001E-2</v>
      </c>
      <c r="AL16" s="91">
        <f t="shared" si="29"/>
        <v>0.90595064479975518</v>
      </c>
      <c r="AM16" s="91">
        <f t="shared" si="13"/>
        <v>78.942411349862937</v>
      </c>
      <c r="AN16" s="6">
        <f t="shared" si="14"/>
        <v>3.7970331676882805</v>
      </c>
      <c r="AO16" s="1"/>
      <c r="AP16" s="61">
        <f t="shared" si="30"/>
        <v>123.98026387499998</v>
      </c>
      <c r="AQ16" s="61">
        <f t="shared" si="31"/>
        <v>114.79654062499996</v>
      </c>
      <c r="AR16" s="61">
        <f t="shared" si="32"/>
        <v>2.8699135156249995</v>
      </c>
      <c r="AS16" s="62">
        <v>1</v>
      </c>
      <c r="AT16" s="54">
        <v>2.5000000000000001E-2</v>
      </c>
      <c r="AU16" s="54">
        <f t="shared" si="15"/>
        <v>2.5000000000000001E-2</v>
      </c>
      <c r="AV16" s="91">
        <f t="shared" si="33"/>
        <v>0.90595064479975518</v>
      </c>
      <c r="AW16" s="91">
        <f t="shared" si="16"/>
        <v>104</v>
      </c>
      <c r="AX16" s="6">
        <f t="shared" si="17"/>
        <v>2.6000000000000005</v>
      </c>
      <c r="AY16" s="1"/>
      <c r="AZ16" s="1"/>
      <c r="BA16" s="1"/>
      <c r="BB16" s="1"/>
      <c r="BC16" s="1"/>
      <c r="BD16" s="1"/>
      <c r="BE16" s="1"/>
      <c r="BF16" s="1"/>
      <c r="BG16" s="1"/>
      <c r="BH16" s="1"/>
      <c r="BI16" s="1"/>
    </row>
    <row r="17" spans="1:61" ht="15" x14ac:dyDescent="0.25">
      <c r="A17" s="47">
        <f t="shared" si="18"/>
        <v>2017</v>
      </c>
      <c r="B17" s="62">
        <f t="shared" si="0"/>
        <v>98.28</v>
      </c>
      <c r="C17" s="61">
        <v>91</v>
      </c>
      <c r="D17" s="62">
        <v>4.7</v>
      </c>
      <c r="E17" s="62">
        <v>1</v>
      </c>
      <c r="F17" s="54">
        <v>2.5000000000000001E-2</v>
      </c>
      <c r="G17" s="54">
        <f t="shared" si="19"/>
        <v>2.5000000000000001E-2</v>
      </c>
      <c r="H17" s="179">
        <f t="shared" si="20"/>
        <v>0.88385428760951734</v>
      </c>
      <c r="I17" s="179">
        <f t="shared" si="1"/>
        <v>80.430740172466074</v>
      </c>
      <c r="J17" s="183">
        <f t="shared" si="2"/>
        <v>4.1541151517647315</v>
      </c>
      <c r="K17" s="1"/>
      <c r="L17" s="112">
        <f t="shared" si="3"/>
        <v>106.51777144629294</v>
      </c>
      <c r="M17" s="61">
        <f t="shared" si="21"/>
        <v>98.627566153974939</v>
      </c>
      <c r="N17" s="61">
        <f t="shared" si="22"/>
        <v>4.9865504732243737</v>
      </c>
      <c r="O17" s="62">
        <v>1</v>
      </c>
      <c r="P17" s="54">
        <v>2.5000000000000001E-2</v>
      </c>
      <c r="Q17" s="54">
        <f t="shared" si="4"/>
        <v>2.5000000000000001E-2</v>
      </c>
      <c r="R17" s="91">
        <f t="shared" si="23"/>
        <v>0.88385428760951734</v>
      </c>
      <c r="S17" s="91">
        <f t="shared" si="5"/>
        <v>87.172397221682061</v>
      </c>
      <c r="T17" s="6">
        <f t="shared" si="6"/>
        <v>4.4073840161406306</v>
      </c>
      <c r="U17" s="1"/>
      <c r="V17" s="62">
        <f t="shared" si="7"/>
        <v>115.27330506537604</v>
      </c>
      <c r="W17" s="61">
        <f t="shared" si="24"/>
        <v>106.73454172720002</v>
      </c>
      <c r="X17" s="61">
        <f t="shared" si="25"/>
        <v>5.2886195031800014</v>
      </c>
      <c r="Y17" s="62">
        <v>1</v>
      </c>
      <c r="Z17" s="54">
        <v>2.5000000000000001E-2</v>
      </c>
      <c r="AA17" s="54">
        <f t="shared" si="8"/>
        <v>2.5000000000000001E-2</v>
      </c>
      <c r="AB17" s="91">
        <f t="shared" si="26"/>
        <v>0.88385428760951734</v>
      </c>
      <c r="AC17" s="91">
        <f t="shared" si="9"/>
        <v>94.337782341622685</v>
      </c>
      <c r="AD17" s="6">
        <f t="shared" si="10"/>
        <v>4.6743690234209598</v>
      </c>
      <c r="AE17" s="1"/>
      <c r="AF17" s="62">
        <f t="shared" si="11"/>
        <v>90.537033415707</v>
      </c>
      <c r="AG17" s="61">
        <f t="shared" si="27"/>
        <v>83.830586496024992</v>
      </c>
      <c r="AH17" s="61">
        <f t="shared" si="28"/>
        <v>4.4283459442756241</v>
      </c>
      <c r="AI17" s="62">
        <v>1</v>
      </c>
      <c r="AJ17" s="54">
        <v>2.5000000000000001E-2</v>
      </c>
      <c r="AK17" s="54">
        <f t="shared" si="12"/>
        <v>2.5000000000000001E-2</v>
      </c>
      <c r="AL17" s="91">
        <f t="shared" si="29"/>
        <v>0.88385428760951734</v>
      </c>
      <c r="AM17" s="91">
        <f t="shared" si="13"/>
        <v>74.094023307332193</v>
      </c>
      <c r="AN17" s="6">
        <f t="shared" si="14"/>
        <v>3.9140125498662273</v>
      </c>
      <c r="AO17" s="1"/>
      <c r="AP17" s="61">
        <f t="shared" si="30"/>
        <v>127.07977047187497</v>
      </c>
      <c r="AQ17" s="61">
        <f t="shared" si="31"/>
        <v>117.66645414062495</v>
      </c>
      <c r="AR17" s="61">
        <f t="shared" si="32"/>
        <v>2.9416613535156242</v>
      </c>
      <c r="AS17" s="62">
        <v>1</v>
      </c>
      <c r="AT17" s="54">
        <v>2.5000000000000001E-2</v>
      </c>
      <c r="AU17" s="54">
        <f t="shared" si="15"/>
        <v>2.5000000000000001E-2</v>
      </c>
      <c r="AV17" s="91">
        <f t="shared" si="33"/>
        <v>0.88385428760951734</v>
      </c>
      <c r="AW17" s="91">
        <f t="shared" si="16"/>
        <v>104</v>
      </c>
      <c r="AX17" s="6">
        <f t="shared" si="17"/>
        <v>2.6000000000000005</v>
      </c>
      <c r="AY17" s="1"/>
      <c r="AZ17" s="1"/>
      <c r="BA17" s="1"/>
      <c r="BB17" s="1"/>
      <c r="BC17" s="1"/>
      <c r="BD17" s="1"/>
      <c r="BE17" s="1"/>
      <c r="BF17" s="1"/>
      <c r="BG17" s="1"/>
      <c r="BH17" s="1"/>
      <c r="BI17" s="1"/>
    </row>
    <row r="18" spans="1:61" ht="15" x14ac:dyDescent="0.25">
      <c r="A18" s="47">
        <f t="shared" si="18"/>
        <v>2018</v>
      </c>
      <c r="B18" s="62">
        <f t="shared" si="0"/>
        <v>97.2</v>
      </c>
      <c r="C18" s="61">
        <v>90</v>
      </c>
      <c r="D18" s="62">
        <v>4.9000000000000004</v>
      </c>
      <c r="E18" s="62">
        <v>1</v>
      </c>
      <c r="F18" s="54">
        <v>2.5000000000000001E-2</v>
      </c>
      <c r="G18" s="54">
        <f t="shared" si="19"/>
        <v>2.5000000000000001E-2</v>
      </c>
      <c r="H18" s="179">
        <f t="shared" si="20"/>
        <v>0.86229686596050481</v>
      </c>
      <c r="I18" s="179">
        <f t="shared" si="1"/>
        <v>77.606717936445435</v>
      </c>
      <c r="J18" s="183">
        <f t="shared" si="2"/>
        <v>4.2252546432064735</v>
      </c>
      <c r="K18" s="1"/>
      <c r="L18" s="112">
        <f t="shared" si="3"/>
        <v>107.03553801798734</v>
      </c>
      <c r="M18" s="61">
        <f t="shared" si="21"/>
        <v>99.106979646284557</v>
      </c>
      <c r="N18" s="61">
        <f t="shared" si="22"/>
        <v>5.2613487303227391</v>
      </c>
      <c r="O18" s="62">
        <v>1</v>
      </c>
      <c r="P18" s="54">
        <v>2.5000000000000001E-2</v>
      </c>
      <c r="Q18" s="54">
        <f t="shared" si="4"/>
        <v>2.5000000000000001E-2</v>
      </c>
      <c r="R18" s="91">
        <f t="shared" si="23"/>
        <v>0.86229686596050481</v>
      </c>
      <c r="S18" s="91">
        <f t="shared" si="5"/>
        <v>85.459637943802718</v>
      </c>
      <c r="T18" s="6">
        <f t="shared" si="6"/>
        <v>4.5368445208825792</v>
      </c>
      <c r="U18" s="1"/>
      <c r="V18" s="62">
        <f t="shared" si="7"/>
        <v>117.6515042173373</v>
      </c>
      <c r="W18" s="61">
        <f t="shared" si="24"/>
        <v>108.93657797901602</v>
      </c>
      <c r="X18" s="61">
        <f t="shared" si="25"/>
        <v>5.6472780882754021</v>
      </c>
      <c r="Y18" s="62">
        <v>1</v>
      </c>
      <c r="Z18" s="54">
        <v>2.5000000000000001E-2</v>
      </c>
      <c r="AA18" s="54">
        <f t="shared" si="8"/>
        <v>2.5000000000000001E-2</v>
      </c>
      <c r="AB18" s="91">
        <f t="shared" si="26"/>
        <v>0.86229686596050481</v>
      </c>
      <c r="AC18" s="91">
        <f t="shared" si="9"/>
        <v>93.935669779767665</v>
      </c>
      <c r="AD18" s="6">
        <f t="shared" si="10"/>
        <v>4.8696301967273099</v>
      </c>
      <c r="AE18" s="1"/>
      <c r="AF18" s="62">
        <f t="shared" si="11"/>
        <v>88.098977914471391</v>
      </c>
      <c r="AG18" s="61">
        <f t="shared" si="27"/>
        <v>81.573127698584614</v>
      </c>
      <c r="AH18" s="61">
        <f t="shared" si="28"/>
        <v>4.5619207551114895</v>
      </c>
      <c r="AI18" s="62">
        <v>1</v>
      </c>
      <c r="AJ18" s="54">
        <v>2.5000000000000001E-2</v>
      </c>
      <c r="AK18" s="54">
        <f t="shared" si="12"/>
        <v>2.5000000000000001E-2</v>
      </c>
      <c r="AL18" s="91">
        <f t="shared" si="29"/>
        <v>0.86229686596050481</v>
      </c>
      <c r="AM18" s="91">
        <f t="shared" si="13"/>
        <v>70.340252361085561</v>
      </c>
      <c r="AN18" s="6">
        <f t="shared" si="14"/>
        <v>3.9337299698928172</v>
      </c>
      <c r="AO18" s="1"/>
      <c r="AP18" s="61">
        <f t="shared" si="30"/>
        <v>130.25676473367182</v>
      </c>
      <c r="AQ18" s="61">
        <f t="shared" si="31"/>
        <v>120.60811549414056</v>
      </c>
      <c r="AR18" s="61">
        <f t="shared" si="32"/>
        <v>3.0152028873535146</v>
      </c>
      <c r="AS18" s="62">
        <v>1</v>
      </c>
      <c r="AT18" s="54">
        <v>2.5000000000000001E-2</v>
      </c>
      <c r="AU18" s="54">
        <f t="shared" si="15"/>
        <v>2.5000000000000001E-2</v>
      </c>
      <c r="AV18" s="91">
        <f t="shared" si="33"/>
        <v>0.86229686596050481</v>
      </c>
      <c r="AW18" s="91">
        <f t="shared" si="16"/>
        <v>104.00000000000001</v>
      </c>
      <c r="AX18" s="6">
        <f t="shared" si="17"/>
        <v>2.6000000000000005</v>
      </c>
      <c r="AY18" s="1"/>
      <c r="AZ18" s="1"/>
      <c r="BA18" s="1"/>
      <c r="BB18" s="1"/>
      <c r="BC18" s="1"/>
      <c r="BD18" s="1"/>
      <c r="BE18" s="1"/>
      <c r="BF18" s="1"/>
      <c r="BG18" s="1"/>
      <c r="BH18" s="1"/>
      <c r="BI18" s="1"/>
    </row>
    <row r="19" spans="1:61" ht="15" x14ac:dyDescent="0.25">
      <c r="A19" s="47">
        <f t="shared" si="18"/>
        <v>2019</v>
      </c>
      <c r="B19" s="62">
        <f t="shared" si="0"/>
        <v>97.2</v>
      </c>
      <c r="C19" s="61">
        <v>90</v>
      </c>
      <c r="D19" s="62">
        <v>5.0999999999999996</v>
      </c>
      <c r="E19" s="62">
        <v>1</v>
      </c>
      <c r="F19" s="54">
        <v>2.5000000000000001E-2</v>
      </c>
      <c r="G19" s="54">
        <f t="shared" si="19"/>
        <v>2.5000000000000001E-2</v>
      </c>
      <c r="H19" s="179">
        <f t="shared" si="20"/>
        <v>0.84126523508341944</v>
      </c>
      <c r="I19" s="179">
        <f t="shared" si="1"/>
        <v>75.713871157507754</v>
      </c>
      <c r="J19" s="183">
        <f t="shared" si="2"/>
        <v>4.2904526989254386</v>
      </c>
      <c r="K19" s="1"/>
      <c r="L19" s="112">
        <f t="shared" si="3"/>
        <v>108.64107108825714</v>
      </c>
      <c r="M19" s="61">
        <f t="shared" si="21"/>
        <v>100.59358434097882</v>
      </c>
      <c r="N19" s="61">
        <f t="shared" si="22"/>
        <v>5.5402689612775786</v>
      </c>
      <c r="O19" s="62">
        <v>1</v>
      </c>
      <c r="P19" s="54">
        <v>2.5000000000000001E-2</v>
      </c>
      <c r="Q19" s="54">
        <f t="shared" si="4"/>
        <v>2.5000000000000001E-2</v>
      </c>
      <c r="R19" s="91">
        <f t="shared" si="23"/>
        <v>0.84126523508341944</v>
      </c>
      <c r="S19" s="91">
        <f t="shared" si="5"/>
        <v>84.62588537849733</v>
      </c>
      <c r="T19" s="6">
        <f t="shared" si="6"/>
        <v>4.6608356701345546</v>
      </c>
      <c r="U19" s="1"/>
      <c r="V19" s="62">
        <f t="shared" si="7"/>
        <v>121.18104934385744</v>
      </c>
      <c r="W19" s="61">
        <f t="shared" si="24"/>
        <v>112.20467531838651</v>
      </c>
      <c r="X19" s="61">
        <f t="shared" si="25"/>
        <v>6.0166964309236635</v>
      </c>
      <c r="Y19" s="62">
        <v>1</v>
      </c>
      <c r="Z19" s="54">
        <v>2.5000000000000001E-2</v>
      </c>
      <c r="AA19" s="54">
        <f t="shared" si="8"/>
        <v>2.5000000000000001E-2</v>
      </c>
      <c r="AB19" s="91">
        <f t="shared" si="26"/>
        <v>0.84126523508341944</v>
      </c>
      <c r="AC19" s="91">
        <f t="shared" si="9"/>
        <v>94.393892559181168</v>
      </c>
      <c r="AD19" s="6">
        <f t="shared" si="10"/>
        <v>5.0616375373865665</v>
      </c>
      <c r="AE19" s="1"/>
      <c r="AF19" s="62">
        <f t="shared" si="11"/>
        <v>86.777493245754329</v>
      </c>
      <c r="AG19" s="61">
        <f t="shared" si="27"/>
        <v>80.349530783105848</v>
      </c>
      <c r="AH19" s="61">
        <f t="shared" si="28"/>
        <v>4.6934919437848164</v>
      </c>
      <c r="AI19" s="62">
        <v>1</v>
      </c>
      <c r="AJ19" s="54">
        <v>2.5000000000000001E-2</v>
      </c>
      <c r="AK19" s="54">
        <f t="shared" si="12"/>
        <v>2.5000000000000001E-2</v>
      </c>
      <c r="AL19" s="91">
        <f t="shared" si="29"/>
        <v>0.84126523508341944</v>
      </c>
      <c r="AM19" s="91">
        <f t="shared" si="13"/>
        <v>67.595266903091982</v>
      </c>
      <c r="AN19" s="6">
        <f t="shared" si="14"/>
        <v>3.9484716034502689</v>
      </c>
      <c r="AO19" s="1"/>
      <c r="AP19" s="61">
        <f t="shared" si="30"/>
        <v>133.51318385201361</v>
      </c>
      <c r="AQ19" s="61">
        <f t="shared" si="31"/>
        <v>123.62331838149407</v>
      </c>
      <c r="AR19" s="61">
        <f t="shared" si="32"/>
        <v>3.0905829595373522</v>
      </c>
      <c r="AS19" s="62">
        <v>1</v>
      </c>
      <c r="AT19" s="54">
        <v>2.5000000000000001E-2</v>
      </c>
      <c r="AU19" s="54">
        <f t="shared" si="15"/>
        <v>2.5000000000000001E-2</v>
      </c>
      <c r="AV19" s="91">
        <f t="shared" si="33"/>
        <v>0.84126523508341944</v>
      </c>
      <c r="AW19" s="91">
        <f t="shared" si="16"/>
        <v>104.00000000000001</v>
      </c>
      <c r="AX19" s="6">
        <f t="shared" si="17"/>
        <v>2.600000000000001</v>
      </c>
      <c r="AY19" s="1"/>
      <c r="AZ19" s="1"/>
      <c r="BA19" s="1"/>
      <c r="BB19" s="1"/>
      <c r="BC19" s="1"/>
      <c r="BD19" s="1"/>
      <c r="BE19" s="1"/>
      <c r="BF19" s="1"/>
      <c r="BG19" s="1"/>
      <c r="BH19" s="1"/>
      <c r="BI19" s="1"/>
    </row>
    <row r="20" spans="1:61" ht="15" x14ac:dyDescent="0.25">
      <c r="A20" s="47">
        <f t="shared" si="18"/>
        <v>2020</v>
      </c>
      <c r="B20" s="62">
        <f t="shared" si="0"/>
        <v>96.12</v>
      </c>
      <c r="C20" s="61">
        <v>89</v>
      </c>
      <c r="D20" s="62">
        <v>5.4</v>
      </c>
      <c r="E20" s="62">
        <v>1</v>
      </c>
      <c r="F20" s="54">
        <v>2.5000000000000001E-2</v>
      </c>
      <c r="G20" s="54">
        <f t="shared" si="19"/>
        <v>2.5000000000000001E-2</v>
      </c>
      <c r="H20" s="179">
        <f t="shared" si="20"/>
        <v>0.82074657081309221</v>
      </c>
      <c r="I20" s="179">
        <f t="shared" si="1"/>
        <v>73.046444802365201</v>
      </c>
      <c r="J20" s="183">
        <f t="shared" si="2"/>
        <v>4.4320314823906983</v>
      </c>
      <c r="K20" s="1"/>
      <c r="L20" s="112">
        <f t="shared" si="3"/>
        <v>109.19068715458097</v>
      </c>
      <c r="M20" s="61">
        <f t="shared" si="21"/>
        <v>101.10248810609349</v>
      </c>
      <c r="N20" s="61">
        <f t="shared" si="22"/>
        <v>5.9233729956967425</v>
      </c>
      <c r="O20" s="62">
        <v>1</v>
      </c>
      <c r="P20" s="54">
        <v>2.5000000000000001E-2</v>
      </c>
      <c r="Q20" s="54">
        <f t="shared" si="4"/>
        <v>2.5000000000000001E-2</v>
      </c>
      <c r="R20" s="91">
        <f t="shared" si="23"/>
        <v>0.82074657081309221</v>
      </c>
      <c r="S20" s="91">
        <f t="shared" si="5"/>
        <v>82.979520413747679</v>
      </c>
      <c r="T20" s="6">
        <f t="shared" si="6"/>
        <v>4.8615880738649748</v>
      </c>
      <c r="U20" s="1"/>
      <c r="V20" s="62">
        <f t="shared" si="7"/>
        <v>123.73648082417316</v>
      </c>
      <c r="W20" s="61">
        <f t="shared" si="24"/>
        <v>114.57081557793811</v>
      </c>
      <c r="X20" s="61">
        <f t="shared" si="25"/>
        <v>6.4971973238513741</v>
      </c>
      <c r="Y20" s="62">
        <v>1</v>
      </c>
      <c r="Z20" s="54">
        <v>2.5000000000000001E-2</v>
      </c>
      <c r="AA20" s="54">
        <f t="shared" si="8"/>
        <v>2.5000000000000001E-2</v>
      </c>
      <c r="AB20" s="91">
        <f t="shared" si="26"/>
        <v>0.82074657081309221</v>
      </c>
      <c r="AC20" s="91">
        <f t="shared" si="9"/>
        <v>94.033604000851909</v>
      </c>
      <c r="AD20" s="6">
        <f t="shared" si="10"/>
        <v>5.332552423447015</v>
      </c>
      <c r="AE20" s="1"/>
      <c r="AF20" s="62">
        <f t="shared" si="11"/>
        <v>84.395830847067998</v>
      </c>
      <c r="AG20" s="61">
        <f t="shared" si="27"/>
        <v>78.144287821359256</v>
      </c>
      <c r="AH20" s="61">
        <f t="shared" si="28"/>
        <v>4.9230895646280448</v>
      </c>
      <c r="AI20" s="62">
        <v>1</v>
      </c>
      <c r="AJ20" s="54">
        <v>2.5000000000000001E-2</v>
      </c>
      <c r="AK20" s="54">
        <f t="shared" si="12"/>
        <v>2.5000000000000001E-2</v>
      </c>
      <c r="AL20" s="91">
        <f t="shared" si="29"/>
        <v>0.82074657081309221</v>
      </c>
      <c r="AM20" s="91">
        <f t="shared" si="13"/>
        <v>64.136656258011897</v>
      </c>
      <c r="AN20" s="6">
        <f t="shared" si="14"/>
        <v>4.0406088779741873</v>
      </c>
      <c r="AO20" s="1"/>
      <c r="AP20" s="61">
        <f t="shared" si="30"/>
        <v>136.85101344831395</v>
      </c>
      <c r="AQ20" s="61">
        <f t="shared" si="31"/>
        <v>126.71390134103142</v>
      </c>
      <c r="AR20" s="61">
        <f t="shared" si="32"/>
        <v>3.1678475335257859</v>
      </c>
      <c r="AS20" s="62">
        <v>1</v>
      </c>
      <c r="AT20" s="54">
        <v>2.5000000000000001E-2</v>
      </c>
      <c r="AU20" s="54">
        <f t="shared" si="15"/>
        <v>2.5000000000000001E-2</v>
      </c>
      <c r="AV20" s="91">
        <f t="shared" si="33"/>
        <v>0.82074657081309221</v>
      </c>
      <c r="AW20" s="91">
        <f t="shared" si="16"/>
        <v>104.00000000000003</v>
      </c>
      <c r="AX20" s="6">
        <f t="shared" si="17"/>
        <v>2.600000000000001</v>
      </c>
      <c r="AY20" s="1"/>
      <c r="AZ20" s="1"/>
      <c r="BA20" s="1"/>
      <c r="BB20" s="1"/>
      <c r="BC20" s="1"/>
      <c r="BD20" s="1"/>
      <c r="BE20" s="1"/>
      <c r="BF20" s="1"/>
      <c r="BG20" s="1"/>
      <c r="BH20" s="1"/>
      <c r="BI20" s="1"/>
    </row>
    <row r="21" spans="1:61" ht="15" x14ac:dyDescent="0.25">
      <c r="A21" s="47">
        <f t="shared" si="18"/>
        <v>2021</v>
      </c>
      <c r="B21" s="62">
        <f t="shared" si="0"/>
        <v>98.522999999999996</v>
      </c>
      <c r="C21" s="62">
        <f t="shared" ref="C21:C60" si="34">C20*1.025</f>
        <v>91.224999999999994</v>
      </c>
      <c r="D21" s="62">
        <f>D20*1.025</f>
        <v>5.5350000000000001</v>
      </c>
      <c r="E21" s="62">
        <v>1</v>
      </c>
      <c r="F21" s="54">
        <v>2.5000000000000001E-2</v>
      </c>
      <c r="G21" s="54">
        <f t="shared" si="19"/>
        <v>2.5000000000000001E-2</v>
      </c>
      <c r="H21" s="179">
        <f t="shared" si="20"/>
        <v>0.80072836176887052</v>
      </c>
      <c r="I21" s="179">
        <f t="shared" si="1"/>
        <v>73.046444802365215</v>
      </c>
      <c r="J21" s="183">
        <f t="shared" si="2"/>
        <v>4.4320314823906983</v>
      </c>
      <c r="K21" s="1"/>
      <c r="L21" s="112">
        <f t="shared" si="3"/>
        <v>113.23154746189967</v>
      </c>
      <c r="M21" s="61">
        <f t="shared" si="21"/>
        <v>104.84402542768487</v>
      </c>
      <c r="N21" s="61">
        <f t="shared" si="22"/>
        <v>6.1472235906321933</v>
      </c>
      <c r="O21" s="62">
        <v>1</v>
      </c>
      <c r="P21" s="54">
        <v>2.5000000000000001E-2</v>
      </c>
      <c r="Q21" s="54">
        <f t="shared" si="4"/>
        <v>2.5000000000000001E-2</v>
      </c>
      <c r="R21" s="91">
        <f t="shared" si="23"/>
        <v>0.80072836176887052</v>
      </c>
      <c r="S21" s="91">
        <f t="shared" si="5"/>
        <v>83.951584721963911</v>
      </c>
      <c r="T21" s="6">
        <f t="shared" si="6"/>
        <v>4.9222562751538703</v>
      </c>
      <c r="U21" s="1"/>
      <c r="V21" s="62">
        <f t="shared" si="7"/>
        <v>129.85157524889837</v>
      </c>
      <c r="W21" s="61">
        <f t="shared" si="24"/>
        <v>120.23294004527625</v>
      </c>
      <c r="X21" s="61">
        <f t="shared" si="25"/>
        <v>6.8271132435669148</v>
      </c>
      <c r="Y21" s="62">
        <v>1</v>
      </c>
      <c r="Z21" s="54">
        <v>2.5000000000000001E-2</v>
      </c>
      <c r="AA21" s="54">
        <f t="shared" si="8"/>
        <v>2.5000000000000001E-2</v>
      </c>
      <c r="AB21" s="91">
        <f t="shared" si="26"/>
        <v>0.80072836176887052</v>
      </c>
      <c r="AC21" s="91">
        <f t="shared" si="9"/>
        <v>96.273925113108888</v>
      </c>
      <c r="AD21" s="6">
        <f t="shared" si="10"/>
        <v>5.4666632031318958</v>
      </c>
      <c r="AE21" s="1"/>
      <c r="AF21" s="62">
        <f t="shared" si="11"/>
        <v>85.532893384361969</v>
      </c>
      <c r="AG21" s="61">
        <f t="shared" si="27"/>
        <v>79.197123504038856</v>
      </c>
      <c r="AH21" s="61">
        <f t="shared" si="28"/>
        <v>4.9842432211586241</v>
      </c>
      <c r="AI21" s="62">
        <v>1</v>
      </c>
      <c r="AJ21" s="54">
        <v>2.5000000000000001E-2</v>
      </c>
      <c r="AK21" s="54">
        <f t="shared" si="12"/>
        <v>2.5000000000000001E-2</v>
      </c>
      <c r="AL21" s="91">
        <f t="shared" si="29"/>
        <v>0.80072836176887052</v>
      </c>
      <c r="AM21" s="91">
        <f t="shared" si="13"/>
        <v>63.415382960195942</v>
      </c>
      <c r="AN21" s="6">
        <f t="shared" si="14"/>
        <v>3.9910249091359433</v>
      </c>
      <c r="AO21" s="1"/>
      <c r="AP21" s="61">
        <f t="shared" si="30"/>
        <v>140.27228878452178</v>
      </c>
      <c r="AQ21" s="61">
        <f t="shared" si="31"/>
        <v>129.88174887455719</v>
      </c>
      <c r="AR21" s="61">
        <f t="shared" si="32"/>
        <v>3.2470437218639301</v>
      </c>
      <c r="AS21" s="62">
        <v>1</v>
      </c>
      <c r="AT21" s="54">
        <v>2.5000000000000001E-2</v>
      </c>
      <c r="AU21" s="54">
        <f t="shared" si="15"/>
        <v>2.5000000000000001E-2</v>
      </c>
      <c r="AV21" s="91">
        <f t="shared" si="33"/>
        <v>0.80072836176887052</v>
      </c>
      <c r="AW21" s="91">
        <f t="shared" si="16"/>
        <v>104.00000000000001</v>
      </c>
      <c r="AX21" s="6">
        <f t="shared" si="17"/>
        <v>2.600000000000001</v>
      </c>
      <c r="AY21" s="1"/>
      <c r="AZ21" s="1"/>
      <c r="BA21" s="1"/>
      <c r="BB21" s="1"/>
      <c r="BC21" s="1"/>
      <c r="BD21" s="1"/>
      <c r="BE21" s="1"/>
      <c r="BF21" s="1"/>
      <c r="BG21" s="1"/>
      <c r="BH21" s="1"/>
      <c r="BI21" s="1"/>
    </row>
    <row r="22" spans="1:61" ht="15" x14ac:dyDescent="0.25">
      <c r="A22" s="47">
        <f t="shared" si="18"/>
        <v>2022</v>
      </c>
      <c r="B22" s="62">
        <f t="shared" si="0"/>
        <v>100.98607499999999</v>
      </c>
      <c r="C22" s="62">
        <f t="shared" si="34"/>
        <v>93.505624999999981</v>
      </c>
      <c r="D22" s="62">
        <f t="shared" ref="D22:D60" si="35">D21*1.025</f>
        <v>5.6733750000000001</v>
      </c>
      <c r="E22" s="62">
        <v>1</v>
      </c>
      <c r="F22" s="54">
        <v>2.5000000000000001E-2</v>
      </c>
      <c r="G22" s="54">
        <f t="shared" si="19"/>
        <v>2.5000000000000001E-2</v>
      </c>
      <c r="H22" s="179">
        <f t="shared" si="20"/>
        <v>0.78119840172572741</v>
      </c>
      <c r="I22" s="179">
        <f t="shared" si="1"/>
        <v>73.046444802365201</v>
      </c>
      <c r="J22" s="183">
        <f t="shared" si="2"/>
        <v>4.4320314823906992</v>
      </c>
      <c r="K22" s="1"/>
      <c r="L22" s="112">
        <f t="shared" si="3"/>
        <v>117.39309567382813</v>
      </c>
      <c r="M22" s="61">
        <f t="shared" si="21"/>
        <v>108.69731080910012</v>
      </c>
      <c r="N22" s="61">
        <f t="shared" si="22"/>
        <v>6.3778069444916756</v>
      </c>
      <c r="O22" s="62">
        <v>1</v>
      </c>
      <c r="P22" s="54">
        <v>2.5000000000000001E-2</v>
      </c>
      <c r="Q22" s="54">
        <f t="shared" si="4"/>
        <v>2.5000000000000001E-2</v>
      </c>
      <c r="R22" s="91">
        <f t="shared" si="23"/>
        <v>0.78119840172572741</v>
      </c>
      <c r="S22" s="91">
        <f t="shared" si="5"/>
        <v>84.914165475953652</v>
      </c>
      <c r="T22" s="6">
        <f t="shared" si="6"/>
        <v>4.9823325915521419</v>
      </c>
      <c r="U22" s="1"/>
      <c r="V22" s="62">
        <f t="shared" si="7"/>
        <v>136.21019750636529</v>
      </c>
      <c r="W22" s="61">
        <f t="shared" si="24"/>
        <v>126.12055324663453</v>
      </c>
      <c r="X22" s="61">
        <f t="shared" si="25"/>
        <v>7.1703016408739222</v>
      </c>
      <c r="Y22" s="62">
        <v>1</v>
      </c>
      <c r="Z22" s="54">
        <v>2.5000000000000001E-2</v>
      </c>
      <c r="AA22" s="54">
        <f t="shared" si="8"/>
        <v>2.5000000000000001E-2</v>
      </c>
      <c r="AB22" s="91">
        <f t="shared" si="26"/>
        <v>0.78119840172572741</v>
      </c>
      <c r="AC22" s="91">
        <f t="shared" si="9"/>
        <v>98.52517462103539</v>
      </c>
      <c r="AD22" s="6">
        <f t="shared" si="10"/>
        <v>5.6014281817420688</v>
      </c>
      <c r="AE22" s="1"/>
      <c r="AF22" s="62">
        <f t="shared" si="11"/>
        <v>86.712974983596524</v>
      </c>
      <c r="AG22" s="61">
        <f t="shared" si="27"/>
        <v>80.289791651478254</v>
      </c>
      <c r="AH22" s="61">
        <f t="shared" si="28"/>
        <v>5.0478545728412447</v>
      </c>
      <c r="AI22" s="62">
        <v>1</v>
      </c>
      <c r="AJ22" s="54">
        <v>2.5000000000000001E-2</v>
      </c>
      <c r="AK22" s="54">
        <f t="shared" si="12"/>
        <v>2.5000000000000001E-2</v>
      </c>
      <c r="AL22" s="91">
        <f t="shared" si="29"/>
        <v>0.78119840172572741</v>
      </c>
      <c r="AM22" s="91">
        <f t="shared" si="13"/>
        <v>62.722256913026463</v>
      </c>
      <c r="AN22" s="6">
        <f t="shared" si="14"/>
        <v>3.9433759244474849</v>
      </c>
      <c r="AO22" s="1"/>
      <c r="AP22" s="61">
        <f t="shared" si="30"/>
        <v>143.7790960041348</v>
      </c>
      <c r="AQ22" s="61">
        <f t="shared" si="31"/>
        <v>133.12879259642111</v>
      </c>
      <c r="AR22" s="61">
        <f t="shared" si="32"/>
        <v>3.3282198149105282</v>
      </c>
      <c r="AS22" s="62">
        <v>1</v>
      </c>
      <c r="AT22" s="54">
        <v>2.5000000000000001E-2</v>
      </c>
      <c r="AU22" s="54">
        <f t="shared" si="15"/>
        <v>2.5000000000000001E-2</v>
      </c>
      <c r="AV22" s="91">
        <f t="shared" si="33"/>
        <v>0.78119840172572741</v>
      </c>
      <c r="AW22" s="91">
        <f t="shared" si="16"/>
        <v>104.00000000000001</v>
      </c>
      <c r="AX22" s="6">
        <f t="shared" si="17"/>
        <v>2.600000000000001</v>
      </c>
      <c r="AY22" s="1"/>
      <c r="AZ22" s="1"/>
      <c r="BA22" s="1"/>
      <c r="BB22" s="1"/>
      <c r="BC22" s="1"/>
      <c r="BD22" s="1"/>
      <c r="BE22" s="1"/>
      <c r="BF22" s="1"/>
      <c r="BG22" s="1"/>
      <c r="BH22" s="1"/>
      <c r="BI22" s="1"/>
    </row>
    <row r="23" spans="1:61" ht="15" x14ac:dyDescent="0.25">
      <c r="A23" s="47">
        <f t="shared" si="18"/>
        <v>2023</v>
      </c>
      <c r="B23" s="62">
        <f t="shared" si="0"/>
        <v>103.51072687499997</v>
      </c>
      <c r="C23" s="62">
        <f t="shared" si="34"/>
        <v>95.843265624999972</v>
      </c>
      <c r="D23" s="62">
        <f t="shared" si="35"/>
        <v>5.8152093749999993</v>
      </c>
      <c r="E23" s="62">
        <v>1</v>
      </c>
      <c r="F23" s="54">
        <v>2.5000000000000001E-2</v>
      </c>
      <c r="G23" s="54">
        <f t="shared" si="19"/>
        <v>2.5000000000000001E-2</v>
      </c>
      <c r="H23" s="179">
        <f t="shared" si="20"/>
        <v>0.76214478217144144</v>
      </c>
      <c r="I23" s="179">
        <f t="shared" si="1"/>
        <v>73.046444802365201</v>
      </c>
      <c r="J23" s="183">
        <f t="shared" si="2"/>
        <v>4.4320314823906983</v>
      </c>
      <c r="K23" s="1"/>
      <c r="L23" s="112">
        <f t="shared" si="3"/>
        <v>121.67864398393553</v>
      </c>
      <c r="M23" s="61">
        <f t="shared" si="21"/>
        <v>112.6654110962366</v>
      </c>
      <c r="N23" s="61">
        <f t="shared" si="22"/>
        <v>6.6153084236590498</v>
      </c>
      <c r="O23" s="62">
        <v>1</v>
      </c>
      <c r="P23" s="54">
        <v>2.5000000000000001E-2</v>
      </c>
      <c r="Q23" s="54">
        <f t="shared" si="4"/>
        <v>2.5000000000000001E-2</v>
      </c>
      <c r="R23" s="91">
        <f t="shared" si="23"/>
        <v>0.76214478217144144</v>
      </c>
      <c r="S23" s="91">
        <f t="shared" si="5"/>
        <v>85.867355198197146</v>
      </c>
      <c r="T23" s="6">
        <f t="shared" si="6"/>
        <v>5.0418227975465282</v>
      </c>
      <c r="U23" s="1"/>
      <c r="V23" s="62">
        <f t="shared" si="7"/>
        <v>142.82115530655625</v>
      </c>
      <c r="W23" s="61">
        <f t="shared" si="24"/>
        <v>132.24181046903357</v>
      </c>
      <c r="X23" s="61">
        <f t="shared" si="25"/>
        <v>7.5272450651001392</v>
      </c>
      <c r="Y23" s="62">
        <v>1</v>
      </c>
      <c r="Z23" s="54">
        <v>2.5000000000000001E-2</v>
      </c>
      <c r="AA23" s="54">
        <f t="shared" si="8"/>
        <v>2.5000000000000001E-2</v>
      </c>
      <c r="AB23" s="91">
        <f t="shared" si="26"/>
        <v>0.76214478217144144</v>
      </c>
      <c r="AC23" s="91">
        <f t="shared" si="9"/>
        <v>100.78740583387864</v>
      </c>
      <c r="AD23" s="6">
        <f t="shared" si="10"/>
        <v>5.7368505504918028</v>
      </c>
      <c r="AE23" s="1"/>
      <c r="AF23" s="62">
        <f t="shared" si="11"/>
        <v>87.936932233842569</v>
      </c>
      <c r="AG23" s="61">
        <f t="shared" si="27"/>
        <v>81.423085401706075</v>
      </c>
      <c r="AH23" s="61">
        <f t="shared" si="28"/>
        <v>5.1139711292486254</v>
      </c>
      <c r="AI23" s="62">
        <v>1</v>
      </c>
      <c r="AJ23" s="54">
        <v>2.5000000000000001E-2</v>
      </c>
      <c r="AK23" s="54">
        <f t="shared" si="12"/>
        <v>2.5000000000000001E-2</v>
      </c>
      <c r="AL23" s="91">
        <f t="shared" si="29"/>
        <v>0.76214478217144144</v>
      </c>
      <c r="AM23" s="91">
        <f t="shared" si="13"/>
        <v>62.056179687209948</v>
      </c>
      <c r="AN23" s="6">
        <f t="shared" si="14"/>
        <v>3.8975864123322341</v>
      </c>
      <c r="AO23" s="1"/>
      <c r="AP23" s="61">
        <f t="shared" si="30"/>
        <v>147.37357340423816</v>
      </c>
      <c r="AQ23" s="61">
        <f t="shared" si="31"/>
        <v>136.45701241133162</v>
      </c>
      <c r="AR23" s="61">
        <f t="shared" si="32"/>
        <v>3.411425310283291</v>
      </c>
      <c r="AS23" s="62">
        <v>1</v>
      </c>
      <c r="AT23" s="54">
        <v>2.5000000000000001E-2</v>
      </c>
      <c r="AU23" s="54">
        <f t="shared" si="15"/>
        <v>2.5000000000000001E-2</v>
      </c>
      <c r="AV23" s="91">
        <f t="shared" si="33"/>
        <v>0.76214478217144144</v>
      </c>
      <c r="AW23" s="91">
        <f t="shared" si="16"/>
        <v>104.00000000000001</v>
      </c>
      <c r="AX23" s="6">
        <f t="shared" si="17"/>
        <v>2.600000000000001</v>
      </c>
      <c r="AY23" s="1"/>
      <c r="AZ23" s="1"/>
      <c r="BA23" s="1"/>
      <c r="BB23" s="1"/>
      <c r="BC23" s="1"/>
      <c r="BD23" s="1"/>
      <c r="BE23" s="1"/>
      <c r="BF23" s="1"/>
      <c r="BG23" s="1"/>
      <c r="BH23" s="1"/>
      <c r="BI23" s="1"/>
    </row>
    <row r="24" spans="1:61" ht="15" x14ac:dyDescent="0.25">
      <c r="A24" s="47">
        <f t="shared" si="18"/>
        <v>2024</v>
      </c>
      <c r="B24" s="62">
        <f t="shared" si="0"/>
        <v>106.09849504687496</v>
      </c>
      <c r="C24" s="62">
        <f t="shared" si="34"/>
        <v>98.239347265624957</v>
      </c>
      <c r="D24" s="62">
        <f t="shared" si="35"/>
        <v>5.960589609374999</v>
      </c>
      <c r="E24" s="62">
        <v>1</v>
      </c>
      <c r="F24" s="54">
        <v>2.5000000000000001E-2</v>
      </c>
      <c r="G24" s="54">
        <f t="shared" si="19"/>
        <v>2.5000000000000001E-2</v>
      </c>
      <c r="H24" s="179">
        <f t="shared" si="20"/>
        <v>0.74355588504530878</v>
      </c>
      <c r="I24" s="179">
        <f t="shared" si="1"/>
        <v>73.046444802365201</v>
      </c>
      <c r="J24" s="183">
        <f t="shared" si="2"/>
        <v>4.4320314823906992</v>
      </c>
      <c r="K24" s="1"/>
      <c r="L24" s="112">
        <f t="shared" si="3"/>
        <v>126.09159181556954</v>
      </c>
      <c r="M24" s="61">
        <f t="shared" si="21"/>
        <v>116.75147390330513</v>
      </c>
      <c r="N24" s="61">
        <f t="shared" si="22"/>
        <v>6.859918284388935</v>
      </c>
      <c r="O24" s="62">
        <v>1</v>
      </c>
      <c r="P24" s="54">
        <v>2.5000000000000001E-2</v>
      </c>
      <c r="Q24" s="54">
        <f t="shared" si="4"/>
        <v>2.5000000000000001E-2</v>
      </c>
      <c r="R24" s="179">
        <f t="shared" si="23"/>
        <v>0.74355588504530878</v>
      </c>
      <c r="S24" s="179">
        <f t="shared" si="5"/>
        <v>86.811245508516308</v>
      </c>
      <c r="T24" s="183">
        <f t="shared" si="6"/>
        <v>5.1007326112873113</v>
      </c>
      <c r="U24" s="1"/>
      <c r="V24" s="62">
        <f t="shared" si="7"/>
        <v>149.69355813762792</v>
      </c>
      <c r="W24" s="61">
        <f t="shared" si="24"/>
        <v>138.60514642372954</v>
      </c>
      <c r="X24" s="61">
        <f t="shared" si="25"/>
        <v>7.8984426514281436</v>
      </c>
      <c r="Y24" s="62">
        <v>1</v>
      </c>
      <c r="Z24" s="54">
        <v>2.5000000000000001E-2</v>
      </c>
      <c r="AA24" s="54">
        <f t="shared" si="8"/>
        <v>2.5000000000000001E-2</v>
      </c>
      <c r="AB24" s="179">
        <f t="shared" si="26"/>
        <v>0.74355588504530878</v>
      </c>
      <c r="AC24" s="179">
        <f t="shared" si="9"/>
        <v>103.06067232093083</v>
      </c>
      <c r="AD24" s="183">
        <f t="shared" si="10"/>
        <v>5.8729335161622691</v>
      </c>
      <c r="AE24" s="1"/>
      <c r="AF24" s="62">
        <f t="shared" si="11"/>
        <v>89.205646422209909</v>
      </c>
      <c r="AG24" s="61">
        <f t="shared" si="27"/>
        <v>82.597820761305471</v>
      </c>
      <c r="AH24" s="61">
        <f t="shared" si="28"/>
        <v>5.1826417966848952</v>
      </c>
      <c r="AI24" s="62">
        <v>1</v>
      </c>
      <c r="AJ24" s="54">
        <v>2.5000000000000001E-2</v>
      </c>
      <c r="AK24" s="54">
        <f t="shared" si="12"/>
        <v>2.5000000000000001E-2</v>
      </c>
      <c r="AL24" s="179">
        <f t="shared" si="29"/>
        <v>0.74355588504530878</v>
      </c>
      <c r="AM24" s="179">
        <f t="shared" si="13"/>
        <v>61.41609571898627</v>
      </c>
      <c r="AN24" s="183">
        <f t="shared" si="14"/>
        <v>3.8535838080068467</v>
      </c>
      <c r="AO24" s="1"/>
      <c r="AP24" s="61">
        <f t="shared" si="30"/>
        <v>151.05791273934409</v>
      </c>
      <c r="AQ24" s="61">
        <f t="shared" si="31"/>
        <v>139.8684377216149</v>
      </c>
      <c r="AR24" s="61">
        <f t="shared" si="32"/>
        <v>3.4967109430403731</v>
      </c>
      <c r="AS24" s="62">
        <v>1</v>
      </c>
      <c r="AT24" s="54">
        <v>2.5000000000000001E-2</v>
      </c>
      <c r="AU24" s="54">
        <f t="shared" si="15"/>
        <v>2.5000000000000001E-2</v>
      </c>
      <c r="AV24" s="179">
        <f t="shared" si="33"/>
        <v>0.74355588504530878</v>
      </c>
      <c r="AW24" s="179">
        <f t="shared" si="16"/>
        <v>104.00000000000001</v>
      </c>
      <c r="AX24" s="183">
        <f t="shared" si="17"/>
        <v>2.600000000000001</v>
      </c>
      <c r="AY24" s="1"/>
      <c r="AZ24" s="1"/>
      <c r="BA24" s="1"/>
      <c r="BB24" s="1"/>
      <c r="BC24" s="1"/>
      <c r="BD24" s="1"/>
      <c r="BE24" s="1"/>
      <c r="BF24" s="1"/>
      <c r="BG24" s="1"/>
      <c r="BH24" s="1"/>
      <c r="BI24" s="1"/>
    </row>
    <row r="25" spans="1:61" ht="15" x14ac:dyDescent="0.25">
      <c r="A25" s="47">
        <f t="shared" si="18"/>
        <v>2025</v>
      </c>
      <c r="B25" s="62">
        <f t="shared" si="0"/>
        <v>108.75095742304683</v>
      </c>
      <c r="C25" s="62">
        <f t="shared" si="34"/>
        <v>100.69533094726557</v>
      </c>
      <c r="D25" s="62">
        <f t="shared" si="35"/>
        <v>6.1096043496093735</v>
      </c>
      <c r="E25" s="62">
        <v>1</v>
      </c>
      <c r="F25" s="54">
        <v>2.5000000000000001E-2</v>
      </c>
      <c r="G25" s="54">
        <f t="shared" si="19"/>
        <v>2.5000000000000001E-2</v>
      </c>
      <c r="H25" s="179">
        <f t="shared" si="20"/>
        <v>0.72542037565395989</v>
      </c>
      <c r="I25" s="179">
        <f t="shared" si="1"/>
        <v>73.046444802365201</v>
      </c>
      <c r="J25" s="183">
        <f t="shared" si="2"/>
        <v>4.4320314823906992</v>
      </c>
      <c r="K25" s="1"/>
      <c r="L25" s="112">
        <f t="shared" si="3"/>
        <v>130.63542806897496</v>
      </c>
      <c r="M25" s="61">
        <f t="shared" si="21"/>
        <v>120.95872969349531</v>
      </c>
      <c r="N25" s="61">
        <f t="shared" si="22"/>
        <v>7.1118317988891429</v>
      </c>
      <c r="O25" s="62">
        <v>1</v>
      </c>
      <c r="P25" s="54">
        <v>2.5000000000000001E-2</v>
      </c>
      <c r="Q25" s="54">
        <f t="shared" si="4"/>
        <v>2.5000000000000001E-2</v>
      </c>
      <c r="R25" s="179">
        <f t="shared" si="23"/>
        <v>0.72542037565395989</v>
      </c>
      <c r="S25" s="179">
        <f t="shared" si="5"/>
        <v>87.745927132881164</v>
      </c>
      <c r="T25" s="183">
        <f t="shared" si="6"/>
        <v>5.1590676951379395</v>
      </c>
      <c r="U25" s="1"/>
      <c r="V25" s="62">
        <f t="shared" si="7"/>
        <v>156.8368272579286</v>
      </c>
      <c r="W25" s="61">
        <f t="shared" si="24"/>
        <v>145.21928449808203</v>
      </c>
      <c r="X25" s="61">
        <f t="shared" si="25"/>
        <v>8.2844106712053627</v>
      </c>
      <c r="Y25" s="62">
        <v>1</v>
      </c>
      <c r="Z25" s="54">
        <v>2.5000000000000001E-2</v>
      </c>
      <c r="AA25" s="54">
        <f t="shared" si="8"/>
        <v>2.5000000000000001E-2</v>
      </c>
      <c r="AB25" s="179">
        <f t="shared" si="26"/>
        <v>0.72542037565395989</v>
      </c>
      <c r="AC25" s="179">
        <f t="shared" si="9"/>
        <v>105.34502791279795</v>
      </c>
      <c r="AD25" s="183">
        <f t="shared" si="10"/>
        <v>6.0096803011774682</v>
      </c>
      <c r="AE25" s="1"/>
      <c r="AF25" s="62">
        <f t="shared" si="11"/>
        <v>90.520024102048623</v>
      </c>
      <c r="AG25" s="61">
        <f t="shared" si="27"/>
        <v>83.814837131526502</v>
      </c>
      <c r="AH25" s="61">
        <f t="shared" si="28"/>
        <v>5.2539169099689964</v>
      </c>
      <c r="AI25" s="62">
        <v>1</v>
      </c>
      <c r="AJ25" s="54">
        <v>2.5000000000000001E-2</v>
      </c>
      <c r="AK25" s="54">
        <f t="shared" si="12"/>
        <v>2.5000000000000001E-2</v>
      </c>
      <c r="AL25" s="179">
        <f t="shared" si="29"/>
        <v>0.72542037565395989</v>
      </c>
      <c r="AM25" s="179">
        <f t="shared" si="13"/>
        <v>60.800990637327423</v>
      </c>
      <c r="AN25" s="183">
        <f t="shared" si="14"/>
        <v>3.8112983784844015</v>
      </c>
      <c r="AO25" s="1"/>
      <c r="AP25" s="61">
        <f t="shared" si="30"/>
        <v>154.83436055782767</v>
      </c>
      <c r="AQ25" s="61">
        <f t="shared" si="31"/>
        <v>143.36514866465527</v>
      </c>
      <c r="AR25" s="61">
        <f t="shared" si="32"/>
        <v>3.584128716616382</v>
      </c>
      <c r="AS25" s="62">
        <v>1</v>
      </c>
      <c r="AT25" s="54">
        <v>2.5000000000000001E-2</v>
      </c>
      <c r="AU25" s="54">
        <f t="shared" si="15"/>
        <v>2.5000000000000001E-2</v>
      </c>
      <c r="AV25" s="179">
        <f t="shared" si="33"/>
        <v>0.72542037565395989</v>
      </c>
      <c r="AW25" s="179">
        <f t="shared" si="16"/>
        <v>104.00000000000003</v>
      </c>
      <c r="AX25" s="183">
        <f t="shared" si="17"/>
        <v>2.600000000000001</v>
      </c>
      <c r="AY25" s="1"/>
      <c r="AZ25" s="1"/>
      <c r="BA25" s="1"/>
      <c r="BB25" s="1"/>
      <c r="BC25" s="1"/>
      <c r="BD25" s="1"/>
      <c r="BE25" s="1"/>
      <c r="BF25" s="1"/>
      <c r="BG25" s="1"/>
      <c r="BH25" s="1"/>
      <c r="BI25" s="1"/>
    </row>
    <row r="26" spans="1:61" ht="15" x14ac:dyDescent="0.25">
      <c r="A26" s="47">
        <f t="shared" si="18"/>
        <v>2026</v>
      </c>
      <c r="B26" s="62">
        <f t="shared" si="0"/>
        <v>111.46973135862299</v>
      </c>
      <c r="C26" s="62">
        <f t="shared" si="34"/>
        <v>103.21271422094721</v>
      </c>
      <c r="D26" s="62">
        <f t="shared" si="35"/>
        <v>6.2623444583496068</v>
      </c>
      <c r="E26" s="62">
        <v>1</v>
      </c>
      <c r="F26" s="54">
        <v>2.5000000000000001E-2</v>
      </c>
      <c r="G26" s="54">
        <f t="shared" si="19"/>
        <v>2.5000000000000001E-2</v>
      </c>
      <c r="H26" s="179">
        <f t="shared" si="20"/>
        <v>0.7077271957599609</v>
      </c>
      <c r="I26" s="179">
        <f t="shared" si="1"/>
        <v>73.046444802365201</v>
      </c>
      <c r="J26" s="183">
        <f t="shared" si="2"/>
        <v>4.4320314823906983</v>
      </c>
      <c r="K26" s="1"/>
      <c r="L26" s="112">
        <f t="shared" si="3"/>
        <v>135.31373342558572</v>
      </c>
      <c r="M26" s="61">
        <f t="shared" si="21"/>
        <v>125.29049391257936</v>
      </c>
      <c r="N26" s="61">
        <f t="shared" si="22"/>
        <v>7.371249384612713</v>
      </c>
      <c r="O26" s="62">
        <v>1</v>
      </c>
      <c r="P26" s="54">
        <v>2.5000000000000001E-2</v>
      </c>
      <c r="Q26" s="54">
        <f t="shared" si="4"/>
        <v>2.5000000000000001E-2</v>
      </c>
      <c r="R26" s="179">
        <f t="shared" si="23"/>
        <v>0.7077271957599609</v>
      </c>
      <c r="S26" s="179">
        <f t="shared" si="5"/>
        <v>88.671489912130241</v>
      </c>
      <c r="T26" s="183">
        <f t="shared" si="6"/>
        <v>5.2168336562192925</v>
      </c>
      <c r="U26" s="1"/>
      <c r="V26" s="62">
        <f t="shared" si="7"/>
        <v>164.26070601124263</v>
      </c>
      <c r="W26" s="61">
        <f t="shared" si="24"/>
        <v>152.09324630670613</v>
      </c>
      <c r="X26" s="61">
        <f t="shared" si="25"/>
        <v>8.6856831000817571</v>
      </c>
      <c r="Y26" s="62">
        <v>1</v>
      </c>
      <c r="Z26" s="54">
        <v>2.5000000000000001E-2</v>
      </c>
      <c r="AA26" s="54">
        <f t="shared" si="8"/>
        <v>2.5000000000000001E-2</v>
      </c>
      <c r="AB26" s="179">
        <f t="shared" si="26"/>
        <v>0.7077271957599609</v>
      </c>
      <c r="AC26" s="179">
        <f t="shared" si="9"/>
        <v>107.64052670267417</v>
      </c>
      <c r="AD26" s="183">
        <f t="shared" si="10"/>
        <v>6.1470941436805457</v>
      </c>
      <c r="AE26" s="1"/>
      <c r="AF26" s="62">
        <f t="shared" si="11"/>
        <v>91.880997676094054</v>
      </c>
      <c r="AG26" s="61">
        <f t="shared" si="27"/>
        <v>85.074997848235228</v>
      </c>
      <c r="AH26" s="61">
        <f t="shared" si="28"/>
        <v>5.3278482650596946</v>
      </c>
      <c r="AI26" s="62">
        <v>1</v>
      </c>
      <c r="AJ26" s="54">
        <v>2.5000000000000001E-2</v>
      </c>
      <c r="AK26" s="54">
        <f t="shared" si="12"/>
        <v>2.5000000000000001E-2</v>
      </c>
      <c r="AL26" s="179">
        <f t="shared" si="29"/>
        <v>0.7077271957599609</v>
      </c>
      <c r="AM26" s="179">
        <f t="shared" si="13"/>
        <v>60.209889656416223</v>
      </c>
      <c r="AN26" s="183">
        <f t="shared" si="14"/>
        <v>3.7706631120652707</v>
      </c>
      <c r="AO26" s="1"/>
      <c r="AP26" s="61">
        <f t="shared" si="30"/>
        <v>158.70521957177334</v>
      </c>
      <c r="AQ26" s="61">
        <f t="shared" si="31"/>
        <v>146.94927738127163</v>
      </c>
      <c r="AR26" s="61">
        <f t="shared" si="32"/>
        <v>3.6737319345317911</v>
      </c>
      <c r="AS26" s="62">
        <v>1</v>
      </c>
      <c r="AT26" s="54">
        <v>2.5000000000000001E-2</v>
      </c>
      <c r="AU26" s="54">
        <f t="shared" si="15"/>
        <v>2.5000000000000001E-2</v>
      </c>
      <c r="AV26" s="179">
        <f t="shared" si="33"/>
        <v>0.7077271957599609</v>
      </c>
      <c r="AW26" s="179">
        <f t="shared" si="16"/>
        <v>104.00000000000001</v>
      </c>
      <c r="AX26" s="183">
        <f t="shared" si="17"/>
        <v>2.600000000000001</v>
      </c>
      <c r="AY26" s="1"/>
      <c r="AZ26" s="1"/>
      <c r="BA26" s="1"/>
      <c r="BB26" s="1"/>
      <c r="BC26" s="1"/>
      <c r="BD26" s="1"/>
      <c r="BE26" s="1"/>
      <c r="BF26" s="1"/>
      <c r="BG26" s="1"/>
      <c r="BH26" s="1"/>
      <c r="BI26" s="1"/>
    </row>
    <row r="27" spans="1:61" ht="15" x14ac:dyDescent="0.25">
      <c r="A27" s="47">
        <f t="shared" si="18"/>
        <v>2027</v>
      </c>
      <c r="B27" s="62">
        <f t="shared" si="0"/>
        <v>114.25647464258856</v>
      </c>
      <c r="C27" s="62">
        <f t="shared" si="34"/>
        <v>105.79303207647088</v>
      </c>
      <c r="D27" s="62">
        <f t="shared" si="35"/>
        <v>6.418903069808346</v>
      </c>
      <c r="E27" s="62">
        <v>1</v>
      </c>
      <c r="F27" s="54">
        <v>2.5000000000000001E-2</v>
      </c>
      <c r="G27" s="54">
        <f t="shared" si="19"/>
        <v>2.5000000000000001E-2</v>
      </c>
      <c r="H27" s="179">
        <f t="shared" si="20"/>
        <v>0.69046555683898636</v>
      </c>
      <c r="I27" s="179">
        <f t="shared" si="1"/>
        <v>73.046444802365215</v>
      </c>
      <c r="J27" s="183">
        <f t="shared" si="2"/>
        <v>4.4320314823906983</v>
      </c>
      <c r="K27" s="1"/>
      <c r="L27" s="112">
        <f t="shared" si="3"/>
        <v>140.13018271093506</v>
      </c>
      <c r="M27" s="61">
        <f t="shared" si="21"/>
        <v>129.7501691767917</v>
      </c>
      <c r="N27" s="61">
        <f t="shared" si="22"/>
        <v>7.6383767368406419</v>
      </c>
      <c r="O27" s="62">
        <v>1</v>
      </c>
      <c r="P27" s="54">
        <v>2.5000000000000001E-2</v>
      </c>
      <c r="Q27" s="54">
        <f t="shared" si="4"/>
        <v>2.5000000000000001E-2</v>
      </c>
      <c r="R27" s="179">
        <f t="shared" si="23"/>
        <v>0.69046555683898636</v>
      </c>
      <c r="S27" s="179">
        <f t="shared" si="5"/>
        <v>89.588022810606162</v>
      </c>
      <c r="T27" s="183">
        <f t="shared" si="6"/>
        <v>5.2740360469486331</v>
      </c>
      <c r="U27" s="1"/>
      <c r="V27" s="62">
        <f t="shared" si="7"/>
        <v>171.9752704755455</v>
      </c>
      <c r="W27" s="61">
        <f t="shared" si="24"/>
        <v>159.236361551431</v>
      </c>
      <c r="X27" s="61">
        <f t="shared" si="25"/>
        <v>9.1028122045429498</v>
      </c>
      <c r="Y27" s="62">
        <v>1</v>
      </c>
      <c r="Z27" s="54">
        <v>2.5000000000000001E-2</v>
      </c>
      <c r="AA27" s="54">
        <f t="shared" si="8"/>
        <v>2.5000000000000001E-2</v>
      </c>
      <c r="AB27" s="179">
        <f t="shared" si="26"/>
        <v>0.69046555683898636</v>
      </c>
      <c r="AC27" s="179">
        <f t="shared" si="9"/>
        <v>109.94722304762297</v>
      </c>
      <c r="AD27" s="183">
        <f t="shared" si="10"/>
        <v>6.2851782976104689</v>
      </c>
      <c r="AE27" s="1"/>
      <c r="AF27" s="62">
        <f t="shared" si="11"/>
        <v>93.289525994918208</v>
      </c>
      <c r="AG27" s="61">
        <f t="shared" si="27"/>
        <v>86.379190736035369</v>
      </c>
      <c r="AH27" s="61">
        <f t="shared" si="28"/>
        <v>5.4044891525425385</v>
      </c>
      <c r="AI27" s="62">
        <v>1</v>
      </c>
      <c r="AJ27" s="54">
        <v>2.5000000000000001E-2</v>
      </c>
      <c r="AK27" s="54">
        <f t="shared" si="12"/>
        <v>2.5000000000000001E-2</v>
      </c>
      <c r="AL27" s="179">
        <f t="shared" si="29"/>
        <v>0.69046555683898636</v>
      </c>
      <c r="AM27" s="179">
        <f t="shared" si="13"/>
        <v>59.641856030857674</v>
      </c>
      <c r="AN27" s="183">
        <f t="shared" si="14"/>
        <v>3.7316136121405452</v>
      </c>
      <c r="AO27" s="1"/>
      <c r="AP27" s="61">
        <f t="shared" si="30"/>
        <v>162.67285006106766</v>
      </c>
      <c r="AQ27" s="61">
        <f t="shared" si="31"/>
        <v>150.62300931580342</v>
      </c>
      <c r="AR27" s="61">
        <f t="shared" si="32"/>
        <v>3.7655752328950856</v>
      </c>
      <c r="AS27" s="62">
        <v>1</v>
      </c>
      <c r="AT27" s="54">
        <v>2.5000000000000001E-2</v>
      </c>
      <c r="AU27" s="54">
        <f t="shared" si="15"/>
        <v>2.5000000000000001E-2</v>
      </c>
      <c r="AV27" s="179">
        <f t="shared" si="33"/>
        <v>0.69046555683898636</v>
      </c>
      <c r="AW27" s="179">
        <f t="shared" si="16"/>
        <v>104.00000000000003</v>
      </c>
      <c r="AX27" s="183">
        <f t="shared" si="17"/>
        <v>2.600000000000001</v>
      </c>
      <c r="AY27" s="1"/>
      <c r="AZ27" s="1"/>
      <c r="BA27" s="1"/>
      <c r="BB27" s="1"/>
      <c r="BC27" s="1"/>
      <c r="BD27" s="1"/>
      <c r="BE27" s="1"/>
      <c r="BF27" s="1"/>
      <c r="BG27" s="1"/>
      <c r="BH27" s="1"/>
      <c r="BI27" s="1"/>
    </row>
    <row r="28" spans="1:61" ht="15" x14ac:dyDescent="0.25">
      <c r="A28" s="47">
        <f t="shared" si="18"/>
        <v>2028</v>
      </c>
      <c r="B28" s="62">
        <f t="shared" si="0"/>
        <v>117.11288650865326</v>
      </c>
      <c r="C28" s="62">
        <f t="shared" si="34"/>
        <v>108.43785787838264</v>
      </c>
      <c r="D28" s="62">
        <f t="shared" si="35"/>
        <v>6.5793756465535544</v>
      </c>
      <c r="E28" s="62">
        <v>1</v>
      </c>
      <c r="F28" s="54">
        <v>2.5000000000000001E-2</v>
      </c>
      <c r="G28" s="54">
        <f t="shared" si="19"/>
        <v>2.5000000000000001E-2</v>
      </c>
      <c r="H28" s="179">
        <f t="shared" si="20"/>
        <v>0.67362493350145014</v>
      </c>
      <c r="I28" s="179">
        <f t="shared" si="1"/>
        <v>73.046444802365215</v>
      </c>
      <c r="J28" s="183">
        <f t="shared" si="2"/>
        <v>4.4320314823906983</v>
      </c>
      <c r="K28" s="1"/>
      <c r="L28" s="112">
        <f t="shared" si="3"/>
        <v>145.08854731766377</v>
      </c>
      <c r="M28" s="61">
        <f t="shared" si="21"/>
        <v>134.34124751635534</v>
      </c>
      <c r="N28" s="61">
        <f t="shared" si="22"/>
        <v>7.9134249646384589</v>
      </c>
      <c r="O28" s="62">
        <v>1</v>
      </c>
      <c r="P28" s="54">
        <v>2.5000000000000001E-2</v>
      </c>
      <c r="Q28" s="54">
        <f t="shared" si="4"/>
        <v>2.5000000000000001E-2</v>
      </c>
      <c r="R28" s="179">
        <f t="shared" si="23"/>
        <v>0.67362493350145014</v>
      </c>
      <c r="S28" s="179">
        <f t="shared" si="5"/>
        <v>90.495613924706717</v>
      </c>
      <c r="T28" s="183">
        <f t="shared" si="6"/>
        <v>5.3306803655732971</v>
      </c>
      <c r="U28" s="1"/>
      <c r="V28" s="62">
        <f t="shared" si="7"/>
        <v>179.99094045587657</v>
      </c>
      <c r="W28" s="61">
        <f t="shared" si="24"/>
        <v>166.6582781998857</v>
      </c>
      <c r="X28" s="61">
        <f t="shared" si="25"/>
        <v>9.5363691474244465</v>
      </c>
      <c r="Y28" s="62">
        <v>1</v>
      </c>
      <c r="Z28" s="54">
        <v>2.5000000000000001E-2</v>
      </c>
      <c r="AA28" s="54">
        <f t="shared" si="8"/>
        <v>2.5000000000000001E-2</v>
      </c>
      <c r="AB28" s="179">
        <f t="shared" si="26"/>
        <v>0.67362493350145014</v>
      </c>
      <c r="AC28" s="179">
        <f t="shared" si="9"/>
        <v>112.26517156986418</v>
      </c>
      <c r="AD28" s="183">
        <f t="shared" si="10"/>
        <v>6.423936032779074</v>
      </c>
      <c r="AE28" s="1"/>
      <c r="AF28" s="62">
        <f t="shared" si="11"/>
        <v>94.746594971059139</v>
      </c>
      <c r="AG28" s="61">
        <f t="shared" si="27"/>
        <v>87.7283286769066</v>
      </c>
      <c r="AH28" s="61">
        <f t="shared" si="28"/>
        <v>5.483894391999609</v>
      </c>
      <c r="AI28" s="62">
        <v>1</v>
      </c>
      <c r="AJ28" s="54">
        <v>2.5000000000000001E-2</v>
      </c>
      <c r="AK28" s="54">
        <f t="shared" si="12"/>
        <v>2.5000000000000001E-2</v>
      </c>
      <c r="AL28" s="179">
        <f t="shared" si="29"/>
        <v>0.67362493350145014</v>
      </c>
      <c r="AM28" s="179">
        <f t="shared" si="13"/>
        <v>59.09598957117457</v>
      </c>
      <c r="AN28" s="183">
        <f t="shared" si="14"/>
        <v>3.6940879951397121</v>
      </c>
      <c r="AO28" s="1"/>
      <c r="AP28" s="61">
        <f t="shared" si="30"/>
        <v>166.73967131259434</v>
      </c>
      <c r="AQ28" s="61">
        <f t="shared" si="31"/>
        <v>154.38858454869847</v>
      </c>
      <c r="AR28" s="61">
        <f t="shared" si="32"/>
        <v>3.8597146137174625</v>
      </c>
      <c r="AS28" s="62">
        <v>1</v>
      </c>
      <c r="AT28" s="54">
        <v>2.5000000000000001E-2</v>
      </c>
      <c r="AU28" s="54">
        <f t="shared" si="15"/>
        <v>2.5000000000000001E-2</v>
      </c>
      <c r="AV28" s="179">
        <f t="shared" si="33"/>
        <v>0.67362493350145014</v>
      </c>
      <c r="AW28" s="179">
        <f t="shared" si="16"/>
        <v>104.00000000000003</v>
      </c>
      <c r="AX28" s="183">
        <f t="shared" si="17"/>
        <v>2.600000000000001</v>
      </c>
      <c r="AY28" s="1"/>
      <c r="AZ28" s="1"/>
      <c r="BA28" s="1"/>
      <c r="BB28" s="1"/>
      <c r="BC28" s="1"/>
      <c r="BD28" s="1"/>
      <c r="BE28" s="1"/>
      <c r="BF28" s="1"/>
      <c r="BG28" s="1"/>
      <c r="BH28" s="1"/>
      <c r="BI28" s="1"/>
    </row>
    <row r="29" spans="1:61" ht="15" x14ac:dyDescent="0.25">
      <c r="A29" s="47">
        <f t="shared" si="18"/>
        <v>2029</v>
      </c>
      <c r="B29" s="62">
        <f t="shared" si="0"/>
        <v>120.04070867136959</v>
      </c>
      <c r="C29" s="62">
        <f t="shared" si="34"/>
        <v>111.1488043253422</v>
      </c>
      <c r="D29" s="62">
        <f t="shared" si="35"/>
        <v>6.7438600377173925</v>
      </c>
      <c r="E29" s="62">
        <v>1</v>
      </c>
      <c r="F29" s="54">
        <v>2.5000000000000001E-2</v>
      </c>
      <c r="G29" s="54">
        <f t="shared" si="19"/>
        <v>2.5000000000000001E-2</v>
      </c>
      <c r="H29" s="179">
        <f t="shared" si="20"/>
        <v>0.65719505707458559</v>
      </c>
      <c r="I29" s="179">
        <f t="shared" si="1"/>
        <v>73.046444802365215</v>
      </c>
      <c r="J29" s="183">
        <f t="shared" si="2"/>
        <v>4.4320314823906983</v>
      </c>
      <c r="K29" s="1"/>
      <c r="L29" s="112">
        <f t="shared" si="3"/>
        <v>150.19269769014502</v>
      </c>
      <c r="M29" s="61">
        <f t="shared" si="21"/>
        <v>139.0673126760602</v>
      </c>
      <c r="N29" s="61">
        <f t="shared" si="22"/>
        <v>8.1966107302718747</v>
      </c>
      <c r="O29" s="62">
        <v>1</v>
      </c>
      <c r="P29" s="54">
        <v>2.5000000000000001E-2</v>
      </c>
      <c r="Q29" s="54">
        <f t="shared" si="4"/>
        <v>2.5000000000000001E-2</v>
      </c>
      <c r="R29" s="179">
        <f t="shared" si="23"/>
        <v>0.65719505707458559</v>
      </c>
      <c r="S29" s="179">
        <f t="shared" si="5"/>
        <v>91.394350491352625</v>
      </c>
      <c r="T29" s="183">
        <f t="shared" si="6"/>
        <v>5.3867720566991855</v>
      </c>
      <c r="U29" s="1"/>
      <c r="V29" s="62">
        <f t="shared" si="7"/>
        <v>188.31849083226919</v>
      </c>
      <c r="W29" s="61">
        <f t="shared" si="24"/>
        <v>174.36897299284183</v>
      </c>
      <c r="X29" s="61">
        <f t="shared" si="25"/>
        <v>9.9869446130110191</v>
      </c>
      <c r="Y29" s="62">
        <v>1</v>
      </c>
      <c r="Z29" s="54">
        <v>2.5000000000000001E-2</v>
      </c>
      <c r="AA29" s="54">
        <f t="shared" si="8"/>
        <v>2.5000000000000001E-2</v>
      </c>
      <c r="AB29" s="179">
        <f t="shared" si="26"/>
        <v>0.65719505707458559</v>
      </c>
      <c r="AC29" s="179">
        <f t="shared" si="9"/>
        <v>114.59442715806756</v>
      </c>
      <c r="AD29" s="183">
        <f t="shared" si="10"/>
        <v>6.5633706349485017</v>
      </c>
      <c r="AE29" s="1"/>
      <c r="AF29" s="62">
        <f t="shared" si="11"/>
        <v>96.253218209209564</v>
      </c>
      <c r="AG29" s="61">
        <f t="shared" si="27"/>
        <v>89.123350193712554</v>
      </c>
      <c r="AH29" s="61">
        <f t="shared" si="28"/>
        <v>5.5661203672834532</v>
      </c>
      <c r="AI29" s="62">
        <v>1</v>
      </c>
      <c r="AJ29" s="54">
        <v>2.5000000000000001E-2</v>
      </c>
      <c r="AK29" s="54">
        <f t="shared" si="12"/>
        <v>2.5000000000000001E-2</v>
      </c>
      <c r="AL29" s="179">
        <f t="shared" si="29"/>
        <v>0.65719505707458559</v>
      </c>
      <c r="AM29" s="179">
        <f t="shared" si="13"/>
        <v>58.571425217235202</v>
      </c>
      <c r="AN29" s="183">
        <f t="shared" si="14"/>
        <v>3.6580267924608623</v>
      </c>
      <c r="AO29" s="1"/>
      <c r="AP29" s="61">
        <f t="shared" si="30"/>
        <v>170.90816309540918</v>
      </c>
      <c r="AQ29" s="61">
        <f t="shared" si="31"/>
        <v>158.24829916241592</v>
      </c>
      <c r="AR29" s="61">
        <f t="shared" si="32"/>
        <v>3.9562074790603989</v>
      </c>
      <c r="AS29" s="62">
        <v>1</v>
      </c>
      <c r="AT29" s="54">
        <v>2.5000000000000001E-2</v>
      </c>
      <c r="AU29" s="54">
        <f t="shared" si="15"/>
        <v>2.5000000000000001E-2</v>
      </c>
      <c r="AV29" s="179">
        <f t="shared" si="33"/>
        <v>0.65719505707458559</v>
      </c>
      <c r="AW29" s="179">
        <f t="shared" si="16"/>
        <v>104.00000000000003</v>
      </c>
      <c r="AX29" s="183">
        <f t="shared" si="17"/>
        <v>2.6000000000000014</v>
      </c>
      <c r="AY29" s="1"/>
      <c r="AZ29" s="1"/>
      <c r="BA29" s="1"/>
      <c r="BB29" s="1"/>
      <c r="BC29" s="1"/>
      <c r="BD29" s="1"/>
      <c r="BE29" s="1"/>
      <c r="BF29" s="1"/>
      <c r="BG29" s="1"/>
      <c r="BH29" s="1"/>
      <c r="BI29" s="1"/>
    </row>
    <row r="30" spans="1:61" ht="15" x14ac:dyDescent="0.25">
      <c r="A30" s="47">
        <f t="shared" si="18"/>
        <v>2030</v>
      </c>
      <c r="B30" s="62">
        <f t="shared" si="0"/>
        <v>123.0417263881538</v>
      </c>
      <c r="C30" s="62">
        <f t="shared" si="34"/>
        <v>113.92752443347574</v>
      </c>
      <c r="D30" s="62">
        <f t="shared" si="35"/>
        <v>6.9124565386603267</v>
      </c>
      <c r="E30" s="62">
        <v>1</v>
      </c>
      <c r="F30" s="54">
        <v>2.5000000000000001E-2</v>
      </c>
      <c r="G30" s="54">
        <f t="shared" ref="G30:G45" si="36">G29</f>
        <v>2.5000000000000001E-2</v>
      </c>
      <c r="H30" s="179">
        <f t="shared" si="20"/>
        <v>0.64116590934105921</v>
      </c>
      <c r="I30" s="179">
        <f t="shared" si="1"/>
        <v>73.046444802365215</v>
      </c>
      <c r="J30" s="183">
        <f t="shared" si="2"/>
        <v>4.4320314823906992</v>
      </c>
      <c r="K30" s="1"/>
      <c r="L30" s="112">
        <f t="shared" si="3"/>
        <v>155.4466058722814</v>
      </c>
      <c r="M30" s="61">
        <f t="shared" si="21"/>
        <v>143.93204247433462</v>
      </c>
      <c r="N30" s="61">
        <f t="shared" si="22"/>
        <v>8.4881563921688858</v>
      </c>
      <c r="O30" s="62">
        <v>1</v>
      </c>
      <c r="P30" s="54">
        <v>2.5000000000000001E-2</v>
      </c>
      <c r="Q30" s="54">
        <f t="shared" si="4"/>
        <v>2.5000000000000001E-2</v>
      </c>
      <c r="R30" s="179">
        <f t="shared" si="23"/>
        <v>0.64116590934105921</v>
      </c>
      <c r="S30" s="179">
        <f t="shared" si="5"/>
        <v>92.28431889637271</v>
      </c>
      <c r="T30" s="183">
        <f t="shared" si="6"/>
        <v>5.4423165118140879</v>
      </c>
      <c r="U30" s="1"/>
      <c r="V30" s="62">
        <f t="shared" si="7"/>
        <v>196.96906327402152</v>
      </c>
      <c r="W30" s="61">
        <f t="shared" si="24"/>
        <v>182.37876229076065</v>
      </c>
      <c r="X30" s="61">
        <f t="shared" si="25"/>
        <v>10.455149452344283</v>
      </c>
      <c r="Y30" s="62">
        <v>1</v>
      </c>
      <c r="Z30" s="54">
        <v>2.5000000000000001E-2</v>
      </c>
      <c r="AA30" s="54">
        <f t="shared" si="8"/>
        <v>2.5000000000000001E-2</v>
      </c>
      <c r="AB30" s="179">
        <f t="shared" si="26"/>
        <v>0.64116590934105921</v>
      </c>
      <c r="AC30" s="179">
        <f t="shared" si="9"/>
        <v>116.93504496865243</v>
      </c>
      <c r="AD30" s="183">
        <f t="shared" si="10"/>
        <v>6.7034854059089994</v>
      </c>
      <c r="AE30" s="1"/>
      <c r="AF30" s="62">
        <f t="shared" si="11"/>
        <v>97.81043765285564</v>
      </c>
      <c r="AG30" s="61">
        <f t="shared" si="27"/>
        <v>90.565220048940404</v>
      </c>
      <c r="AH30" s="61">
        <f t="shared" si="28"/>
        <v>5.6512250627171356</v>
      </c>
      <c r="AI30" s="62">
        <v>1</v>
      </c>
      <c r="AJ30" s="54">
        <v>2.5000000000000001E-2</v>
      </c>
      <c r="AK30" s="54">
        <f t="shared" si="12"/>
        <v>2.5000000000000001E-2</v>
      </c>
      <c r="AL30" s="179">
        <f t="shared" si="29"/>
        <v>0.64116590934105921</v>
      </c>
      <c r="AM30" s="179">
        <f t="shared" si="13"/>
        <v>58.067331667352001</v>
      </c>
      <c r="AN30" s="183">
        <f t="shared" si="14"/>
        <v>3.6233728562280167</v>
      </c>
      <c r="AO30" s="1"/>
      <c r="AP30" s="61">
        <f t="shared" si="30"/>
        <v>175.18086717279439</v>
      </c>
      <c r="AQ30" s="61">
        <f t="shared" si="31"/>
        <v>162.20450664147631</v>
      </c>
      <c r="AR30" s="61">
        <f t="shared" si="32"/>
        <v>4.0551126660369086</v>
      </c>
      <c r="AS30" s="62">
        <v>1</v>
      </c>
      <c r="AT30" s="54">
        <v>2.5000000000000001E-2</v>
      </c>
      <c r="AU30" s="54">
        <f t="shared" si="15"/>
        <v>2.5000000000000001E-2</v>
      </c>
      <c r="AV30" s="179">
        <f t="shared" si="33"/>
        <v>0.64116590934105921</v>
      </c>
      <c r="AW30" s="179">
        <f t="shared" si="16"/>
        <v>104.00000000000004</v>
      </c>
      <c r="AX30" s="183">
        <f t="shared" si="17"/>
        <v>2.6000000000000014</v>
      </c>
      <c r="AY30" s="1"/>
      <c r="AZ30" s="1"/>
      <c r="BA30" s="1"/>
      <c r="BB30" s="1"/>
      <c r="BC30" s="1"/>
      <c r="BD30" s="1"/>
      <c r="BE30" s="1"/>
      <c r="BF30" s="1"/>
      <c r="BG30" s="1"/>
      <c r="BH30" s="1"/>
      <c r="BI30" s="1"/>
    </row>
    <row r="31" spans="1:61" ht="15" x14ac:dyDescent="0.25">
      <c r="A31" s="47">
        <f t="shared" si="18"/>
        <v>2031</v>
      </c>
      <c r="B31" s="62">
        <f t="shared" si="0"/>
        <v>126.11776954785765</v>
      </c>
      <c r="C31" s="62">
        <f t="shared" si="34"/>
        <v>116.77571254431263</v>
      </c>
      <c r="D31" s="62">
        <f t="shared" si="35"/>
        <v>7.0852679521268342</v>
      </c>
      <c r="E31" s="62">
        <v>1</v>
      </c>
      <c r="F31" s="54">
        <v>2.5000000000000001E-2</v>
      </c>
      <c r="G31" s="54">
        <f t="shared" si="36"/>
        <v>2.5000000000000001E-2</v>
      </c>
      <c r="H31" s="179">
        <f t="shared" si="20"/>
        <v>0.62552771643030169</v>
      </c>
      <c r="I31" s="179">
        <f t="shared" si="1"/>
        <v>73.046444802365215</v>
      </c>
      <c r="J31" s="183">
        <f t="shared" si="2"/>
        <v>4.4320314823906992</v>
      </c>
      <c r="K31" s="1"/>
      <c r="L31" s="112">
        <f t="shared" si="3"/>
        <v>160.85434812006946</v>
      </c>
      <c r="M31" s="61">
        <f t="shared" si="21"/>
        <v>148.93921122228653</v>
      </c>
      <c r="N31" s="61">
        <f t="shared" si="22"/>
        <v>8.788290151517927</v>
      </c>
      <c r="O31" s="62">
        <v>1</v>
      </c>
      <c r="P31" s="54">
        <v>2.5000000000000001E-2</v>
      </c>
      <c r="Q31" s="54">
        <f t="shared" si="4"/>
        <v>2.5000000000000001E-2</v>
      </c>
      <c r="R31" s="179">
        <f t="shared" si="23"/>
        <v>0.62552771643030169</v>
      </c>
      <c r="S31" s="179">
        <f t="shared" si="5"/>
        <v>93.165604682807256</v>
      </c>
      <c r="T31" s="183">
        <f t="shared" si="6"/>
        <v>5.4973190698059193</v>
      </c>
      <c r="U31" s="1"/>
      <c r="V31" s="62">
        <f t="shared" si="7"/>
        <v>205.95417833194597</v>
      </c>
      <c r="W31" s="61">
        <f t="shared" si="24"/>
        <v>190.69831327032034</v>
      </c>
      <c r="X31" s="61">
        <f t="shared" si="25"/>
        <v>10.94161534938112</v>
      </c>
      <c r="Y31" s="62">
        <v>1</v>
      </c>
      <c r="Z31" s="54">
        <v>2.5000000000000001E-2</v>
      </c>
      <c r="AA31" s="54">
        <f t="shared" si="8"/>
        <v>2.5000000000000001E-2</v>
      </c>
      <c r="AB31" s="179">
        <f t="shared" si="26"/>
        <v>0.62552771643030169</v>
      </c>
      <c r="AC31" s="179">
        <f t="shared" si="9"/>
        <v>119.28708042709378</v>
      </c>
      <c r="AD31" s="183">
        <f t="shared" si="10"/>
        <v>6.8442836635571096</v>
      </c>
      <c r="AE31" s="1"/>
      <c r="AF31" s="62">
        <f t="shared" si="11"/>
        <v>99.419324247766653</v>
      </c>
      <c r="AG31" s="61">
        <f t="shared" si="27"/>
        <v>92.054929859043185</v>
      </c>
      <c r="AH31" s="61">
        <f t="shared" si="28"/>
        <v>5.739268100242886</v>
      </c>
      <c r="AI31" s="62">
        <v>1</v>
      </c>
      <c r="AJ31" s="54">
        <v>2.5000000000000001E-2</v>
      </c>
      <c r="AK31" s="54">
        <f t="shared" si="12"/>
        <v>2.5000000000000001E-2</v>
      </c>
      <c r="AL31" s="179">
        <f t="shared" si="29"/>
        <v>0.62552771643030169</v>
      </c>
      <c r="AM31" s="179">
        <f t="shared" si="13"/>
        <v>57.582910060878881</v>
      </c>
      <c r="AN31" s="183">
        <f t="shared" si="14"/>
        <v>3.5900712687262084</v>
      </c>
      <c r="AO31" s="1"/>
      <c r="AP31" s="61">
        <f t="shared" si="30"/>
        <v>179.56038885211424</v>
      </c>
      <c r="AQ31" s="61">
        <f t="shared" si="31"/>
        <v>166.25961930751322</v>
      </c>
      <c r="AR31" s="61">
        <f t="shared" si="32"/>
        <v>4.1564904826878308</v>
      </c>
      <c r="AS31" s="62">
        <v>1</v>
      </c>
      <c r="AT31" s="54">
        <v>2.5000000000000001E-2</v>
      </c>
      <c r="AU31" s="54">
        <f t="shared" si="15"/>
        <v>2.5000000000000001E-2</v>
      </c>
      <c r="AV31" s="179">
        <f t="shared" si="33"/>
        <v>0.62552771643030169</v>
      </c>
      <c r="AW31" s="179">
        <f t="shared" si="16"/>
        <v>104.00000000000004</v>
      </c>
      <c r="AX31" s="183">
        <f t="shared" si="17"/>
        <v>2.6000000000000014</v>
      </c>
      <c r="AY31" s="1"/>
      <c r="AZ31" s="1"/>
      <c r="BA31" s="1"/>
      <c r="BB31" s="1"/>
      <c r="BC31" s="1"/>
      <c r="BD31" s="1"/>
      <c r="BE31" s="1"/>
      <c r="BF31" s="1"/>
      <c r="BG31" s="1"/>
      <c r="BH31" s="1"/>
      <c r="BI31" s="1"/>
    </row>
    <row r="32" spans="1:61" ht="15" x14ac:dyDescent="0.25">
      <c r="A32" s="47">
        <f t="shared" si="18"/>
        <v>2032</v>
      </c>
      <c r="B32" s="62">
        <f t="shared" si="0"/>
        <v>129.27071378655407</v>
      </c>
      <c r="C32" s="62">
        <f t="shared" si="34"/>
        <v>119.69510535792043</v>
      </c>
      <c r="D32" s="62">
        <f t="shared" si="35"/>
        <v>7.2623996509300044</v>
      </c>
      <c r="E32" s="62">
        <v>1</v>
      </c>
      <c r="F32" s="54">
        <v>2.5000000000000001E-2</v>
      </c>
      <c r="G32" s="54">
        <f t="shared" si="36"/>
        <v>2.5000000000000001E-2</v>
      </c>
      <c r="H32" s="179">
        <f t="shared" si="20"/>
        <v>0.61027094285883099</v>
      </c>
      <c r="I32" s="179">
        <f t="shared" si="1"/>
        <v>73.046444802365215</v>
      </c>
      <c r="J32" s="183">
        <f t="shared" si="2"/>
        <v>4.4320314823906992</v>
      </c>
      <c r="K32" s="1"/>
      <c r="L32" s="112">
        <f t="shared" si="3"/>
        <v>166.42010758056693</v>
      </c>
      <c r="M32" s="61">
        <f t="shared" si="21"/>
        <v>154.09269220422863</v>
      </c>
      <c r="N32" s="61">
        <f t="shared" si="22"/>
        <v>9.0972462025938654</v>
      </c>
      <c r="O32" s="62">
        <v>1</v>
      </c>
      <c r="P32" s="54">
        <v>2.5000000000000001E-2</v>
      </c>
      <c r="Q32" s="54">
        <f t="shared" si="4"/>
        <v>2.5000000000000001E-2</v>
      </c>
      <c r="R32" s="179">
        <f t="shared" si="23"/>
        <v>0.61027094285883099</v>
      </c>
      <c r="S32" s="179">
        <f t="shared" si="5"/>
        <v>94.038292559130241</v>
      </c>
      <c r="T32" s="183">
        <f t="shared" si="6"/>
        <v>5.5517850174758783</v>
      </c>
      <c r="U32" s="1"/>
      <c r="V32" s="62">
        <f t="shared" si="7"/>
        <v>215.28574792060078</v>
      </c>
      <c r="W32" s="61">
        <f t="shared" si="24"/>
        <v>199.33865548203775</v>
      </c>
      <c r="X32" s="61">
        <f t="shared" si="25"/>
        <v>11.446995508665726</v>
      </c>
      <c r="Y32" s="62">
        <v>1</v>
      </c>
      <c r="Z32" s="54">
        <v>2.5000000000000001E-2</v>
      </c>
      <c r="AA32" s="54">
        <f t="shared" si="8"/>
        <v>2.5000000000000001E-2</v>
      </c>
      <c r="AB32" s="179">
        <f t="shared" si="26"/>
        <v>0.61027094285883099</v>
      </c>
      <c r="AC32" s="179">
        <f t="shared" si="9"/>
        <v>121.65058922923485</v>
      </c>
      <c r="AD32" s="183">
        <f t="shared" si="10"/>
        <v>6.985768741974236</v>
      </c>
      <c r="AE32" s="1"/>
      <c r="AF32" s="62">
        <f t="shared" si="11"/>
        <v>101.08097862274657</v>
      </c>
      <c r="AG32" s="61">
        <f t="shared" si="27"/>
        <v>93.59349872476534</v>
      </c>
      <c r="AH32" s="61">
        <f t="shared" si="28"/>
        <v>5.8303107775424126</v>
      </c>
      <c r="AI32" s="62">
        <v>1</v>
      </c>
      <c r="AJ32" s="54">
        <v>2.5000000000000001E-2</v>
      </c>
      <c r="AK32" s="54">
        <f t="shared" si="12"/>
        <v>2.5000000000000001E-2</v>
      </c>
      <c r="AL32" s="179">
        <f t="shared" si="29"/>
        <v>0.61027094285883099</v>
      </c>
      <c r="AM32" s="179">
        <f t="shared" si="13"/>
        <v>57.117392712219342</v>
      </c>
      <c r="AN32" s="183">
        <f t="shared" si="14"/>
        <v>3.5580692553708122</v>
      </c>
      <c r="AO32" s="1"/>
      <c r="AP32" s="61">
        <f t="shared" si="30"/>
        <v>184.04939857341708</v>
      </c>
      <c r="AQ32" s="61">
        <f t="shared" si="31"/>
        <v>170.41610979020103</v>
      </c>
      <c r="AR32" s="61">
        <f t="shared" si="32"/>
        <v>4.2604027447550266</v>
      </c>
      <c r="AS32" s="62">
        <v>1</v>
      </c>
      <c r="AT32" s="54">
        <v>2.5000000000000001E-2</v>
      </c>
      <c r="AU32" s="54">
        <f t="shared" si="15"/>
        <v>2.5000000000000001E-2</v>
      </c>
      <c r="AV32" s="179">
        <f t="shared" si="33"/>
        <v>0.61027094285883099</v>
      </c>
      <c r="AW32" s="179">
        <f t="shared" si="16"/>
        <v>104.00000000000004</v>
      </c>
      <c r="AX32" s="183">
        <f t="shared" si="17"/>
        <v>2.6000000000000014</v>
      </c>
      <c r="AY32" s="1"/>
      <c r="AZ32" s="1"/>
      <c r="BA32" s="1"/>
      <c r="BB32" s="1"/>
      <c r="BC32" s="1"/>
      <c r="BD32" s="1"/>
      <c r="BE32" s="1"/>
      <c r="BF32" s="1"/>
      <c r="BG32" s="1"/>
      <c r="BH32" s="1"/>
      <c r="BI32" s="1"/>
    </row>
    <row r="33" spans="1:61" ht="15" x14ac:dyDescent="0.25">
      <c r="A33" s="47">
        <f t="shared" si="18"/>
        <v>2033</v>
      </c>
      <c r="B33" s="62">
        <f t="shared" si="0"/>
        <v>132.5024816312179</v>
      </c>
      <c r="C33" s="62">
        <f t="shared" si="34"/>
        <v>122.68748299186842</v>
      </c>
      <c r="D33" s="62">
        <f t="shared" si="35"/>
        <v>7.4439596422032537</v>
      </c>
      <c r="E33" s="62">
        <v>1</v>
      </c>
      <c r="F33" s="54">
        <v>2.5000000000000001E-2</v>
      </c>
      <c r="G33" s="54">
        <f t="shared" si="36"/>
        <v>2.5000000000000001E-2</v>
      </c>
      <c r="H33" s="179">
        <f t="shared" si="20"/>
        <v>0.59538628571593277</v>
      </c>
      <c r="I33" s="179">
        <f t="shared" si="1"/>
        <v>73.046444802365215</v>
      </c>
      <c r="J33" s="183">
        <f t="shared" si="2"/>
        <v>4.4320314823906992</v>
      </c>
      <c r="K33" s="1"/>
      <c r="L33" s="112">
        <f t="shared" si="3"/>
        <v>172.14817703893925</v>
      </c>
      <c r="M33" s="61">
        <f t="shared" si="21"/>
        <v>159.39646022124003</v>
      </c>
      <c r="N33" s="61">
        <f t="shared" si="22"/>
        <v>9.4152648869060229</v>
      </c>
      <c r="O33" s="62">
        <v>1</v>
      </c>
      <c r="P33" s="54">
        <v>2.5000000000000001E-2</v>
      </c>
      <c r="Q33" s="54">
        <f t="shared" si="4"/>
        <v>2.5000000000000001E-2</v>
      </c>
      <c r="R33" s="179">
        <f t="shared" si="23"/>
        <v>0.59538628571593277</v>
      </c>
      <c r="S33" s="179">
        <f t="shared" si="5"/>
        <v>94.902466407391529</v>
      </c>
      <c r="T33" s="183">
        <f t="shared" si="6"/>
        <v>5.6057195900466192</v>
      </c>
      <c r="U33" s="1"/>
      <c r="V33" s="62">
        <f t="shared" si="7"/>
        <v>224.97608820288264</v>
      </c>
      <c r="W33" s="61">
        <f t="shared" si="24"/>
        <v>208.31119278044687</v>
      </c>
      <c r="X33" s="61">
        <f t="shared" si="25"/>
        <v>11.971965365198947</v>
      </c>
      <c r="Y33" s="62">
        <v>1</v>
      </c>
      <c r="Z33" s="54">
        <v>2.5000000000000001E-2</v>
      </c>
      <c r="AA33" s="54">
        <f t="shared" si="8"/>
        <v>2.5000000000000001E-2</v>
      </c>
      <c r="AB33" s="179">
        <f t="shared" si="26"/>
        <v>0.59538628571593277</v>
      </c>
      <c r="AC33" s="179">
        <f t="shared" si="9"/>
        <v>124.0256273426059</v>
      </c>
      <c r="AD33" s="183">
        <f t="shared" si="10"/>
        <v>7.1279439915055924</v>
      </c>
      <c r="AE33" s="1"/>
      <c r="AF33" s="62">
        <f t="shared" si="11"/>
        <v>102.79653178806922</v>
      </c>
      <c r="AG33" s="61">
        <f t="shared" si="27"/>
        <v>95.181973877841855</v>
      </c>
      <c r="AH33" s="61">
        <f t="shared" si="28"/>
        <v>5.9244161071525259</v>
      </c>
      <c r="AI33" s="62">
        <v>1</v>
      </c>
      <c r="AJ33" s="54">
        <v>2.5000000000000001E-2</v>
      </c>
      <c r="AK33" s="54">
        <f t="shared" si="12"/>
        <v>2.5000000000000001E-2</v>
      </c>
      <c r="AL33" s="179">
        <f t="shared" si="29"/>
        <v>0.59538628571593277</v>
      </c>
      <c r="AM33" s="179">
        <f t="shared" si="13"/>
        <v>56.670041894239198</v>
      </c>
      <c r="AN33" s="183">
        <f t="shared" si="14"/>
        <v>3.5273161010731879</v>
      </c>
      <c r="AO33" s="1"/>
      <c r="AP33" s="61">
        <f t="shared" si="30"/>
        <v>188.6506335377525</v>
      </c>
      <c r="AQ33" s="61">
        <f t="shared" si="31"/>
        <v>174.67651253495603</v>
      </c>
      <c r="AR33" s="61">
        <f t="shared" si="32"/>
        <v>4.3669128133739017</v>
      </c>
      <c r="AS33" s="62">
        <v>1</v>
      </c>
      <c r="AT33" s="54">
        <v>2.5000000000000001E-2</v>
      </c>
      <c r="AU33" s="54">
        <f t="shared" si="15"/>
        <v>2.5000000000000001E-2</v>
      </c>
      <c r="AV33" s="179">
        <f t="shared" si="33"/>
        <v>0.59538628571593277</v>
      </c>
      <c r="AW33" s="179">
        <f t="shared" si="16"/>
        <v>104.00000000000004</v>
      </c>
      <c r="AX33" s="183">
        <f t="shared" si="17"/>
        <v>2.6000000000000014</v>
      </c>
      <c r="AY33" s="1"/>
      <c r="AZ33" s="1"/>
      <c r="BA33" s="1"/>
      <c r="BB33" s="1"/>
      <c r="BC33" s="1"/>
      <c r="BD33" s="1"/>
      <c r="BE33" s="1"/>
      <c r="BF33" s="1"/>
      <c r="BG33" s="1"/>
      <c r="BH33" s="1"/>
      <c r="BI33" s="1"/>
    </row>
    <row r="34" spans="1:61" ht="15" x14ac:dyDescent="0.25">
      <c r="A34" s="47">
        <f t="shared" si="18"/>
        <v>2034</v>
      </c>
      <c r="B34" s="62">
        <f t="shared" si="0"/>
        <v>135.81504367199835</v>
      </c>
      <c r="C34" s="62">
        <f t="shared" si="34"/>
        <v>125.75467006666513</v>
      </c>
      <c r="D34" s="62">
        <f t="shared" si="35"/>
        <v>7.6300586332583347</v>
      </c>
      <c r="E34" s="62">
        <v>1</v>
      </c>
      <c r="F34" s="54">
        <v>2.5000000000000001E-2</v>
      </c>
      <c r="G34" s="54">
        <f t="shared" si="36"/>
        <v>2.5000000000000001E-2</v>
      </c>
      <c r="H34" s="179">
        <f t="shared" si="20"/>
        <v>0.58086466899115397</v>
      </c>
      <c r="I34" s="179">
        <f t="shared" si="1"/>
        <v>73.046444802365215</v>
      </c>
      <c r="J34" s="183">
        <f t="shared" si="2"/>
        <v>4.4320314823906992</v>
      </c>
      <c r="K34" s="1"/>
      <c r="L34" s="112">
        <f t="shared" si="3"/>
        <v>178.04296173530378</v>
      </c>
      <c r="M34" s="61">
        <f t="shared" si="21"/>
        <v>164.85459419935535</v>
      </c>
      <c r="N34" s="61">
        <f t="shared" si="22"/>
        <v>9.7425928512646927</v>
      </c>
      <c r="O34" s="62">
        <v>1</v>
      </c>
      <c r="P34" s="54">
        <v>2.5000000000000001E-2</v>
      </c>
      <c r="Q34" s="54">
        <f t="shared" si="4"/>
        <v>2.5000000000000001E-2</v>
      </c>
      <c r="R34" s="179">
        <f t="shared" si="23"/>
        <v>0.58086466899115397</v>
      </c>
      <c r="S34" s="179">
        <f t="shared" si="5"/>
        <v>95.758209291279556</v>
      </c>
      <c r="T34" s="183">
        <f t="shared" si="6"/>
        <v>5.6591279716654483</v>
      </c>
      <c r="U34" s="1"/>
      <c r="V34" s="62">
        <f t="shared" si="7"/>
        <v>235.03793288974956</v>
      </c>
      <c r="W34" s="61">
        <f t="shared" si="24"/>
        <v>217.62771563865698</v>
      </c>
      <c r="X34" s="61">
        <f t="shared" si="25"/>
        <v>12.517223317209996</v>
      </c>
      <c r="Y34" s="62">
        <v>1</v>
      </c>
      <c r="Z34" s="54">
        <v>2.5000000000000001E-2</v>
      </c>
      <c r="AA34" s="54">
        <f t="shared" si="8"/>
        <v>2.5000000000000001E-2</v>
      </c>
      <c r="AB34" s="179">
        <f t="shared" si="26"/>
        <v>0.58086466899115397</v>
      </c>
      <c r="AC34" s="179">
        <f t="shared" si="9"/>
        <v>126.41225100774946</v>
      </c>
      <c r="AD34" s="183">
        <f t="shared" si="10"/>
        <v>7.2708127788395389</v>
      </c>
      <c r="AE34" s="1"/>
      <c r="AF34" s="62">
        <f t="shared" si="11"/>
        <v>104.56714585202862</v>
      </c>
      <c r="AG34" s="61">
        <f t="shared" si="27"/>
        <v>96.821431344470938</v>
      </c>
      <c r="AH34" s="61">
        <f t="shared" si="28"/>
        <v>6.0216488566003186</v>
      </c>
      <c r="AI34" s="62">
        <v>1</v>
      </c>
      <c r="AJ34" s="54">
        <v>2.5000000000000001E-2</v>
      </c>
      <c r="AK34" s="54">
        <f t="shared" si="12"/>
        <v>2.5000000000000001E-2</v>
      </c>
      <c r="AL34" s="179">
        <f t="shared" si="29"/>
        <v>0.58086466899115397</v>
      </c>
      <c r="AM34" s="179">
        <f t="shared" si="13"/>
        <v>56.24014866915585</v>
      </c>
      <c r="AN34" s="183">
        <f t="shared" si="14"/>
        <v>3.4977630698701048</v>
      </c>
      <c r="AO34" s="1"/>
      <c r="AP34" s="61">
        <f t="shared" si="30"/>
        <v>193.3668993761963</v>
      </c>
      <c r="AQ34" s="61">
        <f t="shared" si="31"/>
        <v>179.04342534832992</v>
      </c>
      <c r="AR34" s="61">
        <f t="shared" si="32"/>
        <v>4.4760856337082489</v>
      </c>
      <c r="AS34" s="62">
        <v>1</v>
      </c>
      <c r="AT34" s="54">
        <v>2.5000000000000001E-2</v>
      </c>
      <c r="AU34" s="54">
        <f t="shared" si="15"/>
        <v>2.5000000000000001E-2</v>
      </c>
      <c r="AV34" s="179">
        <f t="shared" si="33"/>
        <v>0.58086466899115397</v>
      </c>
      <c r="AW34" s="179">
        <f t="shared" si="16"/>
        <v>104.00000000000004</v>
      </c>
      <c r="AX34" s="183">
        <f t="shared" si="17"/>
        <v>2.6000000000000014</v>
      </c>
      <c r="AY34" s="1"/>
      <c r="AZ34" s="1"/>
      <c r="BA34" s="1"/>
      <c r="BB34" s="1"/>
      <c r="BC34" s="1"/>
      <c r="BD34" s="1"/>
      <c r="BE34" s="1"/>
      <c r="BF34" s="1"/>
      <c r="BG34" s="1"/>
      <c r="BH34" s="1"/>
      <c r="BI34" s="1"/>
    </row>
    <row r="35" spans="1:61" ht="15" x14ac:dyDescent="0.25">
      <c r="A35" s="47">
        <f t="shared" si="18"/>
        <v>2035</v>
      </c>
      <c r="B35" s="62">
        <f t="shared" si="0"/>
        <v>139.21041976379828</v>
      </c>
      <c r="C35" s="62">
        <f t="shared" si="34"/>
        <v>128.89853681833173</v>
      </c>
      <c r="D35" s="62">
        <f t="shared" si="35"/>
        <v>7.8208100990897922</v>
      </c>
      <c r="E35" s="62">
        <v>1</v>
      </c>
      <c r="F35" s="54">
        <v>2.5000000000000001E-2</v>
      </c>
      <c r="G35" s="54">
        <f t="shared" si="36"/>
        <v>2.5000000000000001E-2</v>
      </c>
      <c r="H35" s="179">
        <f t="shared" si="20"/>
        <v>0.56669723804015026</v>
      </c>
      <c r="I35" s="179">
        <f t="shared" si="1"/>
        <v>73.046444802365215</v>
      </c>
      <c r="J35" s="183">
        <f t="shared" si="2"/>
        <v>4.4320314823906992</v>
      </c>
      <c r="K35" s="1"/>
      <c r="L35" s="112">
        <f t="shared" si="3"/>
        <v>184.10898225313326</v>
      </c>
      <c r="M35" s="61">
        <f t="shared" si="21"/>
        <v>170.47127986401227</v>
      </c>
      <c r="N35" s="61">
        <f t="shared" si="22"/>
        <v>10.079483209865119</v>
      </c>
      <c r="O35" s="62">
        <v>1</v>
      </c>
      <c r="P35" s="54">
        <v>2.5000000000000001E-2</v>
      </c>
      <c r="Q35" s="54">
        <f t="shared" si="4"/>
        <v>2.5000000000000001E-2</v>
      </c>
      <c r="R35" s="179">
        <f t="shared" si="23"/>
        <v>0.56669723804015026</v>
      </c>
      <c r="S35" s="179">
        <f t="shared" si="5"/>
        <v>96.605603464105243</v>
      </c>
      <c r="T35" s="183">
        <f t="shared" si="6"/>
        <v>5.7120152959026314</v>
      </c>
      <c r="U35" s="1"/>
      <c r="V35" s="62">
        <f t="shared" si="7"/>
        <v>245.48444696824197</v>
      </c>
      <c r="W35" s="61">
        <f t="shared" si="24"/>
        <v>227.30041385948329</v>
      </c>
      <c r="X35" s="61">
        <f t="shared" si="25"/>
        <v>13.083491482557754</v>
      </c>
      <c r="Y35" s="62">
        <v>1</v>
      </c>
      <c r="Z35" s="54">
        <v>2.5000000000000001E-2</v>
      </c>
      <c r="AA35" s="54">
        <f t="shared" si="8"/>
        <v>2.5000000000000001E-2</v>
      </c>
      <c r="AB35" s="179">
        <f t="shared" si="26"/>
        <v>0.56669723804015026</v>
      </c>
      <c r="AC35" s="179">
        <f t="shared" si="9"/>
        <v>128.81051673955227</v>
      </c>
      <c r="AD35" s="183">
        <f t="shared" si="10"/>
        <v>7.4143784870873102</v>
      </c>
      <c r="AE35" s="1"/>
      <c r="AF35" s="62">
        <f t="shared" si="11"/>
        <v>106.39401475604812</v>
      </c>
      <c r="AG35" s="61">
        <f t="shared" si="27"/>
        <v>98.512976625970481</v>
      </c>
      <c r="AH35" s="61">
        <f t="shared" si="28"/>
        <v>6.1220755895827716</v>
      </c>
      <c r="AI35" s="62">
        <v>1</v>
      </c>
      <c r="AJ35" s="54">
        <v>2.5000000000000001E-2</v>
      </c>
      <c r="AK35" s="54">
        <f t="shared" si="12"/>
        <v>2.5000000000000001E-2</v>
      </c>
      <c r="AL35" s="179">
        <f t="shared" si="29"/>
        <v>0.56669723804015026</v>
      </c>
      <c r="AM35" s="179">
        <f t="shared" si="13"/>
        <v>55.827031765051352</v>
      </c>
      <c r="AN35" s="183">
        <f t="shared" si="14"/>
        <v>3.4693633276895812</v>
      </c>
      <c r="AO35" s="1"/>
      <c r="AP35" s="61">
        <f t="shared" si="30"/>
        <v>198.20107186060119</v>
      </c>
      <c r="AQ35" s="61">
        <f t="shared" si="31"/>
        <v>183.51951098203816</v>
      </c>
      <c r="AR35" s="61">
        <f t="shared" si="32"/>
        <v>4.587987774550955</v>
      </c>
      <c r="AS35" s="62">
        <v>1</v>
      </c>
      <c r="AT35" s="54">
        <v>2.5000000000000001E-2</v>
      </c>
      <c r="AU35" s="54">
        <f t="shared" si="15"/>
        <v>2.5000000000000001E-2</v>
      </c>
      <c r="AV35" s="179">
        <f t="shared" si="33"/>
        <v>0.56669723804015026</v>
      </c>
      <c r="AW35" s="179">
        <f t="shared" si="16"/>
        <v>104.00000000000004</v>
      </c>
      <c r="AX35" s="183">
        <f t="shared" si="17"/>
        <v>2.6000000000000019</v>
      </c>
      <c r="AY35" s="1"/>
      <c r="AZ35" s="1"/>
      <c r="BA35" s="1"/>
      <c r="BB35" s="1"/>
      <c r="BC35" s="1"/>
      <c r="BD35" s="1"/>
      <c r="BE35" s="1"/>
      <c r="BF35" s="1"/>
      <c r="BG35" s="1"/>
      <c r="BH35" s="1"/>
      <c r="BI35" s="1"/>
    </row>
    <row r="36" spans="1:61" ht="15" x14ac:dyDescent="0.25">
      <c r="A36" s="47">
        <f t="shared" si="18"/>
        <v>2036</v>
      </c>
      <c r="B36" s="62">
        <f t="shared" si="0"/>
        <v>142.69068025789321</v>
      </c>
      <c r="C36" s="62">
        <f t="shared" si="34"/>
        <v>132.12100023879</v>
      </c>
      <c r="D36" s="62">
        <f t="shared" si="35"/>
        <v>8.0163303515670368</v>
      </c>
      <c r="E36" s="62">
        <v>1</v>
      </c>
      <c r="F36" s="54">
        <v>2.5000000000000001E-2</v>
      </c>
      <c r="G36" s="54">
        <f t="shared" si="36"/>
        <v>2.5000000000000001E-2</v>
      </c>
      <c r="H36" s="179">
        <f t="shared" si="20"/>
        <v>0.55287535418551248</v>
      </c>
      <c r="I36" s="179">
        <f t="shared" si="1"/>
        <v>73.046444802365201</v>
      </c>
      <c r="J36" s="183">
        <f t="shared" si="2"/>
        <v>4.4320314823906992</v>
      </c>
      <c r="K36" s="1"/>
      <c r="L36" s="112">
        <f t="shared" si="3"/>
        <v>190.35087748102518</v>
      </c>
      <c r="M36" s="61">
        <f t="shared" si="21"/>
        <v>176.25081248243072</v>
      </c>
      <c r="N36" s="61">
        <f t="shared" si="22"/>
        <v>10.426195710490338</v>
      </c>
      <c r="O36" s="62">
        <v>1</v>
      </c>
      <c r="P36" s="54">
        <v>2.5000000000000001E-2</v>
      </c>
      <c r="Q36" s="54">
        <f t="shared" si="4"/>
        <v>2.5000000000000001E-2</v>
      </c>
      <c r="R36" s="179">
        <f t="shared" si="23"/>
        <v>0.55287535418551248</v>
      </c>
      <c r="S36" s="179">
        <f t="shared" si="5"/>
        <v>97.444730376708222</v>
      </c>
      <c r="T36" s="183">
        <f t="shared" si="6"/>
        <v>5.7643866462448168</v>
      </c>
      <c r="U36" s="1"/>
      <c r="V36" s="62">
        <f t="shared" si="7"/>
        <v>256.32924087138417</v>
      </c>
      <c r="W36" s="61">
        <f t="shared" si="24"/>
        <v>237.34188969572605</v>
      </c>
      <c r="X36" s="61">
        <f t="shared" si="25"/>
        <v>13.671516479511732</v>
      </c>
      <c r="Y36" s="62">
        <v>1</v>
      </c>
      <c r="Z36" s="54">
        <v>2.5000000000000001E-2</v>
      </c>
      <c r="AA36" s="54">
        <f t="shared" si="8"/>
        <v>2.5000000000000001E-2</v>
      </c>
      <c r="AB36" s="179">
        <f t="shared" si="26"/>
        <v>0.55287535418551248</v>
      </c>
      <c r="AC36" s="179">
        <f t="shared" si="9"/>
        <v>131.22048132858339</v>
      </c>
      <c r="AD36" s="183">
        <f t="shared" si="10"/>
        <v>7.5586445158631195</v>
      </c>
      <c r="AE36" s="1"/>
      <c r="AF36" s="62">
        <f t="shared" si="11"/>
        <v>108.27836502880233</v>
      </c>
      <c r="AG36" s="61">
        <f t="shared" si="27"/>
        <v>100.25774539703919</v>
      </c>
      <c r="AH36" s="61">
        <f t="shared" si="28"/>
        <v>6.2257647082162748</v>
      </c>
      <c r="AI36" s="62">
        <v>1</v>
      </c>
      <c r="AJ36" s="54">
        <v>2.5000000000000001E-2</v>
      </c>
      <c r="AK36" s="54">
        <f t="shared" si="12"/>
        <v>2.5000000000000001E-2</v>
      </c>
      <c r="AL36" s="179">
        <f t="shared" si="29"/>
        <v>0.55287535418551248</v>
      </c>
      <c r="AM36" s="179">
        <f t="shared" si="13"/>
        <v>55.430036496228972</v>
      </c>
      <c r="AN36" s="183">
        <f t="shared" si="14"/>
        <v>3.4420718681307365</v>
      </c>
      <c r="AO36" s="1"/>
      <c r="AP36" s="61">
        <f t="shared" si="30"/>
        <v>203.15609865711619</v>
      </c>
      <c r="AQ36" s="61">
        <f t="shared" si="31"/>
        <v>188.10749875658908</v>
      </c>
      <c r="AR36" s="61">
        <f t="shared" si="32"/>
        <v>4.7026874689147284</v>
      </c>
      <c r="AS36" s="62">
        <v>1</v>
      </c>
      <c r="AT36" s="54">
        <v>2.5000000000000001E-2</v>
      </c>
      <c r="AU36" s="54">
        <f t="shared" si="15"/>
        <v>2.5000000000000001E-2</v>
      </c>
      <c r="AV36" s="179">
        <f t="shared" si="33"/>
        <v>0.55287535418551248</v>
      </c>
      <c r="AW36" s="179">
        <f t="shared" si="16"/>
        <v>104.00000000000004</v>
      </c>
      <c r="AX36" s="183">
        <f t="shared" si="17"/>
        <v>2.6000000000000019</v>
      </c>
      <c r="AY36" s="1"/>
      <c r="AZ36" s="1"/>
      <c r="BA36" s="1"/>
      <c r="BB36" s="1"/>
      <c r="BC36" s="1"/>
      <c r="BD36" s="1"/>
      <c r="BE36" s="1"/>
      <c r="BF36" s="1"/>
      <c r="BG36" s="1"/>
      <c r="BH36" s="1"/>
      <c r="BI36" s="1"/>
    </row>
    <row r="37" spans="1:61" ht="15" x14ac:dyDescent="0.25">
      <c r="A37" s="47">
        <f t="shared" si="18"/>
        <v>2037</v>
      </c>
      <c r="B37" s="62">
        <f t="shared" si="0"/>
        <v>146.25794726434054</v>
      </c>
      <c r="C37" s="62">
        <f t="shared" si="34"/>
        <v>135.42402524475975</v>
      </c>
      <c r="D37" s="62">
        <f t="shared" si="35"/>
        <v>8.2167386103562112</v>
      </c>
      <c r="E37" s="62">
        <v>1</v>
      </c>
      <c r="F37" s="54">
        <v>2.5000000000000001E-2</v>
      </c>
      <c r="G37" s="54">
        <f t="shared" si="36"/>
        <v>2.5000000000000001E-2</v>
      </c>
      <c r="H37" s="179">
        <f t="shared" si="20"/>
        <v>0.53939058944928053</v>
      </c>
      <c r="I37" s="179">
        <f t="shared" si="1"/>
        <v>73.046444802365201</v>
      </c>
      <c r="J37" s="183">
        <f t="shared" si="2"/>
        <v>4.4320314823906992</v>
      </c>
      <c r="K37" s="1"/>
      <c r="L37" s="112">
        <f t="shared" si="3"/>
        <v>196.77340764968787</v>
      </c>
      <c r="M37" s="61">
        <f t="shared" si="21"/>
        <v>182.19759967563689</v>
      </c>
      <c r="N37" s="61">
        <f t="shared" si="22"/>
        <v>10.782996904936867</v>
      </c>
      <c r="O37" s="62">
        <v>1</v>
      </c>
      <c r="P37" s="54">
        <v>2.5000000000000001E-2</v>
      </c>
      <c r="Q37" s="54">
        <f t="shared" si="4"/>
        <v>2.5000000000000001E-2</v>
      </c>
      <c r="R37" s="179">
        <f t="shared" si="23"/>
        <v>0.53939058944928053</v>
      </c>
      <c r="S37" s="179">
        <f t="shared" si="5"/>
        <v>98.275670685285831</v>
      </c>
      <c r="T37" s="183">
        <f t="shared" si="6"/>
        <v>5.8162470565836646</v>
      </c>
      <c r="U37" s="1"/>
      <c r="V37" s="62">
        <f t="shared" si="7"/>
        <v>267.58638510397304</v>
      </c>
      <c r="W37" s="61">
        <f t="shared" si="24"/>
        <v>247.76517139256759</v>
      </c>
      <c r="X37" s="61">
        <f t="shared" si="25"/>
        <v>14.282070232686259</v>
      </c>
      <c r="Y37" s="62">
        <v>1</v>
      </c>
      <c r="Z37" s="54">
        <v>2.5000000000000001E-2</v>
      </c>
      <c r="AA37" s="54">
        <f t="shared" si="8"/>
        <v>2.5000000000000001E-2</v>
      </c>
      <c r="AB37" s="179">
        <f t="shared" si="26"/>
        <v>0.53939058944928053</v>
      </c>
      <c r="AC37" s="179">
        <f t="shared" si="9"/>
        <v>133.64220184243905</v>
      </c>
      <c r="AD37" s="183">
        <f t="shared" si="10"/>
        <v>7.703614281364664</v>
      </c>
      <c r="AE37" s="1"/>
      <c r="AF37" s="62">
        <f t="shared" si="11"/>
        <v>110.22145655981763</v>
      </c>
      <c r="AG37" s="61">
        <f t="shared" si="27"/>
        <v>102.05690422205335</v>
      </c>
      <c r="AH37" s="61">
        <f t="shared" si="28"/>
        <v>6.3327864963822051</v>
      </c>
      <c r="AI37" s="62">
        <v>1</v>
      </c>
      <c r="AJ37" s="54">
        <v>2.5000000000000001E-2</v>
      </c>
      <c r="AK37" s="54">
        <f t="shared" si="12"/>
        <v>2.5000000000000001E-2</v>
      </c>
      <c r="AL37" s="179">
        <f t="shared" si="29"/>
        <v>0.53939058944928053</v>
      </c>
      <c r="AM37" s="179">
        <f t="shared" si="13"/>
        <v>55.048533725702121</v>
      </c>
      <c r="AN37" s="183">
        <f t="shared" si="14"/>
        <v>3.4158454411400418</v>
      </c>
      <c r="AO37" s="1"/>
      <c r="AP37" s="61">
        <f t="shared" si="30"/>
        <v>208.23500112354407</v>
      </c>
      <c r="AQ37" s="61">
        <f t="shared" si="31"/>
        <v>192.8101862255038</v>
      </c>
      <c r="AR37" s="61">
        <f t="shared" si="32"/>
        <v>4.820254655637596</v>
      </c>
      <c r="AS37" s="62">
        <v>1</v>
      </c>
      <c r="AT37" s="54">
        <v>2.5000000000000001E-2</v>
      </c>
      <c r="AU37" s="54">
        <f t="shared" si="15"/>
        <v>2.5000000000000001E-2</v>
      </c>
      <c r="AV37" s="179">
        <f t="shared" si="33"/>
        <v>0.53939058944928053</v>
      </c>
      <c r="AW37" s="179">
        <f t="shared" si="16"/>
        <v>104.00000000000004</v>
      </c>
      <c r="AX37" s="183">
        <f t="shared" si="17"/>
        <v>2.6000000000000019</v>
      </c>
      <c r="AY37" s="1"/>
      <c r="AZ37" s="1"/>
      <c r="BA37" s="1"/>
      <c r="BB37" s="1"/>
      <c r="BC37" s="1"/>
      <c r="BD37" s="1"/>
      <c r="BE37" s="1"/>
      <c r="BF37" s="1"/>
      <c r="BG37" s="1"/>
      <c r="BH37" s="1"/>
      <c r="BI37" s="1"/>
    </row>
    <row r="38" spans="1:61" ht="15" x14ac:dyDescent="0.25">
      <c r="A38" s="47">
        <f t="shared" si="18"/>
        <v>2038</v>
      </c>
      <c r="B38" s="62">
        <f t="shared" si="0"/>
        <v>149.91439594594905</v>
      </c>
      <c r="C38" s="62">
        <f t="shared" si="34"/>
        <v>138.80962587587874</v>
      </c>
      <c r="D38" s="62">
        <f t="shared" si="35"/>
        <v>8.4221570756151163</v>
      </c>
      <c r="E38" s="62">
        <v>1</v>
      </c>
      <c r="F38" s="54">
        <v>2.5000000000000001E-2</v>
      </c>
      <c r="G38" s="54">
        <f t="shared" si="36"/>
        <v>2.5000000000000001E-2</v>
      </c>
      <c r="H38" s="179">
        <f t="shared" si="20"/>
        <v>0.52623472141393224</v>
      </c>
      <c r="I38" s="179">
        <f t="shared" si="1"/>
        <v>73.046444802365201</v>
      </c>
      <c r="J38" s="183">
        <f t="shared" si="2"/>
        <v>4.4320314823906992</v>
      </c>
      <c r="K38" s="1"/>
      <c r="L38" s="112">
        <f t="shared" si="3"/>
        <v>203.38145744604165</v>
      </c>
      <c r="M38" s="61">
        <f t="shared" si="21"/>
        <v>188.31616430189041</v>
      </c>
      <c r="N38" s="61">
        <f t="shared" si="22"/>
        <v>11.150160323769825</v>
      </c>
      <c r="O38" s="62">
        <v>1</v>
      </c>
      <c r="P38" s="54">
        <v>2.5000000000000001E-2</v>
      </c>
      <c r="Q38" s="54">
        <f t="shared" si="4"/>
        <v>2.5000000000000001E-2</v>
      </c>
      <c r="R38" s="179">
        <f t="shared" si="23"/>
        <v>0.52623472141393224</v>
      </c>
      <c r="S38" s="179">
        <f t="shared" si="5"/>
        <v>99.098504259145585</v>
      </c>
      <c r="T38" s="183">
        <f t="shared" si="6"/>
        <v>5.8676015116996947</v>
      </c>
      <c r="U38" s="1"/>
      <c r="V38" s="62">
        <f t="shared" si="7"/>
        <v>279.27042533870076</v>
      </c>
      <c r="W38" s="61">
        <f t="shared" si="24"/>
        <v>258.58372716546364</v>
      </c>
      <c r="X38" s="61">
        <f t="shared" si="25"/>
        <v>14.915950804925751</v>
      </c>
      <c r="Y38" s="62">
        <v>1</v>
      </c>
      <c r="Z38" s="54">
        <v>2.5000000000000001E-2</v>
      </c>
      <c r="AA38" s="54">
        <f t="shared" si="8"/>
        <v>2.5000000000000001E-2</v>
      </c>
      <c r="AB38" s="179">
        <f t="shared" si="26"/>
        <v>0.52623472141393224</v>
      </c>
      <c r="AC38" s="179">
        <f t="shared" si="9"/>
        <v>136.07573562709402</v>
      </c>
      <c r="AD38" s="183">
        <f t="shared" si="10"/>
        <v>7.8492912164540209</v>
      </c>
      <c r="AE38" s="1"/>
      <c r="AF38" s="62">
        <f t="shared" si="11"/>
        <v>112.22458339302887</v>
      </c>
      <c r="AG38" s="61">
        <f t="shared" si="27"/>
        <v>103.91165128984153</v>
      </c>
      <c r="AH38" s="61">
        <f t="shared" si="28"/>
        <v>6.4432131641953774</v>
      </c>
      <c r="AI38" s="62">
        <v>1</v>
      </c>
      <c r="AJ38" s="54">
        <v>2.5000000000000001E-2</v>
      </c>
      <c r="AK38" s="54">
        <f t="shared" si="12"/>
        <v>2.5000000000000001E-2</v>
      </c>
      <c r="AL38" s="179">
        <f t="shared" si="29"/>
        <v>0.52623472141393224</v>
      </c>
      <c r="AM38" s="179">
        <f t="shared" si="13"/>
        <v>54.681918868171429</v>
      </c>
      <c r="AN38" s="183">
        <f t="shared" si="14"/>
        <v>3.3906424844709351</v>
      </c>
      <c r="AO38" s="1"/>
      <c r="AP38" s="61">
        <f t="shared" si="30"/>
        <v>213.44087615163264</v>
      </c>
      <c r="AQ38" s="61">
        <f t="shared" si="31"/>
        <v>197.63044088114137</v>
      </c>
      <c r="AR38" s="61">
        <f t="shared" si="32"/>
        <v>4.9407610220285356</v>
      </c>
      <c r="AS38" s="62">
        <v>1</v>
      </c>
      <c r="AT38" s="54">
        <v>2.5000000000000001E-2</v>
      </c>
      <c r="AU38" s="54">
        <f t="shared" si="15"/>
        <v>2.5000000000000001E-2</v>
      </c>
      <c r="AV38" s="179">
        <f t="shared" si="33"/>
        <v>0.52623472141393224</v>
      </c>
      <c r="AW38" s="179">
        <f t="shared" si="16"/>
        <v>104.00000000000003</v>
      </c>
      <c r="AX38" s="183">
        <f t="shared" si="17"/>
        <v>2.6000000000000014</v>
      </c>
      <c r="AY38" s="1"/>
      <c r="AZ38" s="1"/>
      <c r="BA38" s="1"/>
      <c r="BB38" s="1"/>
      <c r="BC38" s="1"/>
      <c r="BD38" s="1"/>
      <c r="BE38" s="1"/>
      <c r="BF38" s="1"/>
      <c r="BG38" s="1"/>
      <c r="BH38" s="1"/>
      <c r="BI38" s="1"/>
    </row>
    <row r="39" spans="1:61" ht="15" x14ac:dyDescent="0.25">
      <c r="A39" s="47">
        <f t="shared" si="18"/>
        <v>2039</v>
      </c>
      <c r="B39" s="62">
        <f t="shared" si="0"/>
        <v>153.66225584459778</v>
      </c>
      <c r="C39" s="62">
        <f t="shared" si="34"/>
        <v>142.27986652277571</v>
      </c>
      <c r="D39" s="62">
        <f t="shared" si="35"/>
        <v>8.6327110025054932</v>
      </c>
      <c r="E39" s="62">
        <v>1</v>
      </c>
      <c r="F39" s="54">
        <v>2.5000000000000001E-2</v>
      </c>
      <c r="G39" s="54">
        <f t="shared" si="36"/>
        <v>2.5000000000000001E-2</v>
      </c>
      <c r="H39" s="179">
        <f t="shared" si="20"/>
        <v>0.51339972820871438</v>
      </c>
      <c r="I39" s="179">
        <f t="shared" si="1"/>
        <v>73.046444802365201</v>
      </c>
      <c r="J39" s="183">
        <f t="shared" si="2"/>
        <v>4.4320314823906983</v>
      </c>
      <c r="K39" s="1"/>
      <c r="L39" s="112">
        <f t="shared" si="3"/>
        <v>210.18003920638097</v>
      </c>
      <c r="M39" s="61">
        <f t="shared" si="21"/>
        <v>194.61114741331571</v>
      </c>
      <c r="N39" s="61">
        <f t="shared" si="22"/>
        <v>11.527966655516748</v>
      </c>
      <c r="O39" s="62">
        <v>1</v>
      </c>
      <c r="P39" s="54">
        <v>2.5000000000000001E-2</v>
      </c>
      <c r="Q39" s="54">
        <f t="shared" si="4"/>
        <v>2.5000000000000001E-2</v>
      </c>
      <c r="R39" s="179">
        <f t="shared" si="23"/>
        <v>0.51339972820871438</v>
      </c>
      <c r="S39" s="179">
        <f t="shared" si="5"/>
        <v>99.913310188382326</v>
      </c>
      <c r="T39" s="183">
        <f t="shared" si="6"/>
        <v>5.9184549477414201</v>
      </c>
      <c r="U39" s="1"/>
      <c r="V39" s="62">
        <f t="shared" si="7"/>
        <v>291.39639799751046</v>
      </c>
      <c r="W39" s="61">
        <f t="shared" si="24"/>
        <v>269.8114796273245</v>
      </c>
      <c r="X39" s="61">
        <f t="shared" si="25"/>
        <v>15.573983255963901</v>
      </c>
      <c r="Y39" s="62">
        <v>1</v>
      </c>
      <c r="Z39" s="54">
        <v>2.5000000000000001E-2</v>
      </c>
      <c r="AA39" s="54">
        <f t="shared" si="8"/>
        <v>2.5000000000000001E-2</v>
      </c>
      <c r="AB39" s="179">
        <f t="shared" si="26"/>
        <v>0.51339972820871438</v>
      </c>
      <c r="AC39" s="179">
        <f t="shared" si="9"/>
        <v>138.52114030825948</v>
      </c>
      <c r="AD39" s="183">
        <f t="shared" si="10"/>
        <v>7.9956787707389356</v>
      </c>
      <c r="AE39" s="1"/>
      <c r="AF39" s="62">
        <f t="shared" si="11"/>
        <v>114.28907454078215</v>
      </c>
      <c r="AG39" s="61">
        <f t="shared" si="27"/>
        <v>105.82321716739088</v>
      </c>
      <c r="AH39" s="61">
        <f t="shared" si="28"/>
        <v>6.5571188936228237</v>
      </c>
      <c r="AI39" s="62">
        <v>1</v>
      </c>
      <c r="AJ39" s="54">
        <v>2.5000000000000001E-2</v>
      </c>
      <c r="AK39" s="54">
        <f t="shared" si="12"/>
        <v>2.5000000000000001E-2</v>
      </c>
      <c r="AL39" s="179">
        <f t="shared" si="29"/>
        <v>0.51339972820871438</v>
      </c>
      <c r="AM39" s="179">
        <f t="shared" si="13"/>
        <v>54.329610931910238</v>
      </c>
      <c r="AN39" s="183">
        <f t="shared" si="14"/>
        <v>3.3664230578181837</v>
      </c>
      <c r="AO39" s="1"/>
      <c r="AP39" s="61">
        <f t="shared" si="30"/>
        <v>218.77689805542343</v>
      </c>
      <c r="AQ39" s="61">
        <f t="shared" si="31"/>
        <v>202.57120190316988</v>
      </c>
      <c r="AR39" s="61">
        <f t="shared" si="32"/>
        <v>5.0642800475792482</v>
      </c>
      <c r="AS39" s="62">
        <v>1</v>
      </c>
      <c r="AT39" s="54">
        <v>2.5000000000000001E-2</v>
      </c>
      <c r="AU39" s="54">
        <f t="shared" si="15"/>
        <v>2.5000000000000001E-2</v>
      </c>
      <c r="AV39" s="179">
        <f t="shared" si="33"/>
        <v>0.51339972820871438</v>
      </c>
      <c r="AW39" s="179">
        <f t="shared" si="16"/>
        <v>104.00000000000001</v>
      </c>
      <c r="AX39" s="183">
        <f t="shared" si="17"/>
        <v>2.600000000000001</v>
      </c>
      <c r="AY39" s="1"/>
      <c r="AZ39" s="1"/>
      <c r="BA39" s="1"/>
      <c r="BB39" s="1"/>
      <c r="BC39" s="1"/>
      <c r="BD39" s="1"/>
      <c r="BE39" s="1"/>
      <c r="BF39" s="1"/>
      <c r="BG39" s="1"/>
      <c r="BH39" s="1"/>
      <c r="BI39" s="1"/>
    </row>
    <row r="40" spans="1:61" ht="15" x14ac:dyDescent="0.25">
      <c r="A40" s="47">
        <f t="shared" si="18"/>
        <v>2040</v>
      </c>
      <c r="B40" s="62">
        <f t="shared" si="0"/>
        <v>157.5038122407127</v>
      </c>
      <c r="C40" s="62">
        <f t="shared" si="34"/>
        <v>145.83686318584509</v>
      </c>
      <c r="D40" s="62">
        <f t="shared" si="35"/>
        <v>8.8485287775681289</v>
      </c>
      <c r="E40" s="62">
        <v>1</v>
      </c>
      <c r="F40" s="54">
        <v>2.5000000000000001E-2</v>
      </c>
      <c r="G40" s="54">
        <f t="shared" si="36"/>
        <v>2.5000000000000001E-2</v>
      </c>
      <c r="H40" s="179">
        <f t="shared" si="20"/>
        <v>0.50087778361825797</v>
      </c>
      <c r="I40" s="179">
        <f t="shared" si="1"/>
        <v>73.046444802365201</v>
      </c>
      <c r="J40" s="183">
        <f t="shared" si="2"/>
        <v>4.4320314823906983</v>
      </c>
      <c r="K40" s="1"/>
      <c r="L40" s="112">
        <f t="shared" si="3"/>
        <v>217.1742961905916</v>
      </c>
      <c r="M40" s="61">
        <f t="shared" si="21"/>
        <v>201.08731128758481</v>
      </c>
      <c r="N40" s="61">
        <f t="shared" si="22"/>
        <v>11.916703930412133</v>
      </c>
      <c r="O40" s="62">
        <v>1</v>
      </c>
      <c r="P40" s="54">
        <v>2.5000000000000001E-2</v>
      </c>
      <c r="Q40" s="54">
        <f t="shared" si="4"/>
        <v>2.5000000000000001E-2</v>
      </c>
      <c r="R40" s="179">
        <f t="shared" si="23"/>
        <v>0.50087778361825797</v>
      </c>
      <c r="S40" s="179">
        <f t="shared" si="5"/>
        <v>100.72016679148018</v>
      </c>
      <c r="T40" s="183">
        <f t="shared" si="6"/>
        <v>5.9688122526998129</v>
      </c>
      <c r="U40" s="1"/>
      <c r="V40" s="62">
        <f t="shared" si="7"/>
        <v>303.97984633355077</v>
      </c>
      <c r="W40" s="61">
        <f t="shared" si="24"/>
        <v>281.46282067921368</v>
      </c>
      <c r="X40" s="61">
        <f t="shared" si="25"/>
        <v>16.257020528705453</v>
      </c>
      <c r="Y40" s="62">
        <v>1</v>
      </c>
      <c r="Z40" s="54">
        <v>2.5000000000000001E-2</v>
      </c>
      <c r="AA40" s="54">
        <f t="shared" si="8"/>
        <v>2.5000000000000001E-2</v>
      </c>
      <c r="AB40" s="179">
        <f t="shared" si="26"/>
        <v>0.50087778361825797</v>
      </c>
      <c r="AC40" s="179">
        <f t="shared" si="9"/>
        <v>140.97847379274774</v>
      </c>
      <c r="AD40" s="183">
        <f t="shared" si="10"/>
        <v>8.1427804106545079</v>
      </c>
      <c r="AE40" s="1"/>
      <c r="AF40" s="62">
        <f t="shared" si="11"/>
        <v>116.41629481878536</v>
      </c>
      <c r="AG40" s="61">
        <f t="shared" si="27"/>
        <v>107.7928655729494</v>
      </c>
      <c r="AH40" s="61">
        <f t="shared" si="28"/>
        <v>6.6745798852811173</v>
      </c>
      <c r="AI40" s="62">
        <v>1</v>
      </c>
      <c r="AJ40" s="54">
        <v>2.5000000000000001E-2</v>
      </c>
      <c r="AK40" s="54">
        <f t="shared" si="12"/>
        <v>2.5000000000000001E-2</v>
      </c>
      <c r="AL40" s="179">
        <f t="shared" si="29"/>
        <v>0.50087778361825797</v>
      </c>
      <c r="AM40" s="179">
        <f t="shared" si="13"/>
        <v>53.991051598039718</v>
      </c>
      <c r="AN40" s="183">
        <f t="shared" si="14"/>
        <v>3.3431487795226125</v>
      </c>
      <c r="AO40" s="1"/>
      <c r="AP40" s="61">
        <f t="shared" si="30"/>
        <v>224.24632050680898</v>
      </c>
      <c r="AQ40" s="61">
        <f t="shared" si="31"/>
        <v>207.6354819507491</v>
      </c>
      <c r="AR40" s="61">
        <f t="shared" si="32"/>
        <v>5.1908870487687286</v>
      </c>
      <c r="AS40" s="62">
        <v>1</v>
      </c>
      <c r="AT40" s="54">
        <v>2.5000000000000001E-2</v>
      </c>
      <c r="AU40" s="54">
        <f t="shared" si="15"/>
        <v>2.5000000000000001E-2</v>
      </c>
      <c r="AV40" s="179">
        <f t="shared" si="33"/>
        <v>0.50087778361825797</v>
      </c>
      <c r="AW40" s="179">
        <f t="shared" si="16"/>
        <v>104.00000000000001</v>
      </c>
      <c r="AX40" s="183">
        <f t="shared" si="17"/>
        <v>2.600000000000001</v>
      </c>
      <c r="AY40" s="1"/>
      <c r="AZ40" s="1"/>
      <c r="BA40" s="1"/>
      <c r="BB40" s="1"/>
      <c r="BC40" s="1"/>
      <c r="BD40" s="1"/>
      <c r="BE40" s="1"/>
      <c r="BF40" s="1"/>
      <c r="BG40" s="1"/>
      <c r="BH40" s="1"/>
      <c r="BI40" s="1"/>
    </row>
    <row r="41" spans="1:61" ht="15" x14ac:dyDescent="0.25">
      <c r="A41" s="47">
        <f t="shared" si="18"/>
        <v>2041</v>
      </c>
      <c r="B41" s="62">
        <f t="shared" si="0"/>
        <v>161.44140754673052</v>
      </c>
      <c r="C41" s="62">
        <f t="shared" si="34"/>
        <v>149.4827847654912</v>
      </c>
      <c r="D41" s="62">
        <f t="shared" si="35"/>
        <v>9.0697419970073305</v>
      </c>
      <c r="E41" s="62">
        <v>1</v>
      </c>
      <c r="F41" s="54">
        <v>2.5000000000000001E-2</v>
      </c>
      <c r="G41" s="54">
        <f t="shared" si="36"/>
        <v>2.5000000000000001E-2</v>
      </c>
      <c r="H41" s="179">
        <f t="shared" si="20"/>
        <v>0.48866125231049562</v>
      </c>
      <c r="I41" s="179">
        <f t="shared" si="1"/>
        <v>73.046444802365201</v>
      </c>
      <c r="J41" s="183">
        <f t="shared" si="2"/>
        <v>4.4320314823906974</v>
      </c>
      <c r="K41" s="1"/>
      <c r="L41" s="112">
        <f t="shared" si="3"/>
        <v>224.36950593946827</v>
      </c>
      <c r="M41" s="61">
        <f t="shared" si="21"/>
        <v>207.74954253654468</v>
      </c>
      <c r="N41" s="61">
        <f t="shared" si="22"/>
        <v>12.316667708807515</v>
      </c>
      <c r="O41" s="62">
        <v>1</v>
      </c>
      <c r="P41" s="54">
        <v>2.5000000000000001E-2</v>
      </c>
      <c r="Q41" s="54">
        <f t="shared" si="4"/>
        <v>2.5000000000000001E-2</v>
      </c>
      <c r="R41" s="179">
        <f t="shared" si="23"/>
        <v>0.48866125231049562</v>
      </c>
      <c r="S41" s="179">
        <f t="shared" si="5"/>
        <v>101.5191516228405</v>
      </c>
      <c r="T41" s="183">
        <f t="shared" si="6"/>
        <v>6.0186782668781227</v>
      </c>
      <c r="U41" s="1"/>
      <c r="V41" s="62">
        <f t="shared" si="7"/>
        <v>317.03683702957511</v>
      </c>
      <c r="W41" s="61">
        <f t="shared" si="24"/>
        <v>293.55262687923619</v>
      </c>
      <c r="X41" s="61">
        <f t="shared" si="25"/>
        <v>16.965944364005821</v>
      </c>
      <c r="Y41" s="62">
        <v>1</v>
      </c>
      <c r="Z41" s="54">
        <v>2.5000000000000001E-2</v>
      </c>
      <c r="AA41" s="54">
        <f t="shared" si="8"/>
        <v>2.5000000000000001E-2</v>
      </c>
      <c r="AB41" s="179">
        <f t="shared" si="26"/>
        <v>0.48866125231049562</v>
      </c>
      <c r="AC41" s="179">
        <f t="shared" si="9"/>
        <v>143.4477942698432</v>
      </c>
      <c r="AD41" s="183">
        <f t="shared" si="10"/>
        <v>8.2905996195452794</v>
      </c>
      <c r="AE41" s="1"/>
      <c r="AF41" s="62">
        <f t="shared" si="11"/>
        <v>118.60764570252138</v>
      </c>
      <c r="AG41" s="61">
        <f t="shared" si="27"/>
        <v>109.82189416900127</v>
      </c>
      <c r="AH41" s="61">
        <f t="shared" si="28"/>
        <v>6.7956744064411021</v>
      </c>
      <c r="AI41" s="62">
        <v>1</v>
      </c>
      <c r="AJ41" s="54">
        <v>2.5000000000000001E-2</v>
      </c>
      <c r="AK41" s="54">
        <f t="shared" si="12"/>
        <v>2.5000000000000001E-2</v>
      </c>
      <c r="AL41" s="179">
        <f t="shared" si="29"/>
        <v>0.48866125231049562</v>
      </c>
      <c r="AM41" s="179">
        <f t="shared" si="13"/>
        <v>53.66570433573488</v>
      </c>
      <c r="AN41" s="183">
        <f t="shared" si="14"/>
        <v>3.3207827657458928</v>
      </c>
      <c r="AO41" s="1"/>
      <c r="AP41" s="61">
        <f t="shared" si="30"/>
        <v>229.85247851947918</v>
      </c>
      <c r="AQ41" s="61">
        <f t="shared" si="31"/>
        <v>212.8263689995178</v>
      </c>
      <c r="AR41" s="61">
        <f t="shared" si="32"/>
        <v>5.3206592249879465</v>
      </c>
      <c r="AS41" s="62">
        <v>1</v>
      </c>
      <c r="AT41" s="54">
        <v>2.5000000000000001E-2</v>
      </c>
      <c r="AU41" s="54">
        <f t="shared" si="15"/>
        <v>2.5000000000000001E-2</v>
      </c>
      <c r="AV41" s="179">
        <f t="shared" si="33"/>
        <v>0.48866125231049562</v>
      </c>
      <c r="AW41" s="179">
        <f t="shared" si="16"/>
        <v>104.00000000000001</v>
      </c>
      <c r="AX41" s="183">
        <f t="shared" si="17"/>
        <v>2.600000000000001</v>
      </c>
      <c r="AY41" s="1"/>
      <c r="AZ41" s="1"/>
      <c r="BA41" s="1"/>
      <c r="BB41" s="1"/>
      <c r="BC41" s="1"/>
      <c r="BD41" s="1"/>
      <c r="BE41" s="1"/>
      <c r="BF41" s="1"/>
      <c r="BG41" s="1"/>
      <c r="BH41" s="1"/>
      <c r="BI41" s="1"/>
    </row>
    <row r="42" spans="1:61" ht="15" x14ac:dyDescent="0.25">
      <c r="A42" s="47">
        <f t="shared" si="18"/>
        <v>2042</v>
      </c>
      <c r="B42" s="62">
        <f t="shared" si="0"/>
        <v>165.47744273539874</v>
      </c>
      <c r="C42" s="62">
        <f t="shared" si="34"/>
        <v>153.21985438462846</v>
      </c>
      <c r="D42" s="62">
        <f t="shared" si="35"/>
        <v>9.2964855469325123</v>
      </c>
      <c r="E42" s="62">
        <v>1</v>
      </c>
      <c r="F42" s="54">
        <v>2.5000000000000001E-2</v>
      </c>
      <c r="G42" s="54">
        <f t="shared" si="36"/>
        <v>2.5000000000000001E-2</v>
      </c>
      <c r="H42" s="179">
        <f t="shared" si="20"/>
        <v>0.4767426851809714</v>
      </c>
      <c r="I42" s="179">
        <f t="shared" si="1"/>
        <v>73.046444802365201</v>
      </c>
      <c r="J42" s="183">
        <f t="shared" si="2"/>
        <v>4.4320314823906974</v>
      </c>
      <c r="K42" s="1"/>
      <c r="L42" s="112">
        <f t="shared" si="3"/>
        <v>231.77108371722852</v>
      </c>
      <c r="M42" s="61">
        <f t="shared" si="21"/>
        <v>214.6028552937301</v>
      </c>
      <c r="N42" s="61">
        <f t="shared" si="22"/>
        <v>12.728161274364808</v>
      </c>
      <c r="O42" s="62">
        <v>1</v>
      </c>
      <c r="P42" s="54">
        <v>2.5000000000000001E-2</v>
      </c>
      <c r="Q42" s="54">
        <f t="shared" si="4"/>
        <v>2.5000000000000001E-2</v>
      </c>
      <c r="R42" s="179">
        <f t="shared" si="23"/>
        <v>0.4767426851809714</v>
      </c>
      <c r="S42" s="179">
        <f t="shared" si="5"/>
        <v>102.31034148023633</v>
      </c>
      <c r="T42" s="183">
        <f t="shared" si="6"/>
        <v>6.0680577833571334</v>
      </c>
      <c r="U42" s="1"/>
      <c r="V42" s="62">
        <f t="shared" si="7"/>
        <v>330.58397732913056</v>
      </c>
      <c r="W42" s="61">
        <f t="shared" si="24"/>
        <v>306.09627530475052</v>
      </c>
      <c r="X42" s="61">
        <f t="shared" si="25"/>
        <v>17.701666244851179</v>
      </c>
      <c r="Y42" s="62">
        <v>1</v>
      </c>
      <c r="Z42" s="54">
        <v>2.5000000000000001E-2</v>
      </c>
      <c r="AA42" s="54">
        <f t="shared" si="8"/>
        <v>2.5000000000000001E-2</v>
      </c>
      <c r="AB42" s="179">
        <f t="shared" si="26"/>
        <v>0.4767426851809714</v>
      </c>
      <c r="AC42" s="179">
        <f t="shared" si="9"/>
        <v>145.92916021268064</v>
      </c>
      <c r="AD42" s="183">
        <f t="shared" si="10"/>
        <v>8.4391398977477134</v>
      </c>
      <c r="AE42" s="1"/>
      <c r="AF42" s="62">
        <f t="shared" si="11"/>
        <v>120.8645662056518</v>
      </c>
      <c r="AG42" s="61">
        <f t="shared" si="27"/>
        <v>111.91163537560351</v>
      </c>
      <c r="AH42" s="61">
        <f t="shared" si="28"/>
        <v>6.920482840269667</v>
      </c>
      <c r="AI42" s="62">
        <v>1</v>
      </c>
      <c r="AJ42" s="54">
        <v>2.5000000000000001E-2</v>
      </c>
      <c r="AK42" s="54">
        <f t="shared" si="12"/>
        <v>2.5000000000000001E-2</v>
      </c>
      <c r="AL42" s="179">
        <f t="shared" si="29"/>
        <v>0.4767426851809714</v>
      </c>
      <c r="AM42" s="179">
        <f t="shared" si="13"/>
        <v>53.353053551959007</v>
      </c>
      <c r="AN42" s="183">
        <f t="shared" si="14"/>
        <v>3.2992895720189965</v>
      </c>
      <c r="AO42" s="1"/>
      <c r="AP42" s="61">
        <f t="shared" si="30"/>
        <v>235.59879048246614</v>
      </c>
      <c r="AQ42" s="61">
        <f t="shared" si="31"/>
        <v>218.14702822450573</v>
      </c>
      <c r="AR42" s="61">
        <f t="shared" si="32"/>
        <v>5.4536757056126444</v>
      </c>
      <c r="AS42" s="62">
        <v>1</v>
      </c>
      <c r="AT42" s="54">
        <v>2.5000000000000001E-2</v>
      </c>
      <c r="AU42" s="54">
        <f t="shared" si="15"/>
        <v>2.5000000000000001E-2</v>
      </c>
      <c r="AV42" s="179">
        <f t="shared" si="33"/>
        <v>0.4767426851809714</v>
      </c>
      <c r="AW42" s="179">
        <f t="shared" si="16"/>
        <v>104.00000000000001</v>
      </c>
      <c r="AX42" s="183">
        <f t="shared" si="17"/>
        <v>2.600000000000001</v>
      </c>
      <c r="AY42" s="1"/>
      <c r="AZ42" s="1"/>
      <c r="BA42" s="1"/>
      <c r="BB42" s="1"/>
      <c r="BC42" s="1"/>
      <c r="BD42" s="1"/>
      <c r="BE42" s="1"/>
      <c r="BF42" s="1"/>
      <c r="BG42" s="1"/>
      <c r="BH42" s="1"/>
      <c r="BI42" s="1"/>
    </row>
    <row r="43" spans="1:61" ht="15" x14ac:dyDescent="0.25">
      <c r="A43" s="47">
        <f t="shared" si="18"/>
        <v>2043</v>
      </c>
      <c r="B43" s="62">
        <f t="shared" si="0"/>
        <v>169.61437880378369</v>
      </c>
      <c r="C43" s="62">
        <f t="shared" si="34"/>
        <v>157.05035074424416</v>
      </c>
      <c r="D43" s="62">
        <f t="shared" si="35"/>
        <v>9.5288976856058234</v>
      </c>
      <c r="E43" s="62">
        <v>1</v>
      </c>
      <c r="F43" s="54">
        <v>2.5000000000000001E-2</v>
      </c>
      <c r="G43" s="54">
        <f t="shared" si="36"/>
        <v>2.5000000000000001E-2</v>
      </c>
      <c r="H43" s="179">
        <f t="shared" si="20"/>
        <v>0.46511481481070382</v>
      </c>
      <c r="I43" s="179">
        <f t="shared" si="1"/>
        <v>73.046444802365201</v>
      </c>
      <c r="J43" s="183">
        <f t="shared" si="2"/>
        <v>4.4320314823906966</v>
      </c>
      <c r="K43" s="1"/>
      <c r="L43" s="112">
        <f t="shared" si="3"/>
        <v>239.38458604137188</v>
      </c>
      <c r="M43" s="61">
        <f t="shared" si="21"/>
        <v>221.65239448275173</v>
      </c>
      <c r="N43" s="61">
        <f t="shared" si="22"/>
        <v>13.151495832153591</v>
      </c>
      <c r="O43" s="62">
        <v>1</v>
      </c>
      <c r="P43" s="54">
        <v>2.5000000000000001E-2</v>
      </c>
      <c r="Q43" s="54">
        <f t="shared" si="4"/>
        <v>2.5000000000000001E-2</v>
      </c>
      <c r="R43" s="179">
        <f t="shared" si="23"/>
        <v>0.46511481481070382</v>
      </c>
      <c r="S43" s="179">
        <f t="shared" si="5"/>
        <v>103.09381241219414</v>
      </c>
      <c r="T43" s="183">
        <f t="shared" si="6"/>
        <v>6.1169555484558611</v>
      </c>
      <c r="U43" s="1"/>
      <c r="V43" s="62">
        <f t="shared" si="7"/>
        <v>344.63843271738943</v>
      </c>
      <c r="W43" s="61">
        <f t="shared" si="24"/>
        <v>319.10965992350873</v>
      </c>
      <c r="X43" s="61">
        <f t="shared" si="25"/>
        <v>18.465128370870026</v>
      </c>
      <c r="Y43" s="62">
        <v>1</v>
      </c>
      <c r="Z43" s="54">
        <v>2.5000000000000001E-2</v>
      </c>
      <c r="AA43" s="54">
        <f t="shared" si="8"/>
        <v>2.5000000000000001E-2</v>
      </c>
      <c r="AB43" s="179">
        <f t="shared" si="26"/>
        <v>0.46511481481070382</v>
      </c>
      <c r="AC43" s="179">
        <f t="shared" si="9"/>
        <v>148.42263037962945</v>
      </c>
      <c r="AD43" s="183">
        <f t="shared" si="10"/>
        <v>8.5884047626730862</v>
      </c>
      <c r="AE43" s="1"/>
      <c r="AF43" s="62">
        <f t="shared" si="11"/>
        <v>123.18853378095197</v>
      </c>
      <c r="AG43" s="61">
        <f t="shared" si="27"/>
        <v>114.06345720458515</v>
      </c>
      <c r="AH43" s="61">
        <f t="shared" si="28"/>
        <v>7.049087736338933</v>
      </c>
      <c r="AI43" s="62">
        <v>1</v>
      </c>
      <c r="AJ43" s="54">
        <v>2.5000000000000001E-2</v>
      </c>
      <c r="AK43" s="54">
        <f t="shared" si="12"/>
        <v>2.5000000000000001E-2</v>
      </c>
      <c r="AL43" s="179">
        <f t="shared" si="29"/>
        <v>0.46511481481070382</v>
      </c>
      <c r="AM43" s="179">
        <f t="shared" si="13"/>
        <v>53.052603774379264</v>
      </c>
      <c r="AN43" s="183">
        <f t="shared" si="14"/>
        <v>3.2786351370716864</v>
      </c>
      <c r="AO43" s="1"/>
      <c r="AP43" s="61">
        <f t="shared" si="30"/>
        <v>241.48876024452778</v>
      </c>
      <c r="AQ43" s="61">
        <f t="shared" si="31"/>
        <v>223.60070393011836</v>
      </c>
      <c r="AR43" s="61">
        <f t="shared" si="32"/>
        <v>5.5900175982529596</v>
      </c>
      <c r="AS43" s="62">
        <v>1</v>
      </c>
      <c r="AT43" s="54">
        <v>2.5000000000000001E-2</v>
      </c>
      <c r="AU43" s="54">
        <f t="shared" si="15"/>
        <v>2.5000000000000001E-2</v>
      </c>
      <c r="AV43" s="179">
        <f t="shared" si="33"/>
        <v>0.46511481481070382</v>
      </c>
      <c r="AW43" s="179">
        <f t="shared" si="16"/>
        <v>104.00000000000001</v>
      </c>
      <c r="AX43" s="183">
        <f t="shared" si="17"/>
        <v>2.6000000000000005</v>
      </c>
      <c r="AY43" s="1"/>
      <c r="AZ43" s="1"/>
      <c r="BA43" s="1"/>
      <c r="BB43" s="1"/>
      <c r="BC43" s="1"/>
      <c r="BD43" s="1"/>
      <c r="BE43" s="1"/>
      <c r="BF43" s="1"/>
      <c r="BG43" s="1"/>
      <c r="BH43" s="1"/>
      <c r="BI43" s="1"/>
    </row>
    <row r="44" spans="1:61" x14ac:dyDescent="0.3">
      <c r="A44" s="47">
        <f t="shared" si="18"/>
        <v>2044</v>
      </c>
      <c r="B44" s="62">
        <f t="shared" si="0"/>
        <v>173.85473827387827</v>
      </c>
      <c r="C44" s="62">
        <f t="shared" si="34"/>
        <v>160.97660951285025</v>
      </c>
      <c r="D44" s="62">
        <f t="shared" si="35"/>
        <v>9.7671201277459687</v>
      </c>
      <c r="E44" s="62">
        <v>1</v>
      </c>
      <c r="F44" s="54">
        <v>2.5000000000000001E-2</v>
      </c>
      <c r="G44" s="54">
        <f t="shared" si="36"/>
        <v>2.5000000000000001E-2</v>
      </c>
      <c r="H44" s="179">
        <f t="shared" si="20"/>
        <v>0.45377055103483305</v>
      </c>
      <c r="I44" s="179">
        <f t="shared" si="1"/>
        <v>73.046444802365201</v>
      </c>
      <c r="J44" s="183">
        <f t="shared" si="2"/>
        <v>4.4320314823906974</v>
      </c>
      <c r="K44" s="1"/>
      <c r="L44" s="112">
        <f t="shared" si="3"/>
        <v>247.21571430208701</v>
      </c>
      <c r="M44" s="61">
        <f t="shared" si="21"/>
        <v>228.90343916859908</v>
      </c>
      <c r="N44" s="61">
        <f t="shared" si="22"/>
        <v>13.586990711776039</v>
      </c>
      <c r="O44" s="62">
        <v>1</v>
      </c>
      <c r="P44" s="54">
        <v>2.5000000000000001E-2</v>
      </c>
      <c r="Q44" s="54">
        <f t="shared" si="4"/>
        <v>2.5000000000000001E-2</v>
      </c>
      <c r="R44" s="179">
        <f t="shared" si="23"/>
        <v>0.45377055103483305</v>
      </c>
      <c r="S44" s="179">
        <f t="shared" si="5"/>
        <v>103.86963972530359</v>
      </c>
      <c r="T44" s="183">
        <f t="shared" si="6"/>
        <v>6.1653762621877721</v>
      </c>
      <c r="U44" s="1"/>
      <c r="V44" s="62">
        <f t="shared" si="7"/>
        <v>359.21794516900576</v>
      </c>
      <c r="W44" s="61">
        <f t="shared" si="24"/>
        <v>332.60920848982011</v>
      </c>
      <c r="X44" s="61">
        <f t="shared" si="25"/>
        <v>19.257304664136274</v>
      </c>
      <c r="Y44" s="62">
        <v>1</v>
      </c>
      <c r="Z44" s="54">
        <v>2.5000000000000001E-2</v>
      </c>
      <c r="AA44" s="54">
        <f t="shared" si="8"/>
        <v>2.5000000000000001E-2</v>
      </c>
      <c r="AB44" s="179">
        <f t="shared" si="26"/>
        <v>0.45377055103483305</v>
      </c>
      <c r="AC44" s="179">
        <f t="shared" si="9"/>
        <v>150.92826381568534</v>
      </c>
      <c r="AD44" s="183">
        <f t="shared" si="10"/>
        <v>8.7383977488907778</v>
      </c>
      <c r="AE44" s="1"/>
      <c r="AF44" s="62">
        <f t="shared" si="11"/>
        <v>125.58106524433227</v>
      </c>
      <c r="AG44" s="61">
        <f t="shared" si="27"/>
        <v>116.27876411512246</v>
      </c>
      <c r="AH44" s="61">
        <f t="shared" si="28"/>
        <v>7.1815738624339946</v>
      </c>
      <c r="AI44" s="62">
        <v>1</v>
      </c>
      <c r="AJ44" s="54">
        <v>2.5000000000000001E-2</v>
      </c>
      <c r="AK44" s="54">
        <f t="shared" si="12"/>
        <v>2.5000000000000001E-2</v>
      </c>
      <c r="AL44" s="179">
        <f t="shared" si="29"/>
        <v>0.45377055103483305</v>
      </c>
      <c r="AM44" s="179">
        <f t="shared" si="13"/>
        <v>52.76387886616849</v>
      </c>
      <c r="AN44" s="183">
        <f t="shared" si="14"/>
        <v>3.258786728854028</v>
      </c>
      <c r="AO44" s="1"/>
      <c r="AP44" s="61">
        <f t="shared" si="30"/>
        <v>247.52597925064094</v>
      </c>
      <c r="AQ44" s="61">
        <f t="shared" si="31"/>
        <v>229.19072152837128</v>
      </c>
      <c r="AR44" s="61">
        <f t="shared" si="32"/>
        <v>5.7297680382092828</v>
      </c>
      <c r="AS44" s="62">
        <v>1</v>
      </c>
      <c r="AT44" s="54">
        <v>2.5000000000000001E-2</v>
      </c>
      <c r="AU44" s="54">
        <f t="shared" si="15"/>
        <v>2.5000000000000001E-2</v>
      </c>
      <c r="AV44" s="179">
        <f t="shared" si="33"/>
        <v>0.45377055103483305</v>
      </c>
      <c r="AW44" s="179">
        <f t="shared" si="16"/>
        <v>104.00000000000001</v>
      </c>
      <c r="AX44" s="183">
        <f t="shared" si="17"/>
        <v>2.6000000000000005</v>
      </c>
      <c r="AY44" s="1"/>
      <c r="AZ44" s="1"/>
      <c r="BA44" s="1"/>
      <c r="BB44" s="1"/>
      <c r="BC44" s="1"/>
      <c r="BD44" s="1"/>
      <c r="BE44" s="1"/>
      <c r="BF44" s="1"/>
      <c r="BG44" s="1"/>
      <c r="BH44" s="1"/>
      <c r="BI44" s="1"/>
    </row>
    <row r="45" spans="1:61" x14ac:dyDescent="0.3">
      <c r="A45" s="47">
        <f t="shared" si="18"/>
        <v>2045</v>
      </c>
      <c r="B45" s="62">
        <f t="shared" si="0"/>
        <v>178.20110673072523</v>
      </c>
      <c r="C45" s="62">
        <f t="shared" si="34"/>
        <v>165.00102475067149</v>
      </c>
      <c r="D45" s="62">
        <f t="shared" si="35"/>
        <v>10.011298130939617</v>
      </c>
      <c r="E45" s="62">
        <v>1</v>
      </c>
      <c r="F45" s="54">
        <v>2.5000000000000001E-2</v>
      </c>
      <c r="G45" s="54">
        <f t="shared" si="36"/>
        <v>2.5000000000000001E-2</v>
      </c>
      <c r="H45" s="179">
        <f t="shared" si="20"/>
        <v>0.44270297661934938</v>
      </c>
      <c r="I45" s="179">
        <f t="shared" si="1"/>
        <v>73.046444802365215</v>
      </c>
      <c r="J45" s="183">
        <f t="shared" si="2"/>
        <v>4.4320314823906974</v>
      </c>
      <c r="K45" s="1"/>
      <c r="L45" s="112">
        <f t="shared" si="3"/>
        <v>255.27031847346524</v>
      </c>
      <c r="M45" s="61">
        <f t="shared" si="21"/>
        <v>236.36140599394929</v>
      </c>
      <c r="N45" s="61">
        <f t="shared" si="22"/>
        <v>14.034973575646326</v>
      </c>
      <c r="O45" s="62">
        <v>1</v>
      </c>
      <c r="P45" s="54">
        <v>2.5000000000000001E-2</v>
      </c>
      <c r="Q45" s="54">
        <f t="shared" si="4"/>
        <v>2.5000000000000001E-2</v>
      </c>
      <c r="R45" s="179">
        <f t="shared" si="23"/>
        <v>0.44270297661934938</v>
      </c>
      <c r="S45" s="179">
        <f t="shared" si="5"/>
        <v>104.63789799145587</v>
      </c>
      <c r="T45" s="183">
        <f t="shared" si="6"/>
        <v>6.213324578712542</v>
      </c>
      <c r="U45" s="1"/>
      <c r="V45" s="62">
        <f t="shared" si="7"/>
        <v>374.34085198092288</v>
      </c>
      <c r="W45" s="61">
        <f t="shared" si="24"/>
        <v>346.61189998233596</v>
      </c>
      <c r="X45" s="61">
        <f t="shared" si="25"/>
        <v>20.079201807254009</v>
      </c>
      <c r="Y45" s="62">
        <v>1</v>
      </c>
      <c r="Z45" s="54">
        <v>2.5000000000000001E-2</v>
      </c>
      <c r="AA45" s="54">
        <f t="shared" si="8"/>
        <v>2.5000000000000001E-2</v>
      </c>
      <c r="AB45" s="179">
        <f t="shared" si="26"/>
        <v>0.44270297661934938</v>
      </c>
      <c r="AC45" s="179">
        <f t="shared" si="9"/>
        <v>153.44611985386834</v>
      </c>
      <c r="AD45" s="183">
        <f t="shared" si="10"/>
        <v>8.8891224082119695</v>
      </c>
      <c r="AE45" s="1"/>
      <c r="AF45" s="62">
        <f t="shared" si="11"/>
        <v>128.04371772251423</v>
      </c>
      <c r="AG45" s="61">
        <f t="shared" si="27"/>
        <v>118.55899789121686</v>
      </c>
      <c r="AH45" s="61">
        <f t="shared" si="28"/>
        <v>7.3180282576911324</v>
      </c>
      <c r="AI45" s="62">
        <v>1</v>
      </c>
      <c r="AJ45" s="54">
        <v>2.5000000000000001E-2</v>
      </c>
      <c r="AK45" s="54">
        <f t="shared" si="12"/>
        <v>2.5000000000000001E-2</v>
      </c>
      <c r="AL45" s="179">
        <f t="shared" si="29"/>
        <v>0.44270297661934938</v>
      </c>
      <c r="AM45" s="179">
        <f t="shared" si="13"/>
        <v>52.486421271448869</v>
      </c>
      <c r="AN45" s="183">
        <f t="shared" si="14"/>
        <v>3.2397128926643752</v>
      </c>
      <c r="AO45" s="1"/>
      <c r="AP45" s="61">
        <f t="shared" si="30"/>
        <v>253.71412873190695</v>
      </c>
      <c r="AQ45" s="61">
        <f t="shared" si="31"/>
        <v>234.92048956658056</v>
      </c>
      <c r="AR45" s="61">
        <f t="shared" si="32"/>
        <v>5.8730122391645141</v>
      </c>
      <c r="AS45" s="62">
        <v>1</v>
      </c>
      <c r="AT45" s="54">
        <v>2.5000000000000001E-2</v>
      </c>
      <c r="AU45" s="54">
        <f t="shared" si="15"/>
        <v>2.5000000000000001E-2</v>
      </c>
      <c r="AV45" s="179">
        <f t="shared" si="33"/>
        <v>0.44270297661934938</v>
      </c>
      <c r="AW45" s="179">
        <f t="shared" si="16"/>
        <v>104.00000000000001</v>
      </c>
      <c r="AX45" s="183">
        <f t="shared" si="17"/>
        <v>2.6000000000000005</v>
      </c>
      <c r="AY45" s="1"/>
      <c r="AZ45" s="1"/>
      <c r="BA45" s="1"/>
      <c r="BB45" s="1"/>
      <c r="BC45" s="1"/>
      <c r="BD45" s="1"/>
      <c r="BE45" s="1"/>
      <c r="BF45" s="1"/>
      <c r="BG45" s="1"/>
      <c r="BH45" s="1"/>
      <c r="BI45" s="1"/>
    </row>
    <row r="46" spans="1:61" x14ac:dyDescent="0.3">
      <c r="A46" s="47">
        <f t="shared" si="18"/>
        <v>2046</v>
      </c>
      <c r="B46" s="62">
        <f t="shared" si="0"/>
        <v>182.65613439899334</v>
      </c>
      <c r="C46" s="62">
        <f t="shared" si="34"/>
        <v>169.12605036943827</v>
      </c>
      <c r="D46" s="62">
        <f t="shared" si="35"/>
        <v>10.261580584213107</v>
      </c>
      <c r="E46" s="62">
        <v>1</v>
      </c>
      <c r="F46" s="54">
        <v>2.5000000000000001E-2</v>
      </c>
      <c r="G46" s="54">
        <f t="shared" ref="G46:G60" si="37">G45</f>
        <v>2.5000000000000001E-2</v>
      </c>
      <c r="H46" s="179">
        <f t="shared" si="20"/>
        <v>0.43190534304326772</v>
      </c>
      <c r="I46" s="179">
        <f t="shared" si="1"/>
        <v>73.046444802365215</v>
      </c>
      <c r="J46" s="183">
        <f t="shared" si="2"/>
        <v>4.4320314823906974</v>
      </c>
      <c r="K46" s="1"/>
      <c r="L46" s="112">
        <f t="shared" si="3"/>
        <v>263.55440091883531</v>
      </c>
      <c r="M46" s="61">
        <f t="shared" si="21"/>
        <v>244.03185270262529</v>
      </c>
      <c r="N46" s="61">
        <f t="shared" si="22"/>
        <v>14.49578063255451</v>
      </c>
      <c r="O46" s="62">
        <v>1</v>
      </c>
      <c r="P46" s="54">
        <v>2.5000000000000001E-2</v>
      </c>
      <c r="Q46" s="54">
        <f t="shared" si="4"/>
        <v>2.5000000000000001E-2</v>
      </c>
      <c r="R46" s="179">
        <f t="shared" si="23"/>
        <v>0.43190534304326772</v>
      </c>
      <c r="S46" s="179">
        <f t="shared" si="5"/>
        <v>105.39866105501156</v>
      </c>
      <c r="T46" s="183">
        <f t="shared" si="6"/>
        <v>6.2608051067834118</v>
      </c>
      <c r="U46" s="1"/>
      <c r="V46" s="62">
        <f t="shared" si="7"/>
        <v>390.02610520861873</v>
      </c>
      <c r="W46" s="61">
        <f t="shared" si="24"/>
        <v>361.13528260057285</v>
      </c>
      <c r="X46" s="61">
        <f t="shared" si="25"/>
        <v>20.931860314745123</v>
      </c>
      <c r="Y46" s="62">
        <v>1</v>
      </c>
      <c r="Z46" s="54">
        <v>2.5000000000000001E-2</v>
      </c>
      <c r="AA46" s="54">
        <f t="shared" si="8"/>
        <v>2.5000000000000001E-2</v>
      </c>
      <c r="AB46" s="179">
        <f t="shared" si="26"/>
        <v>0.43190534304326772</v>
      </c>
      <c r="AC46" s="179">
        <f t="shared" si="9"/>
        <v>155.97625811662786</v>
      </c>
      <c r="AD46" s="183">
        <f t="shared" si="10"/>
        <v>9.0405823097737539</v>
      </c>
      <c r="AE46" s="1"/>
      <c r="AF46" s="62">
        <f t="shared" si="11"/>
        <v>130.57808962494462</v>
      </c>
      <c r="AG46" s="61">
        <f t="shared" si="27"/>
        <v>120.90563854161539</v>
      </c>
      <c r="AH46" s="61">
        <f t="shared" si="28"/>
        <v>7.4585402870992557</v>
      </c>
      <c r="AI46" s="62">
        <v>1</v>
      </c>
      <c r="AJ46" s="54">
        <v>2.5000000000000001E-2</v>
      </c>
      <c r="AK46" s="54">
        <f t="shared" si="12"/>
        <v>2.5000000000000001E-2</v>
      </c>
      <c r="AL46" s="179">
        <f t="shared" si="29"/>
        <v>0.43190534304326772</v>
      </c>
      <c r="AM46" s="179">
        <f t="shared" si="13"/>
        <v>52.219791290181725</v>
      </c>
      <c r="AN46" s="183">
        <f t="shared" si="14"/>
        <v>3.2213834013016367</v>
      </c>
      <c r="AO46" s="1"/>
      <c r="AP46" s="61">
        <f t="shared" si="30"/>
        <v>260.0569819502046</v>
      </c>
      <c r="AQ46" s="61">
        <f t="shared" si="31"/>
        <v>240.79350180574505</v>
      </c>
      <c r="AR46" s="61">
        <f t="shared" si="32"/>
        <v>6.0198375451436261</v>
      </c>
      <c r="AS46" s="62">
        <v>1</v>
      </c>
      <c r="AT46" s="54">
        <v>2.5000000000000001E-2</v>
      </c>
      <c r="AU46" s="54">
        <f t="shared" si="15"/>
        <v>2.5000000000000001E-2</v>
      </c>
      <c r="AV46" s="179">
        <f t="shared" si="33"/>
        <v>0.43190534304326772</v>
      </c>
      <c r="AW46" s="179">
        <f t="shared" si="16"/>
        <v>104.00000000000003</v>
      </c>
      <c r="AX46" s="183">
        <f t="shared" si="17"/>
        <v>2.6000000000000005</v>
      </c>
      <c r="AY46" s="1"/>
      <c r="AZ46" s="1"/>
      <c r="BA46" s="1"/>
      <c r="BB46" s="1"/>
      <c r="BC46" s="1"/>
      <c r="BD46" s="1"/>
      <c r="BE46" s="1"/>
      <c r="BF46" s="1"/>
      <c r="BG46" s="1"/>
      <c r="BH46" s="1"/>
      <c r="BI46" s="1"/>
    </row>
    <row r="47" spans="1:61" x14ac:dyDescent="0.3">
      <c r="A47" s="47">
        <f t="shared" si="18"/>
        <v>2047</v>
      </c>
      <c r="B47" s="62">
        <f t="shared" si="0"/>
        <v>187.22253775896817</v>
      </c>
      <c r="C47" s="62">
        <f t="shared" si="34"/>
        <v>173.35420162867422</v>
      </c>
      <c r="D47" s="62">
        <f t="shared" si="35"/>
        <v>10.518120098818434</v>
      </c>
      <c r="E47" s="62">
        <v>1</v>
      </c>
      <c r="F47" s="54">
        <v>2.5000000000000001E-2</v>
      </c>
      <c r="G47" s="54">
        <f t="shared" si="37"/>
        <v>2.5000000000000001E-2</v>
      </c>
      <c r="H47" s="179">
        <f t="shared" si="20"/>
        <v>0.42137106638367589</v>
      </c>
      <c r="I47" s="179">
        <f t="shared" si="1"/>
        <v>73.046444802365215</v>
      </c>
      <c r="J47" s="183">
        <f t="shared" si="2"/>
        <v>4.4320314823906983</v>
      </c>
      <c r="K47" s="1"/>
      <c r="L47" s="112">
        <f t="shared" si="3"/>
        <v>272.07412029259262</v>
      </c>
      <c r="M47" s="61">
        <f t="shared" si="21"/>
        <v>251.92048175240058</v>
      </c>
      <c r="N47" s="61">
        <f t="shared" si="22"/>
        <v>14.969756856648154</v>
      </c>
      <c r="O47" s="62">
        <v>1</v>
      </c>
      <c r="P47" s="54">
        <v>2.5000000000000001E-2</v>
      </c>
      <c r="Q47" s="54">
        <f t="shared" si="4"/>
        <v>2.5000000000000001E-2</v>
      </c>
      <c r="R47" s="179">
        <f t="shared" si="23"/>
        <v>0.42137106638367589</v>
      </c>
      <c r="S47" s="179">
        <f t="shared" si="5"/>
        <v>106.15200203989839</v>
      </c>
      <c r="T47" s="183">
        <f t="shared" si="6"/>
        <v>6.3078224101901768</v>
      </c>
      <c r="U47" s="1"/>
      <c r="V47" s="62">
        <f t="shared" si="7"/>
        <v>406.29329172485211</v>
      </c>
      <c r="W47" s="61">
        <f t="shared" si="24"/>
        <v>376.19749233782602</v>
      </c>
      <c r="X47" s="61">
        <f t="shared" si="25"/>
        <v>21.816355638792807</v>
      </c>
      <c r="Y47" s="62">
        <v>1</v>
      </c>
      <c r="Z47" s="54">
        <v>2.5000000000000001E-2</v>
      </c>
      <c r="AA47" s="54">
        <f t="shared" si="8"/>
        <v>2.5000000000000001E-2</v>
      </c>
      <c r="AB47" s="179">
        <f t="shared" si="26"/>
        <v>0.42137106638367589</v>
      </c>
      <c r="AC47" s="179">
        <f t="shared" si="9"/>
        <v>158.51873851725449</v>
      </c>
      <c r="AD47" s="183">
        <f t="shared" si="10"/>
        <v>9.1927810401236449</v>
      </c>
      <c r="AE47" s="1"/>
      <c r="AF47" s="62">
        <f t="shared" si="11"/>
        <v>133.18582164054527</v>
      </c>
      <c r="AG47" s="61">
        <f t="shared" si="27"/>
        <v>123.3202052227271</v>
      </c>
      <c r="AH47" s="61">
        <f t="shared" si="28"/>
        <v>7.6032016973980943</v>
      </c>
      <c r="AI47" s="62">
        <v>1</v>
      </c>
      <c r="AJ47" s="54">
        <v>2.5000000000000001E-2</v>
      </c>
      <c r="AK47" s="54">
        <f t="shared" si="12"/>
        <v>2.5000000000000001E-2</v>
      </c>
      <c r="AL47" s="179">
        <f t="shared" si="29"/>
        <v>0.42137106638367589</v>
      </c>
      <c r="AM47" s="179">
        <f t="shared" si="13"/>
        <v>51.963566381354276</v>
      </c>
      <c r="AN47" s="183">
        <f t="shared" si="14"/>
        <v>3.2037692071628094</v>
      </c>
      <c r="AO47" s="1"/>
      <c r="AP47" s="61">
        <f t="shared" si="30"/>
        <v>266.5584064989597</v>
      </c>
      <c r="AQ47" s="61">
        <f t="shared" si="31"/>
        <v>246.81333935088867</v>
      </c>
      <c r="AR47" s="61">
        <f t="shared" si="32"/>
        <v>6.1703334837722164</v>
      </c>
      <c r="AS47" s="62">
        <v>1</v>
      </c>
      <c r="AT47" s="54">
        <v>2.5000000000000001E-2</v>
      </c>
      <c r="AU47" s="54">
        <f t="shared" si="15"/>
        <v>2.5000000000000001E-2</v>
      </c>
      <c r="AV47" s="179">
        <f t="shared" si="33"/>
        <v>0.42137106638367589</v>
      </c>
      <c r="AW47" s="179">
        <f t="shared" si="16"/>
        <v>104.00000000000003</v>
      </c>
      <c r="AX47" s="183">
        <f t="shared" si="17"/>
        <v>2.6000000000000005</v>
      </c>
      <c r="AY47" s="1"/>
      <c r="AZ47" s="1"/>
      <c r="BA47" s="1"/>
      <c r="BB47" s="1"/>
      <c r="BC47" s="1"/>
      <c r="BD47" s="1"/>
      <c r="BE47" s="1"/>
      <c r="BF47" s="1"/>
      <c r="BG47" s="1"/>
      <c r="BH47" s="1"/>
      <c r="BI47" s="1"/>
    </row>
    <row r="48" spans="1:61" x14ac:dyDescent="0.3">
      <c r="A48" s="47">
        <f t="shared" si="18"/>
        <v>2048</v>
      </c>
      <c r="B48" s="62">
        <f t="shared" si="0"/>
        <v>191.90310120294234</v>
      </c>
      <c r="C48" s="62">
        <f t="shared" si="34"/>
        <v>177.68805666939105</v>
      </c>
      <c r="D48" s="62">
        <f t="shared" si="35"/>
        <v>10.781073101288895</v>
      </c>
      <c r="E48" s="62">
        <v>1</v>
      </c>
      <c r="F48" s="54">
        <v>2.5000000000000001E-2</v>
      </c>
      <c r="G48" s="54">
        <f t="shared" si="37"/>
        <v>2.5000000000000001E-2</v>
      </c>
      <c r="H48" s="179">
        <f t="shared" si="20"/>
        <v>0.41109372330114724</v>
      </c>
      <c r="I48" s="179">
        <f t="shared" si="1"/>
        <v>73.046444802365215</v>
      </c>
      <c r="J48" s="183">
        <f t="shared" si="2"/>
        <v>4.4320314823906983</v>
      </c>
      <c r="K48" s="1"/>
      <c r="L48" s="112">
        <f t="shared" si="3"/>
        <v>280.83579554095564</v>
      </c>
      <c r="M48" s="61">
        <f t="shared" si="21"/>
        <v>260.03314401940338</v>
      </c>
      <c r="N48" s="61">
        <f t="shared" si="22"/>
        <v>15.457256211968335</v>
      </c>
      <c r="O48" s="62">
        <v>1</v>
      </c>
      <c r="P48" s="54">
        <v>2.5000000000000001E-2</v>
      </c>
      <c r="Q48" s="54">
        <f t="shared" si="4"/>
        <v>2.5000000000000001E-2</v>
      </c>
      <c r="R48" s="179">
        <f t="shared" si="23"/>
        <v>0.41109372330114724</v>
      </c>
      <c r="S48" s="179">
        <f t="shared" si="5"/>
        <v>106.89799335663999</v>
      </c>
      <c r="T48" s="183">
        <f t="shared" si="6"/>
        <v>6.3543810081978505</v>
      </c>
      <c r="U48" s="1"/>
      <c r="V48" s="62">
        <f t="shared" si="7"/>
        <v>423.16265392057181</v>
      </c>
      <c r="W48" s="61">
        <f t="shared" si="24"/>
        <v>391.8172721486776</v>
      </c>
      <c r="X48" s="61">
        <f t="shared" si="25"/>
        <v>22.733799310427052</v>
      </c>
      <c r="Y48" s="62">
        <v>1</v>
      </c>
      <c r="Z48" s="54">
        <v>2.5000000000000001E-2</v>
      </c>
      <c r="AA48" s="54">
        <f t="shared" si="8"/>
        <v>2.5000000000000001E-2</v>
      </c>
      <c r="AB48" s="179">
        <f t="shared" si="26"/>
        <v>0.41109372330114724</v>
      </c>
      <c r="AC48" s="179">
        <f t="shared" si="9"/>
        <v>161.07362126129877</v>
      </c>
      <c r="AD48" s="183">
        <f t="shared" si="10"/>
        <v>9.3457222033045113</v>
      </c>
      <c r="AE48" s="1"/>
      <c r="AF48" s="62">
        <f t="shared" si="11"/>
        <v>135.86859775991127</v>
      </c>
      <c r="AG48" s="61">
        <f t="shared" si="27"/>
        <v>125.80425718510301</v>
      </c>
      <c r="AH48" s="61">
        <f t="shared" si="28"/>
        <v>7.7521066744075835</v>
      </c>
      <c r="AI48" s="62">
        <v>1</v>
      </c>
      <c r="AJ48" s="54">
        <v>2.5000000000000001E-2</v>
      </c>
      <c r="AK48" s="54">
        <f t="shared" si="12"/>
        <v>2.5000000000000001E-2</v>
      </c>
      <c r="AL48" s="179">
        <f t="shared" si="29"/>
        <v>0.41109372330114724</v>
      </c>
      <c r="AM48" s="179">
        <f t="shared" si="13"/>
        <v>51.717340493359103</v>
      </c>
      <c r="AN48" s="183">
        <f t="shared" si="14"/>
        <v>3.186842396209888</v>
      </c>
      <c r="AO48" s="1"/>
      <c r="AP48" s="61">
        <f t="shared" si="30"/>
        <v>273.22236666143368</v>
      </c>
      <c r="AQ48" s="61">
        <f t="shared" si="31"/>
        <v>252.98367283466087</v>
      </c>
      <c r="AR48" s="61">
        <f t="shared" si="32"/>
        <v>6.3245918208665213</v>
      </c>
      <c r="AS48" s="62">
        <v>1</v>
      </c>
      <c r="AT48" s="54">
        <v>2.5000000000000001E-2</v>
      </c>
      <c r="AU48" s="54">
        <f t="shared" si="15"/>
        <v>2.5000000000000001E-2</v>
      </c>
      <c r="AV48" s="179">
        <f t="shared" si="33"/>
        <v>0.41109372330114724</v>
      </c>
      <c r="AW48" s="179">
        <f t="shared" si="16"/>
        <v>104.00000000000003</v>
      </c>
      <c r="AX48" s="183">
        <f t="shared" si="17"/>
        <v>2.6000000000000005</v>
      </c>
      <c r="AY48" s="1"/>
      <c r="AZ48" s="1"/>
      <c r="BA48" s="1"/>
      <c r="BB48" s="1"/>
      <c r="BC48" s="1"/>
      <c r="BD48" s="1"/>
      <c r="BE48" s="1"/>
      <c r="BF48" s="1"/>
      <c r="BG48" s="1"/>
      <c r="BH48" s="1"/>
      <c r="BI48" s="1"/>
    </row>
    <row r="49" spans="1:61" x14ac:dyDescent="0.3">
      <c r="A49" s="47">
        <f t="shared" si="18"/>
        <v>2049</v>
      </c>
      <c r="B49" s="62">
        <f t="shared" si="0"/>
        <v>196.70067873301588</v>
      </c>
      <c r="C49" s="62">
        <f t="shared" si="34"/>
        <v>182.13025808612579</v>
      </c>
      <c r="D49" s="62">
        <f t="shared" si="35"/>
        <v>11.050599928821116</v>
      </c>
      <c r="E49" s="62">
        <v>1</v>
      </c>
      <c r="F49" s="54">
        <v>2.5000000000000001E-2</v>
      </c>
      <c r="G49" s="54">
        <f t="shared" si="37"/>
        <v>2.5000000000000001E-2</v>
      </c>
      <c r="H49" s="179">
        <f t="shared" si="20"/>
        <v>0.40106704712307051</v>
      </c>
      <c r="I49" s="179">
        <f t="shared" si="1"/>
        <v>73.046444802365201</v>
      </c>
      <c r="J49" s="183">
        <f t="shared" si="2"/>
        <v>4.4320314823906983</v>
      </c>
      <c r="K49" s="1"/>
      <c r="L49" s="112">
        <f t="shared" si="3"/>
        <v>289.84591000414349</v>
      </c>
      <c r="M49" s="61">
        <f t="shared" si="21"/>
        <v>268.37584259642915</v>
      </c>
      <c r="N49" s="61">
        <f t="shared" si="22"/>
        <v>15.95864188268008</v>
      </c>
      <c r="O49" s="62">
        <v>1</v>
      </c>
      <c r="P49" s="54">
        <v>2.5000000000000001E-2</v>
      </c>
      <c r="Q49" s="54">
        <f t="shared" si="4"/>
        <v>2.5000000000000001E-2</v>
      </c>
      <c r="R49" s="179">
        <f t="shared" si="23"/>
        <v>0.40106704712307051</v>
      </c>
      <c r="S49" s="179">
        <f t="shared" si="5"/>
        <v>107.6367067093158</v>
      </c>
      <c r="T49" s="183">
        <f t="shared" si="6"/>
        <v>6.4004853759810585</v>
      </c>
      <c r="U49" s="1"/>
      <c r="V49" s="62">
        <f t="shared" si="7"/>
        <v>440.65511106826256</v>
      </c>
      <c r="W49" s="61">
        <f t="shared" si="24"/>
        <v>408.01399172987271</v>
      </c>
      <c r="X49" s="61">
        <f t="shared" si="25"/>
        <v>23.685340117272087</v>
      </c>
      <c r="Y49" s="62">
        <v>1</v>
      </c>
      <c r="Z49" s="54">
        <v>2.5000000000000001E-2</v>
      </c>
      <c r="AA49" s="54">
        <f t="shared" si="8"/>
        <v>2.5000000000000001E-2</v>
      </c>
      <c r="AB49" s="179">
        <f t="shared" si="26"/>
        <v>0.40106704712307051</v>
      </c>
      <c r="AC49" s="179">
        <f t="shared" si="9"/>
        <v>163.64096684799696</v>
      </c>
      <c r="AD49" s="183">
        <f t="shared" si="10"/>
        <v>9.4994094209399158</v>
      </c>
      <c r="AE49" s="1"/>
      <c r="AF49" s="62">
        <f t="shared" si="11"/>
        <v>138.62814632358612</v>
      </c>
      <c r="AG49" s="61">
        <f t="shared" si="27"/>
        <v>128.35939474406121</v>
      </c>
      <c r="AH49" s="61">
        <f t="shared" si="28"/>
        <v>7.9053519018236909</v>
      </c>
      <c r="AI49" s="62">
        <v>1</v>
      </c>
      <c r="AJ49" s="54">
        <v>2.5000000000000001E-2</v>
      </c>
      <c r="AK49" s="54">
        <f t="shared" si="12"/>
        <v>2.5000000000000001E-2</v>
      </c>
      <c r="AL49" s="179">
        <f t="shared" si="29"/>
        <v>0.40106704712307051</v>
      </c>
      <c r="AM49" s="179">
        <f t="shared" si="13"/>
        <v>51.480723420505207</v>
      </c>
      <c r="AN49" s="183">
        <f t="shared" si="14"/>
        <v>3.1705761437331774</v>
      </c>
      <c r="AO49" s="1"/>
      <c r="AP49" s="61">
        <f t="shared" si="30"/>
        <v>280.05292582796949</v>
      </c>
      <c r="AQ49" s="61">
        <f t="shared" si="31"/>
        <v>259.30826465552735</v>
      </c>
      <c r="AR49" s="61">
        <f t="shared" si="32"/>
        <v>6.4827066163881835</v>
      </c>
      <c r="AS49" s="62">
        <v>1</v>
      </c>
      <c r="AT49" s="54">
        <v>2.5000000000000001E-2</v>
      </c>
      <c r="AU49" s="54">
        <f t="shared" si="15"/>
        <v>2.5000000000000001E-2</v>
      </c>
      <c r="AV49" s="179">
        <f t="shared" si="33"/>
        <v>0.40106704712307051</v>
      </c>
      <c r="AW49" s="179">
        <f t="shared" si="16"/>
        <v>104.00000000000003</v>
      </c>
      <c r="AX49" s="183">
        <f t="shared" si="17"/>
        <v>2.6000000000000005</v>
      </c>
      <c r="AY49" s="1"/>
      <c r="AZ49" s="1"/>
      <c r="BA49" s="1"/>
      <c r="BB49" s="1"/>
      <c r="BC49" s="1"/>
      <c r="BD49" s="1"/>
      <c r="BE49" s="1"/>
      <c r="BF49" s="1"/>
      <c r="BG49" s="1"/>
      <c r="BH49" s="1"/>
      <c r="BI49" s="1"/>
    </row>
    <row r="50" spans="1:61" x14ac:dyDescent="0.3">
      <c r="A50" s="47">
        <f t="shared" si="18"/>
        <v>2050</v>
      </c>
      <c r="B50" s="62">
        <f t="shared" si="0"/>
        <v>201.61819570134125</v>
      </c>
      <c r="C50" s="62">
        <f t="shared" si="34"/>
        <v>186.68351453827893</v>
      </c>
      <c r="D50" s="62">
        <f t="shared" si="35"/>
        <v>11.326864927041642</v>
      </c>
      <c r="E50" s="62">
        <v>1</v>
      </c>
      <c r="F50" s="54">
        <v>2.5000000000000001E-2</v>
      </c>
      <c r="G50" s="54">
        <f t="shared" si="37"/>
        <v>2.5000000000000001E-2</v>
      </c>
      <c r="H50" s="179">
        <f t="shared" si="20"/>
        <v>0.39128492402250786</v>
      </c>
      <c r="I50" s="179">
        <f t="shared" si="1"/>
        <v>73.046444802365215</v>
      </c>
      <c r="J50" s="183">
        <f t="shared" si="2"/>
        <v>4.4320314823906983</v>
      </c>
      <c r="K50" s="1"/>
      <c r="L50" s="112">
        <f t="shared" si="3"/>
        <v>299.11111562253097</v>
      </c>
      <c r="M50" s="61">
        <f t="shared" si="21"/>
        <v>276.95473668752868</v>
      </c>
      <c r="N50" s="61">
        <f t="shared" si="22"/>
        <v>16.474286509140807</v>
      </c>
      <c r="O50" s="62">
        <v>1</v>
      </c>
      <c r="P50" s="54">
        <v>2.5000000000000001E-2</v>
      </c>
      <c r="Q50" s="54">
        <f t="shared" si="4"/>
        <v>2.5000000000000001E-2</v>
      </c>
      <c r="R50" s="179">
        <f t="shared" si="23"/>
        <v>0.39128492402250786</v>
      </c>
      <c r="S50" s="179">
        <f t="shared" si="5"/>
        <v>108.36821310245332</v>
      </c>
      <c r="T50" s="183">
        <f t="shared" si="6"/>
        <v>6.4461399450541874</v>
      </c>
      <c r="U50" s="1"/>
      <c r="V50" s="62">
        <f t="shared" si="7"/>
        <v>458.79228136863588</v>
      </c>
      <c r="W50" s="61">
        <f t="shared" si="24"/>
        <v>424.80766793392206</v>
      </c>
      <c r="X50" s="61">
        <f t="shared" si="25"/>
        <v>24.672165319010777</v>
      </c>
      <c r="Y50" s="62">
        <v>1</v>
      </c>
      <c r="Z50" s="54">
        <v>2.5000000000000001E-2</v>
      </c>
      <c r="AA50" s="54">
        <f t="shared" si="8"/>
        <v>2.5000000000000001E-2</v>
      </c>
      <c r="AB50" s="179">
        <f t="shared" si="26"/>
        <v>0.39128492402250786</v>
      </c>
      <c r="AC50" s="179">
        <f t="shared" si="9"/>
        <v>166.22083607170345</v>
      </c>
      <c r="AD50" s="183">
        <f t="shared" si="10"/>
        <v>9.6538463323198851</v>
      </c>
      <c r="AE50" s="1"/>
      <c r="AF50" s="62">
        <f t="shared" si="11"/>
        <v>141.46624109705769</v>
      </c>
      <c r="AG50" s="61">
        <f t="shared" si="27"/>
        <v>130.98726027505342</v>
      </c>
      <c r="AH50" s="61">
        <f t="shared" si="28"/>
        <v>8.0630366215168614</v>
      </c>
      <c r="AI50" s="62">
        <v>1</v>
      </c>
      <c r="AJ50" s="54">
        <v>2.5000000000000001E-2</v>
      </c>
      <c r="AK50" s="54">
        <f t="shared" si="12"/>
        <v>2.5000000000000001E-2</v>
      </c>
      <c r="AL50" s="179">
        <f t="shared" si="29"/>
        <v>0.39128492402250786</v>
      </c>
      <c r="AM50" s="179">
        <f t="shared" si="13"/>
        <v>51.253340184640741</v>
      </c>
      <c r="AN50" s="183">
        <f t="shared" si="14"/>
        <v>3.1549446718409238</v>
      </c>
      <c r="AO50" s="1"/>
      <c r="AP50" s="61">
        <f t="shared" si="30"/>
        <v>287.05424897366868</v>
      </c>
      <c r="AQ50" s="61">
        <f t="shared" si="31"/>
        <v>265.79097127191551</v>
      </c>
      <c r="AR50" s="61">
        <f t="shared" si="32"/>
        <v>6.6447742817978872</v>
      </c>
      <c r="AS50" s="62">
        <v>1</v>
      </c>
      <c r="AT50" s="54">
        <v>2.5000000000000001E-2</v>
      </c>
      <c r="AU50" s="54">
        <f t="shared" si="15"/>
        <v>2.5000000000000001E-2</v>
      </c>
      <c r="AV50" s="179">
        <f t="shared" si="33"/>
        <v>0.39128492402250786</v>
      </c>
      <c r="AW50" s="179">
        <f t="shared" si="16"/>
        <v>104.00000000000003</v>
      </c>
      <c r="AX50" s="183">
        <f t="shared" si="17"/>
        <v>2.6000000000000005</v>
      </c>
      <c r="AY50" s="1"/>
      <c r="AZ50" s="1"/>
      <c r="BA50" s="1"/>
      <c r="BB50" s="1"/>
      <c r="BC50" s="1"/>
      <c r="BD50" s="1"/>
      <c r="BE50" s="1"/>
      <c r="BF50" s="1"/>
      <c r="BG50" s="1"/>
      <c r="BH50" s="1"/>
      <c r="BI50" s="1"/>
    </row>
    <row r="51" spans="1:61" x14ac:dyDescent="0.3">
      <c r="A51" s="47">
        <f t="shared" si="18"/>
        <v>2051</v>
      </c>
      <c r="B51" s="62">
        <f t="shared" si="0"/>
        <v>206.6586505938748</v>
      </c>
      <c r="C51" s="62">
        <f t="shared" si="34"/>
        <v>191.3506024017359</v>
      </c>
      <c r="D51" s="62">
        <f t="shared" si="35"/>
        <v>11.610036550217682</v>
      </c>
      <c r="E51" s="62">
        <v>1</v>
      </c>
      <c r="F51" s="54">
        <v>2.5000000000000001E-2</v>
      </c>
      <c r="G51" s="54">
        <f t="shared" si="37"/>
        <v>2.5000000000000001E-2</v>
      </c>
      <c r="H51" s="179">
        <f t="shared" si="20"/>
        <v>0.38174138929025159</v>
      </c>
      <c r="I51" s="179">
        <f t="shared" si="1"/>
        <v>73.046444802365215</v>
      </c>
      <c r="J51" s="183">
        <f t="shared" si="2"/>
        <v>4.4320314823906974</v>
      </c>
      <c r="K51" s="1"/>
      <c r="L51" s="112">
        <f t="shared" si="3"/>
        <v>308.63823724940244</v>
      </c>
      <c r="M51" s="61">
        <f t="shared" si="21"/>
        <v>285.77614560129854</v>
      </c>
      <c r="N51" s="61">
        <f t="shared" si="22"/>
        <v>17.00457242995396</v>
      </c>
      <c r="O51" s="62">
        <v>1</v>
      </c>
      <c r="P51" s="54">
        <v>2.5000000000000001E-2</v>
      </c>
      <c r="Q51" s="54">
        <f t="shared" si="4"/>
        <v>2.5000000000000001E-2</v>
      </c>
      <c r="R51" s="179">
        <f t="shared" si="23"/>
        <v>0.38174138929025159</v>
      </c>
      <c r="S51" s="179">
        <f t="shared" si="5"/>
        <v>109.09258284785292</v>
      </c>
      <c r="T51" s="183">
        <f t="shared" si="6"/>
        <v>6.4913491036973339</v>
      </c>
      <c r="U51" s="1"/>
      <c r="V51" s="62">
        <f t="shared" si="7"/>
        <v>477.59650470222851</v>
      </c>
      <c r="W51" s="61">
        <f t="shared" si="24"/>
        <v>442.21898583539672</v>
      </c>
      <c r="X51" s="61">
        <f t="shared" si="25"/>
        <v>25.69550190175714</v>
      </c>
      <c r="Y51" s="62">
        <v>1</v>
      </c>
      <c r="Z51" s="54">
        <v>2.5000000000000001E-2</v>
      </c>
      <c r="AA51" s="54">
        <f t="shared" si="8"/>
        <v>2.5000000000000001E-2</v>
      </c>
      <c r="AB51" s="179">
        <f t="shared" si="26"/>
        <v>0.38174138929025159</v>
      </c>
      <c r="AC51" s="179">
        <f t="shared" si="9"/>
        <v>168.81329002333044</v>
      </c>
      <c r="AD51" s="183">
        <f t="shared" si="10"/>
        <v>9.8090365944870719</v>
      </c>
      <c r="AE51" s="1"/>
      <c r="AF51" s="62">
        <f t="shared" si="11"/>
        <v>144.38470237313538</v>
      </c>
      <c r="AG51" s="61">
        <f t="shared" si="27"/>
        <v>133.6895392343846</v>
      </c>
      <c r="AH51" s="61">
        <f t="shared" si="28"/>
        <v>8.225262695370148</v>
      </c>
      <c r="AI51" s="62">
        <v>1</v>
      </c>
      <c r="AJ51" s="54">
        <v>2.5000000000000001E-2</v>
      </c>
      <c r="AK51" s="54">
        <f t="shared" si="12"/>
        <v>2.5000000000000001E-2</v>
      </c>
      <c r="AL51" s="179">
        <f t="shared" si="29"/>
        <v>0.38174138929025159</v>
      </c>
      <c r="AM51" s="179">
        <f t="shared" si="13"/>
        <v>51.034830440907577</v>
      </c>
      <c r="AN51" s="183">
        <f t="shared" si="14"/>
        <v>3.1399232086078799</v>
      </c>
      <c r="AO51" s="1"/>
      <c r="AP51" s="61">
        <f t="shared" si="30"/>
        <v>294.23060519801038</v>
      </c>
      <c r="AQ51" s="61">
        <f t="shared" si="31"/>
        <v>272.43574555371339</v>
      </c>
      <c r="AR51" s="61">
        <f t="shared" si="32"/>
        <v>6.8108936388428338</v>
      </c>
      <c r="AS51" s="62">
        <v>1</v>
      </c>
      <c r="AT51" s="54">
        <v>2.5000000000000001E-2</v>
      </c>
      <c r="AU51" s="54">
        <f t="shared" si="15"/>
        <v>2.5000000000000001E-2</v>
      </c>
      <c r="AV51" s="179">
        <f t="shared" si="33"/>
        <v>0.38174138929025159</v>
      </c>
      <c r="AW51" s="179">
        <f t="shared" si="16"/>
        <v>104.00000000000003</v>
      </c>
      <c r="AX51" s="183">
        <f t="shared" si="17"/>
        <v>2.6000000000000005</v>
      </c>
      <c r="AY51" s="1"/>
      <c r="AZ51" s="1"/>
      <c r="BA51" s="1"/>
      <c r="BB51" s="1"/>
      <c r="BC51" s="1"/>
      <c r="BD51" s="1"/>
      <c r="BE51" s="1"/>
      <c r="BF51" s="1"/>
      <c r="BG51" s="1"/>
      <c r="BH51" s="1"/>
      <c r="BI51" s="1"/>
    </row>
    <row r="52" spans="1:61" x14ac:dyDescent="0.3">
      <c r="A52" s="47">
        <f t="shared" si="18"/>
        <v>2052</v>
      </c>
      <c r="B52" s="62">
        <f t="shared" si="0"/>
        <v>211.82511685872163</v>
      </c>
      <c r="C52" s="62">
        <f t="shared" si="34"/>
        <v>196.13436746177928</v>
      </c>
      <c r="D52" s="62">
        <f t="shared" si="35"/>
        <v>11.900287463973124</v>
      </c>
      <c r="E52" s="62">
        <v>1</v>
      </c>
      <c r="F52" s="54">
        <v>2.5000000000000001E-2</v>
      </c>
      <c r="G52" s="54">
        <f t="shared" si="37"/>
        <v>2.5000000000000001E-2</v>
      </c>
      <c r="H52" s="179">
        <f t="shared" si="20"/>
        <v>0.37243062369780644</v>
      </c>
      <c r="I52" s="179">
        <f t="shared" si="1"/>
        <v>73.046444802365215</v>
      </c>
      <c r="J52" s="183">
        <f t="shared" si="2"/>
        <v>4.4320314823906974</v>
      </c>
      <c r="K52" s="1"/>
      <c r="L52" s="112">
        <f t="shared" si="3"/>
        <v>318.43427707299031</v>
      </c>
      <c r="M52" s="61">
        <f t="shared" si="21"/>
        <v>294.84655284536137</v>
      </c>
      <c r="N52" s="61">
        <f t="shared" si="22"/>
        <v>17.549891930158708</v>
      </c>
      <c r="O52" s="62">
        <v>1</v>
      </c>
      <c r="P52" s="54">
        <v>2.5000000000000001E-2</v>
      </c>
      <c r="Q52" s="54">
        <f t="shared" si="4"/>
        <v>2.5000000000000001E-2</v>
      </c>
      <c r="R52" s="179">
        <f t="shared" si="23"/>
        <v>0.37243062369780644</v>
      </c>
      <c r="S52" s="179">
        <f t="shared" si="5"/>
        <v>109.80988557134619</v>
      </c>
      <c r="T52" s="183">
        <f t="shared" si="6"/>
        <v>6.5361171973781076</v>
      </c>
      <c r="U52" s="1"/>
      <c r="V52" s="62">
        <f t="shared" si="7"/>
        <v>497.09086610814222</v>
      </c>
      <c r="W52" s="61">
        <f t="shared" si="24"/>
        <v>460.26932047050201</v>
      </c>
      <c r="X52" s="61">
        <f t="shared" si="25"/>
        <v>26.756617872565293</v>
      </c>
      <c r="Y52" s="62">
        <v>1</v>
      </c>
      <c r="Z52" s="54">
        <v>2.5000000000000001E-2</v>
      </c>
      <c r="AA52" s="54">
        <f t="shared" si="8"/>
        <v>2.5000000000000001E-2</v>
      </c>
      <c r="AB52" s="179">
        <f t="shared" si="26"/>
        <v>0.37243062369780644</v>
      </c>
      <c r="AC52" s="179">
        <f t="shared" si="9"/>
        <v>171.41839009179461</v>
      </c>
      <c r="AD52" s="183">
        <f t="shared" si="10"/>
        <v>9.9649838823233665</v>
      </c>
      <c r="AE52" s="1"/>
      <c r="AF52" s="62">
        <f t="shared" si="11"/>
        <v>147.38539810238521</v>
      </c>
      <c r="AG52" s="61">
        <f t="shared" si="27"/>
        <v>136.46796120591222</v>
      </c>
      <c r="AH52" s="61">
        <f t="shared" si="28"/>
        <v>8.3921346686950375</v>
      </c>
      <c r="AI52" s="62">
        <v>1</v>
      </c>
      <c r="AJ52" s="54">
        <v>2.5000000000000001E-2</v>
      </c>
      <c r="AK52" s="54">
        <f t="shared" si="12"/>
        <v>2.5000000000000001E-2</v>
      </c>
      <c r="AL52" s="179">
        <f t="shared" si="29"/>
        <v>0.37243062369780644</v>
      </c>
      <c r="AM52" s="179">
        <f t="shared" si="13"/>
        <v>50.824847906685939</v>
      </c>
      <c r="AN52" s="183">
        <f t="shared" si="14"/>
        <v>3.1254879488180771</v>
      </c>
      <c r="AO52" s="1"/>
      <c r="AP52" s="61">
        <f t="shared" si="30"/>
        <v>301.58637032796059</v>
      </c>
      <c r="AQ52" s="61">
        <f t="shared" si="31"/>
        <v>279.24663919255619</v>
      </c>
      <c r="AR52" s="61">
        <f t="shared" si="32"/>
        <v>6.9811659798139036</v>
      </c>
      <c r="AS52" s="62">
        <v>1</v>
      </c>
      <c r="AT52" s="54">
        <v>2.5000000000000001E-2</v>
      </c>
      <c r="AU52" s="54">
        <f t="shared" si="15"/>
        <v>2.5000000000000001E-2</v>
      </c>
      <c r="AV52" s="179">
        <f t="shared" si="33"/>
        <v>0.37243062369780644</v>
      </c>
      <c r="AW52" s="179">
        <f t="shared" si="16"/>
        <v>104.00000000000001</v>
      </c>
      <c r="AX52" s="183">
        <f t="shared" si="17"/>
        <v>2.6</v>
      </c>
      <c r="AY52" s="1"/>
      <c r="AZ52" s="1"/>
      <c r="BA52" s="1"/>
      <c r="BB52" s="1"/>
      <c r="BC52" s="1"/>
      <c r="BD52" s="1"/>
      <c r="BE52" s="1"/>
      <c r="BF52" s="1"/>
      <c r="BG52" s="1"/>
      <c r="BH52" s="1"/>
      <c r="BI52" s="1"/>
    </row>
    <row r="53" spans="1:61" x14ac:dyDescent="0.3">
      <c r="A53" s="47">
        <f t="shared" si="18"/>
        <v>2053</v>
      </c>
      <c r="B53" s="62">
        <f t="shared" si="0"/>
        <v>217.12074478018965</v>
      </c>
      <c r="C53" s="62">
        <f t="shared" si="34"/>
        <v>201.03772664832374</v>
      </c>
      <c r="D53" s="62">
        <f t="shared" si="35"/>
        <v>12.197794650572451</v>
      </c>
      <c r="E53" s="62">
        <v>1</v>
      </c>
      <c r="F53" s="54">
        <v>2.5000000000000001E-2</v>
      </c>
      <c r="G53" s="54">
        <f t="shared" si="37"/>
        <v>2.5000000000000001E-2</v>
      </c>
      <c r="H53" s="179">
        <f t="shared" si="20"/>
        <v>0.36334694994907951</v>
      </c>
      <c r="I53" s="179">
        <f t="shared" si="1"/>
        <v>73.046444802365215</v>
      </c>
      <c r="J53" s="183">
        <f t="shared" si="2"/>
        <v>4.4320314823906983</v>
      </c>
      <c r="K53" s="1"/>
      <c r="L53" s="112">
        <f t="shared" si="3"/>
        <v>328.50641915055314</v>
      </c>
      <c r="M53" s="61">
        <f t="shared" si="21"/>
        <v>304.17261032458623</v>
      </c>
      <c r="N53" s="61">
        <f t="shared" si="22"/>
        <v>18.110647495710417</v>
      </c>
      <c r="O53" s="62">
        <v>1</v>
      </c>
      <c r="P53" s="54">
        <v>2.5000000000000001E-2</v>
      </c>
      <c r="Q53" s="54">
        <f t="shared" si="4"/>
        <v>2.5000000000000001E-2</v>
      </c>
      <c r="R53" s="179">
        <f t="shared" si="23"/>
        <v>0.36334694994907951</v>
      </c>
      <c r="S53" s="179">
        <f t="shared" si="5"/>
        <v>110.5201902194883</v>
      </c>
      <c r="T53" s="183">
        <f t="shared" si="6"/>
        <v>6.5804485291693151</v>
      </c>
      <c r="U53" s="1"/>
      <c r="V53" s="62">
        <f t="shared" si="7"/>
        <v>517.29922001285456</v>
      </c>
      <c r="W53" s="61">
        <f t="shared" si="24"/>
        <v>478.98075927116156</v>
      </c>
      <c r="X53" s="61">
        <f t="shared" si="25"/>
        <v>27.856823595341581</v>
      </c>
      <c r="Y53" s="62">
        <v>1</v>
      </c>
      <c r="Z53" s="54">
        <v>2.5000000000000001E-2</v>
      </c>
      <c r="AA53" s="54">
        <f t="shared" si="8"/>
        <v>2.5000000000000001E-2</v>
      </c>
      <c r="AB53" s="179">
        <f t="shared" si="26"/>
        <v>0.36334694994907951</v>
      </c>
      <c r="AC53" s="179">
        <f t="shared" si="9"/>
        <v>174.03619796547085</v>
      </c>
      <c r="AD53" s="183">
        <f t="shared" si="10"/>
        <v>10.121691888636915</v>
      </c>
      <c r="AE53" s="1"/>
      <c r="AF53" s="62">
        <f t="shared" si="11"/>
        <v>150.47024505231744</v>
      </c>
      <c r="AG53" s="61">
        <f t="shared" si="27"/>
        <v>139.32430097436799</v>
      </c>
      <c r="AH53" s="61">
        <f t="shared" si="28"/>
        <v>8.563759835263939</v>
      </c>
      <c r="AI53" s="62">
        <v>1</v>
      </c>
      <c r="AJ53" s="54">
        <v>2.5000000000000001E-2</v>
      </c>
      <c r="AK53" s="54">
        <f t="shared" si="12"/>
        <v>2.5000000000000001E-2</v>
      </c>
      <c r="AL53" s="179">
        <f t="shared" si="29"/>
        <v>0.36334694994907951</v>
      </c>
      <c r="AM53" s="179">
        <f t="shared" si="13"/>
        <v>50.623059812824174</v>
      </c>
      <c r="AN53" s="183">
        <f t="shared" si="14"/>
        <v>3.1116160162395841</v>
      </c>
      <c r="AO53" s="1"/>
      <c r="AP53" s="61">
        <f t="shared" si="30"/>
        <v>309.12602958615958</v>
      </c>
      <c r="AQ53" s="61">
        <f t="shared" si="31"/>
        <v>286.22780517237004</v>
      </c>
      <c r="AR53" s="61">
        <f t="shared" si="32"/>
        <v>7.155695129309251</v>
      </c>
      <c r="AS53" s="62">
        <v>1</v>
      </c>
      <c r="AT53" s="54">
        <v>2.5000000000000001E-2</v>
      </c>
      <c r="AU53" s="54">
        <f t="shared" si="15"/>
        <v>2.5000000000000001E-2</v>
      </c>
      <c r="AV53" s="179">
        <f t="shared" si="33"/>
        <v>0.36334694994907951</v>
      </c>
      <c r="AW53" s="179">
        <f t="shared" si="16"/>
        <v>104.00000000000001</v>
      </c>
      <c r="AX53" s="183">
        <f t="shared" si="17"/>
        <v>2.6000000000000005</v>
      </c>
      <c r="AY53" s="1"/>
      <c r="AZ53" s="1"/>
      <c r="BA53" s="1"/>
      <c r="BB53" s="1"/>
      <c r="BC53" s="1"/>
      <c r="BD53" s="1"/>
      <c r="BE53" s="1"/>
      <c r="BF53" s="1"/>
      <c r="BG53" s="1"/>
      <c r="BH53" s="1"/>
      <c r="BI53" s="1"/>
    </row>
    <row r="54" spans="1:61" x14ac:dyDescent="0.3">
      <c r="A54" s="47">
        <f t="shared" si="18"/>
        <v>2054</v>
      </c>
      <c r="B54" s="62">
        <f t="shared" si="0"/>
        <v>222.54876339969437</v>
      </c>
      <c r="C54" s="62">
        <f t="shared" si="34"/>
        <v>206.06366981453181</v>
      </c>
      <c r="D54" s="62">
        <f t="shared" si="35"/>
        <v>12.502739516836762</v>
      </c>
      <c r="E54" s="62">
        <v>1</v>
      </c>
      <c r="F54" s="54">
        <v>2.5000000000000001E-2</v>
      </c>
      <c r="G54" s="54">
        <f t="shared" si="37"/>
        <v>2.5000000000000001E-2</v>
      </c>
      <c r="H54" s="179">
        <f t="shared" si="20"/>
        <v>0.35448482921861418</v>
      </c>
      <c r="I54" s="179">
        <f t="shared" si="1"/>
        <v>73.046444802365215</v>
      </c>
      <c r="J54" s="183">
        <f t="shared" si="2"/>
        <v>4.4320314823906983</v>
      </c>
      <c r="K54" s="1"/>
      <c r="L54" s="112">
        <f t="shared" si="3"/>
        <v>338.86203405731618</v>
      </c>
      <c r="M54" s="61">
        <f t="shared" si="21"/>
        <v>313.76114264566309</v>
      </c>
      <c r="N54" s="61">
        <f t="shared" si="22"/>
        <v>18.687252074410381</v>
      </c>
      <c r="O54" s="62">
        <v>1</v>
      </c>
      <c r="P54" s="54">
        <v>2.5000000000000001E-2</v>
      </c>
      <c r="Q54" s="54">
        <f t="shared" si="4"/>
        <v>2.5000000000000001E-2</v>
      </c>
      <c r="R54" s="179">
        <f t="shared" si="23"/>
        <v>0.35448482921861418</v>
      </c>
      <c r="S54" s="179">
        <f t="shared" si="5"/>
        <v>111.22356506618512</v>
      </c>
      <c r="T54" s="183">
        <f t="shared" si="6"/>
        <v>6.6243473601625578</v>
      </c>
      <c r="U54" s="1"/>
      <c r="V54" s="62">
        <f t="shared" si="7"/>
        <v>538.24621523274482</v>
      </c>
      <c r="W54" s="61">
        <f t="shared" si="24"/>
        <v>498.37612521550443</v>
      </c>
      <c r="X54" s="61">
        <f t="shared" si="25"/>
        <v>28.99747316946614</v>
      </c>
      <c r="Y54" s="62">
        <v>1</v>
      </c>
      <c r="Z54" s="54">
        <v>2.5000000000000001E-2</v>
      </c>
      <c r="AA54" s="54">
        <f t="shared" si="8"/>
        <v>2.5000000000000001E-2</v>
      </c>
      <c r="AB54" s="179">
        <f t="shared" si="26"/>
        <v>0.35448482921861418</v>
      </c>
      <c r="AC54" s="179">
        <f t="shared" si="9"/>
        <v>176.66677563365278</v>
      </c>
      <c r="AD54" s="183">
        <f t="shared" si="10"/>
        <v>10.279164324249551</v>
      </c>
      <c r="AE54" s="1"/>
      <c r="AF54" s="62">
        <f t="shared" si="11"/>
        <v>153.64120999603739</v>
      </c>
      <c r="AG54" s="61">
        <f t="shared" si="27"/>
        <v>142.26037962596052</v>
      </c>
      <c r="AH54" s="61">
        <f t="shared" si="28"/>
        <v>8.7402483039992909</v>
      </c>
      <c r="AI54" s="62">
        <v>1</v>
      </c>
      <c r="AJ54" s="54">
        <v>2.5000000000000001E-2</v>
      </c>
      <c r="AK54" s="54">
        <f t="shared" si="12"/>
        <v>2.5000000000000001E-2</v>
      </c>
      <c r="AL54" s="179">
        <f t="shared" si="29"/>
        <v>0.35448482921861418</v>
      </c>
      <c r="AM54" s="179">
        <f t="shared" si="13"/>
        <v>50.429146376283839</v>
      </c>
      <c r="AN54" s="183">
        <f t="shared" si="14"/>
        <v>3.0982854273714708</v>
      </c>
      <c r="AO54" s="1"/>
      <c r="AP54" s="61">
        <f t="shared" si="30"/>
        <v>316.85418032581356</v>
      </c>
      <c r="AQ54" s="61">
        <f t="shared" si="31"/>
        <v>293.38350030167925</v>
      </c>
      <c r="AR54" s="61">
        <f t="shared" si="32"/>
        <v>7.3345875075419817</v>
      </c>
      <c r="AS54" s="62">
        <v>1</v>
      </c>
      <c r="AT54" s="54">
        <v>2.5000000000000001E-2</v>
      </c>
      <c r="AU54" s="54">
        <f t="shared" si="15"/>
        <v>2.5000000000000001E-2</v>
      </c>
      <c r="AV54" s="179">
        <f t="shared" si="33"/>
        <v>0.35448482921861418</v>
      </c>
      <c r="AW54" s="179">
        <f t="shared" si="16"/>
        <v>104.00000000000001</v>
      </c>
      <c r="AX54" s="183">
        <f t="shared" si="17"/>
        <v>2.6000000000000005</v>
      </c>
      <c r="AY54" s="1"/>
      <c r="AZ54" s="1"/>
      <c r="BA54" s="1"/>
      <c r="BB54" s="1"/>
      <c r="BC54" s="1"/>
      <c r="BD54" s="1"/>
      <c r="BE54" s="1"/>
      <c r="BF54" s="1"/>
      <c r="BG54" s="1"/>
      <c r="BH54" s="1"/>
      <c r="BI54" s="1"/>
    </row>
    <row r="55" spans="1:61" x14ac:dyDescent="0.3">
      <c r="A55" s="47">
        <f t="shared" si="18"/>
        <v>2055</v>
      </c>
      <c r="B55" s="62">
        <f t="shared" si="0"/>
        <v>228.11248248468669</v>
      </c>
      <c r="C55" s="62">
        <f t="shared" si="34"/>
        <v>211.21526155989508</v>
      </c>
      <c r="D55" s="62">
        <f t="shared" si="35"/>
        <v>12.81530800475768</v>
      </c>
      <c r="E55" s="62">
        <v>1</v>
      </c>
      <c r="F55" s="54">
        <v>2.5000000000000001E-2</v>
      </c>
      <c r="G55" s="54">
        <f t="shared" si="37"/>
        <v>2.5000000000000001E-2</v>
      </c>
      <c r="H55" s="179">
        <f t="shared" si="20"/>
        <v>0.34583885777425777</v>
      </c>
      <c r="I55" s="179">
        <f t="shared" si="1"/>
        <v>73.046444802365215</v>
      </c>
      <c r="J55" s="183">
        <f t="shared" si="2"/>
        <v>4.4320314823906983</v>
      </c>
      <c r="K55" s="1"/>
      <c r="L55" s="112">
        <f t="shared" si="3"/>
        <v>349.50868365316819</v>
      </c>
      <c r="M55" s="61">
        <f t="shared" si="21"/>
        <v>323.61915153071129</v>
      </c>
      <c r="N55" s="61">
        <f t="shared" si="22"/>
        <v>19.280129343447456</v>
      </c>
      <c r="O55" s="62">
        <v>1</v>
      </c>
      <c r="P55" s="54">
        <v>2.5000000000000001E-2</v>
      </c>
      <c r="Q55" s="54">
        <f t="shared" si="4"/>
        <v>2.5000000000000001E-2</v>
      </c>
      <c r="R55" s="179">
        <f t="shared" si="23"/>
        <v>0.34583885777425777</v>
      </c>
      <c r="S55" s="179">
        <f t="shared" si="5"/>
        <v>111.92007771925563</v>
      </c>
      <c r="T55" s="183">
        <f t="shared" si="6"/>
        <v>6.6678179098778187</v>
      </c>
      <c r="U55" s="1"/>
      <c r="V55" s="62">
        <f t="shared" si="7"/>
        <v>559.95732077471951</v>
      </c>
      <c r="W55" s="61">
        <f t="shared" si="24"/>
        <v>518.47900071733284</v>
      </c>
      <c r="X55" s="61">
        <f t="shared" si="25"/>
        <v>30.179965852471042</v>
      </c>
      <c r="Y55" s="62">
        <v>1</v>
      </c>
      <c r="Z55" s="54">
        <v>2.5000000000000001E-2</v>
      </c>
      <c r="AA55" s="54">
        <f t="shared" si="8"/>
        <v>2.5000000000000001E-2</v>
      </c>
      <c r="AB55" s="179">
        <f t="shared" si="26"/>
        <v>0.34583885777425777</v>
      </c>
      <c r="AC55" s="179">
        <f t="shared" si="9"/>
        <v>179.31018538802095</v>
      </c>
      <c r="AD55" s="183">
        <f t="shared" si="10"/>
        <v>10.437404918084688</v>
      </c>
      <c r="AE55" s="1"/>
      <c r="AF55" s="62">
        <f t="shared" si="11"/>
        <v>156.90031093108917</v>
      </c>
      <c r="AG55" s="61">
        <f t="shared" si="27"/>
        <v>145.2780656769344</v>
      </c>
      <c r="AH55" s="61">
        <f t="shared" si="28"/>
        <v>8.9217130673602192</v>
      </c>
      <c r="AI55" s="62">
        <v>1</v>
      </c>
      <c r="AJ55" s="54">
        <v>2.5000000000000001E-2</v>
      </c>
      <c r="AK55" s="54">
        <f t="shared" si="12"/>
        <v>2.5000000000000001E-2</v>
      </c>
      <c r="AL55" s="179">
        <f t="shared" si="29"/>
        <v>0.34583885777425777</v>
      </c>
      <c r="AM55" s="179">
        <f t="shared" si="13"/>
        <v>50.242800293364596</v>
      </c>
      <c r="AN55" s="183">
        <f t="shared" si="14"/>
        <v>3.085475056605528</v>
      </c>
      <c r="AO55" s="1"/>
      <c r="AP55" s="61">
        <f t="shared" si="30"/>
        <v>324.77553483395889</v>
      </c>
      <c r="AQ55" s="61">
        <f t="shared" si="31"/>
        <v>300.71808780922123</v>
      </c>
      <c r="AR55" s="61">
        <f t="shared" si="32"/>
        <v>7.5179521952305306</v>
      </c>
      <c r="AS55" s="62">
        <v>1</v>
      </c>
      <c r="AT55" s="54">
        <v>2.5000000000000001E-2</v>
      </c>
      <c r="AU55" s="54">
        <f t="shared" si="15"/>
        <v>2.5000000000000001E-2</v>
      </c>
      <c r="AV55" s="179">
        <f t="shared" si="33"/>
        <v>0.34583885777425777</v>
      </c>
      <c r="AW55" s="179">
        <f t="shared" si="16"/>
        <v>104.00000000000001</v>
      </c>
      <c r="AX55" s="183">
        <f t="shared" si="17"/>
        <v>2.6000000000000005</v>
      </c>
      <c r="AY55" s="1"/>
      <c r="AZ55" s="1"/>
      <c r="BA55" s="1"/>
      <c r="BB55" s="1"/>
      <c r="BC55" s="1"/>
      <c r="BD55" s="1"/>
      <c r="BE55" s="1"/>
      <c r="BF55" s="1"/>
      <c r="BG55" s="1"/>
      <c r="BH55" s="1"/>
      <c r="BI55" s="1"/>
    </row>
    <row r="56" spans="1:61" x14ac:dyDescent="0.3">
      <c r="A56" s="47">
        <f t="shared" si="18"/>
        <v>2056</v>
      </c>
      <c r="B56" s="62">
        <f t="shared" si="0"/>
        <v>233.81529454680384</v>
      </c>
      <c r="C56" s="62">
        <f t="shared" si="34"/>
        <v>216.49564309889243</v>
      </c>
      <c r="D56" s="62">
        <f t="shared" si="35"/>
        <v>13.135690704876621</v>
      </c>
      <c r="E56" s="62">
        <v>1</v>
      </c>
      <c r="F56" s="54">
        <v>2.5000000000000001E-2</v>
      </c>
      <c r="G56" s="54">
        <f t="shared" si="37"/>
        <v>2.5000000000000001E-2</v>
      </c>
      <c r="H56" s="179">
        <f t="shared" si="20"/>
        <v>0.33740376368220271</v>
      </c>
      <c r="I56" s="179">
        <f t="shared" si="1"/>
        <v>73.046444802365201</v>
      </c>
      <c r="J56" s="183">
        <f t="shared" si="2"/>
        <v>4.4320314823906983</v>
      </c>
      <c r="K56" s="1"/>
      <c r="L56" s="112">
        <f t="shared" si="3"/>
        <v>360.45412597008283</v>
      </c>
      <c r="M56" s="61">
        <f t="shared" si="21"/>
        <v>333.75382034266926</v>
      </c>
      <c r="N56" s="61">
        <f t="shared" si="22"/>
        <v>19.889713983718107</v>
      </c>
      <c r="O56" s="62">
        <v>1</v>
      </c>
      <c r="P56" s="54">
        <v>2.5000000000000001E-2</v>
      </c>
      <c r="Q56" s="54">
        <f t="shared" si="4"/>
        <v>2.5000000000000001E-2</v>
      </c>
      <c r="R56" s="179">
        <f t="shared" si="23"/>
        <v>0.33740376368220271</v>
      </c>
      <c r="S56" s="179">
        <f t="shared" si="5"/>
        <v>112.60979512693032</v>
      </c>
      <c r="T56" s="183">
        <f t="shared" si="6"/>
        <v>6.7108643566690267</v>
      </c>
      <c r="U56" s="1"/>
      <c r="V56" s="62">
        <f t="shared" si="7"/>
        <v>582.45885246007822</v>
      </c>
      <c r="W56" s="61">
        <f t="shared" si="24"/>
        <v>539.3137522778502</v>
      </c>
      <c r="X56" s="61">
        <f t="shared" si="25"/>
        <v>31.405747528164117</v>
      </c>
      <c r="Y56" s="62">
        <v>1</v>
      </c>
      <c r="Z56" s="54">
        <v>2.5000000000000001E-2</v>
      </c>
      <c r="AA56" s="54">
        <f t="shared" si="8"/>
        <v>2.5000000000000001E-2</v>
      </c>
      <c r="AB56" s="179">
        <f t="shared" si="26"/>
        <v>0.33740376368220271</v>
      </c>
      <c r="AC56" s="179">
        <f t="shared" si="9"/>
        <v>181.96648982411779</v>
      </c>
      <c r="AD56" s="183">
        <f t="shared" si="10"/>
        <v>10.596417417255607</v>
      </c>
      <c r="AE56" s="1"/>
      <c r="AF56" s="62">
        <f t="shared" si="11"/>
        <v>160.24961832923995</v>
      </c>
      <c r="AG56" s="61">
        <f t="shared" si="27"/>
        <v>148.37927623077772</v>
      </c>
      <c r="AH56" s="61">
        <f t="shared" si="28"/>
        <v>9.1082700714687572</v>
      </c>
      <c r="AI56" s="62">
        <v>1</v>
      </c>
      <c r="AJ56" s="54">
        <v>2.5000000000000001E-2</v>
      </c>
      <c r="AK56" s="54">
        <f t="shared" si="12"/>
        <v>2.5000000000000001E-2</v>
      </c>
      <c r="AL56" s="179">
        <f t="shared" si="29"/>
        <v>0.33740376368220271</v>
      </c>
      <c r="AM56" s="179">
        <f t="shared" si="13"/>
        <v>50.0637262527056</v>
      </c>
      <c r="AN56" s="183">
        <f t="shared" si="14"/>
        <v>3.0731646027475241</v>
      </c>
      <c r="AO56" s="1"/>
      <c r="AP56" s="61">
        <f t="shared" si="30"/>
        <v>332.89492320480781</v>
      </c>
      <c r="AQ56" s="61">
        <f t="shared" si="31"/>
        <v>308.23604000445175</v>
      </c>
      <c r="AR56" s="61">
        <f t="shared" si="32"/>
        <v>7.7059010001112931</v>
      </c>
      <c r="AS56" s="62">
        <v>1</v>
      </c>
      <c r="AT56" s="54">
        <v>2.5000000000000001E-2</v>
      </c>
      <c r="AU56" s="54">
        <f t="shared" si="15"/>
        <v>2.5000000000000001E-2</v>
      </c>
      <c r="AV56" s="179">
        <f t="shared" si="33"/>
        <v>0.33740376368220271</v>
      </c>
      <c r="AW56" s="179">
        <f t="shared" si="16"/>
        <v>104.00000000000001</v>
      </c>
      <c r="AX56" s="183">
        <f t="shared" si="17"/>
        <v>2.6</v>
      </c>
      <c r="AY56" s="1"/>
      <c r="AZ56" s="1"/>
      <c r="BA56" s="1"/>
      <c r="BB56" s="1"/>
      <c r="BC56" s="1"/>
      <c r="BD56" s="1"/>
      <c r="BE56" s="1"/>
      <c r="BF56" s="1"/>
      <c r="BG56" s="1"/>
      <c r="BH56" s="1"/>
      <c r="BI56" s="1"/>
    </row>
    <row r="57" spans="1:61" x14ac:dyDescent="0.3">
      <c r="A57" s="47">
        <f t="shared" si="18"/>
        <v>2057</v>
      </c>
      <c r="B57" s="62">
        <f t="shared" si="0"/>
        <v>239.66067691047391</v>
      </c>
      <c r="C57" s="62">
        <f t="shared" si="34"/>
        <v>221.90803417636471</v>
      </c>
      <c r="D57" s="62">
        <f t="shared" si="35"/>
        <v>13.464082972498536</v>
      </c>
      <c r="E57" s="62">
        <v>1</v>
      </c>
      <c r="F57" s="54">
        <v>2.5000000000000001E-2</v>
      </c>
      <c r="G57" s="54">
        <f t="shared" si="37"/>
        <v>2.5000000000000001E-2</v>
      </c>
      <c r="H57" s="179">
        <f t="shared" si="20"/>
        <v>0.32917440359239292</v>
      </c>
      <c r="I57" s="179">
        <f t="shared" si="1"/>
        <v>73.046444802365201</v>
      </c>
      <c r="J57" s="183">
        <f t="shared" si="2"/>
        <v>4.4320314823906983</v>
      </c>
      <c r="K57" s="1"/>
      <c r="L57" s="112">
        <f t="shared" si="3"/>
        <v>371.70632022330409</v>
      </c>
      <c r="M57" s="61">
        <f t="shared" si="21"/>
        <v>344.17251872528152</v>
      </c>
      <c r="N57" s="61">
        <f t="shared" si="22"/>
        <v>20.51645196109579</v>
      </c>
      <c r="O57" s="62">
        <v>1</v>
      </c>
      <c r="P57" s="54">
        <v>2.5000000000000001E-2</v>
      </c>
      <c r="Q57" s="54">
        <f t="shared" si="4"/>
        <v>2.5000000000000001E-2</v>
      </c>
      <c r="R57" s="179">
        <f t="shared" si="23"/>
        <v>0.32917440359239292</v>
      </c>
      <c r="S57" s="179">
        <f t="shared" si="5"/>
        <v>113.29278358428623</v>
      </c>
      <c r="T57" s="183">
        <f t="shared" si="6"/>
        <v>6.7534908381256864</v>
      </c>
      <c r="U57" s="1"/>
      <c r="V57" s="62">
        <f t="shared" si="7"/>
        <v>605.77800039755061</v>
      </c>
      <c r="W57" s="61">
        <f t="shared" si="24"/>
        <v>560.90555592365797</v>
      </c>
      <c r="X57" s="61">
        <f t="shared" si="25"/>
        <v>32.676312221630958</v>
      </c>
      <c r="Y57" s="62">
        <v>1</v>
      </c>
      <c r="Z57" s="54">
        <v>2.5000000000000001E-2</v>
      </c>
      <c r="AA57" s="54">
        <f t="shared" si="8"/>
        <v>2.5000000000000001E-2</v>
      </c>
      <c r="AB57" s="179">
        <f t="shared" si="26"/>
        <v>0.32917440359239292</v>
      </c>
      <c r="AC57" s="179">
        <f t="shared" si="9"/>
        <v>184.63575184282971</v>
      </c>
      <c r="AD57" s="183">
        <f t="shared" si="10"/>
        <v>10.75620558715419</v>
      </c>
      <c r="AE57" s="1"/>
      <c r="AF57" s="62">
        <f t="shared" si="11"/>
        <v>163.6912564179714</v>
      </c>
      <c r="AG57" s="61">
        <f t="shared" si="27"/>
        <v>151.56597816478833</v>
      </c>
      <c r="AH57" s="61">
        <f t="shared" si="28"/>
        <v>9.3000382880186407</v>
      </c>
      <c r="AI57" s="62">
        <v>1</v>
      </c>
      <c r="AJ57" s="54">
        <v>2.5000000000000001E-2</v>
      </c>
      <c r="AK57" s="54">
        <f t="shared" si="12"/>
        <v>2.5000000000000001E-2</v>
      </c>
      <c r="AL57" s="179">
        <f t="shared" si="29"/>
        <v>0.32917440359239292</v>
      </c>
      <c r="AM57" s="179">
        <f t="shared" si="13"/>
        <v>49.89164046729185</v>
      </c>
      <c r="AN57" s="183">
        <f t="shared" si="14"/>
        <v>3.061334556844955</v>
      </c>
      <c r="AO57" s="1"/>
      <c r="AP57" s="61">
        <f t="shared" si="30"/>
        <v>341.21729628492795</v>
      </c>
      <c r="AQ57" s="61">
        <f t="shared" si="31"/>
        <v>315.94194100456303</v>
      </c>
      <c r="AR57" s="61">
        <f t="shared" si="32"/>
        <v>7.8985485251140748</v>
      </c>
      <c r="AS57" s="62">
        <v>1</v>
      </c>
      <c r="AT57" s="54">
        <v>2.5000000000000001E-2</v>
      </c>
      <c r="AU57" s="54">
        <f t="shared" si="15"/>
        <v>2.5000000000000001E-2</v>
      </c>
      <c r="AV57" s="179">
        <f t="shared" si="33"/>
        <v>0.32917440359239292</v>
      </c>
      <c r="AW57" s="179">
        <f t="shared" si="16"/>
        <v>104.00000000000003</v>
      </c>
      <c r="AX57" s="183">
        <f t="shared" si="17"/>
        <v>2.6</v>
      </c>
      <c r="AY57" s="1"/>
      <c r="AZ57" s="1"/>
      <c r="BA57" s="1"/>
      <c r="BB57" s="1"/>
      <c r="BC57" s="1"/>
      <c r="BD57" s="1"/>
      <c r="BE57" s="1"/>
      <c r="BF57" s="1"/>
      <c r="BG57" s="1"/>
      <c r="BH57" s="1"/>
      <c r="BI57" s="1"/>
    </row>
    <row r="58" spans="1:61" x14ac:dyDescent="0.3">
      <c r="A58" s="47">
        <f t="shared" si="18"/>
        <v>2058</v>
      </c>
      <c r="B58" s="62">
        <f t="shared" si="0"/>
        <v>245.65219383323574</v>
      </c>
      <c r="C58" s="62">
        <f t="shared" si="34"/>
        <v>227.45573503077381</v>
      </c>
      <c r="D58" s="62">
        <f t="shared" si="35"/>
        <v>13.800685046810999</v>
      </c>
      <c r="E58" s="62">
        <v>1</v>
      </c>
      <c r="F58" s="54">
        <v>2.5000000000000001E-2</v>
      </c>
      <c r="G58" s="54">
        <f t="shared" si="37"/>
        <v>2.5000000000000001E-2</v>
      </c>
      <c r="H58" s="179">
        <f t="shared" si="20"/>
        <v>0.3211457596023346</v>
      </c>
      <c r="I58" s="179">
        <f t="shared" si="1"/>
        <v>73.046444802365201</v>
      </c>
      <c r="J58" s="183">
        <f t="shared" si="2"/>
        <v>4.4320314823906992</v>
      </c>
      <c r="K58" s="1"/>
      <c r="L58" s="112">
        <f t="shared" si="3"/>
        <v>383.2734319494154</v>
      </c>
      <c r="M58" s="61">
        <f t="shared" si="21"/>
        <v>354.88280736056981</v>
      </c>
      <c r="N58" s="61">
        <f t="shared" si="22"/>
        <v>21.160800814824686</v>
      </c>
      <c r="O58" s="62">
        <v>1</v>
      </c>
      <c r="P58" s="54">
        <v>2.5000000000000001E-2</v>
      </c>
      <c r="Q58" s="54">
        <f t="shared" si="4"/>
        <v>2.5000000000000001E-2</v>
      </c>
      <c r="R58" s="179">
        <f t="shared" si="23"/>
        <v>0.3211457596023346</v>
      </c>
      <c r="S58" s="179">
        <f t="shared" si="5"/>
        <v>113.96910873961917</v>
      </c>
      <c r="T58" s="183">
        <f t="shared" si="6"/>
        <v>6.7957014514705749</v>
      </c>
      <c r="U58" s="1"/>
      <c r="V58" s="62">
        <f t="shared" si="7"/>
        <v>629.94285733223899</v>
      </c>
      <c r="W58" s="61">
        <f t="shared" si="24"/>
        <v>583.28042345577683</v>
      </c>
      <c r="X58" s="61">
        <f t="shared" si="25"/>
        <v>33.99320366259235</v>
      </c>
      <c r="Y58" s="62">
        <v>1</v>
      </c>
      <c r="Z58" s="54">
        <v>2.5000000000000001E-2</v>
      </c>
      <c r="AA58" s="54">
        <f t="shared" si="8"/>
        <v>2.5000000000000001E-2</v>
      </c>
      <c r="AB58" s="179">
        <f t="shared" si="26"/>
        <v>0.3211457596023346</v>
      </c>
      <c r="AC58" s="179">
        <f t="shared" si="9"/>
        <v>187.31803465187684</v>
      </c>
      <c r="AD58" s="183">
        <f t="shared" si="10"/>
        <v>10.916773211540082</v>
      </c>
      <c r="AE58" s="1"/>
      <c r="AF58" s="62">
        <f t="shared" si="11"/>
        <v>167.22740449446366</v>
      </c>
      <c r="AG58" s="61">
        <f t="shared" si="27"/>
        <v>154.84018934672559</v>
      </c>
      <c r="AH58" s="61">
        <f t="shared" si="28"/>
        <v>9.4971397880108235</v>
      </c>
      <c r="AI58" s="62">
        <v>1</v>
      </c>
      <c r="AJ58" s="54">
        <v>2.5000000000000001E-2</v>
      </c>
      <c r="AK58" s="54">
        <f t="shared" si="12"/>
        <v>2.5000000000000001E-2</v>
      </c>
      <c r="AL58" s="179">
        <f t="shared" si="29"/>
        <v>0.3211457596023346</v>
      </c>
      <c r="AM58" s="179">
        <f t="shared" si="13"/>
        <v>49.726270224723507</v>
      </c>
      <c r="AN58" s="183">
        <f t="shared" si="14"/>
        <v>3.0499661712702908</v>
      </c>
      <c r="AO58" s="1"/>
      <c r="AP58" s="61">
        <f t="shared" si="30"/>
        <v>349.74772869205111</v>
      </c>
      <c r="AQ58" s="61">
        <f t="shared" si="31"/>
        <v>323.84048952967709</v>
      </c>
      <c r="AR58" s="61">
        <f t="shared" si="32"/>
        <v>8.0960122382419257</v>
      </c>
      <c r="AS58" s="62">
        <v>1</v>
      </c>
      <c r="AT58" s="54">
        <v>2.5000000000000001E-2</v>
      </c>
      <c r="AU58" s="54">
        <f t="shared" si="15"/>
        <v>2.5000000000000001E-2</v>
      </c>
      <c r="AV58" s="179">
        <f t="shared" si="33"/>
        <v>0.3211457596023346</v>
      </c>
      <c r="AW58" s="179">
        <f t="shared" si="16"/>
        <v>104.00000000000003</v>
      </c>
      <c r="AX58" s="183">
        <f t="shared" si="17"/>
        <v>2.6000000000000005</v>
      </c>
      <c r="AY58" s="1"/>
      <c r="AZ58" s="1"/>
      <c r="BA58" s="1"/>
      <c r="BB58" s="1"/>
      <c r="BC58" s="1"/>
      <c r="BD58" s="1"/>
      <c r="BE58" s="1"/>
      <c r="BF58" s="1"/>
      <c r="BG58" s="1"/>
      <c r="BH58" s="1"/>
      <c r="BI58" s="1"/>
    </row>
    <row r="59" spans="1:61" x14ac:dyDescent="0.3">
      <c r="A59" s="47">
        <f t="shared" si="18"/>
        <v>2059</v>
      </c>
      <c r="B59" s="62">
        <f t="shared" si="0"/>
        <v>251.7934986790666</v>
      </c>
      <c r="C59" s="62">
        <f t="shared" si="34"/>
        <v>233.14212840654312</v>
      </c>
      <c r="D59" s="62">
        <f t="shared" si="35"/>
        <v>14.145702172981274</v>
      </c>
      <c r="E59" s="62">
        <v>1</v>
      </c>
      <c r="F59" s="54">
        <v>2.5000000000000001E-2</v>
      </c>
      <c r="G59" s="54">
        <f t="shared" si="37"/>
        <v>2.5000000000000001E-2</v>
      </c>
      <c r="H59" s="179">
        <f t="shared" si="20"/>
        <v>0.31331293619739964</v>
      </c>
      <c r="I59" s="179">
        <f t="shared" si="1"/>
        <v>73.046444802365201</v>
      </c>
      <c r="J59" s="183">
        <f t="shared" si="2"/>
        <v>4.4320314823906992</v>
      </c>
      <c r="K59" s="1"/>
      <c r="L59" s="112">
        <f t="shared" si="3"/>
        <v>395.16383827448743</v>
      </c>
      <c r="M59" s="61">
        <f t="shared" si="21"/>
        <v>365.8924428467476</v>
      </c>
      <c r="N59" s="61">
        <f t="shared" si="22"/>
        <v>21.823229953217329</v>
      </c>
      <c r="O59" s="62">
        <v>1</v>
      </c>
      <c r="P59" s="54">
        <v>2.5000000000000001E-2</v>
      </c>
      <c r="Q59" s="54">
        <f t="shared" si="4"/>
        <v>2.5000000000000001E-2</v>
      </c>
      <c r="R59" s="179">
        <f t="shared" si="23"/>
        <v>0.31331293619739964</v>
      </c>
      <c r="S59" s="179">
        <f t="shared" si="5"/>
        <v>114.63883560075372</v>
      </c>
      <c r="T59" s="183">
        <f t="shared" si="6"/>
        <v>6.8375002539535616</v>
      </c>
      <c r="U59" s="1"/>
      <c r="V59" s="62">
        <f t="shared" si="7"/>
        <v>654.98244789803709</v>
      </c>
      <c r="W59" s="61">
        <f t="shared" si="24"/>
        <v>606.46522953521946</v>
      </c>
      <c r="X59" s="61">
        <f t="shared" si="25"/>
        <v>35.3580168986404</v>
      </c>
      <c r="Y59" s="62">
        <v>1</v>
      </c>
      <c r="Z59" s="54">
        <v>2.5000000000000001E-2</v>
      </c>
      <c r="AA59" s="54">
        <f t="shared" si="8"/>
        <v>2.5000000000000001E-2</v>
      </c>
      <c r="AB59" s="179">
        <f t="shared" si="26"/>
        <v>0.31331293619739964</v>
      </c>
      <c r="AC59" s="179">
        <f t="shared" si="9"/>
        <v>190.01340176730955</v>
      </c>
      <c r="AD59" s="183">
        <f t="shared" si="10"/>
        <v>11.078124092630299</v>
      </c>
      <c r="AE59" s="1"/>
      <c r="AF59" s="62">
        <f t="shared" si="11"/>
        <v>170.86029827287754</v>
      </c>
      <c r="AG59" s="61">
        <f t="shared" si="27"/>
        <v>158.20397988229402</v>
      </c>
      <c r="AH59" s="61">
        <f t="shared" si="28"/>
        <v>9.6996998173609352</v>
      </c>
      <c r="AI59" s="62">
        <v>1</v>
      </c>
      <c r="AJ59" s="54">
        <v>2.5000000000000001E-2</v>
      </c>
      <c r="AK59" s="54">
        <f t="shared" si="12"/>
        <v>2.5000000000000001E-2</v>
      </c>
      <c r="AL59" s="179">
        <f t="shared" si="29"/>
        <v>0.31331293619739964</v>
      </c>
      <c r="AM59" s="179">
        <f t="shared" si="13"/>
        <v>49.567353455035885</v>
      </c>
      <c r="AN59" s="183">
        <f t="shared" si="14"/>
        <v>3.0390414300107356</v>
      </c>
      <c r="AO59" s="1"/>
      <c r="AP59" s="61">
        <f t="shared" si="30"/>
        <v>358.49142190935237</v>
      </c>
      <c r="AQ59" s="61">
        <f t="shared" si="31"/>
        <v>331.93650176791897</v>
      </c>
      <c r="AR59" s="61">
        <f t="shared" si="32"/>
        <v>8.2984125441979728</v>
      </c>
      <c r="AS59" s="62">
        <v>1</v>
      </c>
      <c r="AT59" s="54">
        <v>2.5000000000000001E-2</v>
      </c>
      <c r="AU59" s="54">
        <f t="shared" si="15"/>
        <v>2.5000000000000001E-2</v>
      </c>
      <c r="AV59" s="179">
        <f t="shared" si="33"/>
        <v>0.31331293619739964</v>
      </c>
      <c r="AW59" s="179">
        <f t="shared" si="16"/>
        <v>104.00000000000003</v>
      </c>
      <c r="AX59" s="183">
        <f t="shared" si="17"/>
        <v>2.6</v>
      </c>
      <c r="AY59" s="1"/>
      <c r="AZ59" s="1"/>
      <c r="BA59" s="1"/>
      <c r="BB59" s="1"/>
      <c r="BC59" s="1"/>
      <c r="BD59" s="1"/>
      <c r="BE59" s="1"/>
      <c r="BF59" s="1"/>
      <c r="BG59" s="1"/>
      <c r="BH59" s="1"/>
      <c r="BI59" s="1"/>
    </row>
    <row r="60" spans="1:61" x14ac:dyDescent="0.3">
      <c r="A60" s="48">
        <f t="shared" si="18"/>
        <v>2060</v>
      </c>
      <c r="B60" s="62">
        <v>18818</v>
      </c>
      <c r="C60" s="62">
        <f t="shared" si="34"/>
        <v>238.97068161670668</v>
      </c>
      <c r="D60" s="62">
        <f t="shared" si="35"/>
        <v>14.499344727305804</v>
      </c>
      <c r="E60" s="62">
        <v>1</v>
      </c>
      <c r="F60" s="54">
        <v>2.5000000000000001E-2</v>
      </c>
      <c r="G60" s="54">
        <f t="shared" si="37"/>
        <v>2.5000000000000001E-2</v>
      </c>
      <c r="H60" s="179">
        <f t="shared" si="20"/>
        <v>0.30567115726575578</v>
      </c>
      <c r="I60" s="179">
        <f t="shared" si="1"/>
        <v>73.046444802365201</v>
      </c>
      <c r="J60" s="183">
        <f t="shared" si="2"/>
        <v>4.4320314823906992</v>
      </c>
      <c r="K60" s="1"/>
      <c r="L60" s="112">
        <f t="shared" si="3"/>
        <v>407.38613331558133</v>
      </c>
      <c r="M60" s="61">
        <f t="shared" si="21"/>
        <v>377.20938269961232</v>
      </c>
      <c r="N60" s="61">
        <f t="shared" si="22"/>
        <v>22.504220956840115</v>
      </c>
      <c r="O60" s="62">
        <v>1</v>
      </c>
      <c r="P60" s="54">
        <v>2.5000000000000001E-2</v>
      </c>
      <c r="Q60" s="54">
        <f t="shared" si="4"/>
        <v>2.5000000000000001E-2</v>
      </c>
      <c r="R60" s="179">
        <f t="shared" si="23"/>
        <v>0.30567115726575578</v>
      </c>
      <c r="S60" s="179">
        <f t="shared" si="5"/>
        <v>115.30202854129186</v>
      </c>
      <c r="T60" s="183">
        <f t="shared" si="6"/>
        <v>6.8788912632415915</v>
      </c>
      <c r="U60" s="1"/>
      <c r="V60" s="62">
        <f t="shared" si="7"/>
        <v>680.92675880195486</v>
      </c>
      <c r="W60" s="61">
        <f t="shared" si="24"/>
        <v>630.48773963143969</v>
      </c>
      <c r="X60" s="61">
        <f t="shared" si="25"/>
        <v>36.772399959924144</v>
      </c>
      <c r="Y60" s="62">
        <v>1</v>
      </c>
      <c r="Z60" s="54">
        <v>2.5000000000000001E-2</v>
      </c>
      <c r="AA60" s="54">
        <f t="shared" si="8"/>
        <v>2.5000000000000001E-2</v>
      </c>
      <c r="AB60" s="179">
        <f t="shared" si="26"/>
        <v>0.30567115726575578</v>
      </c>
      <c r="AC60" s="179">
        <f t="shared" si="9"/>
        <v>192.72191701501268</v>
      </c>
      <c r="AD60" s="183">
        <f t="shared" si="10"/>
        <v>11.240262051189244</v>
      </c>
      <c r="AE60" s="1"/>
      <c r="AF60" s="62">
        <f t="shared" si="11"/>
        <v>174.59223126576103</v>
      </c>
      <c r="AG60" s="61">
        <f t="shared" si="27"/>
        <v>161.65947339422317</v>
      </c>
      <c r="AH60" s="61">
        <f t="shared" si="28"/>
        <v>9.9078468744250507</v>
      </c>
      <c r="AI60" s="62">
        <v>1</v>
      </c>
      <c r="AJ60" s="54">
        <v>2.5000000000000001E-2</v>
      </c>
      <c r="AK60" s="54">
        <f t="shared" si="12"/>
        <v>2.5000000000000001E-2</v>
      </c>
      <c r="AL60" s="179">
        <f t="shared" si="29"/>
        <v>0.30567115726575578</v>
      </c>
      <c r="AM60" s="179">
        <f t="shared" si="13"/>
        <v>49.414638315384849</v>
      </c>
      <c r="AN60" s="183">
        <f t="shared" si="14"/>
        <v>3.0285430201174064</v>
      </c>
      <c r="AO60" s="1"/>
      <c r="AP60" s="61">
        <f t="shared" si="30"/>
        <v>367.45370745708613</v>
      </c>
      <c r="AQ60" s="61">
        <f t="shared" si="31"/>
        <v>340.23491431211693</v>
      </c>
      <c r="AR60" s="61">
        <f t="shared" si="32"/>
        <v>8.5058728578029221</v>
      </c>
      <c r="AS60" s="62">
        <v>1</v>
      </c>
      <c r="AT60" s="54">
        <v>2.5000000000000001E-2</v>
      </c>
      <c r="AU60" s="54">
        <f t="shared" si="15"/>
        <v>2.5000000000000001E-2</v>
      </c>
      <c r="AV60" s="179">
        <f t="shared" si="33"/>
        <v>0.30567115726575578</v>
      </c>
      <c r="AW60" s="179">
        <f t="shared" si="16"/>
        <v>104.00000000000003</v>
      </c>
      <c r="AX60" s="183">
        <f t="shared" si="17"/>
        <v>2.6000000000000005</v>
      </c>
      <c r="AY60" s="1"/>
      <c r="AZ60" s="1"/>
      <c r="BA60" s="1"/>
      <c r="BB60" s="1"/>
      <c r="BC60" s="1"/>
      <c r="BD60" s="1"/>
      <c r="BE60" s="1"/>
      <c r="BF60" s="1"/>
      <c r="BG60" s="1"/>
      <c r="BH60" s="1"/>
      <c r="BI60" s="1"/>
    </row>
    <row r="61" spans="1:6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sheetData>
  <sheetProtection password="8BC3" sheet="1" objects="1" scenarios="1"/>
  <mergeCells count="5">
    <mergeCell ref="J5:J7"/>
    <mergeCell ref="T5:T7"/>
    <mergeCell ref="AD5:AD7"/>
    <mergeCell ref="AN5:AN7"/>
    <mergeCell ref="AX5:AX7"/>
  </mergeCells>
  <dataValidations count="6">
    <dataValidation allowBlank="1" showInputMessage="1" showErrorMessage="1" promptTitle="Netback Differential" prompt="The netback differential is the cost of getting the product from the field to the market as referenced for the particular field, together with any quality differentials.  It is automatically inflated by the cost inflator. " sqref="A9"/>
    <dataValidation allowBlank="1" showInputMessage="1" showErrorMessage="1" promptTitle="Long Term Bond Rate" prompt="The Long Term Bond Rate is used to calculate the Return Allowance for Royalty" sqref="G5:G7"/>
    <dataValidation allowBlank="1" showInputMessage="1" showErrorMessage="1" prompt="Enter the netback differential to the market price for Gas Liquids, Oil and Gas Price.  Note the differential applies to all Economic Scenarios" sqref="B9:D9"/>
    <dataValidation allowBlank="1" showInputMessage="1" showErrorMessage="1" prompt="Enter the scenario name" sqref="AP4"/>
    <dataValidation allowBlank="1" showInputMessage="1" showErrorMessage="1" prompt="Enter the date of the projection" sqref="C4 M4 W4 AG4 AQ4"/>
    <dataValidation allowBlank="1" showInputMessage="1" showErrorMessage="1" prompt="Enter the scenario name" sqref="B4 L4 V4 AF4"/>
  </dataValidations>
  <hyperlinks>
    <hyperlink ref="A1" location="Guide" display="Guide"/>
    <hyperlink ref="A2" location="Input" display="Input"/>
  </hyperlinks>
  <pageMargins left="0.7" right="0.7" top="0.75" bottom="0.75" header="0.3" footer="0.3"/>
  <pageSetup paperSize="9" scale="71" orientation="portrait" r:id="rId1"/>
  <headerFooter>
    <oddFooter>&amp;LNova Scotia Exploration Economics Model&amp;Rwww.indeva.com</oddFooter>
  </headerFooter>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pageSetUpPr fitToPage="1"/>
  </sheetPr>
  <dimension ref="A1:AC211"/>
  <sheetViews>
    <sheetView showGridLines="0" zoomScale="75" zoomScaleNormal="75" workbookViewId="0">
      <pane xSplit="2" ySplit="3" topLeftCell="C4" activePane="bottomRight" state="frozen"/>
      <selection activeCell="D43" sqref="D43"/>
      <selection pane="topRight" activeCell="D43" sqref="D43"/>
      <selection pane="bottomLeft" activeCell="D43" sqref="D43"/>
      <selection pane="bottomRight" activeCell="C4" sqref="C4:D4"/>
    </sheetView>
  </sheetViews>
  <sheetFormatPr defaultRowHeight="14.4" x14ac:dyDescent="0.3"/>
  <cols>
    <col min="1" max="1" width="39.6640625" customWidth="1"/>
    <col min="2" max="3" width="14.6640625" customWidth="1"/>
    <col min="4" max="4" width="12.5546875" customWidth="1"/>
    <col min="5" max="5" width="14.33203125" customWidth="1"/>
    <col min="6" max="7" width="14" customWidth="1"/>
    <col min="8" max="8" width="14.109375" customWidth="1"/>
    <col min="9" max="9" width="14.33203125" customWidth="1"/>
    <col min="10" max="10" width="15" customWidth="1"/>
    <col min="11" max="11" width="14.88671875" customWidth="1"/>
    <col min="12" max="12" width="13.33203125" customWidth="1"/>
    <col min="15" max="15" width="17.33203125" customWidth="1"/>
    <col min="16" max="16" width="12.6640625" customWidth="1"/>
    <col min="18" max="18" width="9.44140625" bestFit="1" customWidth="1"/>
    <col min="19" max="25" width="9.88671875" bestFit="1" customWidth="1"/>
  </cols>
  <sheetData>
    <row r="1" spans="1:29" ht="18.75" x14ac:dyDescent="0.3">
      <c r="A1" s="396" t="s">
        <v>469</v>
      </c>
      <c r="B1" s="144" t="s">
        <v>769</v>
      </c>
      <c r="C1" s="22"/>
      <c r="D1" s="22"/>
      <c r="E1" s="22"/>
      <c r="F1" s="22"/>
      <c r="G1" s="22"/>
      <c r="H1" s="22"/>
      <c r="I1" s="22"/>
      <c r="J1" s="22"/>
      <c r="K1" s="22"/>
      <c r="L1" s="22"/>
      <c r="M1" s="22"/>
      <c r="N1" s="22"/>
      <c r="O1" s="397" t="s">
        <v>470</v>
      </c>
      <c r="P1" s="22"/>
      <c r="Q1" s="22"/>
      <c r="R1" s="22"/>
      <c r="S1" s="22"/>
      <c r="T1" s="22"/>
      <c r="U1" s="22"/>
      <c r="V1" s="22"/>
      <c r="W1" s="22"/>
      <c r="X1" s="22"/>
      <c r="Y1" s="22"/>
      <c r="Z1" s="22"/>
      <c r="AA1" s="22"/>
      <c r="AB1" s="22"/>
      <c r="AC1" s="22"/>
    </row>
    <row r="2" spans="1:29" ht="18.75" x14ac:dyDescent="0.3">
      <c r="A2" s="396"/>
      <c r="B2" s="144" t="s">
        <v>143</v>
      </c>
      <c r="C2" s="22"/>
      <c r="D2" s="22"/>
      <c r="E2" s="22"/>
      <c r="F2" s="22"/>
      <c r="G2" s="22"/>
      <c r="H2" s="22"/>
      <c r="I2" s="22"/>
      <c r="J2" s="22"/>
      <c r="K2" s="22"/>
      <c r="L2" s="22"/>
      <c r="M2" s="22"/>
      <c r="N2" s="22"/>
      <c r="O2" s="397"/>
      <c r="P2" s="22"/>
      <c r="Q2" s="22"/>
      <c r="R2" s="22"/>
      <c r="S2" s="22"/>
      <c r="T2" s="22"/>
      <c r="U2" s="22"/>
      <c r="V2" s="22"/>
      <c r="W2" s="22"/>
      <c r="X2" s="22"/>
      <c r="Y2" s="22"/>
      <c r="Z2" s="22"/>
      <c r="AA2" s="22"/>
      <c r="AB2" s="22"/>
      <c r="AC2" s="22"/>
    </row>
    <row r="3" spans="1:29" ht="15" x14ac:dyDescent="0.25">
      <c r="A3" s="22"/>
      <c r="B3" s="22"/>
      <c r="C3" s="578" t="s">
        <v>783</v>
      </c>
      <c r="D3" s="578"/>
      <c r="E3" s="578" t="s">
        <v>471</v>
      </c>
      <c r="F3" s="578"/>
      <c r="G3" s="578" t="s">
        <v>472</v>
      </c>
      <c r="H3" s="578"/>
      <c r="I3" s="578" t="s">
        <v>473</v>
      </c>
      <c r="J3" s="578"/>
      <c r="K3" s="578" t="s">
        <v>474</v>
      </c>
      <c r="L3" s="578"/>
      <c r="M3" s="22"/>
      <c r="N3" s="22"/>
      <c r="O3" s="290" t="str">
        <f>INDEX(C3:L3,1,O7)</f>
        <v>NS Dept of Energy</v>
      </c>
      <c r="P3" s="22"/>
      <c r="Q3" s="22"/>
      <c r="R3" s="22"/>
      <c r="S3" s="22"/>
      <c r="T3" s="22"/>
      <c r="U3" s="22"/>
      <c r="V3" s="22"/>
      <c r="W3" s="22"/>
      <c r="X3" s="22"/>
      <c r="Y3" s="22"/>
      <c r="Z3" s="22"/>
      <c r="AA3" s="22"/>
      <c r="AB3" s="22"/>
      <c r="AC3" s="22"/>
    </row>
    <row r="4" spans="1:29" ht="15" x14ac:dyDescent="0.25">
      <c r="A4" s="293" t="s">
        <v>475</v>
      </c>
      <c r="B4" s="293"/>
      <c r="C4" s="575" t="s">
        <v>1056</v>
      </c>
      <c r="D4" s="576"/>
      <c r="E4" s="577" t="s">
        <v>1054</v>
      </c>
      <c r="F4" s="577"/>
      <c r="G4" s="577"/>
      <c r="H4" s="577"/>
      <c r="I4" s="577"/>
      <c r="J4" s="577"/>
      <c r="K4" s="577"/>
      <c r="L4" s="577"/>
      <c r="M4" s="22"/>
      <c r="N4" s="22"/>
      <c r="O4" s="290" t="str">
        <f>INDEX(C4:L4,1,(O7-1)*2+1)</f>
        <v>NS DOE</v>
      </c>
      <c r="P4" s="22"/>
      <c r="Q4" s="22"/>
      <c r="R4" s="22"/>
      <c r="S4" s="22"/>
      <c r="T4" s="22"/>
      <c r="U4" s="22"/>
      <c r="V4" s="22"/>
      <c r="W4" s="22"/>
      <c r="X4" s="22"/>
      <c r="Y4" s="22"/>
      <c r="Z4" s="22"/>
      <c r="AA4" s="22"/>
      <c r="AB4" s="22"/>
      <c r="AC4" s="22"/>
    </row>
    <row r="5" spans="1:29" ht="15" x14ac:dyDescent="0.25">
      <c r="A5" s="293" t="s">
        <v>476</v>
      </c>
      <c r="B5" s="293"/>
      <c r="C5" s="572">
        <v>41000</v>
      </c>
      <c r="D5" s="573"/>
      <c r="E5" s="574">
        <v>41004</v>
      </c>
      <c r="F5" s="574"/>
      <c r="G5" s="574"/>
      <c r="H5" s="574"/>
      <c r="I5" s="574"/>
      <c r="J5" s="574"/>
      <c r="K5" s="574"/>
      <c r="L5" s="574"/>
      <c r="M5" s="22"/>
      <c r="N5" s="22"/>
      <c r="O5" s="291">
        <f>INDEX(C5:L5,1,(O7-1)*2+1)</f>
        <v>41000</v>
      </c>
      <c r="P5" s="398"/>
      <c r="Q5" s="22"/>
      <c r="R5" s="22"/>
      <c r="S5" s="22"/>
      <c r="T5" s="22"/>
      <c r="U5" s="22"/>
      <c r="V5" s="22"/>
      <c r="W5" s="22"/>
      <c r="X5" s="22"/>
      <c r="Y5" s="22"/>
      <c r="Z5" s="22"/>
      <c r="AA5" s="22"/>
      <c r="AB5" s="22"/>
      <c r="AC5" s="22"/>
    </row>
    <row r="6" spans="1:29" ht="15" x14ac:dyDescent="0.25">
      <c r="A6" s="293" t="s">
        <v>784</v>
      </c>
      <c r="B6" s="293" t="s">
        <v>248</v>
      </c>
      <c r="C6" s="575">
        <v>200</v>
      </c>
      <c r="D6" s="576"/>
      <c r="E6" s="577">
        <v>200</v>
      </c>
      <c r="F6" s="577"/>
      <c r="G6" s="577"/>
      <c r="H6" s="577"/>
      <c r="I6" s="577"/>
      <c r="J6" s="577"/>
      <c r="K6" s="577"/>
      <c r="L6" s="577"/>
      <c r="M6" s="22"/>
      <c r="N6" s="22"/>
      <c r="O6" s="292" t="str">
        <f>IF(Input!B13&gt;INDEX(C6:L6,1,(O7-1)*2+1),"Deepwater","Shallow Water")</f>
        <v>Deepwater</v>
      </c>
      <c r="P6" s="22"/>
      <c r="Q6" s="22"/>
      <c r="R6" s="22"/>
      <c r="S6" s="22"/>
      <c r="T6" s="22"/>
      <c r="U6" s="22"/>
      <c r="V6" s="22"/>
      <c r="W6" s="22"/>
      <c r="X6" s="22"/>
      <c r="Y6" s="22"/>
      <c r="Z6" s="22"/>
      <c r="AA6" s="22"/>
      <c r="AB6" s="22"/>
      <c r="AC6" s="22"/>
    </row>
    <row r="7" spans="1:29" ht="15" x14ac:dyDescent="0.25">
      <c r="A7" s="22"/>
      <c r="B7" s="22"/>
      <c r="C7" s="293" t="s">
        <v>477</v>
      </c>
      <c r="D7" s="293" t="s">
        <v>478</v>
      </c>
      <c r="E7" s="412" t="s">
        <v>477</v>
      </c>
      <c r="F7" s="412" t="s">
        <v>478</v>
      </c>
      <c r="G7" s="412" t="s">
        <v>477</v>
      </c>
      <c r="H7" s="412" t="s">
        <v>478</v>
      </c>
      <c r="I7" s="412" t="s">
        <v>477</v>
      </c>
      <c r="J7" s="412" t="s">
        <v>478</v>
      </c>
      <c r="K7" s="412" t="s">
        <v>477</v>
      </c>
      <c r="L7" s="412" t="s">
        <v>478</v>
      </c>
      <c r="M7" s="22"/>
      <c r="N7" s="293" t="s">
        <v>479</v>
      </c>
      <c r="O7" s="290">
        <f>MATCH(Input!B6,capcostset,0)</f>
        <v>1</v>
      </c>
      <c r="P7" s="22"/>
      <c r="Q7" s="22"/>
      <c r="R7" s="22"/>
      <c r="S7" s="22"/>
      <c r="T7" s="22"/>
      <c r="U7" s="22"/>
      <c r="V7" s="22"/>
      <c r="W7" s="22"/>
      <c r="X7" s="22"/>
      <c r="Y7" s="22"/>
      <c r="Z7" s="22"/>
      <c r="AA7" s="22"/>
      <c r="AB7" s="22"/>
      <c r="AC7" s="22"/>
    </row>
    <row r="8" spans="1:29" ht="15" x14ac:dyDescent="0.25">
      <c r="A8" s="22"/>
      <c r="B8" s="22"/>
      <c r="C8" s="22"/>
      <c r="D8" s="22"/>
      <c r="E8" s="413"/>
      <c r="F8" s="413"/>
      <c r="G8" s="413"/>
      <c r="H8" s="413"/>
      <c r="I8" s="413"/>
      <c r="J8" s="413"/>
      <c r="K8" s="413"/>
      <c r="L8" s="413"/>
      <c r="M8" s="22"/>
      <c r="N8" s="293" t="s">
        <v>57</v>
      </c>
      <c r="O8" s="290">
        <f>(O7-1)*2+1+IF(O6="Shallow Water",0,1)</f>
        <v>2</v>
      </c>
      <c r="P8" s="293">
        <f>IF(O6="Deepwater",O8-1,0)</f>
        <v>1</v>
      </c>
      <c r="Q8" s="22"/>
      <c r="R8" s="22"/>
      <c r="S8" s="22"/>
      <c r="T8" s="22"/>
      <c r="U8" s="22"/>
      <c r="V8" s="22"/>
      <c r="W8" s="22"/>
      <c r="X8" s="22"/>
      <c r="Y8" s="22"/>
      <c r="Z8" s="22"/>
      <c r="AA8" s="22"/>
      <c r="AB8" s="22"/>
      <c r="AC8" s="22"/>
    </row>
    <row r="9" spans="1:29" ht="15" x14ac:dyDescent="0.25">
      <c r="A9" s="399" t="s">
        <v>480</v>
      </c>
      <c r="B9" s="22"/>
      <c r="C9" s="22"/>
      <c r="D9" s="22"/>
      <c r="E9" s="413"/>
      <c r="F9" s="413"/>
      <c r="G9" s="413"/>
      <c r="H9" s="413"/>
      <c r="I9" s="413"/>
      <c r="J9" s="413"/>
      <c r="K9" s="413"/>
      <c r="L9" s="413"/>
      <c r="M9" s="22"/>
      <c r="N9" s="22"/>
      <c r="O9" s="22"/>
      <c r="P9" s="22"/>
      <c r="Q9" s="22"/>
      <c r="R9" s="22"/>
      <c r="S9" s="22"/>
      <c r="T9" s="22"/>
      <c r="U9" s="22"/>
      <c r="V9" s="22"/>
      <c r="W9" s="22"/>
      <c r="X9" s="22"/>
      <c r="Y9" s="22"/>
      <c r="Z9" s="22"/>
      <c r="AA9" s="22"/>
      <c r="AB9" s="22"/>
      <c r="AC9" s="22"/>
    </row>
    <row r="10" spans="1:29" ht="15" x14ac:dyDescent="0.25">
      <c r="A10" s="400" t="s">
        <v>481</v>
      </c>
      <c r="B10" s="400" t="s">
        <v>159</v>
      </c>
      <c r="C10" s="302">
        <v>90</v>
      </c>
      <c r="D10" s="302">
        <v>90</v>
      </c>
      <c r="E10" s="99">
        <f>C10</f>
        <v>90</v>
      </c>
      <c r="F10" s="99">
        <f t="shared" ref="F10:F24" si="0">D10</f>
        <v>90</v>
      </c>
      <c r="G10" s="99"/>
      <c r="H10" s="99"/>
      <c r="I10" s="99"/>
      <c r="J10" s="99"/>
      <c r="K10" s="99"/>
      <c r="L10" s="99"/>
      <c r="M10" s="22"/>
      <c r="N10" s="22"/>
      <c r="O10" s="294">
        <f t="shared" ref="O10:O23" si="1">INDEX(C10:L10,1,$O$8)</f>
        <v>90</v>
      </c>
      <c r="P10" s="22"/>
      <c r="Q10" s="22"/>
      <c r="R10" s="22"/>
      <c r="S10" s="22"/>
      <c r="T10" s="22"/>
      <c r="U10" s="22"/>
      <c r="V10" s="22"/>
      <c r="W10" s="22"/>
      <c r="X10" s="22"/>
      <c r="Y10" s="22"/>
      <c r="Z10" s="22"/>
      <c r="AA10" s="22"/>
      <c r="AB10" s="22"/>
      <c r="AC10" s="22"/>
    </row>
    <row r="11" spans="1:29" ht="15" x14ac:dyDescent="0.25">
      <c r="A11" s="401" t="s">
        <v>482</v>
      </c>
      <c r="B11" s="401" t="s">
        <v>2</v>
      </c>
      <c r="C11" s="302">
        <v>7500</v>
      </c>
      <c r="D11" s="302">
        <v>7500</v>
      </c>
      <c r="E11" s="99">
        <f t="shared" ref="E11:E24" si="2">C11</f>
        <v>7500</v>
      </c>
      <c r="F11" s="99">
        <f t="shared" si="0"/>
        <v>7500</v>
      </c>
      <c r="G11" s="99"/>
      <c r="H11" s="99"/>
      <c r="I11" s="99"/>
      <c r="J11" s="99"/>
      <c r="K11" s="99"/>
      <c r="L11" s="99"/>
      <c r="M11" s="22"/>
      <c r="N11" s="22"/>
      <c r="O11" s="295">
        <f t="shared" si="1"/>
        <v>7500</v>
      </c>
      <c r="P11" s="22"/>
      <c r="Q11" s="22"/>
      <c r="R11" s="22"/>
      <c r="S11" s="22"/>
      <c r="T11" s="22"/>
      <c r="U11" s="22"/>
      <c r="V11" s="22"/>
      <c r="W11" s="22"/>
      <c r="X11" s="22"/>
      <c r="Y11" s="22"/>
      <c r="Z11" s="22"/>
      <c r="AA11" s="22"/>
      <c r="AB11" s="22"/>
      <c r="AC11" s="22"/>
    </row>
    <row r="12" spans="1:29" ht="15" x14ac:dyDescent="0.25">
      <c r="A12" s="401" t="s">
        <v>483</v>
      </c>
      <c r="B12" s="401" t="s">
        <v>159</v>
      </c>
      <c r="C12" s="302">
        <v>180</v>
      </c>
      <c r="D12" s="302">
        <v>180</v>
      </c>
      <c r="E12" s="99">
        <f t="shared" si="2"/>
        <v>180</v>
      </c>
      <c r="F12" s="99">
        <f t="shared" si="0"/>
        <v>180</v>
      </c>
      <c r="G12" s="99"/>
      <c r="H12" s="99"/>
      <c r="I12" s="99"/>
      <c r="J12" s="99"/>
      <c r="K12" s="99"/>
      <c r="L12" s="99"/>
      <c r="M12" s="22"/>
      <c r="N12" s="22"/>
      <c r="O12" s="295">
        <f t="shared" si="1"/>
        <v>180</v>
      </c>
      <c r="P12" s="22"/>
      <c r="Q12" s="22"/>
      <c r="R12" s="22"/>
      <c r="S12" s="22"/>
      <c r="T12" s="22"/>
      <c r="U12" s="22"/>
      <c r="V12" s="22"/>
      <c r="W12" s="22"/>
      <c r="X12" s="22"/>
      <c r="Y12" s="22"/>
      <c r="Z12" s="22"/>
      <c r="AA12" s="22"/>
      <c r="AB12" s="22"/>
      <c r="AC12" s="22"/>
    </row>
    <row r="13" spans="1:29" ht="15" x14ac:dyDescent="0.25">
      <c r="A13" s="401" t="s">
        <v>484</v>
      </c>
      <c r="B13" s="401" t="s">
        <v>2</v>
      </c>
      <c r="C13" s="302">
        <v>3500</v>
      </c>
      <c r="D13" s="302">
        <v>3500</v>
      </c>
      <c r="E13" s="99">
        <f t="shared" si="2"/>
        <v>3500</v>
      </c>
      <c r="F13" s="99">
        <f t="shared" si="0"/>
        <v>3500</v>
      </c>
      <c r="G13" s="99"/>
      <c r="H13" s="99"/>
      <c r="I13" s="99"/>
      <c r="J13" s="99"/>
      <c r="K13" s="99"/>
      <c r="L13" s="99"/>
      <c r="M13" s="22"/>
      <c r="N13" s="22"/>
      <c r="O13" s="295">
        <f t="shared" si="1"/>
        <v>3500</v>
      </c>
      <c r="P13" s="22"/>
      <c r="Q13" s="22"/>
      <c r="R13" s="22"/>
      <c r="S13" s="22"/>
      <c r="T13" s="22"/>
      <c r="U13" s="22"/>
      <c r="V13" s="22"/>
      <c r="W13" s="22"/>
      <c r="X13" s="22"/>
      <c r="Y13" s="22"/>
      <c r="Z13" s="22"/>
      <c r="AA13" s="22"/>
      <c r="AB13" s="22"/>
      <c r="AC13" s="22"/>
    </row>
    <row r="14" spans="1:29" ht="15" x14ac:dyDescent="0.25">
      <c r="A14" s="401" t="s">
        <v>485</v>
      </c>
      <c r="B14" s="401" t="s">
        <v>159</v>
      </c>
      <c r="C14" s="302">
        <v>120</v>
      </c>
      <c r="D14" s="302">
        <v>120</v>
      </c>
      <c r="E14" s="99">
        <f t="shared" si="2"/>
        <v>120</v>
      </c>
      <c r="F14" s="99">
        <f t="shared" si="0"/>
        <v>120</v>
      </c>
      <c r="G14" s="99"/>
      <c r="H14" s="99"/>
      <c r="I14" s="99"/>
      <c r="J14" s="99"/>
      <c r="K14" s="99"/>
      <c r="L14" s="99"/>
      <c r="M14" s="22"/>
      <c r="N14" s="22"/>
      <c r="O14" s="295">
        <f t="shared" si="1"/>
        <v>120</v>
      </c>
      <c r="P14" s="22"/>
      <c r="Q14" s="22"/>
      <c r="R14" s="22"/>
      <c r="S14" s="22"/>
      <c r="T14" s="22"/>
      <c r="U14" s="22"/>
      <c r="V14" s="22"/>
      <c r="W14" s="22"/>
      <c r="X14" s="22"/>
      <c r="Y14" s="22"/>
      <c r="Z14" s="22"/>
      <c r="AA14" s="22"/>
      <c r="AB14" s="22"/>
      <c r="AC14" s="22"/>
    </row>
    <row r="15" spans="1:29" ht="15" x14ac:dyDescent="0.25">
      <c r="A15" s="401" t="s">
        <v>486</v>
      </c>
      <c r="B15" s="401" t="s">
        <v>159</v>
      </c>
      <c r="C15" s="302">
        <v>90</v>
      </c>
      <c r="D15" s="302">
        <v>90</v>
      </c>
      <c r="E15" s="99">
        <f t="shared" si="2"/>
        <v>90</v>
      </c>
      <c r="F15" s="99">
        <f t="shared" si="0"/>
        <v>90</v>
      </c>
      <c r="G15" s="99"/>
      <c r="H15" s="99"/>
      <c r="I15" s="99"/>
      <c r="J15" s="99"/>
      <c r="K15" s="99"/>
      <c r="L15" s="99"/>
      <c r="M15" s="22"/>
      <c r="N15" s="22"/>
      <c r="O15" s="295">
        <f t="shared" si="1"/>
        <v>90</v>
      </c>
      <c r="P15" s="22"/>
      <c r="Q15" s="22"/>
      <c r="R15" s="22"/>
      <c r="S15" s="22"/>
      <c r="T15" s="22"/>
      <c r="U15" s="22"/>
      <c r="V15" s="22"/>
      <c r="W15" s="22"/>
      <c r="X15" s="22"/>
      <c r="Y15" s="22"/>
      <c r="Z15" s="22"/>
      <c r="AA15" s="22"/>
      <c r="AB15" s="22"/>
      <c r="AC15" s="22"/>
    </row>
    <row r="16" spans="1:29" ht="15" x14ac:dyDescent="0.25">
      <c r="A16" s="401" t="s">
        <v>487</v>
      </c>
      <c r="B16" s="401" t="s">
        <v>2</v>
      </c>
      <c r="C16" s="302">
        <v>500</v>
      </c>
      <c r="D16" s="302">
        <v>500</v>
      </c>
      <c r="E16" s="99">
        <f t="shared" si="2"/>
        <v>500</v>
      </c>
      <c r="F16" s="99">
        <f t="shared" si="0"/>
        <v>500</v>
      </c>
      <c r="G16" s="99"/>
      <c r="H16" s="99"/>
      <c r="I16" s="99"/>
      <c r="J16" s="99"/>
      <c r="K16" s="99"/>
      <c r="L16" s="99"/>
      <c r="M16" s="22"/>
      <c r="N16" s="22"/>
      <c r="O16" s="295">
        <f t="shared" si="1"/>
        <v>500</v>
      </c>
      <c r="P16" s="22"/>
      <c r="Q16" s="22"/>
      <c r="R16" s="22"/>
      <c r="S16" s="22"/>
      <c r="T16" s="22"/>
      <c r="U16" s="22"/>
      <c r="V16" s="22"/>
      <c r="W16" s="22"/>
      <c r="X16" s="22"/>
      <c r="Y16" s="22"/>
      <c r="Z16" s="22"/>
      <c r="AA16" s="22"/>
      <c r="AB16" s="22"/>
      <c r="AC16" s="22"/>
    </row>
    <row r="17" spans="1:29" ht="15" x14ac:dyDescent="0.25">
      <c r="A17" s="401" t="s">
        <v>488</v>
      </c>
      <c r="B17" s="401" t="s">
        <v>159</v>
      </c>
      <c r="C17" s="302">
        <v>120</v>
      </c>
      <c r="D17" s="302">
        <v>120</v>
      </c>
      <c r="E17" s="99">
        <f t="shared" si="2"/>
        <v>120</v>
      </c>
      <c r="F17" s="99">
        <f t="shared" si="0"/>
        <v>120</v>
      </c>
      <c r="G17" s="99"/>
      <c r="H17" s="99"/>
      <c r="I17" s="99"/>
      <c r="J17" s="99"/>
      <c r="K17" s="99"/>
      <c r="L17" s="99"/>
      <c r="M17" s="22"/>
      <c r="N17" s="22"/>
      <c r="O17" s="295">
        <f t="shared" si="1"/>
        <v>120</v>
      </c>
      <c r="P17" s="22"/>
      <c r="Q17" s="22"/>
      <c r="R17" s="22"/>
      <c r="S17" s="22"/>
      <c r="T17" s="22"/>
      <c r="U17" s="22"/>
      <c r="V17" s="22"/>
      <c r="W17" s="22"/>
      <c r="X17" s="22"/>
      <c r="Y17" s="22"/>
      <c r="Z17" s="22"/>
      <c r="AA17" s="22"/>
      <c r="AB17" s="22"/>
      <c r="AC17" s="22"/>
    </row>
    <row r="18" spans="1:29" ht="15" x14ac:dyDescent="0.25">
      <c r="A18" s="401" t="s">
        <v>489</v>
      </c>
      <c r="B18" s="401" t="s">
        <v>159</v>
      </c>
      <c r="C18" s="302">
        <v>30</v>
      </c>
      <c r="D18" s="302">
        <v>30</v>
      </c>
      <c r="E18" s="99">
        <f t="shared" si="2"/>
        <v>30</v>
      </c>
      <c r="F18" s="99">
        <f t="shared" si="0"/>
        <v>30</v>
      </c>
      <c r="G18" s="99"/>
      <c r="H18" s="99"/>
      <c r="I18" s="99"/>
      <c r="J18" s="99"/>
      <c r="K18" s="99"/>
      <c r="L18" s="99"/>
      <c r="M18" s="22"/>
      <c r="N18" s="22"/>
      <c r="O18" s="295">
        <f t="shared" si="1"/>
        <v>30</v>
      </c>
      <c r="P18" s="22"/>
      <c r="Q18" s="22"/>
      <c r="R18" s="22"/>
      <c r="S18" s="22"/>
      <c r="T18" s="22"/>
      <c r="U18" s="22"/>
      <c r="V18" s="22"/>
      <c r="W18" s="22"/>
      <c r="X18" s="22"/>
      <c r="Y18" s="22"/>
      <c r="Z18" s="22"/>
      <c r="AA18" s="22"/>
      <c r="AB18" s="22"/>
      <c r="AC18" s="22"/>
    </row>
    <row r="19" spans="1:29" ht="15" x14ac:dyDescent="0.25">
      <c r="A19" s="401" t="s">
        <v>490</v>
      </c>
      <c r="B19" s="401" t="s">
        <v>2</v>
      </c>
      <c r="C19" s="302">
        <v>350</v>
      </c>
      <c r="D19" s="302">
        <v>350</v>
      </c>
      <c r="E19" s="99">
        <f t="shared" si="2"/>
        <v>350</v>
      </c>
      <c r="F19" s="99">
        <f t="shared" si="0"/>
        <v>350</v>
      </c>
      <c r="G19" s="99"/>
      <c r="H19" s="99"/>
      <c r="I19" s="99"/>
      <c r="J19" s="99"/>
      <c r="K19" s="99"/>
      <c r="L19" s="99"/>
      <c r="M19" s="22"/>
      <c r="N19" s="22"/>
      <c r="O19" s="295">
        <f t="shared" si="1"/>
        <v>350</v>
      </c>
      <c r="P19" s="22"/>
      <c r="Q19" s="22"/>
      <c r="R19" s="22"/>
      <c r="S19" s="22"/>
      <c r="T19" s="22"/>
      <c r="U19" s="22"/>
      <c r="V19" s="22"/>
      <c r="W19" s="22"/>
      <c r="X19" s="22"/>
      <c r="Y19" s="22"/>
      <c r="Z19" s="22"/>
      <c r="AA19" s="22"/>
      <c r="AB19" s="22"/>
      <c r="AC19" s="22"/>
    </row>
    <row r="20" spans="1:29" ht="15" x14ac:dyDescent="0.25">
      <c r="A20" s="401" t="s">
        <v>491</v>
      </c>
      <c r="B20" s="401" t="s">
        <v>159</v>
      </c>
      <c r="C20" s="302">
        <v>90</v>
      </c>
      <c r="D20" s="302">
        <v>90</v>
      </c>
      <c r="E20" s="99">
        <f t="shared" si="2"/>
        <v>90</v>
      </c>
      <c r="F20" s="99">
        <f t="shared" si="0"/>
        <v>90</v>
      </c>
      <c r="G20" s="99"/>
      <c r="H20" s="99"/>
      <c r="I20" s="99"/>
      <c r="J20" s="99"/>
      <c r="K20" s="99"/>
      <c r="L20" s="99"/>
      <c r="M20" s="22"/>
      <c r="N20" s="22"/>
      <c r="O20" s="295">
        <f t="shared" si="1"/>
        <v>90</v>
      </c>
      <c r="P20" s="22"/>
      <c r="Q20" s="22"/>
      <c r="R20" s="22"/>
      <c r="S20" s="22"/>
      <c r="T20" s="22"/>
      <c r="U20" s="22"/>
      <c r="V20" s="22"/>
      <c r="W20" s="22"/>
      <c r="X20" s="22"/>
      <c r="Y20" s="22"/>
      <c r="Z20" s="22"/>
      <c r="AA20" s="22"/>
      <c r="AB20" s="22"/>
      <c r="AC20" s="22"/>
    </row>
    <row r="21" spans="1:29" ht="15" x14ac:dyDescent="0.25">
      <c r="A21" s="401" t="s">
        <v>492</v>
      </c>
      <c r="B21" s="401" t="s">
        <v>159</v>
      </c>
      <c r="C21" s="302">
        <v>180</v>
      </c>
      <c r="D21" s="302">
        <v>180</v>
      </c>
      <c r="E21" s="99">
        <f t="shared" si="2"/>
        <v>180</v>
      </c>
      <c r="F21" s="99">
        <f t="shared" si="0"/>
        <v>180</v>
      </c>
      <c r="G21" s="99"/>
      <c r="H21" s="99"/>
      <c r="I21" s="99"/>
      <c r="J21" s="99"/>
      <c r="K21" s="99"/>
      <c r="L21" s="99"/>
      <c r="M21" s="22"/>
      <c r="N21" s="22"/>
      <c r="O21" s="295">
        <f t="shared" si="1"/>
        <v>180</v>
      </c>
      <c r="P21" s="22"/>
      <c r="Q21" s="22"/>
      <c r="R21" s="22"/>
      <c r="S21" s="22"/>
      <c r="T21" s="22"/>
      <c r="U21" s="22"/>
      <c r="V21" s="22"/>
      <c r="W21" s="22"/>
      <c r="X21" s="22"/>
      <c r="Y21" s="22"/>
      <c r="Z21" s="22"/>
      <c r="AA21" s="22"/>
      <c r="AB21" s="22"/>
      <c r="AC21" s="22"/>
    </row>
    <row r="22" spans="1:29" ht="15" x14ac:dyDescent="0.25">
      <c r="A22" s="401" t="s">
        <v>493</v>
      </c>
      <c r="B22" s="401" t="s">
        <v>159</v>
      </c>
      <c r="C22" s="302">
        <v>300</v>
      </c>
      <c r="D22" s="302">
        <v>300</v>
      </c>
      <c r="E22" s="99">
        <f t="shared" si="2"/>
        <v>300</v>
      </c>
      <c r="F22" s="99">
        <f t="shared" si="0"/>
        <v>300</v>
      </c>
      <c r="G22" s="99"/>
      <c r="H22" s="99"/>
      <c r="I22" s="99"/>
      <c r="J22" s="99"/>
      <c r="K22" s="99"/>
      <c r="L22" s="99"/>
      <c r="M22" s="22"/>
      <c r="N22" s="22"/>
      <c r="O22" s="295">
        <f t="shared" si="1"/>
        <v>300</v>
      </c>
      <c r="P22" s="22"/>
      <c r="Q22" s="22"/>
      <c r="R22" s="22"/>
      <c r="S22" s="22"/>
      <c r="T22" s="22"/>
      <c r="U22" s="22"/>
      <c r="V22" s="22"/>
      <c r="W22" s="22"/>
      <c r="X22" s="22"/>
      <c r="Y22" s="22"/>
      <c r="Z22" s="22"/>
      <c r="AA22" s="22"/>
      <c r="AB22" s="22"/>
      <c r="AC22" s="22"/>
    </row>
    <row r="23" spans="1:29" ht="15" x14ac:dyDescent="0.25">
      <c r="A23" s="401" t="s">
        <v>494</v>
      </c>
      <c r="B23" s="401" t="s">
        <v>159</v>
      </c>
      <c r="C23" s="302">
        <v>180</v>
      </c>
      <c r="D23" s="302">
        <v>180</v>
      </c>
      <c r="E23" s="99">
        <f t="shared" si="2"/>
        <v>180</v>
      </c>
      <c r="F23" s="99">
        <f t="shared" si="0"/>
        <v>180</v>
      </c>
      <c r="G23" s="99"/>
      <c r="H23" s="99"/>
      <c r="I23" s="99"/>
      <c r="J23" s="99"/>
      <c r="K23" s="99"/>
      <c r="L23" s="99"/>
      <c r="M23" s="22"/>
      <c r="N23" s="22"/>
      <c r="O23" s="295">
        <f t="shared" si="1"/>
        <v>180</v>
      </c>
      <c r="P23" s="22"/>
      <c r="Q23" s="22"/>
      <c r="R23" s="22"/>
      <c r="S23" s="22"/>
      <c r="T23" s="22"/>
      <c r="U23" s="22"/>
      <c r="V23" s="22"/>
      <c r="W23" s="22"/>
      <c r="X23" s="22"/>
      <c r="Y23" s="22"/>
      <c r="Z23" s="22"/>
      <c r="AA23" s="22"/>
      <c r="AB23" s="22"/>
      <c r="AC23" s="22"/>
    </row>
    <row r="24" spans="1:29" ht="15" x14ac:dyDescent="0.25">
      <c r="A24" s="402" t="s">
        <v>495</v>
      </c>
      <c r="B24" s="402" t="s">
        <v>496</v>
      </c>
      <c r="C24" s="302">
        <v>250000</v>
      </c>
      <c r="D24" s="302">
        <v>450000</v>
      </c>
      <c r="E24" s="99">
        <f t="shared" si="2"/>
        <v>250000</v>
      </c>
      <c r="F24" s="99">
        <f t="shared" si="0"/>
        <v>450000</v>
      </c>
      <c r="G24" s="99"/>
      <c r="H24" s="99"/>
      <c r="I24" s="99"/>
      <c r="J24" s="99"/>
      <c r="K24" s="99"/>
      <c r="L24" s="99"/>
      <c r="M24" s="22"/>
      <c r="N24" s="22"/>
      <c r="O24" s="296">
        <f>INDEX(C24:L24,1,$O$8)</f>
        <v>450000</v>
      </c>
      <c r="P24" s="22"/>
      <c r="Q24" s="22"/>
      <c r="R24" s="22"/>
      <c r="S24" s="22"/>
      <c r="T24" s="22"/>
      <c r="U24" s="22"/>
      <c r="V24" s="22"/>
      <c r="W24" s="22"/>
      <c r="X24" s="22"/>
      <c r="Y24" s="22"/>
      <c r="Z24" s="22"/>
      <c r="AA24" s="22"/>
      <c r="AB24" s="22"/>
      <c r="AC24" s="22"/>
    </row>
    <row r="25" spans="1:29" ht="15" x14ac:dyDescent="0.25">
      <c r="A25" s="22"/>
      <c r="B25" s="22"/>
      <c r="C25" s="297"/>
      <c r="D25" s="297"/>
      <c r="E25" s="414"/>
      <c r="F25" s="414"/>
      <c r="G25" s="414"/>
      <c r="H25" s="414"/>
      <c r="I25" s="414"/>
      <c r="J25" s="414"/>
      <c r="K25" s="414"/>
      <c r="L25" s="414"/>
      <c r="M25" s="22"/>
      <c r="N25" s="22"/>
      <c r="O25" s="22"/>
      <c r="P25" s="22"/>
      <c r="Q25" s="22"/>
      <c r="R25" s="22"/>
      <c r="S25" s="22"/>
      <c r="T25" s="22"/>
      <c r="U25" s="22"/>
      <c r="V25" s="22"/>
      <c r="W25" s="22"/>
      <c r="X25" s="22"/>
      <c r="Y25" s="22"/>
      <c r="Z25" s="22"/>
      <c r="AA25" s="22"/>
      <c r="AB25" s="22"/>
      <c r="AC25" s="22"/>
    </row>
    <row r="26" spans="1:29" ht="15" x14ac:dyDescent="0.25">
      <c r="A26" s="399" t="s">
        <v>497</v>
      </c>
      <c r="B26" s="22"/>
      <c r="C26" s="297"/>
      <c r="D26" s="297"/>
      <c r="E26" s="414"/>
      <c r="F26" s="414"/>
      <c r="G26" s="414"/>
      <c r="H26" s="414"/>
      <c r="I26" s="414"/>
      <c r="J26" s="414"/>
      <c r="K26" s="414"/>
      <c r="L26" s="414"/>
      <c r="M26" s="22"/>
      <c r="N26" s="22"/>
      <c r="O26" s="22"/>
      <c r="P26" s="22"/>
      <c r="Q26" s="22"/>
      <c r="R26" s="22"/>
      <c r="S26" s="22"/>
      <c r="T26" s="22"/>
      <c r="U26" s="22"/>
      <c r="V26" s="22"/>
      <c r="W26" s="22"/>
      <c r="X26" s="22"/>
      <c r="Y26" s="22"/>
      <c r="Z26" s="22"/>
      <c r="AA26" s="22"/>
      <c r="AB26" s="22"/>
      <c r="AC26" s="22"/>
    </row>
    <row r="27" spans="1:29" ht="15" x14ac:dyDescent="0.25">
      <c r="A27" s="400" t="s">
        <v>498</v>
      </c>
      <c r="B27" s="400" t="s">
        <v>2</v>
      </c>
      <c r="C27" s="490">
        <v>4000</v>
      </c>
      <c r="D27" s="490">
        <v>12000</v>
      </c>
      <c r="E27" s="99">
        <f t="shared" ref="E27:E31" si="3">C27</f>
        <v>4000</v>
      </c>
      <c r="F27" s="99">
        <f t="shared" ref="F27:F31" si="4">D27</f>
        <v>12000</v>
      </c>
      <c r="G27" s="99"/>
      <c r="H27" s="99"/>
      <c r="I27" s="99"/>
      <c r="J27" s="99"/>
      <c r="K27" s="99"/>
      <c r="L27" s="99"/>
      <c r="M27" s="22"/>
      <c r="N27" s="22"/>
      <c r="O27" s="294">
        <f>INDEX(C27:L27,1,$O$8)</f>
        <v>12000</v>
      </c>
      <c r="P27" s="22"/>
      <c r="Q27" s="22"/>
      <c r="R27" s="78"/>
      <c r="S27" s="78"/>
      <c r="T27" s="78"/>
      <c r="U27" s="78"/>
      <c r="V27" s="78"/>
      <c r="W27" s="78"/>
      <c r="X27" s="78"/>
      <c r="Y27" s="78"/>
      <c r="Z27" s="22"/>
      <c r="AA27" s="22"/>
      <c r="AB27" s="22"/>
      <c r="AC27" s="22"/>
    </row>
    <row r="28" spans="1:29" ht="15" x14ac:dyDescent="0.25">
      <c r="A28" s="401" t="s">
        <v>507</v>
      </c>
      <c r="B28" s="401" t="s">
        <v>499</v>
      </c>
      <c r="C28" s="490">
        <v>2300</v>
      </c>
      <c r="D28" s="490">
        <v>3400</v>
      </c>
      <c r="E28" s="99">
        <f t="shared" si="3"/>
        <v>2300</v>
      </c>
      <c r="F28" s="99">
        <f t="shared" si="4"/>
        <v>3400</v>
      </c>
      <c r="G28" s="99"/>
      <c r="H28" s="99"/>
      <c r="I28" s="99"/>
      <c r="J28" s="99"/>
      <c r="K28" s="99"/>
      <c r="L28" s="99"/>
      <c r="M28" s="22"/>
      <c r="N28" s="22"/>
      <c r="O28" s="295">
        <f>INDEX(C28:L28,1,$O$8)</f>
        <v>3400</v>
      </c>
      <c r="P28" s="22"/>
      <c r="Q28" s="22"/>
      <c r="R28" s="78"/>
      <c r="S28" s="78"/>
      <c r="T28" s="78"/>
      <c r="U28" s="78"/>
      <c r="V28" s="78"/>
      <c r="W28" s="78"/>
      <c r="X28" s="78"/>
      <c r="Y28" s="78"/>
      <c r="Z28" s="22"/>
      <c r="AA28" s="22"/>
      <c r="AB28" s="22"/>
      <c r="AC28" s="22"/>
    </row>
    <row r="29" spans="1:29" ht="15" x14ac:dyDescent="0.25">
      <c r="A29" s="401" t="s">
        <v>500</v>
      </c>
      <c r="B29" s="401" t="s">
        <v>496</v>
      </c>
      <c r="C29" s="490">
        <v>180000</v>
      </c>
      <c r="D29" s="490">
        <v>230000</v>
      </c>
      <c r="E29" s="99">
        <f t="shared" si="3"/>
        <v>180000</v>
      </c>
      <c r="F29" s="99">
        <f t="shared" si="4"/>
        <v>230000</v>
      </c>
      <c r="G29" s="99"/>
      <c r="H29" s="99"/>
      <c r="I29" s="99"/>
      <c r="J29" s="99"/>
      <c r="K29" s="99"/>
      <c r="L29" s="99"/>
      <c r="M29" s="22"/>
      <c r="N29" s="22"/>
      <c r="O29" s="295">
        <f>INDEX(C29:L29,1,$O$8)</f>
        <v>230000</v>
      </c>
      <c r="P29" s="22"/>
      <c r="Q29" s="22"/>
      <c r="R29" s="78"/>
      <c r="S29" s="78"/>
      <c r="T29" s="78"/>
      <c r="U29" s="78"/>
      <c r="V29" s="78"/>
      <c r="W29" s="78"/>
      <c r="X29" s="78"/>
      <c r="Y29" s="78"/>
      <c r="Z29" s="22"/>
      <c r="AA29" s="22"/>
      <c r="AB29" s="22"/>
      <c r="AC29" s="22"/>
    </row>
    <row r="30" spans="1:29" ht="15" x14ac:dyDescent="0.25">
      <c r="A30" s="401" t="s">
        <v>501</v>
      </c>
      <c r="B30" s="401" t="s">
        <v>159</v>
      </c>
      <c r="C30" s="490">
        <v>21</v>
      </c>
      <c r="D30" s="490">
        <v>24</v>
      </c>
      <c r="E30" s="99">
        <f t="shared" si="3"/>
        <v>21</v>
      </c>
      <c r="F30" s="99">
        <f t="shared" si="4"/>
        <v>24</v>
      </c>
      <c r="G30" s="99"/>
      <c r="H30" s="99"/>
      <c r="I30" s="99"/>
      <c r="J30" s="99"/>
      <c r="K30" s="99"/>
      <c r="L30" s="99"/>
      <c r="M30" s="22"/>
      <c r="N30" s="22"/>
      <c r="O30" s="295">
        <f>INDEX(C30:L30,1,$O$8)</f>
        <v>24</v>
      </c>
      <c r="P30" s="22"/>
      <c r="Q30" s="22"/>
      <c r="R30" s="78"/>
      <c r="S30" s="78"/>
      <c r="T30" s="78"/>
      <c r="U30" s="78"/>
      <c r="V30" s="78"/>
      <c r="W30" s="78"/>
      <c r="X30" s="78"/>
      <c r="Y30" s="78"/>
      <c r="Z30" s="22"/>
      <c r="AA30" s="22"/>
      <c r="AB30" s="22"/>
      <c r="AC30" s="22"/>
    </row>
    <row r="31" spans="1:29" ht="15" x14ac:dyDescent="0.25">
      <c r="A31" s="402" t="s">
        <v>502</v>
      </c>
      <c r="B31" s="402" t="s">
        <v>503</v>
      </c>
      <c r="C31" s="490">
        <v>78</v>
      </c>
      <c r="D31" s="490">
        <v>55</v>
      </c>
      <c r="E31" s="99">
        <f t="shared" si="3"/>
        <v>78</v>
      </c>
      <c r="F31" s="99">
        <f t="shared" si="4"/>
        <v>55</v>
      </c>
      <c r="G31" s="99"/>
      <c r="H31" s="99"/>
      <c r="I31" s="99"/>
      <c r="J31" s="99"/>
      <c r="K31" s="99"/>
      <c r="L31" s="99"/>
      <c r="M31" s="22"/>
      <c r="N31" s="22"/>
      <c r="O31" s="296">
        <f>INDEX(C31:L31,1,$O$8)</f>
        <v>55</v>
      </c>
      <c r="P31" s="22"/>
      <c r="Q31" s="22"/>
      <c r="R31" s="22"/>
      <c r="S31" s="22"/>
      <c r="T31" s="22"/>
      <c r="U31" s="22"/>
      <c r="V31" s="22"/>
      <c r="W31" s="22"/>
      <c r="X31" s="22"/>
      <c r="Y31" s="22"/>
      <c r="Z31" s="22"/>
      <c r="AA31" s="22"/>
      <c r="AB31" s="22"/>
      <c r="AC31" s="22"/>
    </row>
    <row r="32" spans="1:29" ht="15" x14ac:dyDescent="0.25">
      <c r="A32" s="22"/>
      <c r="B32" s="22"/>
      <c r="C32" s="297"/>
      <c r="D32" s="297"/>
      <c r="E32" s="414"/>
      <c r="F32" s="414"/>
      <c r="G32" s="414"/>
      <c r="H32" s="414"/>
      <c r="I32" s="414"/>
      <c r="J32" s="414"/>
      <c r="K32" s="414"/>
      <c r="L32" s="414"/>
      <c r="M32" s="22"/>
      <c r="N32" s="22"/>
      <c r="O32" s="22"/>
      <c r="P32" s="22"/>
      <c r="Q32" s="22"/>
      <c r="R32" s="22"/>
      <c r="S32" s="22"/>
      <c r="T32" s="22"/>
      <c r="U32" s="22"/>
      <c r="V32" s="22"/>
      <c r="W32" s="22"/>
      <c r="X32" s="22"/>
      <c r="Y32" s="22"/>
      <c r="Z32" s="22"/>
      <c r="AA32" s="22"/>
      <c r="AB32" s="22"/>
      <c r="AC32" s="22"/>
    </row>
    <row r="33" spans="1:29" x14ac:dyDescent="0.3">
      <c r="A33" s="399" t="s">
        <v>504</v>
      </c>
      <c r="B33" s="22"/>
      <c r="C33" s="297"/>
      <c r="D33" s="297"/>
      <c r="E33" s="414"/>
      <c r="F33" s="414"/>
      <c r="G33" s="414"/>
      <c r="H33" s="414"/>
      <c r="I33" s="414"/>
      <c r="J33" s="414"/>
      <c r="K33" s="414"/>
      <c r="L33" s="414"/>
      <c r="M33" s="22"/>
      <c r="N33" s="22"/>
      <c r="O33" s="22"/>
      <c r="P33" s="22"/>
      <c r="Q33" s="22"/>
      <c r="R33" s="22"/>
      <c r="S33" s="342"/>
      <c r="T33" s="342"/>
      <c r="U33" s="342"/>
      <c r="V33" s="342"/>
      <c r="W33" s="342"/>
      <c r="X33" s="342"/>
      <c r="Y33" s="342"/>
      <c r="Z33" s="22"/>
      <c r="AA33" s="22"/>
      <c r="AB33" s="22"/>
      <c r="AC33" s="22"/>
    </row>
    <row r="34" spans="1:29" x14ac:dyDescent="0.3">
      <c r="A34" s="400" t="s">
        <v>498</v>
      </c>
      <c r="B34" s="400" t="s">
        <v>2</v>
      </c>
      <c r="C34" s="491">
        <v>3000</v>
      </c>
      <c r="D34" s="491">
        <v>6000</v>
      </c>
      <c r="E34" s="99">
        <f t="shared" ref="E34:E38" si="5">C34</f>
        <v>3000</v>
      </c>
      <c r="F34" s="99">
        <f t="shared" ref="F34:F38" si="6">D34</f>
        <v>6000</v>
      </c>
      <c r="G34" s="99"/>
      <c r="H34" s="99"/>
      <c r="I34" s="99"/>
      <c r="J34" s="99"/>
      <c r="K34" s="99"/>
      <c r="L34" s="99"/>
      <c r="M34" s="22"/>
      <c r="N34" s="22"/>
      <c r="O34" s="294">
        <f>INDEX(C34:L34,1,$O$8)</f>
        <v>6000</v>
      </c>
      <c r="P34" s="22"/>
      <c r="Q34" s="22"/>
      <c r="R34" s="22"/>
      <c r="S34" s="22"/>
      <c r="T34" s="22"/>
      <c r="U34" s="22"/>
      <c r="V34" s="22"/>
      <c r="W34" s="22"/>
      <c r="X34" s="22"/>
      <c r="Y34" s="22"/>
      <c r="Z34" s="22"/>
      <c r="AA34" s="22"/>
      <c r="AB34" s="22"/>
      <c r="AC34" s="22"/>
    </row>
    <row r="35" spans="1:29" x14ac:dyDescent="0.3">
      <c r="A35" s="401" t="s">
        <v>507</v>
      </c>
      <c r="B35" s="401" t="s">
        <v>499</v>
      </c>
      <c r="C35" s="491">
        <v>2300</v>
      </c>
      <c r="D35" s="491">
        <v>3200</v>
      </c>
      <c r="E35" s="99">
        <f t="shared" si="5"/>
        <v>2300</v>
      </c>
      <c r="F35" s="99">
        <f t="shared" si="6"/>
        <v>3200</v>
      </c>
      <c r="G35" s="99"/>
      <c r="H35" s="99"/>
      <c r="I35" s="99"/>
      <c r="J35" s="99"/>
      <c r="K35" s="99"/>
      <c r="L35" s="99"/>
      <c r="M35" s="22"/>
      <c r="N35" s="22"/>
      <c r="O35" s="295">
        <f>INDEX(C35:L35,1,$O$8)</f>
        <v>3200</v>
      </c>
      <c r="P35" s="22"/>
      <c r="Q35" s="22"/>
      <c r="R35" s="81"/>
      <c r="S35" s="81"/>
      <c r="T35" s="81"/>
      <c r="U35" s="81"/>
      <c r="V35" s="81"/>
      <c r="W35" s="81"/>
      <c r="X35" s="81"/>
      <c r="Y35" s="81"/>
      <c r="Z35" s="22"/>
      <c r="AA35" s="22"/>
      <c r="AB35" s="22"/>
      <c r="AC35" s="22"/>
    </row>
    <row r="36" spans="1:29" x14ac:dyDescent="0.3">
      <c r="A36" s="401" t="s">
        <v>500</v>
      </c>
      <c r="B36" s="401" t="s">
        <v>496</v>
      </c>
      <c r="C36" s="491">
        <f>C29</f>
        <v>180000</v>
      </c>
      <c r="D36" s="491">
        <v>230000</v>
      </c>
      <c r="E36" s="99">
        <f t="shared" si="5"/>
        <v>180000</v>
      </c>
      <c r="F36" s="99">
        <f t="shared" si="6"/>
        <v>230000</v>
      </c>
      <c r="G36" s="99"/>
      <c r="H36" s="99"/>
      <c r="I36" s="99"/>
      <c r="J36" s="99"/>
      <c r="K36" s="99"/>
      <c r="L36" s="99"/>
      <c r="M36" s="22"/>
      <c r="N36" s="22"/>
      <c r="O36" s="295">
        <f>INDEX(C36:L36,1,$O$8)</f>
        <v>230000</v>
      </c>
      <c r="P36" s="22"/>
      <c r="Q36" s="22"/>
      <c r="R36" s="22"/>
      <c r="S36" s="22"/>
      <c r="T36" s="22"/>
      <c r="U36" s="22"/>
      <c r="V36" s="22"/>
      <c r="W36" s="22"/>
      <c r="X36" s="22"/>
      <c r="Y36" s="22"/>
      <c r="Z36" s="22"/>
      <c r="AA36" s="22"/>
      <c r="AB36" s="22"/>
      <c r="AC36" s="22"/>
    </row>
    <row r="37" spans="1:29" x14ac:dyDescent="0.3">
      <c r="A37" s="401" t="s">
        <v>501</v>
      </c>
      <c r="B37" s="401" t="s">
        <v>159</v>
      </c>
      <c r="C37" s="491">
        <v>2</v>
      </c>
      <c r="D37" s="491">
        <v>3</v>
      </c>
      <c r="E37" s="99">
        <f t="shared" si="5"/>
        <v>2</v>
      </c>
      <c r="F37" s="99">
        <f t="shared" si="6"/>
        <v>3</v>
      </c>
      <c r="G37" s="99"/>
      <c r="H37" s="99"/>
      <c r="I37" s="99"/>
      <c r="J37" s="99"/>
      <c r="K37" s="99"/>
      <c r="L37" s="99"/>
      <c r="M37" s="22"/>
      <c r="N37" s="22"/>
      <c r="O37" s="295">
        <f>INDEX(C37:L37,1,$O$8)</f>
        <v>3</v>
      </c>
      <c r="P37" s="22"/>
      <c r="Q37" s="22"/>
      <c r="R37" s="22"/>
      <c r="S37" s="22"/>
      <c r="T37" s="22"/>
      <c r="U37" s="22"/>
      <c r="V37" s="22"/>
      <c r="W37" s="22"/>
      <c r="X37" s="22"/>
      <c r="Y37" s="22"/>
      <c r="Z37" s="22"/>
      <c r="AA37" s="22"/>
      <c r="AB37" s="22"/>
      <c r="AC37" s="22"/>
    </row>
    <row r="38" spans="1:29" x14ac:dyDescent="0.3">
      <c r="A38" s="402" t="s">
        <v>502</v>
      </c>
      <c r="B38" s="402" t="s">
        <v>503</v>
      </c>
      <c r="C38" s="491">
        <v>90</v>
      </c>
      <c r="D38" s="491">
        <v>65</v>
      </c>
      <c r="E38" s="99">
        <f t="shared" si="5"/>
        <v>90</v>
      </c>
      <c r="F38" s="99">
        <f t="shared" si="6"/>
        <v>65</v>
      </c>
      <c r="G38" s="99"/>
      <c r="H38" s="99"/>
      <c r="I38" s="99"/>
      <c r="J38" s="99"/>
      <c r="K38" s="99"/>
      <c r="L38" s="99"/>
      <c r="M38" s="22"/>
      <c r="N38" s="22"/>
      <c r="O38" s="296">
        <f>INDEX(C38:L38,1,$O$8)</f>
        <v>65</v>
      </c>
      <c r="P38" s="22"/>
      <c r="Q38" s="22"/>
      <c r="R38" s="22"/>
      <c r="S38" s="22"/>
      <c r="T38" s="22"/>
      <c r="U38" s="22"/>
      <c r="V38" s="22"/>
      <c r="W38" s="22"/>
      <c r="X38" s="22"/>
      <c r="Y38" s="22"/>
      <c r="Z38" s="22"/>
      <c r="AA38" s="22"/>
      <c r="AB38" s="22"/>
      <c r="AC38" s="22"/>
    </row>
    <row r="39" spans="1:29" x14ac:dyDescent="0.3">
      <c r="A39" s="22"/>
      <c r="B39" s="22"/>
      <c r="C39" s="297"/>
      <c r="D39" s="297"/>
      <c r="E39" s="414"/>
      <c r="F39" s="414"/>
      <c r="G39" s="414"/>
      <c r="H39" s="414"/>
      <c r="I39" s="414"/>
      <c r="J39" s="414"/>
      <c r="K39" s="414"/>
      <c r="L39" s="414"/>
      <c r="M39" s="22"/>
      <c r="N39" s="22"/>
      <c r="O39" s="22"/>
      <c r="P39" s="22"/>
      <c r="Q39" s="22"/>
      <c r="R39" s="22"/>
      <c r="S39" s="22"/>
      <c r="T39" s="22"/>
      <c r="U39" s="22"/>
      <c r="V39" s="22"/>
      <c r="W39" s="22"/>
      <c r="X39" s="22"/>
      <c r="Y39" s="22"/>
      <c r="Z39" s="22"/>
      <c r="AA39" s="22"/>
      <c r="AB39" s="22"/>
      <c r="AC39" s="22"/>
    </row>
    <row r="40" spans="1:29" x14ac:dyDescent="0.3">
      <c r="A40" s="399" t="s">
        <v>505</v>
      </c>
      <c r="B40" s="22"/>
      <c r="C40" s="297"/>
      <c r="D40" s="297"/>
      <c r="E40" s="414"/>
      <c r="F40" s="414"/>
      <c r="G40" s="414"/>
      <c r="H40" s="414"/>
      <c r="I40" s="414"/>
      <c r="J40" s="414"/>
      <c r="K40" s="414"/>
      <c r="L40" s="414"/>
      <c r="M40" s="22"/>
      <c r="N40" s="22"/>
      <c r="O40" s="22"/>
      <c r="P40" s="22"/>
      <c r="Q40" s="22"/>
      <c r="R40" s="22">
        <f>R26</f>
        <v>0</v>
      </c>
      <c r="S40" s="22">
        <f>R40+300</f>
        <v>300</v>
      </c>
      <c r="T40" s="22">
        <f t="shared" ref="T40:Y40" si="7">S40+300</f>
        <v>600</v>
      </c>
      <c r="U40" s="22">
        <f t="shared" si="7"/>
        <v>900</v>
      </c>
      <c r="V40" s="22">
        <f t="shared" si="7"/>
        <v>1200</v>
      </c>
      <c r="W40" s="22">
        <f t="shared" si="7"/>
        <v>1500</v>
      </c>
      <c r="X40" s="22">
        <f t="shared" si="7"/>
        <v>1800</v>
      </c>
      <c r="Y40" s="22">
        <f t="shared" si="7"/>
        <v>2100</v>
      </c>
      <c r="Z40" s="22"/>
      <c r="AA40" s="22"/>
      <c r="AB40" s="22"/>
      <c r="AC40" s="22"/>
    </row>
    <row r="41" spans="1:29" x14ac:dyDescent="0.3">
      <c r="A41" s="400" t="s">
        <v>498</v>
      </c>
      <c r="B41" s="400" t="s">
        <v>2</v>
      </c>
      <c r="C41" s="491">
        <v>700</v>
      </c>
      <c r="D41" s="491">
        <v>700</v>
      </c>
      <c r="E41" s="99">
        <f t="shared" ref="E41:E47" si="8">C41</f>
        <v>700</v>
      </c>
      <c r="F41" s="99">
        <f t="shared" ref="F41:F47" si="9">D41</f>
        <v>700</v>
      </c>
      <c r="G41" s="99"/>
      <c r="H41" s="99"/>
      <c r="I41" s="99"/>
      <c r="J41" s="99"/>
      <c r="K41" s="99"/>
      <c r="L41" s="99"/>
      <c r="M41" s="22"/>
      <c r="N41" s="22"/>
      <c r="O41" s="294">
        <f>INDEX(C41:L41,1,$O$8)</f>
        <v>700</v>
      </c>
      <c r="P41" s="22"/>
      <c r="Q41" s="22" t="s">
        <v>506</v>
      </c>
      <c r="R41" s="22">
        <f>$O41+$O42*R40/1000</f>
        <v>700</v>
      </c>
      <c r="S41" s="22">
        <f t="shared" ref="S41:Y41" si="10">$O41+$O42*S40/1000</f>
        <v>970</v>
      </c>
      <c r="T41" s="22">
        <f t="shared" si="10"/>
        <v>1240</v>
      </c>
      <c r="U41" s="22">
        <f t="shared" si="10"/>
        <v>1510</v>
      </c>
      <c r="V41" s="22">
        <f t="shared" si="10"/>
        <v>1780</v>
      </c>
      <c r="W41" s="22">
        <f t="shared" si="10"/>
        <v>2050</v>
      </c>
      <c r="X41" s="22">
        <f t="shared" si="10"/>
        <v>2320</v>
      </c>
      <c r="Y41" s="22">
        <f t="shared" si="10"/>
        <v>2590</v>
      </c>
      <c r="Z41" s="22"/>
      <c r="AA41" s="22"/>
      <c r="AB41" s="22"/>
      <c r="AC41" s="22"/>
    </row>
    <row r="42" spans="1:29" x14ac:dyDescent="0.3">
      <c r="A42" s="401" t="s">
        <v>507</v>
      </c>
      <c r="B42" s="401" t="s">
        <v>499</v>
      </c>
      <c r="C42" s="491">
        <v>900</v>
      </c>
      <c r="D42" s="491">
        <v>900</v>
      </c>
      <c r="E42" s="99">
        <f t="shared" si="8"/>
        <v>900</v>
      </c>
      <c r="F42" s="99">
        <f t="shared" si="9"/>
        <v>900</v>
      </c>
      <c r="G42" s="99"/>
      <c r="H42" s="99"/>
      <c r="I42" s="99"/>
      <c r="J42" s="99"/>
      <c r="K42" s="99"/>
      <c r="L42" s="99"/>
      <c r="M42" s="22"/>
      <c r="N42" s="22"/>
      <c r="O42" s="295">
        <f t="shared" ref="O42:O47" si="11">INDEX(C42:L42,1,$O$8)</f>
        <v>900</v>
      </c>
      <c r="P42" s="22"/>
      <c r="Q42" s="22" t="s">
        <v>159</v>
      </c>
      <c r="R42" s="81">
        <f>R40/$O45+$O44</f>
        <v>3</v>
      </c>
      <c r="S42" s="81">
        <f t="shared" ref="S42:Y42" si="12">S40/$O45+$O44</f>
        <v>3.5</v>
      </c>
      <c r="T42" s="81">
        <f t="shared" si="12"/>
        <v>4</v>
      </c>
      <c r="U42" s="81">
        <f t="shared" si="12"/>
        <v>4.5</v>
      </c>
      <c r="V42" s="81">
        <f t="shared" si="12"/>
        <v>5</v>
      </c>
      <c r="W42" s="81">
        <f t="shared" si="12"/>
        <v>5.5</v>
      </c>
      <c r="X42" s="81">
        <f t="shared" si="12"/>
        <v>6</v>
      </c>
      <c r="Y42" s="81">
        <f t="shared" si="12"/>
        <v>6.5</v>
      </c>
      <c r="Z42" s="22"/>
      <c r="AA42" s="22"/>
      <c r="AB42" s="22"/>
      <c r="AC42" s="22"/>
    </row>
    <row r="43" spans="1:29" x14ac:dyDescent="0.3">
      <c r="A43" s="401" t="s">
        <v>500</v>
      </c>
      <c r="B43" s="401" t="s">
        <v>496</v>
      </c>
      <c r="C43" s="491">
        <v>50000</v>
      </c>
      <c r="D43" s="491">
        <v>80000</v>
      </c>
      <c r="E43" s="99">
        <f t="shared" si="8"/>
        <v>50000</v>
      </c>
      <c r="F43" s="99">
        <f t="shared" si="9"/>
        <v>80000</v>
      </c>
      <c r="G43" s="99"/>
      <c r="H43" s="99"/>
      <c r="I43" s="99"/>
      <c r="J43" s="99"/>
      <c r="K43" s="99"/>
      <c r="L43" s="99"/>
      <c r="M43" s="22"/>
      <c r="N43" s="22"/>
      <c r="O43" s="295">
        <f t="shared" si="11"/>
        <v>80000</v>
      </c>
      <c r="P43" s="22"/>
      <c r="Q43" s="22" t="s">
        <v>508</v>
      </c>
      <c r="R43" s="22">
        <f t="shared" ref="R43:Y43" si="13">($O43+$O$24)*R42/1000</f>
        <v>1590</v>
      </c>
      <c r="S43" s="22">
        <f t="shared" si="13"/>
        <v>1855</v>
      </c>
      <c r="T43" s="22">
        <f t="shared" si="13"/>
        <v>2120</v>
      </c>
      <c r="U43" s="22">
        <f t="shared" si="13"/>
        <v>2385</v>
      </c>
      <c r="V43" s="22">
        <f t="shared" si="13"/>
        <v>2650</v>
      </c>
      <c r="W43" s="22">
        <f t="shared" si="13"/>
        <v>2915</v>
      </c>
      <c r="X43" s="22">
        <f t="shared" si="13"/>
        <v>3180</v>
      </c>
      <c r="Y43" s="22">
        <f t="shared" si="13"/>
        <v>3445</v>
      </c>
      <c r="Z43" s="22"/>
      <c r="AA43" s="22"/>
      <c r="AB43" s="22"/>
      <c r="AC43" s="22"/>
    </row>
    <row r="44" spans="1:29" x14ac:dyDescent="0.3">
      <c r="A44" s="401" t="s">
        <v>501</v>
      </c>
      <c r="B44" s="401" t="s">
        <v>159</v>
      </c>
      <c r="C44" s="491">
        <v>2</v>
      </c>
      <c r="D44" s="491">
        <v>3</v>
      </c>
      <c r="E44" s="99">
        <f t="shared" si="8"/>
        <v>2</v>
      </c>
      <c r="F44" s="99">
        <f t="shared" si="9"/>
        <v>3</v>
      </c>
      <c r="G44" s="99"/>
      <c r="H44" s="99"/>
      <c r="I44" s="99"/>
      <c r="J44" s="99"/>
      <c r="K44" s="99"/>
      <c r="L44" s="99"/>
      <c r="M44" s="22"/>
      <c r="N44" s="22"/>
      <c r="O44" s="295">
        <f t="shared" si="11"/>
        <v>3</v>
      </c>
      <c r="P44" s="22"/>
      <c r="Q44" s="22" t="s">
        <v>210</v>
      </c>
      <c r="R44" s="22">
        <f>R43+R41</f>
        <v>2290</v>
      </c>
      <c r="S44" s="22">
        <f t="shared" ref="S44:Y44" si="14">S43+S41</f>
        <v>2825</v>
      </c>
      <c r="T44" s="22">
        <f t="shared" si="14"/>
        <v>3360</v>
      </c>
      <c r="U44" s="22">
        <f t="shared" si="14"/>
        <v>3895</v>
      </c>
      <c r="V44" s="22">
        <f t="shared" si="14"/>
        <v>4430</v>
      </c>
      <c r="W44" s="22">
        <f t="shared" si="14"/>
        <v>4965</v>
      </c>
      <c r="X44" s="22">
        <f t="shared" si="14"/>
        <v>5500</v>
      </c>
      <c r="Y44" s="22">
        <f t="shared" si="14"/>
        <v>6035</v>
      </c>
      <c r="Z44" s="22"/>
      <c r="AA44" s="22"/>
      <c r="AB44" s="22"/>
      <c r="AC44" s="22"/>
    </row>
    <row r="45" spans="1:29" x14ac:dyDescent="0.3">
      <c r="A45" s="401" t="s">
        <v>502</v>
      </c>
      <c r="B45" s="401" t="s">
        <v>503</v>
      </c>
      <c r="C45" s="491">
        <v>600</v>
      </c>
      <c r="D45" s="491">
        <v>600</v>
      </c>
      <c r="E45" s="99">
        <f t="shared" si="8"/>
        <v>600</v>
      </c>
      <c r="F45" s="99">
        <f t="shared" si="9"/>
        <v>600</v>
      </c>
      <c r="G45" s="99"/>
      <c r="H45" s="99"/>
      <c r="I45" s="99"/>
      <c r="J45" s="99"/>
      <c r="K45" s="99"/>
      <c r="L45" s="99"/>
      <c r="M45" s="22"/>
      <c r="N45" s="22"/>
      <c r="O45" s="295">
        <f t="shared" si="11"/>
        <v>600</v>
      </c>
      <c r="P45" s="22"/>
      <c r="Q45" s="22"/>
      <c r="R45" s="22"/>
      <c r="S45" s="22"/>
      <c r="T45" s="22"/>
      <c r="U45" s="22"/>
      <c r="V45" s="22"/>
      <c r="W45" s="22"/>
      <c r="X45" s="22"/>
      <c r="Y45" s="22"/>
      <c r="Z45" s="22"/>
      <c r="AA45" s="22"/>
      <c r="AB45" s="22"/>
      <c r="AC45" s="22"/>
    </row>
    <row r="46" spans="1:29" x14ac:dyDescent="0.3">
      <c r="A46" s="401" t="s">
        <v>509</v>
      </c>
      <c r="B46" s="401" t="s">
        <v>159</v>
      </c>
      <c r="C46" s="491">
        <v>4</v>
      </c>
      <c r="D46" s="491">
        <v>4</v>
      </c>
      <c r="E46" s="99">
        <f t="shared" si="8"/>
        <v>4</v>
      </c>
      <c r="F46" s="99">
        <f t="shared" si="9"/>
        <v>4</v>
      </c>
      <c r="G46" s="99"/>
      <c r="H46" s="99"/>
      <c r="I46" s="99"/>
      <c r="J46" s="99"/>
      <c r="K46" s="99"/>
      <c r="L46" s="99"/>
      <c r="M46" s="22"/>
      <c r="N46" s="22"/>
      <c r="O46" s="295">
        <f t="shared" si="11"/>
        <v>4</v>
      </c>
      <c r="P46" s="22"/>
      <c r="Q46" s="22"/>
      <c r="R46" s="22"/>
      <c r="S46" s="22"/>
      <c r="T46" s="22"/>
      <c r="U46" s="22"/>
      <c r="V46" s="22"/>
      <c r="W46" s="22"/>
      <c r="X46" s="22"/>
      <c r="Y46" s="22"/>
      <c r="Z46" s="22"/>
      <c r="AA46" s="22"/>
      <c r="AB46" s="22"/>
      <c r="AC46" s="22"/>
    </row>
    <row r="47" spans="1:29" x14ac:dyDescent="0.3">
      <c r="A47" s="402" t="s">
        <v>510</v>
      </c>
      <c r="B47" s="402" t="s">
        <v>159</v>
      </c>
      <c r="C47" s="491">
        <v>2</v>
      </c>
      <c r="D47" s="491">
        <v>2</v>
      </c>
      <c r="E47" s="99">
        <f t="shared" si="8"/>
        <v>2</v>
      </c>
      <c r="F47" s="99">
        <f t="shared" si="9"/>
        <v>2</v>
      </c>
      <c r="G47" s="99"/>
      <c r="H47" s="99"/>
      <c r="I47" s="99"/>
      <c r="J47" s="99"/>
      <c r="K47" s="99"/>
      <c r="L47" s="99"/>
      <c r="M47" s="22"/>
      <c r="N47" s="22"/>
      <c r="O47" s="296">
        <f t="shared" si="11"/>
        <v>2</v>
      </c>
      <c r="P47" s="22"/>
      <c r="Q47" s="22"/>
      <c r="R47" s="22"/>
      <c r="S47" s="22"/>
      <c r="T47" s="22"/>
      <c r="U47" s="22"/>
      <c r="V47" s="22"/>
      <c r="W47" s="22"/>
      <c r="X47" s="22"/>
      <c r="Y47" s="22"/>
      <c r="Z47" s="22"/>
      <c r="AA47" s="22"/>
      <c r="AB47" s="22"/>
      <c r="AC47" s="22"/>
    </row>
    <row r="48" spans="1:29" x14ac:dyDescent="0.3">
      <c r="A48" s="22"/>
      <c r="B48" s="22"/>
      <c r="C48" s="297"/>
      <c r="D48" s="297"/>
      <c r="E48" s="414"/>
      <c r="F48" s="414"/>
      <c r="G48" s="414"/>
      <c r="H48" s="414"/>
      <c r="I48" s="414"/>
      <c r="J48" s="414"/>
      <c r="K48" s="414"/>
      <c r="L48" s="414"/>
      <c r="M48" s="22"/>
      <c r="N48" s="22"/>
      <c r="O48" s="22"/>
      <c r="P48" s="22"/>
      <c r="Q48" s="22"/>
      <c r="R48" s="22"/>
      <c r="S48" s="22"/>
      <c r="T48" s="22"/>
      <c r="U48" s="22"/>
      <c r="V48" s="22"/>
      <c r="W48" s="22"/>
      <c r="X48" s="22"/>
      <c r="Y48" s="22"/>
      <c r="Z48" s="22"/>
      <c r="AA48" s="22"/>
      <c r="AB48" s="22"/>
      <c r="AC48" s="22"/>
    </row>
    <row r="49" spans="1:29" x14ac:dyDescent="0.3">
      <c r="A49" s="399" t="s">
        <v>229</v>
      </c>
      <c r="B49" s="22"/>
      <c r="C49" s="297"/>
      <c r="D49" s="297"/>
      <c r="E49" s="414"/>
      <c r="F49" s="414"/>
      <c r="G49" s="414"/>
      <c r="H49" s="414"/>
      <c r="I49" s="414"/>
      <c r="J49" s="414"/>
      <c r="K49" s="414"/>
      <c r="L49" s="414"/>
      <c r="M49" s="22"/>
      <c r="N49" s="22"/>
      <c r="O49" s="22"/>
      <c r="P49" s="22"/>
      <c r="Q49" s="22"/>
      <c r="R49" s="22"/>
      <c r="S49" s="22"/>
      <c r="T49" s="22"/>
      <c r="U49" s="22"/>
      <c r="V49" s="22"/>
      <c r="W49" s="22"/>
      <c r="X49" s="22"/>
      <c r="Y49" s="22"/>
      <c r="Z49" s="22"/>
      <c r="AA49" s="22"/>
      <c r="AB49" s="22"/>
      <c r="AC49" s="22"/>
    </row>
    <row r="50" spans="1:29" x14ac:dyDescent="0.3">
      <c r="A50" s="400" t="s">
        <v>511</v>
      </c>
      <c r="B50" s="400" t="s">
        <v>2</v>
      </c>
      <c r="C50" s="491">
        <v>5000</v>
      </c>
      <c r="D50" s="491">
        <v>10000</v>
      </c>
      <c r="E50" s="99">
        <f t="shared" ref="E50:E51" si="15">C50</f>
        <v>5000</v>
      </c>
      <c r="F50" s="99">
        <f t="shared" ref="F50:F51" si="16">D50</f>
        <v>10000</v>
      </c>
      <c r="G50" s="99"/>
      <c r="H50" s="99"/>
      <c r="I50" s="99"/>
      <c r="J50" s="99"/>
      <c r="K50" s="99"/>
      <c r="L50" s="99"/>
      <c r="M50" s="22"/>
      <c r="N50" s="22"/>
      <c r="O50" s="294">
        <f>INDEX(C50:L50,1,$O$8)</f>
        <v>10000</v>
      </c>
      <c r="P50" s="22"/>
      <c r="Q50" s="22"/>
      <c r="R50" s="22"/>
      <c r="S50" s="22"/>
      <c r="T50" s="22"/>
      <c r="U50" s="22"/>
      <c r="V50" s="22"/>
      <c r="W50" s="22"/>
      <c r="X50" s="22"/>
      <c r="Y50" s="22"/>
      <c r="Z50" s="22"/>
      <c r="AA50" s="22"/>
      <c r="AB50" s="22"/>
      <c r="AC50" s="22"/>
    </row>
    <row r="51" spans="1:29" x14ac:dyDescent="0.3">
      <c r="A51" s="402" t="s">
        <v>512</v>
      </c>
      <c r="B51" s="402" t="s">
        <v>513</v>
      </c>
      <c r="C51" s="491">
        <v>3</v>
      </c>
      <c r="D51" s="491">
        <v>3</v>
      </c>
      <c r="E51" s="99">
        <f t="shared" si="15"/>
        <v>3</v>
      </c>
      <c r="F51" s="99">
        <f t="shared" si="16"/>
        <v>3</v>
      </c>
      <c r="G51" s="99"/>
      <c r="H51" s="99"/>
      <c r="I51" s="99"/>
      <c r="J51" s="99"/>
      <c r="K51" s="99"/>
      <c r="L51" s="99"/>
      <c r="M51" s="22"/>
      <c r="N51" s="22"/>
      <c r="O51" s="296">
        <f>INDEX(C51:L51,1,$O$8)</f>
        <v>3</v>
      </c>
      <c r="P51" s="22"/>
      <c r="Q51" s="22"/>
      <c r="R51" s="22"/>
      <c r="S51" s="22"/>
      <c r="T51" s="22"/>
      <c r="U51" s="22"/>
      <c r="V51" s="22"/>
      <c r="W51" s="22"/>
      <c r="X51" s="22"/>
      <c r="Y51" s="22"/>
      <c r="Z51" s="22"/>
      <c r="AA51" s="22"/>
      <c r="AB51" s="22"/>
      <c r="AC51" s="22"/>
    </row>
    <row r="52" spans="1:29" x14ac:dyDescent="0.3">
      <c r="A52" s="22"/>
      <c r="B52" s="22"/>
      <c r="C52" s="297"/>
      <c r="D52" s="297"/>
      <c r="E52" s="414"/>
      <c r="F52" s="414"/>
      <c r="G52" s="414"/>
      <c r="H52" s="414"/>
      <c r="I52" s="414"/>
      <c r="J52" s="414"/>
      <c r="K52" s="414"/>
      <c r="L52" s="414"/>
      <c r="M52" s="22"/>
      <c r="N52" s="22"/>
      <c r="O52" s="22"/>
      <c r="P52" s="22"/>
      <c r="Q52" s="22"/>
      <c r="R52" s="22"/>
      <c r="S52" s="22"/>
      <c r="T52" s="22"/>
      <c r="U52" s="22"/>
      <c r="V52" s="22"/>
      <c r="W52" s="22"/>
      <c r="X52" s="22"/>
      <c r="Y52" s="22"/>
      <c r="Z52" s="22"/>
      <c r="AA52" s="22"/>
      <c r="AB52" s="22"/>
      <c r="AC52" s="22"/>
    </row>
    <row r="53" spans="1:29" x14ac:dyDescent="0.3">
      <c r="A53" s="399" t="s">
        <v>700</v>
      </c>
      <c r="B53" s="22"/>
      <c r="C53" s="297"/>
      <c r="D53" s="297"/>
      <c r="E53" s="414"/>
      <c r="F53" s="414"/>
      <c r="G53" s="414"/>
      <c r="H53" s="414"/>
      <c r="I53" s="414"/>
      <c r="J53" s="414"/>
      <c r="K53" s="414"/>
      <c r="L53" s="414"/>
      <c r="M53" s="22"/>
      <c r="N53" s="22"/>
      <c r="O53" s="22"/>
      <c r="P53" s="22"/>
      <c r="Q53" s="22"/>
      <c r="R53" s="22"/>
      <c r="S53" s="22"/>
      <c r="T53" s="22"/>
      <c r="U53" s="22"/>
      <c r="V53" s="22"/>
      <c r="W53" s="22"/>
      <c r="X53" s="22"/>
      <c r="Y53" s="22"/>
      <c r="Z53" s="22"/>
      <c r="AA53" s="22"/>
      <c r="AB53" s="22"/>
      <c r="AC53" s="22"/>
    </row>
    <row r="54" spans="1:29" x14ac:dyDescent="0.3">
      <c r="A54" s="400" t="s">
        <v>514</v>
      </c>
      <c r="B54" s="400" t="s">
        <v>2</v>
      </c>
      <c r="C54" s="491">
        <v>7000</v>
      </c>
      <c r="D54" s="491"/>
      <c r="E54" s="99">
        <f t="shared" ref="E54:E74" si="17">C54</f>
        <v>7000</v>
      </c>
      <c r="F54" s="99">
        <f t="shared" ref="F54:F74" si="18">D54</f>
        <v>0</v>
      </c>
      <c r="G54" s="99"/>
      <c r="H54" s="99"/>
      <c r="I54" s="99"/>
      <c r="J54" s="99"/>
      <c r="K54" s="99"/>
      <c r="L54" s="99"/>
      <c r="M54" s="22"/>
      <c r="N54" s="22"/>
      <c r="O54" s="294">
        <f t="shared" ref="O54:O74" si="19">INDEX(C54:L54,1,$O$8)</f>
        <v>0</v>
      </c>
      <c r="P54" s="22"/>
      <c r="Q54" s="22"/>
      <c r="R54" s="22"/>
      <c r="S54" s="22"/>
      <c r="T54" s="22"/>
      <c r="U54" s="22"/>
      <c r="V54" s="22"/>
      <c r="W54" s="22"/>
      <c r="X54" s="22"/>
      <c r="Y54" s="22"/>
      <c r="Z54" s="22"/>
      <c r="AA54" s="22"/>
      <c r="AB54" s="22"/>
      <c r="AC54" s="22"/>
    </row>
    <row r="55" spans="1:29" x14ac:dyDescent="0.3">
      <c r="A55" s="401" t="s">
        <v>749</v>
      </c>
      <c r="B55" s="401" t="s">
        <v>515</v>
      </c>
      <c r="C55" s="491">
        <v>450</v>
      </c>
      <c r="D55" s="491"/>
      <c r="E55" s="99">
        <f t="shared" si="17"/>
        <v>450</v>
      </c>
      <c r="F55" s="99">
        <f t="shared" si="18"/>
        <v>0</v>
      </c>
      <c r="G55" s="99"/>
      <c r="H55" s="99"/>
      <c r="I55" s="99"/>
      <c r="J55" s="99"/>
      <c r="K55" s="99"/>
      <c r="L55" s="99"/>
      <c r="M55" s="22"/>
      <c r="N55" s="22"/>
      <c r="O55" s="295">
        <f t="shared" si="19"/>
        <v>0</v>
      </c>
      <c r="P55" s="22"/>
      <c r="Q55" s="22"/>
      <c r="R55" s="22"/>
      <c r="S55" s="22"/>
      <c r="T55" s="22"/>
      <c r="U55" s="22"/>
      <c r="V55" s="22"/>
      <c r="W55" s="22"/>
      <c r="X55" s="22"/>
      <c r="Y55" s="22"/>
      <c r="Z55" s="22"/>
      <c r="AA55" s="22"/>
      <c r="AB55" s="22"/>
      <c r="AC55" s="22"/>
    </row>
    <row r="56" spans="1:29" x14ac:dyDescent="0.3">
      <c r="A56" s="401" t="s">
        <v>516</v>
      </c>
      <c r="B56" s="401" t="s">
        <v>2</v>
      </c>
      <c r="C56" s="491">
        <v>25000</v>
      </c>
      <c r="D56" s="491"/>
      <c r="E56" s="99">
        <f t="shared" si="17"/>
        <v>25000</v>
      </c>
      <c r="F56" s="99">
        <f t="shared" si="18"/>
        <v>0</v>
      </c>
      <c r="G56" s="99"/>
      <c r="H56" s="99"/>
      <c r="I56" s="99"/>
      <c r="J56" s="99"/>
      <c r="K56" s="99"/>
      <c r="L56" s="99"/>
      <c r="M56" s="22"/>
      <c r="N56" s="22"/>
      <c r="O56" s="295">
        <f t="shared" si="19"/>
        <v>0</v>
      </c>
      <c r="P56" s="22"/>
      <c r="Q56" s="22"/>
      <c r="R56" s="22"/>
      <c r="S56" s="22"/>
      <c r="T56" s="22"/>
      <c r="U56" s="22"/>
      <c r="V56" s="22"/>
      <c r="W56" s="22"/>
      <c r="X56" s="22"/>
      <c r="Y56" s="22"/>
      <c r="Z56" s="22"/>
      <c r="AA56" s="22"/>
      <c r="AB56" s="22"/>
      <c r="AC56" s="22"/>
    </row>
    <row r="57" spans="1:29" x14ac:dyDescent="0.3">
      <c r="A57" s="401" t="s">
        <v>517</v>
      </c>
      <c r="B57" s="401" t="s">
        <v>518</v>
      </c>
      <c r="C57" s="491">
        <v>850</v>
      </c>
      <c r="D57" s="491"/>
      <c r="E57" s="99">
        <f t="shared" si="17"/>
        <v>850</v>
      </c>
      <c r="F57" s="99">
        <f t="shared" si="18"/>
        <v>0</v>
      </c>
      <c r="G57" s="99"/>
      <c r="H57" s="99"/>
      <c r="I57" s="99"/>
      <c r="J57" s="99"/>
      <c r="K57" s="99"/>
      <c r="L57" s="99"/>
      <c r="M57" s="297"/>
      <c r="N57" s="297"/>
      <c r="O57" s="298">
        <f t="shared" si="19"/>
        <v>0</v>
      </c>
      <c r="P57" s="22"/>
      <c r="Q57" s="22"/>
      <c r="R57" s="22"/>
      <c r="S57" s="22"/>
      <c r="T57" s="22"/>
      <c r="U57" s="22"/>
      <c r="V57" s="22"/>
      <c r="W57" s="22"/>
      <c r="X57" s="22"/>
      <c r="Y57" s="22"/>
      <c r="Z57" s="22"/>
      <c r="AA57" s="22"/>
      <c r="AB57" s="22"/>
      <c r="AC57" s="22"/>
    </row>
    <row r="58" spans="1:29" x14ac:dyDescent="0.3">
      <c r="A58" s="401" t="s">
        <v>519</v>
      </c>
      <c r="B58" s="401" t="s">
        <v>2</v>
      </c>
      <c r="C58" s="491">
        <v>320000</v>
      </c>
      <c r="D58" s="491"/>
      <c r="E58" s="99">
        <f t="shared" si="17"/>
        <v>320000</v>
      </c>
      <c r="F58" s="99">
        <f t="shared" si="18"/>
        <v>0</v>
      </c>
      <c r="G58" s="99"/>
      <c r="H58" s="99"/>
      <c r="I58" s="99"/>
      <c r="J58" s="99"/>
      <c r="K58" s="99"/>
      <c r="L58" s="99"/>
      <c r="M58" s="297"/>
      <c r="N58" s="297"/>
      <c r="O58" s="298">
        <f t="shared" si="19"/>
        <v>0</v>
      </c>
      <c r="P58" s="22"/>
      <c r="Q58" s="22"/>
      <c r="R58" s="22"/>
      <c r="S58" s="22"/>
      <c r="T58" s="22"/>
      <c r="U58" s="22"/>
      <c r="V58" s="22"/>
      <c r="W58" s="22"/>
      <c r="X58" s="22"/>
      <c r="Y58" s="22"/>
      <c r="Z58" s="22"/>
      <c r="AA58" s="22"/>
      <c r="AB58" s="22"/>
      <c r="AC58" s="22"/>
    </row>
    <row r="59" spans="1:29" x14ac:dyDescent="0.3">
      <c r="A59" s="401" t="s">
        <v>520</v>
      </c>
      <c r="B59" s="401" t="s">
        <v>2</v>
      </c>
      <c r="C59" s="491">
        <f>C56</f>
        <v>25000</v>
      </c>
      <c r="D59" s="491"/>
      <c r="E59" s="99">
        <f t="shared" si="17"/>
        <v>25000</v>
      </c>
      <c r="F59" s="99">
        <f t="shared" si="18"/>
        <v>0</v>
      </c>
      <c r="G59" s="99"/>
      <c r="H59" s="99"/>
      <c r="I59" s="99"/>
      <c r="J59" s="99"/>
      <c r="K59" s="99"/>
      <c r="L59" s="99"/>
      <c r="M59" s="297"/>
      <c r="N59" s="297"/>
      <c r="O59" s="298">
        <f t="shared" si="19"/>
        <v>0</v>
      </c>
      <c r="P59" s="22"/>
      <c r="Q59" s="22"/>
      <c r="R59" s="22"/>
      <c r="S59" s="22"/>
      <c r="T59" s="22"/>
      <c r="U59" s="22"/>
      <c r="V59" s="22"/>
      <c r="W59" s="22"/>
      <c r="X59" s="22"/>
      <c r="Y59" s="22"/>
      <c r="Z59" s="22"/>
      <c r="AA59" s="22"/>
      <c r="AB59" s="22"/>
      <c r="AC59" s="22"/>
    </row>
    <row r="60" spans="1:29" x14ac:dyDescent="0.3">
      <c r="A60" s="401" t="s">
        <v>521</v>
      </c>
      <c r="B60" s="401" t="s">
        <v>518</v>
      </c>
      <c r="C60" s="491">
        <v>600</v>
      </c>
      <c r="D60" s="491"/>
      <c r="E60" s="99">
        <f t="shared" si="17"/>
        <v>600</v>
      </c>
      <c r="F60" s="99">
        <f t="shared" si="18"/>
        <v>0</v>
      </c>
      <c r="G60" s="99"/>
      <c r="H60" s="99"/>
      <c r="I60" s="99"/>
      <c r="J60" s="99"/>
      <c r="K60" s="99"/>
      <c r="L60" s="99"/>
      <c r="M60" s="297"/>
      <c r="N60" s="297"/>
      <c r="O60" s="298">
        <f t="shared" si="19"/>
        <v>0</v>
      </c>
      <c r="P60" s="22"/>
      <c r="Q60" s="22"/>
      <c r="R60" s="22"/>
      <c r="S60" s="22"/>
      <c r="T60" s="22"/>
      <c r="U60" s="22"/>
      <c r="V60" s="22"/>
      <c r="W60" s="22"/>
      <c r="X60" s="22"/>
      <c r="Y60" s="22"/>
      <c r="Z60" s="22"/>
      <c r="AA60" s="22"/>
      <c r="AB60" s="22"/>
      <c r="AC60" s="22"/>
    </row>
    <row r="61" spans="1:29" x14ac:dyDescent="0.3">
      <c r="A61" s="401" t="s">
        <v>884</v>
      </c>
      <c r="B61" s="401" t="s">
        <v>2</v>
      </c>
      <c r="C61" s="491">
        <v>3000</v>
      </c>
      <c r="D61" s="491"/>
      <c r="E61" s="99">
        <f t="shared" si="17"/>
        <v>3000</v>
      </c>
      <c r="F61" s="99">
        <f t="shared" si="18"/>
        <v>0</v>
      </c>
      <c r="G61" s="99"/>
      <c r="H61" s="99"/>
      <c r="I61" s="99"/>
      <c r="J61" s="99"/>
      <c r="K61" s="99"/>
      <c r="L61" s="99"/>
      <c r="M61" s="297"/>
      <c r="N61" s="297"/>
      <c r="O61" s="298">
        <f t="shared" si="19"/>
        <v>0</v>
      </c>
      <c r="P61" s="22"/>
      <c r="Q61" s="22"/>
      <c r="R61" s="22"/>
      <c r="S61" s="22"/>
      <c r="T61" s="22"/>
      <c r="U61" s="22"/>
      <c r="V61" s="22"/>
      <c r="W61" s="22"/>
      <c r="X61" s="22"/>
      <c r="Y61" s="22"/>
      <c r="Z61" s="22"/>
      <c r="AA61" s="22"/>
      <c r="AB61" s="22"/>
      <c r="AC61" s="22"/>
    </row>
    <row r="62" spans="1:29" x14ac:dyDescent="0.3">
      <c r="A62" s="401" t="s">
        <v>885</v>
      </c>
      <c r="B62" s="401" t="s">
        <v>515</v>
      </c>
      <c r="C62" s="491">
        <v>150</v>
      </c>
      <c r="D62" s="491"/>
      <c r="E62" s="99">
        <f t="shared" si="17"/>
        <v>150</v>
      </c>
      <c r="F62" s="99">
        <f t="shared" si="18"/>
        <v>0</v>
      </c>
      <c r="G62" s="99"/>
      <c r="H62" s="99"/>
      <c r="I62" s="99"/>
      <c r="J62" s="99"/>
      <c r="K62" s="99"/>
      <c r="L62" s="99"/>
      <c r="M62" s="297"/>
      <c r="N62" s="297"/>
      <c r="O62" s="298">
        <f t="shared" si="19"/>
        <v>0</v>
      </c>
      <c r="P62" s="22"/>
      <c r="Q62" s="22"/>
      <c r="R62" s="22"/>
      <c r="S62" s="22"/>
      <c r="T62" s="22"/>
      <c r="U62" s="22"/>
      <c r="V62" s="22"/>
      <c r="W62" s="22"/>
      <c r="X62" s="22"/>
      <c r="Y62" s="22"/>
      <c r="Z62" s="22"/>
      <c r="AA62" s="22"/>
      <c r="AB62" s="22"/>
      <c r="AC62" s="22"/>
    </row>
    <row r="63" spans="1:29" x14ac:dyDescent="0.3">
      <c r="A63" s="401" t="s">
        <v>886</v>
      </c>
      <c r="B63" s="401" t="s">
        <v>518</v>
      </c>
      <c r="C63" s="491">
        <v>140</v>
      </c>
      <c r="D63" s="491"/>
      <c r="E63" s="99">
        <f t="shared" si="17"/>
        <v>140</v>
      </c>
      <c r="F63" s="99">
        <f t="shared" si="18"/>
        <v>0</v>
      </c>
      <c r="G63" s="99"/>
      <c r="H63" s="99"/>
      <c r="I63" s="99"/>
      <c r="J63" s="99"/>
      <c r="K63" s="99"/>
      <c r="L63" s="99"/>
      <c r="M63" s="297"/>
      <c r="N63" s="297"/>
      <c r="O63" s="298">
        <f t="shared" si="19"/>
        <v>0</v>
      </c>
      <c r="P63" s="22"/>
      <c r="Q63" s="22"/>
      <c r="R63" s="22"/>
      <c r="S63" s="22"/>
      <c r="T63" s="22"/>
      <c r="U63" s="22"/>
      <c r="V63" s="22"/>
      <c r="W63" s="22"/>
      <c r="X63" s="22"/>
      <c r="Y63" s="22"/>
      <c r="Z63" s="22"/>
      <c r="AA63" s="22"/>
      <c r="AB63" s="22"/>
      <c r="AC63" s="22"/>
    </row>
    <row r="64" spans="1:29" x14ac:dyDescent="0.3">
      <c r="A64" s="401" t="s">
        <v>748</v>
      </c>
      <c r="B64" s="401" t="s">
        <v>2</v>
      </c>
      <c r="C64" s="491"/>
      <c r="D64" s="491">
        <v>334000</v>
      </c>
      <c r="E64" s="99">
        <f t="shared" si="17"/>
        <v>0</v>
      </c>
      <c r="F64" s="99">
        <f t="shared" si="18"/>
        <v>334000</v>
      </c>
      <c r="G64" s="99"/>
      <c r="H64" s="99"/>
      <c r="I64" s="99"/>
      <c r="J64" s="99"/>
      <c r="K64" s="99"/>
      <c r="L64" s="99"/>
      <c r="M64" s="297"/>
      <c r="N64" s="297"/>
      <c r="O64" s="298">
        <f t="shared" si="19"/>
        <v>334000</v>
      </c>
      <c r="P64" s="22"/>
      <c r="Q64" s="22"/>
      <c r="R64" s="22"/>
      <c r="S64" s="22"/>
      <c r="T64" s="22"/>
      <c r="U64" s="22"/>
      <c r="V64" s="22"/>
      <c r="W64" s="22"/>
      <c r="X64" s="22"/>
      <c r="Y64" s="22"/>
      <c r="Z64" s="22"/>
      <c r="AA64" s="22"/>
      <c r="AB64" s="22"/>
      <c r="AC64" s="22"/>
    </row>
    <row r="65" spans="1:29" x14ac:dyDescent="0.3">
      <c r="A65" s="401" t="s">
        <v>748</v>
      </c>
      <c r="B65" s="401" t="s">
        <v>518</v>
      </c>
      <c r="C65" s="491"/>
      <c r="D65" s="491">
        <v>170</v>
      </c>
      <c r="E65" s="99">
        <f t="shared" si="17"/>
        <v>0</v>
      </c>
      <c r="F65" s="99">
        <f t="shared" si="18"/>
        <v>170</v>
      </c>
      <c r="G65" s="99"/>
      <c r="H65" s="99"/>
      <c r="I65" s="99"/>
      <c r="J65" s="99"/>
      <c r="K65" s="99"/>
      <c r="L65" s="99"/>
      <c r="M65" s="297"/>
      <c r="N65" s="297"/>
      <c r="O65" s="298">
        <f t="shared" si="19"/>
        <v>170</v>
      </c>
      <c r="P65" s="22"/>
      <c r="Q65" s="22"/>
      <c r="R65" s="22"/>
      <c r="S65" s="22"/>
      <c r="T65" s="22"/>
      <c r="U65" s="22"/>
      <c r="V65" s="22"/>
      <c r="W65" s="22"/>
      <c r="X65" s="22"/>
      <c r="Y65" s="22"/>
      <c r="Z65" s="22"/>
      <c r="AA65" s="22"/>
      <c r="AB65" s="22"/>
      <c r="AC65" s="22"/>
    </row>
    <row r="66" spans="1:29" x14ac:dyDescent="0.3">
      <c r="A66" s="401" t="s">
        <v>750</v>
      </c>
      <c r="B66" s="401" t="s">
        <v>515</v>
      </c>
      <c r="C66" s="491"/>
      <c r="D66" s="491">
        <v>95</v>
      </c>
      <c r="E66" s="99">
        <f t="shared" si="17"/>
        <v>0</v>
      </c>
      <c r="F66" s="99">
        <f t="shared" si="18"/>
        <v>95</v>
      </c>
      <c r="G66" s="99"/>
      <c r="H66" s="99"/>
      <c r="I66" s="99"/>
      <c r="J66" s="99"/>
      <c r="K66" s="99"/>
      <c r="L66" s="99"/>
      <c r="M66" s="297"/>
      <c r="N66" s="297"/>
      <c r="O66" s="298">
        <f t="shared" si="19"/>
        <v>95</v>
      </c>
      <c r="P66" s="22"/>
      <c r="Q66" s="22"/>
      <c r="R66" s="22"/>
      <c r="S66" s="22"/>
      <c r="T66" s="22"/>
      <c r="U66" s="22"/>
      <c r="V66" s="22"/>
      <c r="W66" s="22"/>
      <c r="X66" s="22"/>
      <c r="Y66" s="22"/>
      <c r="Z66" s="22"/>
      <c r="AA66" s="22"/>
      <c r="AB66" s="22"/>
      <c r="AC66" s="22"/>
    </row>
    <row r="67" spans="1:29" x14ac:dyDescent="0.3">
      <c r="A67" s="401" t="s">
        <v>702</v>
      </c>
      <c r="B67" s="401" t="s">
        <v>2</v>
      </c>
      <c r="C67" s="491"/>
      <c r="D67" s="491">
        <v>30000</v>
      </c>
      <c r="E67" s="99">
        <f t="shared" si="17"/>
        <v>0</v>
      </c>
      <c r="F67" s="99">
        <f t="shared" si="18"/>
        <v>30000</v>
      </c>
      <c r="G67" s="99"/>
      <c r="H67" s="99"/>
      <c r="I67" s="99"/>
      <c r="J67" s="99"/>
      <c r="K67" s="99"/>
      <c r="L67" s="99"/>
      <c r="M67" s="297"/>
      <c r="N67" s="297"/>
      <c r="O67" s="298">
        <f t="shared" si="19"/>
        <v>30000</v>
      </c>
      <c r="P67" s="22"/>
      <c r="Q67" s="22"/>
      <c r="R67" s="22"/>
      <c r="S67" s="22"/>
      <c r="T67" s="22"/>
      <c r="U67" s="22"/>
      <c r="V67" s="22"/>
      <c r="W67" s="22"/>
      <c r="X67" s="22"/>
      <c r="Y67" s="22"/>
      <c r="Z67" s="22"/>
      <c r="AA67" s="22"/>
      <c r="AB67" s="22"/>
      <c r="AC67" s="22"/>
    </row>
    <row r="68" spans="1:29" x14ac:dyDescent="0.3">
      <c r="A68" s="401" t="s">
        <v>701</v>
      </c>
      <c r="B68" s="401" t="s">
        <v>518</v>
      </c>
      <c r="C68" s="491"/>
      <c r="D68" s="491">
        <v>660</v>
      </c>
      <c r="E68" s="99">
        <f t="shared" si="17"/>
        <v>0</v>
      </c>
      <c r="F68" s="99">
        <f t="shared" si="18"/>
        <v>660</v>
      </c>
      <c r="G68" s="99"/>
      <c r="H68" s="99"/>
      <c r="I68" s="99"/>
      <c r="J68" s="99"/>
      <c r="K68" s="99"/>
      <c r="L68" s="99"/>
      <c r="M68" s="297"/>
      <c r="N68" s="297"/>
      <c r="O68" s="298">
        <f t="shared" si="19"/>
        <v>660</v>
      </c>
      <c r="P68" s="22"/>
      <c r="Q68" s="22"/>
      <c r="R68" s="22"/>
      <c r="S68" s="22"/>
      <c r="T68" s="22"/>
      <c r="U68" s="22"/>
      <c r="V68" s="22"/>
      <c r="W68" s="22"/>
      <c r="X68" s="22"/>
      <c r="Y68" s="22"/>
      <c r="Z68" s="22"/>
      <c r="AA68" s="22"/>
      <c r="AB68" s="22"/>
      <c r="AC68" s="22"/>
    </row>
    <row r="69" spans="1:29" x14ac:dyDescent="0.3">
      <c r="A69" s="401" t="s">
        <v>522</v>
      </c>
      <c r="B69" s="401" t="s">
        <v>2</v>
      </c>
      <c r="C69" s="491">
        <v>20000</v>
      </c>
      <c r="D69" s="491">
        <v>20000</v>
      </c>
      <c r="E69" s="99">
        <f t="shared" si="17"/>
        <v>20000</v>
      </c>
      <c r="F69" s="99">
        <f t="shared" si="18"/>
        <v>20000</v>
      </c>
      <c r="G69" s="99"/>
      <c r="H69" s="99"/>
      <c r="I69" s="99"/>
      <c r="J69" s="99"/>
      <c r="K69" s="99"/>
      <c r="L69" s="99"/>
      <c r="M69" s="297"/>
      <c r="N69" s="297"/>
      <c r="O69" s="298">
        <f t="shared" si="19"/>
        <v>20000</v>
      </c>
      <c r="P69" s="22"/>
      <c r="Q69" s="22"/>
      <c r="R69" s="22"/>
      <c r="S69" s="22"/>
      <c r="T69" s="22"/>
      <c r="U69" s="22"/>
      <c r="V69" s="22"/>
      <c r="W69" s="22"/>
      <c r="X69" s="22"/>
      <c r="Y69" s="22"/>
      <c r="Z69" s="22"/>
      <c r="AA69" s="22"/>
      <c r="AB69" s="22"/>
      <c r="AC69" s="22"/>
    </row>
    <row r="70" spans="1:29" x14ac:dyDescent="0.3">
      <c r="A70" s="401" t="s">
        <v>523</v>
      </c>
      <c r="B70" s="401" t="s">
        <v>518</v>
      </c>
      <c r="C70" s="491">
        <v>300</v>
      </c>
      <c r="D70" s="491">
        <v>300</v>
      </c>
      <c r="E70" s="99">
        <f t="shared" si="17"/>
        <v>300</v>
      </c>
      <c r="F70" s="99">
        <f t="shared" si="18"/>
        <v>300</v>
      </c>
      <c r="G70" s="99"/>
      <c r="H70" s="99"/>
      <c r="I70" s="99"/>
      <c r="J70" s="99"/>
      <c r="K70" s="99"/>
      <c r="L70" s="99"/>
      <c r="M70" s="297"/>
      <c r="N70" s="297"/>
      <c r="O70" s="298">
        <f t="shared" si="19"/>
        <v>300</v>
      </c>
      <c r="P70" s="22"/>
      <c r="Q70" s="22"/>
      <c r="R70" s="22"/>
      <c r="S70" s="22"/>
      <c r="T70" s="22"/>
      <c r="U70" s="22"/>
      <c r="V70" s="22"/>
      <c r="W70" s="22"/>
      <c r="X70" s="22"/>
      <c r="Y70" s="22"/>
      <c r="Z70" s="22"/>
      <c r="AA70" s="22"/>
      <c r="AB70" s="22"/>
      <c r="AC70" s="22"/>
    </row>
    <row r="71" spans="1:29" x14ac:dyDescent="0.3">
      <c r="A71" s="401" t="s">
        <v>842</v>
      </c>
      <c r="B71" s="401" t="s">
        <v>841</v>
      </c>
      <c r="C71" s="491">
        <v>6000</v>
      </c>
      <c r="D71" s="491">
        <v>9000</v>
      </c>
      <c r="E71" s="99">
        <f t="shared" si="17"/>
        <v>6000</v>
      </c>
      <c r="F71" s="99">
        <f t="shared" si="18"/>
        <v>9000</v>
      </c>
      <c r="G71" s="99"/>
      <c r="H71" s="99"/>
      <c r="I71" s="99"/>
      <c r="J71" s="99"/>
      <c r="K71" s="99"/>
      <c r="L71" s="99"/>
      <c r="M71" s="297"/>
      <c r="N71" s="297"/>
      <c r="O71" s="298">
        <f t="shared" si="19"/>
        <v>9000</v>
      </c>
      <c r="P71" s="22"/>
      <c r="Q71" s="22"/>
      <c r="R71" s="22"/>
      <c r="S71" s="22"/>
      <c r="T71" s="22"/>
      <c r="U71" s="22"/>
      <c r="V71" s="22"/>
      <c r="W71" s="22"/>
      <c r="X71" s="22"/>
      <c r="Y71" s="22"/>
      <c r="Z71" s="22"/>
      <c r="AA71" s="22"/>
      <c r="AB71" s="22"/>
      <c r="AC71" s="22"/>
    </row>
    <row r="72" spans="1:29" x14ac:dyDescent="0.3">
      <c r="A72" s="401" t="s">
        <v>524</v>
      </c>
      <c r="B72" s="401" t="s">
        <v>525</v>
      </c>
      <c r="C72" s="491">
        <v>1500</v>
      </c>
      <c r="D72" s="491">
        <v>3000</v>
      </c>
      <c r="E72" s="99">
        <f t="shared" si="17"/>
        <v>1500</v>
      </c>
      <c r="F72" s="99">
        <f t="shared" si="18"/>
        <v>3000</v>
      </c>
      <c r="G72" s="99"/>
      <c r="H72" s="99"/>
      <c r="I72" s="99"/>
      <c r="J72" s="99"/>
      <c r="K72" s="99"/>
      <c r="L72" s="99"/>
      <c r="M72" s="297"/>
      <c r="N72" s="297"/>
      <c r="O72" s="298">
        <f t="shared" si="19"/>
        <v>3000</v>
      </c>
      <c r="P72" s="22"/>
      <c r="Q72" s="22"/>
      <c r="R72" s="22"/>
      <c r="S72" s="22"/>
      <c r="T72" s="22"/>
      <c r="U72" s="22"/>
      <c r="V72" s="22"/>
      <c r="W72" s="22"/>
      <c r="X72" s="22"/>
      <c r="Y72" s="22"/>
      <c r="Z72" s="22"/>
      <c r="AA72" s="22"/>
      <c r="AB72" s="22"/>
      <c r="AC72" s="22"/>
    </row>
    <row r="73" spans="1:29" x14ac:dyDescent="0.3">
      <c r="A73" s="401" t="s">
        <v>526</v>
      </c>
      <c r="B73" s="401" t="s">
        <v>2</v>
      </c>
      <c r="C73" s="491">
        <v>9000</v>
      </c>
      <c r="D73" s="491">
        <v>13000</v>
      </c>
      <c r="E73" s="99">
        <f t="shared" si="17"/>
        <v>9000</v>
      </c>
      <c r="F73" s="99">
        <f t="shared" si="18"/>
        <v>13000</v>
      </c>
      <c r="G73" s="99"/>
      <c r="H73" s="99"/>
      <c r="I73" s="99"/>
      <c r="J73" s="99"/>
      <c r="K73" s="99"/>
      <c r="L73" s="99"/>
      <c r="M73" s="297"/>
      <c r="N73" s="297"/>
      <c r="O73" s="298">
        <f t="shared" si="19"/>
        <v>13000</v>
      </c>
      <c r="P73" s="22"/>
      <c r="Q73" s="22"/>
      <c r="R73" s="22"/>
      <c r="S73" s="22"/>
      <c r="T73" s="22"/>
      <c r="U73" s="22"/>
      <c r="V73" s="22"/>
      <c r="W73" s="22"/>
      <c r="X73" s="22"/>
      <c r="Y73" s="22"/>
      <c r="Z73" s="22"/>
      <c r="AA73" s="22"/>
      <c r="AB73" s="22"/>
      <c r="AC73" s="22"/>
    </row>
    <row r="74" spans="1:29" x14ac:dyDescent="0.3">
      <c r="A74" s="402" t="s">
        <v>527</v>
      </c>
      <c r="B74" s="402" t="s">
        <v>528</v>
      </c>
      <c r="C74" s="491">
        <v>550</v>
      </c>
      <c r="D74" s="491">
        <v>900</v>
      </c>
      <c r="E74" s="99">
        <f t="shared" si="17"/>
        <v>550</v>
      </c>
      <c r="F74" s="99">
        <f t="shared" si="18"/>
        <v>900</v>
      </c>
      <c r="G74" s="99"/>
      <c r="H74" s="99"/>
      <c r="I74" s="99"/>
      <c r="J74" s="99"/>
      <c r="K74" s="99"/>
      <c r="L74" s="99"/>
      <c r="M74" s="297"/>
      <c r="N74" s="297"/>
      <c r="O74" s="299">
        <f t="shared" si="19"/>
        <v>900</v>
      </c>
      <c r="P74" s="22"/>
      <c r="Q74" s="22"/>
      <c r="R74" s="22"/>
      <c r="S74" s="22"/>
      <c r="T74" s="22"/>
      <c r="U74" s="22"/>
      <c r="V74" s="22"/>
      <c r="W74" s="22"/>
      <c r="X74" s="22"/>
      <c r="Y74" s="22"/>
      <c r="Z74" s="22"/>
      <c r="AA74" s="22"/>
      <c r="AB74" s="22"/>
      <c r="AC74" s="22"/>
    </row>
    <row r="75" spans="1:29" x14ac:dyDescent="0.3">
      <c r="A75" s="21"/>
      <c r="B75" s="21"/>
      <c r="C75" s="300"/>
      <c r="D75" s="300"/>
      <c r="E75" s="415"/>
      <c r="F75" s="415"/>
      <c r="G75" s="415"/>
      <c r="H75" s="415"/>
      <c r="I75" s="415"/>
      <c r="J75" s="415"/>
      <c r="K75" s="415"/>
      <c r="L75" s="415"/>
      <c r="M75" s="297"/>
      <c r="N75" s="297"/>
      <c r="O75" s="300"/>
      <c r="P75" s="22"/>
      <c r="Q75" s="22"/>
      <c r="R75" s="22"/>
      <c r="S75" s="22"/>
      <c r="T75" s="22"/>
      <c r="U75" s="22"/>
      <c r="V75" s="22"/>
      <c r="W75" s="22"/>
      <c r="X75" s="22"/>
      <c r="Y75" s="22"/>
      <c r="Z75" s="22"/>
      <c r="AA75" s="22"/>
      <c r="AB75" s="22"/>
      <c r="AC75" s="22"/>
    </row>
    <row r="76" spans="1:29" x14ac:dyDescent="0.3">
      <c r="A76" s="399" t="s">
        <v>703</v>
      </c>
      <c r="B76" s="22"/>
      <c r="C76" s="300"/>
      <c r="D76" s="300"/>
      <c r="E76" s="415"/>
      <c r="F76" s="415"/>
      <c r="G76" s="415"/>
      <c r="H76" s="415"/>
      <c r="I76" s="415"/>
      <c r="J76" s="415"/>
      <c r="K76" s="415"/>
      <c r="L76" s="415"/>
      <c r="M76" s="300"/>
      <c r="N76" s="297"/>
      <c r="O76" s="300"/>
      <c r="P76" s="22"/>
      <c r="Q76" s="22"/>
      <c r="R76" s="22"/>
      <c r="S76" s="22"/>
      <c r="T76" s="22"/>
      <c r="U76" s="22"/>
      <c r="V76" s="22"/>
      <c r="W76" s="22"/>
      <c r="X76" s="22"/>
      <c r="Y76" s="22"/>
      <c r="Z76" s="22"/>
      <c r="AA76" s="22"/>
      <c r="AB76" s="22"/>
      <c r="AC76" s="22"/>
    </row>
    <row r="77" spans="1:29" x14ac:dyDescent="0.3">
      <c r="A77" s="400" t="s">
        <v>1060</v>
      </c>
      <c r="B77" s="400" t="s">
        <v>2</v>
      </c>
      <c r="C77" s="491">
        <v>250000</v>
      </c>
      <c r="D77" s="491">
        <v>490000</v>
      </c>
      <c r="E77" s="99">
        <f t="shared" ref="E77:E84" si="20">C77</f>
        <v>250000</v>
      </c>
      <c r="F77" s="99">
        <f t="shared" ref="F77:F84" si="21">D77</f>
        <v>490000</v>
      </c>
      <c r="G77" s="99"/>
      <c r="H77" s="99"/>
      <c r="I77" s="99"/>
      <c r="J77" s="99"/>
      <c r="K77" s="99"/>
      <c r="L77" s="99"/>
      <c r="M77" s="297"/>
      <c r="N77" s="297"/>
      <c r="O77" s="301">
        <f t="shared" ref="O77:O84" si="22">INDEX(C77:L77,1,$O$8)</f>
        <v>490000</v>
      </c>
      <c r="P77" s="22"/>
      <c r="Q77" s="22"/>
      <c r="R77" s="22"/>
      <c r="S77" s="22"/>
      <c r="T77" s="22"/>
      <c r="U77" s="22"/>
      <c r="V77" s="22"/>
      <c r="W77" s="22"/>
      <c r="X77" s="22"/>
      <c r="Y77" s="22"/>
      <c r="Z77" s="22"/>
      <c r="AA77" s="22"/>
      <c r="AB77" s="22"/>
      <c r="AC77" s="22"/>
    </row>
    <row r="78" spans="1:29" x14ac:dyDescent="0.3">
      <c r="A78" s="401" t="s">
        <v>1061</v>
      </c>
      <c r="B78" s="401" t="s">
        <v>515</v>
      </c>
      <c r="C78" s="491">
        <v>5</v>
      </c>
      <c r="D78" s="491">
        <v>22</v>
      </c>
      <c r="E78" s="99">
        <f t="shared" si="20"/>
        <v>5</v>
      </c>
      <c r="F78" s="99">
        <f t="shared" si="21"/>
        <v>22</v>
      </c>
      <c r="G78" s="99"/>
      <c r="H78" s="99"/>
      <c r="I78" s="99"/>
      <c r="J78" s="99"/>
      <c r="K78" s="99"/>
      <c r="L78" s="99"/>
      <c r="M78" s="297"/>
      <c r="N78" s="297"/>
      <c r="O78" s="298">
        <f t="shared" si="22"/>
        <v>22</v>
      </c>
      <c r="P78" s="22"/>
      <c r="Q78" s="22"/>
      <c r="R78" s="22"/>
      <c r="S78" s="22"/>
      <c r="T78" s="22"/>
      <c r="U78" s="22"/>
      <c r="V78" s="22"/>
      <c r="W78" s="22"/>
      <c r="X78" s="22"/>
      <c r="Y78" s="22"/>
      <c r="Z78" s="22"/>
      <c r="AA78" s="22"/>
      <c r="AB78" s="22"/>
      <c r="AC78" s="22"/>
    </row>
    <row r="79" spans="1:29" x14ac:dyDescent="0.3">
      <c r="A79" s="401" t="s">
        <v>1062</v>
      </c>
      <c r="B79" s="401" t="s">
        <v>2</v>
      </c>
      <c r="C79" s="491">
        <v>200000</v>
      </c>
      <c r="D79" s="491">
        <v>330000</v>
      </c>
      <c r="E79" s="99">
        <f t="shared" si="20"/>
        <v>200000</v>
      </c>
      <c r="F79" s="99">
        <f t="shared" si="21"/>
        <v>330000</v>
      </c>
      <c r="G79" s="99"/>
      <c r="H79" s="99"/>
      <c r="I79" s="99"/>
      <c r="J79" s="99"/>
      <c r="K79" s="99"/>
      <c r="L79" s="99"/>
      <c r="M79" s="297"/>
      <c r="N79" s="297"/>
      <c r="O79" s="298">
        <f t="shared" si="22"/>
        <v>330000</v>
      </c>
      <c r="P79" s="22"/>
      <c r="Q79" s="22"/>
      <c r="R79" s="22"/>
      <c r="S79" s="22"/>
      <c r="T79" s="22"/>
      <c r="U79" s="22"/>
      <c r="V79" s="22"/>
      <c r="W79" s="22"/>
      <c r="X79" s="22"/>
      <c r="Y79" s="22"/>
      <c r="Z79" s="22"/>
      <c r="AA79" s="22"/>
      <c r="AB79" s="22"/>
      <c r="AC79" s="22"/>
    </row>
    <row r="80" spans="1:29" x14ac:dyDescent="0.3">
      <c r="A80" s="401" t="s">
        <v>1063</v>
      </c>
      <c r="B80" s="401" t="s">
        <v>718</v>
      </c>
      <c r="C80" s="491">
        <v>1500</v>
      </c>
      <c r="D80" s="491">
        <v>1800</v>
      </c>
      <c r="E80" s="99">
        <f t="shared" si="20"/>
        <v>1500</v>
      </c>
      <c r="F80" s="99">
        <f t="shared" si="21"/>
        <v>1800</v>
      </c>
      <c r="G80" s="99"/>
      <c r="H80" s="99"/>
      <c r="I80" s="99"/>
      <c r="J80" s="99"/>
      <c r="K80" s="99"/>
      <c r="L80" s="99"/>
      <c r="M80" s="297"/>
      <c r="N80" s="297"/>
      <c r="O80" s="298">
        <f t="shared" si="22"/>
        <v>1800</v>
      </c>
      <c r="P80" s="22"/>
      <c r="Q80" s="22"/>
      <c r="R80" s="22"/>
      <c r="S80" s="22"/>
      <c r="T80" s="22"/>
      <c r="U80" s="22"/>
      <c r="V80" s="22"/>
      <c r="W80" s="22"/>
      <c r="X80" s="22"/>
      <c r="Y80" s="22"/>
      <c r="Z80" s="22"/>
      <c r="AA80" s="22"/>
      <c r="AB80" s="22"/>
      <c r="AC80" s="22"/>
    </row>
    <row r="81" spans="1:29" x14ac:dyDescent="0.3">
      <c r="A81" s="401" t="s">
        <v>874</v>
      </c>
      <c r="B81" s="401" t="s">
        <v>844</v>
      </c>
      <c r="C81" s="491">
        <v>160</v>
      </c>
      <c r="D81" s="491">
        <v>270</v>
      </c>
      <c r="E81" s="99">
        <f t="shared" si="20"/>
        <v>160</v>
      </c>
      <c r="F81" s="99">
        <f t="shared" si="21"/>
        <v>270</v>
      </c>
      <c r="G81" s="99"/>
      <c r="H81" s="99"/>
      <c r="I81" s="99"/>
      <c r="J81" s="99"/>
      <c r="K81" s="99"/>
      <c r="L81" s="99"/>
      <c r="M81" s="297"/>
      <c r="N81" s="297"/>
      <c r="O81" s="298">
        <f t="shared" si="22"/>
        <v>270</v>
      </c>
      <c r="P81" s="22"/>
      <c r="Q81" s="22"/>
      <c r="R81" s="22"/>
      <c r="S81" s="22"/>
      <c r="T81" s="22"/>
      <c r="U81" s="22"/>
      <c r="V81" s="22"/>
      <c r="W81" s="22"/>
      <c r="X81" s="22"/>
      <c r="Y81" s="22"/>
      <c r="Z81" s="22"/>
      <c r="AA81" s="22"/>
      <c r="AB81" s="22"/>
      <c r="AC81" s="22"/>
    </row>
    <row r="82" spans="1:29" x14ac:dyDescent="0.3">
      <c r="A82" s="401" t="s">
        <v>873</v>
      </c>
      <c r="B82" s="401" t="s">
        <v>2</v>
      </c>
      <c r="C82" s="491">
        <v>80000</v>
      </c>
      <c r="D82" s="491">
        <v>100000</v>
      </c>
      <c r="E82" s="99">
        <f t="shared" si="20"/>
        <v>80000</v>
      </c>
      <c r="F82" s="99">
        <f t="shared" si="21"/>
        <v>100000</v>
      </c>
      <c r="G82" s="99"/>
      <c r="H82" s="99"/>
      <c r="I82" s="99"/>
      <c r="J82" s="99"/>
      <c r="K82" s="99"/>
      <c r="L82" s="99"/>
      <c r="M82" s="297"/>
      <c r="N82" s="297"/>
      <c r="O82" s="298">
        <f t="shared" si="22"/>
        <v>100000</v>
      </c>
      <c r="P82" s="22"/>
      <c r="Q82" s="22"/>
      <c r="R82" s="22"/>
      <c r="S82" s="22"/>
      <c r="T82" s="22"/>
      <c r="U82" s="22"/>
      <c r="V82" s="22"/>
      <c r="W82" s="22"/>
      <c r="X82" s="22"/>
      <c r="Y82" s="22"/>
      <c r="Z82" s="22"/>
      <c r="AA82" s="22"/>
      <c r="AB82" s="22"/>
      <c r="AC82" s="22"/>
    </row>
    <row r="83" spans="1:29" x14ac:dyDescent="0.3">
      <c r="A83" s="401" t="s">
        <v>1064</v>
      </c>
      <c r="B83" s="401" t="s">
        <v>745</v>
      </c>
      <c r="C83" s="491">
        <v>240</v>
      </c>
      <c r="D83" s="491">
        <v>400</v>
      </c>
      <c r="E83" s="99">
        <f t="shared" si="20"/>
        <v>240</v>
      </c>
      <c r="F83" s="99">
        <f t="shared" si="21"/>
        <v>400</v>
      </c>
      <c r="G83" s="99"/>
      <c r="H83" s="99"/>
      <c r="I83" s="99"/>
      <c r="J83" s="99"/>
      <c r="K83" s="99"/>
      <c r="L83" s="99"/>
      <c r="M83" s="297"/>
      <c r="N83" s="297"/>
      <c r="O83" s="298">
        <f t="shared" si="22"/>
        <v>400</v>
      </c>
      <c r="P83" s="22"/>
      <c r="Q83" s="22"/>
      <c r="R83" s="22"/>
      <c r="S83" s="22"/>
      <c r="T83" s="22"/>
      <c r="U83" s="22"/>
      <c r="V83" s="22"/>
      <c r="W83" s="22"/>
      <c r="X83" s="22"/>
      <c r="Y83" s="22"/>
      <c r="Z83" s="22"/>
      <c r="AA83" s="22"/>
      <c r="AB83" s="22"/>
      <c r="AC83" s="22"/>
    </row>
    <row r="84" spans="1:29" x14ac:dyDescent="0.3">
      <c r="A84" s="402" t="s">
        <v>1065</v>
      </c>
      <c r="B84" s="402" t="s">
        <v>746</v>
      </c>
      <c r="C84" s="491">
        <v>2.5</v>
      </c>
      <c r="D84" s="491">
        <v>2.5</v>
      </c>
      <c r="E84" s="99">
        <f t="shared" si="20"/>
        <v>2.5</v>
      </c>
      <c r="F84" s="99">
        <f t="shared" si="21"/>
        <v>2.5</v>
      </c>
      <c r="G84" s="99"/>
      <c r="H84" s="99"/>
      <c r="I84" s="99"/>
      <c r="J84" s="99"/>
      <c r="K84" s="99"/>
      <c r="L84" s="99"/>
      <c r="M84" s="297"/>
      <c r="N84" s="297"/>
      <c r="O84" s="299">
        <f t="shared" si="22"/>
        <v>2.5</v>
      </c>
      <c r="P84" s="22"/>
      <c r="Q84" s="22"/>
      <c r="R84" s="22"/>
      <c r="S84" s="22"/>
      <c r="T84" s="22"/>
      <c r="U84" s="22"/>
      <c r="V84" s="22"/>
      <c r="W84" s="22"/>
      <c r="X84" s="22"/>
      <c r="Y84" s="22"/>
      <c r="Z84" s="22"/>
      <c r="AA84" s="22"/>
      <c r="AB84" s="22"/>
      <c r="AC84" s="22"/>
    </row>
    <row r="85" spans="1:29" x14ac:dyDescent="0.3">
      <c r="A85" s="22"/>
      <c r="B85" s="22"/>
      <c r="C85" s="297"/>
      <c r="D85" s="297"/>
      <c r="E85" s="414"/>
      <c r="F85" s="414"/>
      <c r="G85" s="414"/>
      <c r="H85" s="414"/>
      <c r="I85" s="414"/>
      <c r="J85" s="414"/>
      <c r="K85" s="414"/>
      <c r="L85" s="414"/>
      <c r="M85" s="297"/>
      <c r="N85" s="297"/>
      <c r="O85" s="297"/>
      <c r="P85" s="22"/>
      <c r="Q85" s="22"/>
      <c r="R85" s="22"/>
      <c r="S85" s="22"/>
      <c r="T85" s="22"/>
      <c r="U85" s="22"/>
      <c r="V85" s="22"/>
      <c r="W85" s="22"/>
      <c r="X85" s="22"/>
      <c r="Y85" s="22"/>
      <c r="Z85" s="22"/>
      <c r="AA85" s="22"/>
      <c r="AB85" s="22"/>
      <c r="AC85" s="22"/>
    </row>
    <row r="86" spans="1:29" x14ac:dyDescent="0.3">
      <c r="A86" s="399" t="s">
        <v>165</v>
      </c>
      <c r="B86" s="22"/>
      <c r="C86" s="297"/>
      <c r="D86" s="297"/>
      <c r="E86" s="414"/>
      <c r="F86" s="414"/>
      <c r="G86" s="414"/>
      <c r="H86" s="414"/>
      <c r="I86" s="414"/>
      <c r="J86" s="414"/>
      <c r="K86" s="414"/>
      <c r="L86" s="414"/>
      <c r="M86" s="297"/>
      <c r="N86" s="297"/>
      <c r="O86" s="297"/>
      <c r="P86" s="156" t="s">
        <v>846</v>
      </c>
      <c r="Q86" s="22"/>
      <c r="R86" s="22"/>
      <c r="S86" s="22"/>
      <c r="T86" s="22"/>
      <c r="U86" s="22"/>
      <c r="V86" s="22"/>
      <c r="W86" s="22"/>
      <c r="X86" s="22"/>
      <c r="Y86" s="22"/>
      <c r="Z86" s="22"/>
      <c r="AA86" s="22"/>
      <c r="AB86" s="22"/>
      <c r="AC86" s="22"/>
    </row>
    <row r="87" spans="1:29" x14ac:dyDescent="0.3">
      <c r="A87" s="400" t="s">
        <v>529</v>
      </c>
      <c r="B87" s="400" t="s">
        <v>2</v>
      </c>
      <c r="C87" s="491">
        <v>75000</v>
      </c>
      <c r="D87" s="491">
        <v>95000</v>
      </c>
      <c r="E87" s="99">
        <f t="shared" ref="E87:E97" si="23">C87</f>
        <v>75000</v>
      </c>
      <c r="F87" s="99">
        <f t="shared" ref="F87:F97" si="24">D87</f>
        <v>95000</v>
      </c>
      <c r="G87" s="99"/>
      <c r="H87" s="99"/>
      <c r="I87" s="99"/>
      <c r="J87" s="99"/>
      <c r="K87" s="99"/>
      <c r="L87" s="99"/>
      <c r="M87" s="297"/>
      <c r="N87" s="297"/>
      <c r="O87" s="301">
        <f t="shared" ref="O87:O100" si="25">INDEX(C87:L87,1,$O$8)</f>
        <v>95000</v>
      </c>
      <c r="P87" s="301">
        <f>IF($P$8=0,O87,INDEX(C87:L87,1,$P$8))</f>
        <v>75000</v>
      </c>
      <c r="Q87" s="22"/>
      <c r="R87" s="22"/>
      <c r="S87" s="22"/>
      <c r="T87" s="22"/>
      <c r="U87" s="22"/>
      <c r="V87" s="22"/>
      <c r="W87" s="22"/>
      <c r="X87" s="22"/>
      <c r="Y87" s="22"/>
      <c r="Z87" s="22"/>
      <c r="AA87" s="22"/>
      <c r="AB87" s="22"/>
      <c r="AC87" s="22"/>
    </row>
    <row r="88" spans="1:29" x14ac:dyDescent="0.3">
      <c r="A88" s="401" t="s">
        <v>530</v>
      </c>
      <c r="B88" s="401" t="s">
        <v>880</v>
      </c>
      <c r="C88" s="491">
        <v>92</v>
      </c>
      <c r="D88" s="491">
        <v>135</v>
      </c>
      <c r="E88" s="99">
        <f t="shared" si="23"/>
        <v>92</v>
      </c>
      <c r="F88" s="99">
        <f t="shared" si="24"/>
        <v>135</v>
      </c>
      <c r="G88" s="99"/>
      <c r="H88" s="99"/>
      <c r="I88" s="99"/>
      <c r="J88" s="99"/>
      <c r="K88" s="99"/>
      <c r="L88" s="99"/>
      <c r="M88" s="297"/>
      <c r="N88" s="297"/>
      <c r="O88" s="298">
        <f t="shared" si="25"/>
        <v>135</v>
      </c>
      <c r="P88" s="298">
        <f t="shared" ref="P88:P97" si="26">IF($P$8=0,O88,INDEX(C88:L88,1,$P$8))</f>
        <v>92</v>
      </c>
      <c r="Q88" s="22"/>
      <c r="R88" s="22"/>
      <c r="S88" s="22"/>
      <c r="T88" s="22"/>
      <c r="U88" s="22"/>
      <c r="V88" s="22"/>
      <c r="W88" s="22"/>
      <c r="X88" s="22"/>
      <c r="Y88" s="22"/>
      <c r="Z88" s="22"/>
      <c r="AA88" s="22"/>
      <c r="AB88" s="22"/>
      <c r="AC88" s="22"/>
    </row>
    <row r="89" spans="1:29" x14ac:dyDescent="0.3">
      <c r="A89" s="401" t="s">
        <v>879</v>
      </c>
      <c r="B89" s="401" t="s">
        <v>878</v>
      </c>
      <c r="C89" s="491">
        <v>0</v>
      </c>
      <c r="D89" s="491"/>
      <c r="E89" s="99">
        <f t="shared" si="23"/>
        <v>0</v>
      </c>
      <c r="F89" s="99">
        <f t="shared" si="24"/>
        <v>0</v>
      </c>
      <c r="G89" s="99"/>
      <c r="H89" s="99"/>
      <c r="I89" s="99"/>
      <c r="J89" s="99"/>
      <c r="K89" s="99"/>
      <c r="L89" s="99"/>
      <c r="M89" s="297"/>
      <c r="N89" s="297"/>
      <c r="O89" s="298">
        <f>INDEX(C89:L89,1,$O$8)</f>
        <v>0</v>
      </c>
      <c r="P89" s="298">
        <f>IF($P$8=0,O89,INDEX(C89:L89,1,$P$8))</f>
        <v>0</v>
      </c>
      <c r="Q89" s="22"/>
      <c r="R89" s="22"/>
      <c r="S89" s="22"/>
      <c r="T89" s="22"/>
      <c r="U89" s="22"/>
      <c r="V89" s="22"/>
      <c r="W89" s="22"/>
      <c r="X89" s="22"/>
      <c r="Y89" s="22"/>
      <c r="Z89" s="22"/>
      <c r="AA89" s="22"/>
      <c r="AB89" s="22"/>
      <c r="AC89" s="22"/>
    </row>
    <row r="90" spans="1:29" x14ac:dyDescent="0.3">
      <c r="A90" s="401" t="s">
        <v>532</v>
      </c>
      <c r="B90" s="401" t="s">
        <v>2</v>
      </c>
      <c r="C90" s="491">
        <v>12000</v>
      </c>
      <c r="D90" s="491">
        <v>25000</v>
      </c>
      <c r="E90" s="99">
        <f t="shared" si="23"/>
        <v>12000</v>
      </c>
      <c r="F90" s="99">
        <f t="shared" si="24"/>
        <v>25000</v>
      </c>
      <c r="G90" s="99"/>
      <c r="H90" s="99"/>
      <c r="I90" s="99"/>
      <c r="J90" s="99"/>
      <c r="K90" s="99"/>
      <c r="L90" s="99"/>
      <c r="M90" s="297"/>
      <c r="N90" s="297"/>
      <c r="O90" s="298">
        <f t="shared" si="25"/>
        <v>25000</v>
      </c>
      <c r="P90" s="298">
        <f t="shared" si="26"/>
        <v>12000</v>
      </c>
      <c r="Q90" s="22"/>
      <c r="R90" s="22"/>
      <c r="S90" s="22"/>
      <c r="T90" s="22"/>
      <c r="U90" s="22"/>
      <c r="V90" s="22"/>
      <c r="W90" s="22"/>
      <c r="X90" s="22"/>
      <c r="Y90" s="22"/>
      <c r="Z90" s="22"/>
      <c r="AA90" s="22"/>
      <c r="AB90" s="22"/>
      <c r="AC90" s="22"/>
    </row>
    <row r="91" spans="1:29" x14ac:dyDescent="0.3">
      <c r="A91" s="401" t="s">
        <v>533</v>
      </c>
      <c r="B91" s="401" t="s">
        <v>531</v>
      </c>
      <c r="C91" s="491">
        <v>2000</v>
      </c>
      <c r="D91" s="491">
        <v>3500</v>
      </c>
      <c r="E91" s="99">
        <f t="shared" si="23"/>
        <v>2000</v>
      </c>
      <c r="F91" s="99">
        <f t="shared" si="24"/>
        <v>3500</v>
      </c>
      <c r="G91" s="99"/>
      <c r="H91" s="99"/>
      <c r="I91" s="99"/>
      <c r="J91" s="99"/>
      <c r="K91" s="99"/>
      <c r="L91" s="99"/>
      <c r="M91" s="297"/>
      <c r="N91" s="297"/>
      <c r="O91" s="298">
        <f t="shared" si="25"/>
        <v>3500</v>
      </c>
      <c r="P91" s="298">
        <f t="shared" si="26"/>
        <v>2000</v>
      </c>
      <c r="Q91" s="22"/>
      <c r="R91" s="22"/>
      <c r="S91" s="22"/>
      <c r="T91" s="22"/>
      <c r="U91" s="22"/>
      <c r="V91" s="22"/>
      <c r="W91" s="22"/>
      <c r="X91" s="22"/>
      <c r="Y91" s="22"/>
      <c r="Z91" s="22"/>
      <c r="AA91" s="22"/>
      <c r="AB91" s="22"/>
      <c r="AC91" s="22"/>
    </row>
    <row r="92" spans="1:29" x14ac:dyDescent="0.3">
      <c r="A92" s="401" t="s">
        <v>534</v>
      </c>
      <c r="B92" s="401" t="s">
        <v>2</v>
      </c>
      <c r="C92" s="491">
        <v>14000</v>
      </c>
      <c r="D92" s="491">
        <f>C92*1.25</f>
        <v>17500</v>
      </c>
      <c r="E92" s="99">
        <f t="shared" si="23"/>
        <v>14000</v>
      </c>
      <c r="F92" s="99">
        <f t="shared" si="24"/>
        <v>17500</v>
      </c>
      <c r="G92" s="99"/>
      <c r="H92" s="99"/>
      <c r="I92" s="99"/>
      <c r="J92" s="99"/>
      <c r="K92" s="99"/>
      <c r="L92" s="99"/>
      <c r="M92" s="297"/>
      <c r="N92" s="297"/>
      <c r="O92" s="298">
        <f t="shared" si="25"/>
        <v>17500</v>
      </c>
      <c r="P92" s="298">
        <f t="shared" si="26"/>
        <v>14000</v>
      </c>
      <c r="Q92" s="22"/>
      <c r="R92" s="22"/>
      <c r="S92" s="22"/>
      <c r="T92" s="22"/>
      <c r="U92" s="22"/>
      <c r="V92" s="22"/>
      <c r="W92" s="22"/>
      <c r="X92" s="22"/>
      <c r="Y92" s="22"/>
      <c r="Z92" s="22"/>
      <c r="AA92" s="22"/>
      <c r="AB92" s="22"/>
      <c r="AC92" s="22"/>
    </row>
    <row r="93" spans="1:29" x14ac:dyDescent="0.3">
      <c r="A93" s="401" t="s">
        <v>535</v>
      </c>
      <c r="B93" s="401" t="s">
        <v>531</v>
      </c>
      <c r="C93" s="491">
        <v>2500</v>
      </c>
      <c r="D93" s="491">
        <v>4000</v>
      </c>
      <c r="E93" s="99">
        <f t="shared" si="23"/>
        <v>2500</v>
      </c>
      <c r="F93" s="99">
        <f t="shared" si="24"/>
        <v>4000</v>
      </c>
      <c r="G93" s="99"/>
      <c r="H93" s="99"/>
      <c r="I93" s="99"/>
      <c r="J93" s="99"/>
      <c r="K93" s="99"/>
      <c r="L93" s="99"/>
      <c r="M93" s="297"/>
      <c r="N93" s="297"/>
      <c r="O93" s="298">
        <f t="shared" si="25"/>
        <v>4000</v>
      </c>
      <c r="P93" s="298">
        <f t="shared" si="26"/>
        <v>2500</v>
      </c>
      <c r="Q93" s="22"/>
      <c r="R93" s="22"/>
      <c r="S93" s="22"/>
      <c r="T93" s="22"/>
      <c r="U93" s="22"/>
      <c r="V93" s="22"/>
      <c r="W93" s="22"/>
      <c r="X93" s="22"/>
      <c r="Y93" s="22"/>
      <c r="Z93" s="22"/>
      <c r="AA93" s="22"/>
      <c r="AB93" s="22"/>
      <c r="AC93" s="22"/>
    </row>
    <row r="94" spans="1:29" x14ac:dyDescent="0.3">
      <c r="A94" s="401" t="s">
        <v>536</v>
      </c>
      <c r="B94" s="401" t="s">
        <v>2</v>
      </c>
      <c r="C94" s="491">
        <f>C90</f>
        <v>12000</v>
      </c>
      <c r="D94" s="491">
        <f>D90</f>
        <v>25000</v>
      </c>
      <c r="E94" s="99">
        <f t="shared" si="23"/>
        <v>12000</v>
      </c>
      <c r="F94" s="99">
        <f t="shared" si="24"/>
        <v>25000</v>
      </c>
      <c r="G94" s="99"/>
      <c r="H94" s="99"/>
      <c r="I94" s="99"/>
      <c r="J94" s="99"/>
      <c r="K94" s="99"/>
      <c r="L94" s="99"/>
      <c r="M94" s="297"/>
      <c r="N94" s="297"/>
      <c r="O94" s="298">
        <f t="shared" si="25"/>
        <v>25000</v>
      </c>
      <c r="P94" s="298">
        <f t="shared" si="26"/>
        <v>12000</v>
      </c>
      <c r="Q94" s="22"/>
      <c r="R94" s="22"/>
      <c r="S94" s="22"/>
      <c r="T94" s="22"/>
      <c r="U94" s="22"/>
      <c r="V94" s="22"/>
      <c r="W94" s="22"/>
      <c r="X94" s="22"/>
      <c r="Y94" s="22"/>
      <c r="Z94" s="22"/>
      <c r="AA94" s="22"/>
      <c r="AB94" s="22"/>
      <c r="AC94" s="22"/>
    </row>
    <row r="95" spans="1:29" x14ac:dyDescent="0.3">
      <c r="A95" s="401" t="s">
        <v>537</v>
      </c>
      <c r="B95" s="401" t="s">
        <v>531</v>
      </c>
      <c r="C95" s="491">
        <v>2000</v>
      </c>
      <c r="D95" s="491">
        <v>5000</v>
      </c>
      <c r="E95" s="99">
        <f t="shared" si="23"/>
        <v>2000</v>
      </c>
      <c r="F95" s="99">
        <f t="shared" si="24"/>
        <v>5000</v>
      </c>
      <c r="G95" s="99"/>
      <c r="H95" s="99"/>
      <c r="I95" s="99"/>
      <c r="J95" s="99"/>
      <c r="K95" s="99"/>
      <c r="L95" s="99"/>
      <c r="M95" s="297"/>
      <c r="N95" s="297"/>
      <c r="O95" s="298">
        <f t="shared" si="25"/>
        <v>5000</v>
      </c>
      <c r="P95" s="298">
        <f t="shared" si="26"/>
        <v>2000</v>
      </c>
      <c r="Q95" s="22"/>
      <c r="R95" s="22"/>
      <c r="S95" s="22"/>
      <c r="T95" s="22"/>
      <c r="U95" s="22"/>
      <c r="V95" s="22"/>
      <c r="W95" s="22"/>
      <c r="X95" s="22"/>
      <c r="Y95" s="22"/>
      <c r="Z95" s="22"/>
      <c r="AA95" s="22"/>
      <c r="AB95" s="22"/>
      <c r="AC95" s="22"/>
    </row>
    <row r="96" spans="1:29" x14ac:dyDescent="0.3">
      <c r="A96" s="401" t="s">
        <v>538</v>
      </c>
      <c r="B96" s="401" t="s">
        <v>2</v>
      </c>
      <c r="C96" s="491">
        <f>C94</f>
        <v>12000</v>
      </c>
      <c r="D96" s="491">
        <f>D94</f>
        <v>25000</v>
      </c>
      <c r="E96" s="99">
        <f t="shared" si="23"/>
        <v>12000</v>
      </c>
      <c r="F96" s="99">
        <f t="shared" si="24"/>
        <v>25000</v>
      </c>
      <c r="G96" s="99"/>
      <c r="H96" s="99"/>
      <c r="I96" s="99"/>
      <c r="J96" s="99"/>
      <c r="K96" s="99"/>
      <c r="L96" s="99"/>
      <c r="M96" s="297"/>
      <c r="N96" s="297"/>
      <c r="O96" s="298">
        <f t="shared" si="25"/>
        <v>25000</v>
      </c>
      <c r="P96" s="298">
        <f t="shared" si="26"/>
        <v>12000</v>
      </c>
      <c r="Q96" s="22"/>
      <c r="R96" s="22"/>
      <c r="S96" s="22"/>
      <c r="T96" s="22"/>
      <c r="U96" s="22"/>
      <c r="V96" s="22"/>
      <c r="W96" s="22"/>
      <c r="X96" s="22"/>
      <c r="Y96" s="22"/>
      <c r="Z96" s="22"/>
      <c r="AA96" s="22"/>
      <c r="AB96" s="22"/>
      <c r="AC96" s="22"/>
    </row>
    <row r="97" spans="1:29" x14ac:dyDescent="0.3">
      <c r="A97" s="402" t="s">
        <v>539</v>
      </c>
      <c r="B97" s="402" t="s">
        <v>531</v>
      </c>
      <c r="C97" s="491">
        <v>3500</v>
      </c>
      <c r="D97" s="491">
        <v>5500</v>
      </c>
      <c r="E97" s="99">
        <f t="shared" si="23"/>
        <v>3500</v>
      </c>
      <c r="F97" s="99">
        <f t="shared" si="24"/>
        <v>5500</v>
      </c>
      <c r="G97" s="99"/>
      <c r="H97" s="99"/>
      <c r="I97" s="99"/>
      <c r="J97" s="99"/>
      <c r="K97" s="99"/>
      <c r="L97" s="99"/>
      <c r="M97" s="297"/>
      <c r="N97" s="297"/>
      <c r="O97" s="299">
        <f t="shared" si="25"/>
        <v>5500</v>
      </c>
      <c r="P97" s="299">
        <f t="shared" si="26"/>
        <v>3500</v>
      </c>
      <c r="Q97" s="22"/>
      <c r="R97" s="22"/>
      <c r="S97" s="22"/>
      <c r="T97" s="22"/>
      <c r="U97" s="22"/>
      <c r="V97" s="22"/>
      <c r="W97" s="22"/>
      <c r="X97" s="22"/>
      <c r="Y97" s="22"/>
      <c r="Z97" s="22"/>
      <c r="AA97" s="22"/>
      <c r="AB97" s="22"/>
      <c r="AC97" s="22"/>
    </row>
    <row r="98" spans="1:29" x14ac:dyDescent="0.3">
      <c r="A98" s="22"/>
      <c r="B98" s="22"/>
      <c r="C98" s="297"/>
      <c r="D98" s="297"/>
      <c r="E98" s="414"/>
      <c r="F98" s="414"/>
      <c r="G98" s="414"/>
      <c r="H98" s="414"/>
      <c r="I98" s="414"/>
      <c r="J98" s="414"/>
      <c r="K98" s="414"/>
      <c r="L98" s="414"/>
      <c r="M98" s="297"/>
      <c r="N98" s="297"/>
      <c r="O98" s="297"/>
      <c r="P98" s="22"/>
      <c r="Q98" s="22"/>
      <c r="R98" s="22"/>
      <c r="S98" s="22"/>
      <c r="T98" s="22"/>
      <c r="U98" s="22"/>
      <c r="V98" s="22"/>
      <c r="W98" s="22"/>
      <c r="X98" s="22"/>
      <c r="Y98" s="22"/>
      <c r="Z98" s="22"/>
      <c r="AA98" s="22"/>
      <c r="AB98" s="22"/>
      <c r="AC98" s="22"/>
    </row>
    <row r="99" spans="1:29" x14ac:dyDescent="0.3">
      <c r="A99" s="293" t="s">
        <v>540</v>
      </c>
      <c r="B99" s="293" t="s">
        <v>447</v>
      </c>
      <c r="C99" s="491">
        <v>0.11</v>
      </c>
      <c r="D99" s="491">
        <v>0.11</v>
      </c>
      <c r="E99" s="99">
        <f t="shared" ref="E99:E100" si="27">C99</f>
        <v>0.11</v>
      </c>
      <c r="F99" s="99">
        <f t="shared" ref="F99:F100" si="28">D99</f>
        <v>0.11</v>
      </c>
      <c r="G99" s="99"/>
      <c r="H99" s="99"/>
      <c r="I99" s="99"/>
      <c r="J99" s="99"/>
      <c r="K99" s="99"/>
      <c r="L99" s="99"/>
      <c r="M99" s="297"/>
      <c r="N99" s="297"/>
      <c r="O99" s="302">
        <f t="shared" si="25"/>
        <v>0.11</v>
      </c>
      <c r="P99" s="22"/>
      <c r="Q99" s="22"/>
      <c r="R99" s="22"/>
      <c r="S99" s="22"/>
      <c r="T99" s="22"/>
      <c r="U99" s="22"/>
      <c r="V99" s="22"/>
      <c r="W99" s="22"/>
      <c r="X99" s="22"/>
      <c r="Y99" s="22"/>
      <c r="Z99" s="22"/>
      <c r="AA99" s="22"/>
      <c r="AB99" s="22"/>
      <c r="AC99" s="22"/>
    </row>
    <row r="100" spans="1:29" x14ac:dyDescent="0.3">
      <c r="A100" s="293" t="s">
        <v>541</v>
      </c>
      <c r="B100" s="293" t="s">
        <v>447</v>
      </c>
      <c r="C100" s="491">
        <v>0.2</v>
      </c>
      <c r="D100" s="491">
        <v>0.2</v>
      </c>
      <c r="E100" s="99">
        <f t="shared" si="27"/>
        <v>0.2</v>
      </c>
      <c r="F100" s="99">
        <f t="shared" si="28"/>
        <v>0.2</v>
      </c>
      <c r="G100" s="99"/>
      <c r="H100" s="99"/>
      <c r="I100" s="99"/>
      <c r="J100" s="99"/>
      <c r="K100" s="99"/>
      <c r="L100" s="99"/>
      <c r="M100" s="297"/>
      <c r="N100" s="297"/>
      <c r="O100" s="302">
        <f t="shared" si="25"/>
        <v>0.2</v>
      </c>
      <c r="P100" s="22"/>
      <c r="Q100" s="22"/>
      <c r="R100" s="22"/>
      <c r="S100" s="22"/>
      <c r="T100" s="22"/>
      <c r="U100" s="22"/>
      <c r="V100" s="22"/>
      <c r="W100" s="22"/>
      <c r="X100" s="22"/>
      <c r="Y100" s="22"/>
      <c r="Z100" s="22"/>
      <c r="AA100" s="22"/>
      <c r="AB100" s="22"/>
      <c r="AC100" s="22"/>
    </row>
    <row r="101" spans="1:29" x14ac:dyDescent="0.3">
      <c r="A101" s="22"/>
      <c r="B101" s="22"/>
      <c r="C101" s="297"/>
      <c r="D101" s="297"/>
      <c r="E101" s="414"/>
      <c r="F101" s="414"/>
      <c r="G101" s="414"/>
      <c r="H101" s="414"/>
      <c r="I101" s="414"/>
      <c r="J101" s="414"/>
      <c r="K101" s="414"/>
      <c r="L101" s="414"/>
      <c r="M101" s="297"/>
      <c r="N101" s="297"/>
      <c r="O101" s="297"/>
      <c r="P101" s="22"/>
      <c r="Q101" s="22"/>
      <c r="R101" s="22"/>
      <c r="S101" s="22"/>
      <c r="T101" s="22"/>
      <c r="U101" s="22"/>
      <c r="V101" s="22"/>
      <c r="W101" s="22"/>
      <c r="X101" s="22"/>
      <c r="Y101" s="22"/>
      <c r="Z101" s="22"/>
      <c r="AA101" s="22"/>
      <c r="AB101" s="22"/>
      <c r="AC101" s="22"/>
    </row>
    <row r="102" spans="1:29" x14ac:dyDescent="0.3">
      <c r="A102" s="399" t="s">
        <v>176</v>
      </c>
      <c r="B102" s="22"/>
      <c r="C102" s="297"/>
      <c r="D102" s="297"/>
      <c r="E102" s="414"/>
      <c r="F102" s="414"/>
      <c r="G102" s="414"/>
      <c r="H102" s="414"/>
      <c r="I102" s="414"/>
      <c r="J102" s="414"/>
      <c r="K102" s="414"/>
      <c r="L102" s="414"/>
      <c r="M102" s="297"/>
      <c r="N102" s="297"/>
      <c r="O102" s="297"/>
      <c r="P102" s="22"/>
      <c r="Q102" s="22"/>
      <c r="R102" s="22"/>
      <c r="S102" s="22"/>
      <c r="T102" s="22"/>
      <c r="U102" s="22"/>
      <c r="V102" s="22"/>
      <c r="W102" s="22"/>
      <c r="X102" s="22"/>
      <c r="Y102" s="22"/>
      <c r="Z102" s="22"/>
      <c r="AA102" s="22"/>
      <c r="AB102" s="22"/>
      <c r="AC102" s="22"/>
    </row>
    <row r="103" spans="1:29" x14ac:dyDescent="0.3">
      <c r="A103" s="400" t="s">
        <v>542</v>
      </c>
      <c r="B103" s="400" t="s">
        <v>2</v>
      </c>
      <c r="C103" s="491">
        <v>3000</v>
      </c>
      <c r="D103" s="491"/>
      <c r="E103" s="99">
        <f t="shared" ref="E103:E112" si="29">C103</f>
        <v>3000</v>
      </c>
      <c r="F103" s="99">
        <f t="shared" ref="F103:F112" si="30">D103</f>
        <v>0</v>
      </c>
      <c r="G103" s="99"/>
      <c r="H103" s="99"/>
      <c r="I103" s="99"/>
      <c r="J103" s="99"/>
      <c r="K103" s="99"/>
      <c r="L103" s="99"/>
      <c r="M103" s="297"/>
      <c r="N103" s="297"/>
      <c r="O103" s="301">
        <f t="shared" ref="O103:O112" si="31">INDEX(C103:L103,1,$O$8)</f>
        <v>0</v>
      </c>
      <c r="P103" s="22"/>
      <c r="Q103" s="22"/>
      <c r="R103" s="22"/>
      <c r="S103" s="22"/>
      <c r="T103" s="22"/>
      <c r="U103" s="22"/>
      <c r="V103" s="22"/>
      <c r="W103" s="22"/>
      <c r="X103" s="22"/>
      <c r="Y103" s="22"/>
      <c r="Z103" s="22"/>
      <c r="AA103" s="22"/>
      <c r="AB103" s="22"/>
      <c r="AC103" s="22"/>
    </row>
    <row r="104" spans="1:29" x14ac:dyDescent="0.3">
      <c r="A104" s="401" t="s">
        <v>543</v>
      </c>
      <c r="B104" s="401" t="s">
        <v>515</v>
      </c>
      <c r="C104" s="491">
        <v>30</v>
      </c>
      <c r="D104" s="491"/>
      <c r="E104" s="99">
        <f t="shared" si="29"/>
        <v>30</v>
      </c>
      <c r="F104" s="99">
        <f t="shared" si="30"/>
        <v>0</v>
      </c>
      <c r="G104" s="99"/>
      <c r="H104" s="99"/>
      <c r="I104" s="99"/>
      <c r="J104" s="99"/>
      <c r="K104" s="99"/>
      <c r="L104" s="99"/>
      <c r="M104" s="297"/>
      <c r="N104" s="297"/>
      <c r="O104" s="298">
        <f t="shared" si="31"/>
        <v>0</v>
      </c>
      <c r="P104" s="22"/>
      <c r="Q104" s="22"/>
      <c r="R104" s="22"/>
      <c r="S104" s="22"/>
      <c r="T104" s="22"/>
      <c r="U104" s="22"/>
      <c r="V104" s="22"/>
      <c r="W104" s="22"/>
      <c r="X104" s="22"/>
      <c r="Y104" s="22"/>
      <c r="Z104" s="22"/>
      <c r="AA104" s="22"/>
      <c r="AB104" s="22"/>
      <c r="AC104" s="22"/>
    </row>
    <row r="105" spans="1:29" x14ac:dyDescent="0.3">
      <c r="A105" s="401" t="s">
        <v>544</v>
      </c>
      <c r="B105" s="401" t="s">
        <v>2</v>
      </c>
      <c r="C105" s="491">
        <v>5000</v>
      </c>
      <c r="D105" s="491"/>
      <c r="E105" s="99">
        <f t="shared" si="29"/>
        <v>5000</v>
      </c>
      <c r="F105" s="99">
        <f t="shared" si="30"/>
        <v>0</v>
      </c>
      <c r="G105" s="99"/>
      <c r="H105" s="99"/>
      <c r="I105" s="99"/>
      <c r="J105" s="99"/>
      <c r="K105" s="99"/>
      <c r="L105" s="99"/>
      <c r="M105" s="297"/>
      <c r="N105" s="297"/>
      <c r="O105" s="298">
        <f t="shared" si="31"/>
        <v>0</v>
      </c>
      <c r="P105" s="22"/>
      <c r="Q105" s="22"/>
      <c r="R105" s="22"/>
      <c r="S105" s="22"/>
      <c r="T105" s="22"/>
      <c r="U105" s="22"/>
      <c r="V105" s="22"/>
      <c r="W105" s="22"/>
      <c r="X105" s="22"/>
      <c r="Y105" s="22"/>
      <c r="Z105" s="22"/>
      <c r="AA105" s="22"/>
      <c r="AB105" s="22"/>
      <c r="AC105" s="22"/>
    </row>
    <row r="106" spans="1:29" x14ac:dyDescent="0.3">
      <c r="A106" s="401" t="s">
        <v>748</v>
      </c>
      <c r="B106" s="401" t="s">
        <v>2</v>
      </c>
      <c r="C106" s="491"/>
      <c r="D106" s="491">
        <v>5000</v>
      </c>
      <c r="E106" s="99">
        <f t="shared" si="29"/>
        <v>0</v>
      </c>
      <c r="F106" s="99">
        <f t="shared" si="30"/>
        <v>5000</v>
      </c>
      <c r="G106" s="99"/>
      <c r="H106" s="99"/>
      <c r="I106" s="99"/>
      <c r="J106" s="99"/>
      <c r="K106" s="99"/>
      <c r="L106" s="99"/>
      <c r="M106" s="297"/>
      <c r="N106" s="297"/>
      <c r="O106" s="298">
        <f t="shared" si="31"/>
        <v>5000</v>
      </c>
      <c r="P106" s="22"/>
      <c r="Q106" s="22"/>
      <c r="R106" s="22"/>
      <c r="S106" s="22"/>
      <c r="T106" s="22"/>
      <c r="U106" s="22"/>
      <c r="V106" s="22"/>
      <c r="W106" s="22"/>
      <c r="X106" s="22"/>
      <c r="Y106" s="22"/>
      <c r="Z106" s="22"/>
      <c r="AA106" s="22"/>
      <c r="AB106" s="22"/>
      <c r="AC106" s="22"/>
    </row>
    <row r="107" spans="1:29" x14ac:dyDescent="0.3">
      <c r="A107" s="401" t="s">
        <v>1060</v>
      </c>
      <c r="B107" s="401" t="s">
        <v>2</v>
      </c>
      <c r="C107" s="491">
        <v>5000</v>
      </c>
      <c r="D107" s="491">
        <v>5000</v>
      </c>
      <c r="E107" s="99">
        <f t="shared" si="29"/>
        <v>5000</v>
      </c>
      <c r="F107" s="99">
        <f t="shared" si="30"/>
        <v>5000</v>
      </c>
      <c r="G107" s="99"/>
      <c r="H107" s="99"/>
      <c r="I107" s="99"/>
      <c r="J107" s="99"/>
      <c r="K107" s="99"/>
      <c r="L107" s="99"/>
      <c r="M107" s="297"/>
      <c r="N107" s="297"/>
      <c r="O107" s="298">
        <f t="shared" si="31"/>
        <v>5000</v>
      </c>
      <c r="P107" s="22"/>
      <c r="Q107" s="22"/>
      <c r="R107" s="22"/>
      <c r="S107" s="22"/>
      <c r="T107" s="22"/>
      <c r="U107" s="22"/>
      <c r="V107" s="22"/>
      <c r="W107" s="22"/>
      <c r="X107" s="22"/>
      <c r="Y107" s="22"/>
      <c r="Z107" s="22"/>
      <c r="AA107" s="22"/>
      <c r="AB107" s="22"/>
      <c r="AC107" s="22"/>
    </row>
    <row r="108" spans="1:29" x14ac:dyDescent="0.3">
      <c r="A108" s="401" t="s">
        <v>272</v>
      </c>
      <c r="B108" s="401" t="s">
        <v>2</v>
      </c>
      <c r="C108" s="491">
        <v>2000</v>
      </c>
      <c r="D108" s="491">
        <v>3000</v>
      </c>
      <c r="E108" s="99">
        <f t="shared" si="29"/>
        <v>2000</v>
      </c>
      <c r="F108" s="99">
        <f t="shared" si="30"/>
        <v>3000</v>
      </c>
      <c r="G108" s="99"/>
      <c r="H108" s="99"/>
      <c r="I108" s="99"/>
      <c r="J108" s="99"/>
      <c r="K108" s="99"/>
      <c r="L108" s="99"/>
      <c r="M108" s="297"/>
      <c r="N108" s="297"/>
      <c r="O108" s="298">
        <f t="shared" si="31"/>
        <v>3000</v>
      </c>
      <c r="P108" s="22"/>
      <c r="Q108" s="22"/>
      <c r="R108" s="22"/>
      <c r="S108" s="22"/>
      <c r="T108" s="22"/>
      <c r="U108" s="22"/>
      <c r="V108" s="22"/>
      <c r="W108" s="22"/>
      <c r="X108" s="22"/>
      <c r="Y108" s="22"/>
      <c r="Z108" s="22"/>
      <c r="AA108" s="22"/>
      <c r="AB108" s="22"/>
      <c r="AC108" s="22"/>
    </row>
    <row r="109" spans="1:29" x14ac:dyDescent="0.3">
      <c r="A109" s="401" t="s">
        <v>545</v>
      </c>
      <c r="B109" s="401" t="s">
        <v>2</v>
      </c>
      <c r="C109" s="491">
        <v>2000</v>
      </c>
      <c r="D109" s="491">
        <v>2000</v>
      </c>
      <c r="E109" s="99">
        <f t="shared" si="29"/>
        <v>2000</v>
      </c>
      <c r="F109" s="99">
        <f t="shared" si="30"/>
        <v>2000</v>
      </c>
      <c r="G109" s="99"/>
      <c r="H109" s="99"/>
      <c r="I109" s="99"/>
      <c r="J109" s="99"/>
      <c r="K109" s="99"/>
      <c r="L109" s="99"/>
      <c r="M109" s="297"/>
      <c r="N109" s="297"/>
      <c r="O109" s="298">
        <f t="shared" si="31"/>
        <v>2000</v>
      </c>
      <c r="P109" s="22"/>
      <c r="Q109" s="22"/>
      <c r="R109" s="22"/>
      <c r="S109" s="22"/>
      <c r="T109" s="22"/>
      <c r="U109" s="22"/>
      <c r="V109" s="22"/>
      <c r="W109" s="22"/>
      <c r="X109" s="22"/>
      <c r="Y109" s="22"/>
      <c r="Z109" s="22"/>
      <c r="AA109" s="22"/>
      <c r="AB109" s="22"/>
      <c r="AC109" s="22"/>
    </row>
    <row r="110" spans="1:29" x14ac:dyDescent="0.3">
      <c r="A110" s="401" t="s">
        <v>546</v>
      </c>
      <c r="B110" s="401" t="s">
        <v>2</v>
      </c>
      <c r="C110" s="491">
        <v>3500</v>
      </c>
      <c r="D110" s="491">
        <v>3500</v>
      </c>
      <c r="E110" s="99">
        <f t="shared" si="29"/>
        <v>3500</v>
      </c>
      <c r="F110" s="99">
        <f t="shared" si="30"/>
        <v>3500</v>
      </c>
      <c r="G110" s="99"/>
      <c r="H110" s="99"/>
      <c r="I110" s="99"/>
      <c r="J110" s="99"/>
      <c r="K110" s="99"/>
      <c r="L110" s="99"/>
      <c r="M110" s="297"/>
      <c r="N110" s="297"/>
      <c r="O110" s="298">
        <f t="shared" si="31"/>
        <v>3500</v>
      </c>
      <c r="P110" s="22"/>
      <c r="Q110" s="22"/>
      <c r="R110" s="22"/>
      <c r="S110" s="22"/>
      <c r="T110" s="22"/>
      <c r="U110" s="22"/>
      <c r="V110" s="22"/>
      <c r="W110" s="22"/>
      <c r="X110" s="22"/>
      <c r="Y110" s="22"/>
      <c r="Z110" s="22"/>
      <c r="AA110" s="22"/>
      <c r="AB110" s="22"/>
      <c r="AC110" s="22"/>
    </row>
    <row r="111" spans="1:29" x14ac:dyDescent="0.3">
      <c r="A111" s="401" t="s">
        <v>547</v>
      </c>
      <c r="B111" s="401" t="s">
        <v>531</v>
      </c>
      <c r="C111" s="491">
        <v>100</v>
      </c>
      <c r="D111" s="491">
        <v>100</v>
      </c>
      <c r="E111" s="99">
        <f t="shared" si="29"/>
        <v>100</v>
      </c>
      <c r="F111" s="99">
        <f t="shared" si="30"/>
        <v>100</v>
      </c>
      <c r="G111" s="99"/>
      <c r="H111" s="99"/>
      <c r="I111" s="99"/>
      <c r="J111" s="99"/>
      <c r="K111" s="99"/>
      <c r="L111" s="99"/>
      <c r="M111" s="297"/>
      <c r="N111" s="297"/>
      <c r="O111" s="298">
        <f t="shared" si="31"/>
        <v>100</v>
      </c>
      <c r="P111" s="22"/>
      <c r="Q111" s="22"/>
      <c r="R111" s="22"/>
      <c r="S111" s="22"/>
      <c r="T111" s="22"/>
      <c r="U111" s="22"/>
      <c r="V111" s="22"/>
      <c r="W111" s="22"/>
      <c r="X111" s="22"/>
      <c r="Y111" s="22"/>
      <c r="Z111" s="22"/>
      <c r="AA111" s="22"/>
      <c r="AB111" s="22"/>
      <c r="AC111" s="22"/>
    </row>
    <row r="112" spans="1:29" x14ac:dyDescent="0.3">
      <c r="A112" s="402" t="s">
        <v>548</v>
      </c>
      <c r="B112" s="402" t="s">
        <v>531</v>
      </c>
      <c r="C112" s="491">
        <v>150</v>
      </c>
      <c r="D112" s="491">
        <v>250</v>
      </c>
      <c r="E112" s="99">
        <f t="shared" si="29"/>
        <v>150</v>
      </c>
      <c r="F112" s="99">
        <f t="shared" si="30"/>
        <v>250</v>
      </c>
      <c r="G112" s="99"/>
      <c r="H112" s="99"/>
      <c r="I112" s="99"/>
      <c r="J112" s="99"/>
      <c r="K112" s="99"/>
      <c r="L112" s="99"/>
      <c r="M112" s="297"/>
      <c r="N112" s="297"/>
      <c r="O112" s="299">
        <f t="shared" si="31"/>
        <v>250</v>
      </c>
      <c r="P112" s="22"/>
      <c r="Q112" s="22"/>
      <c r="R112" s="22"/>
      <c r="S112" s="22"/>
      <c r="T112" s="22"/>
      <c r="U112" s="22"/>
      <c r="V112" s="22"/>
      <c r="W112" s="22"/>
      <c r="X112" s="22"/>
      <c r="Y112" s="22"/>
      <c r="Z112" s="22"/>
      <c r="AA112" s="22"/>
      <c r="AB112" s="22"/>
      <c r="AC112" s="22"/>
    </row>
    <row r="113" spans="1:29" x14ac:dyDescent="0.3">
      <c r="A113" s="22"/>
      <c r="B113" s="22"/>
      <c r="C113" s="297"/>
      <c r="D113" s="297"/>
      <c r="E113" s="414"/>
      <c r="F113" s="414"/>
      <c r="G113" s="414"/>
      <c r="H113" s="414"/>
      <c r="I113" s="414"/>
      <c r="J113" s="414"/>
      <c r="K113" s="414"/>
      <c r="L113" s="414"/>
      <c r="M113" s="297"/>
      <c r="N113" s="297"/>
      <c r="O113" s="297"/>
      <c r="P113" s="22"/>
      <c r="Q113" s="22"/>
      <c r="R113" s="22"/>
      <c r="S113" s="22"/>
      <c r="T113" s="22"/>
      <c r="U113" s="22"/>
      <c r="V113" s="22"/>
      <c r="W113" s="22"/>
      <c r="X113" s="22"/>
      <c r="Y113" s="22"/>
      <c r="Z113" s="22"/>
      <c r="AA113" s="22"/>
      <c r="AB113" s="22"/>
      <c r="AC113" s="22"/>
    </row>
    <row r="114" spans="1:29" x14ac:dyDescent="0.3">
      <c r="A114" s="403" t="s">
        <v>121</v>
      </c>
      <c r="B114" s="22"/>
      <c r="C114" s="297"/>
      <c r="D114" s="297"/>
      <c r="E114" s="414"/>
      <c r="F114" s="414"/>
      <c r="G114" s="414"/>
      <c r="H114" s="414"/>
      <c r="I114" s="414"/>
      <c r="J114" s="414"/>
      <c r="K114" s="414"/>
      <c r="L114" s="414"/>
      <c r="M114" s="297"/>
      <c r="N114" s="297"/>
      <c r="O114" s="297"/>
      <c r="P114" s="22"/>
      <c r="Q114" s="22"/>
      <c r="R114" s="22"/>
      <c r="S114" s="22"/>
      <c r="T114" s="22"/>
      <c r="U114" s="22"/>
      <c r="V114" s="22"/>
      <c r="W114" s="22"/>
      <c r="X114" s="22"/>
      <c r="Y114" s="22"/>
      <c r="Z114" s="22"/>
      <c r="AA114" s="22"/>
      <c r="AB114" s="22"/>
      <c r="AC114" s="22"/>
    </row>
    <row r="115" spans="1:29" x14ac:dyDescent="0.3">
      <c r="A115" s="399" t="s">
        <v>549</v>
      </c>
      <c r="B115" s="22"/>
      <c r="C115" s="297"/>
      <c r="D115" s="297"/>
      <c r="E115" s="414"/>
      <c r="F115" s="414"/>
      <c r="G115" s="414"/>
      <c r="H115" s="414"/>
      <c r="I115" s="414"/>
      <c r="J115" s="414"/>
      <c r="K115" s="414"/>
      <c r="L115" s="414"/>
      <c r="M115" s="297"/>
      <c r="N115" s="297"/>
      <c r="O115" s="297"/>
      <c r="P115" s="22"/>
      <c r="Q115" s="22"/>
      <c r="R115" s="22"/>
      <c r="S115" s="22"/>
      <c r="T115" s="22"/>
      <c r="U115" s="22"/>
      <c r="V115" s="22"/>
      <c r="W115" s="22"/>
      <c r="X115" s="22"/>
      <c r="Y115" s="22"/>
      <c r="Z115" s="22"/>
      <c r="AA115" s="22"/>
      <c r="AB115" s="22"/>
      <c r="AC115" s="22"/>
    </row>
    <row r="116" spans="1:29" x14ac:dyDescent="0.3">
      <c r="A116" s="404" t="s">
        <v>550</v>
      </c>
      <c r="B116" s="22"/>
      <c r="C116" s="297"/>
      <c r="D116" s="297"/>
      <c r="E116" s="414"/>
      <c r="F116" s="414"/>
      <c r="G116" s="414"/>
      <c r="H116" s="414"/>
      <c r="I116" s="414"/>
      <c r="J116" s="414"/>
      <c r="K116" s="414"/>
      <c r="L116" s="414"/>
      <c r="M116" s="297"/>
      <c r="N116" s="297"/>
      <c r="O116" s="297"/>
      <c r="P116" s="22"/>
      <c r="Q116" s="22"/>
      <c r="R116" s="22"/>
      <c r="S116" s="22"/>
      <c r="T116" s="22"/>
      <c r="U116" s="22"/>
      <c r="V116" s="22"/>
      <c r="W116" s="22"/>
      <c r="X116" s="22"/>
      <c r="Y116" s="22"/>
      <c r="Z116" s="22"/>
      <c r="AA116" s="22"/>
      <c r="AB116" s="22"/>
      <c r="AC116" s="22"/>
    </row>
    <row r="117" spans="1:29" x14ac:dyDescent="0.3">
      <c r="A117" s="405" t="s">
        <v>551</v>
      </c>
      <c r="B117" s="400" t="s">
        <v>2</v>
      </c>
      <c r="C117" s="491">
        <v>2000</v>
      </c>
      <c r="D117" s="491">
        <v>2000</v>
      </c>
      <c r="E117" s="99">
        <f t="shared" ref="E117:E120" si="32">C117</f>
        <v>2000</v>
      </c>
      <c r="F117" s="99">
        <f t="shared" ref="F117:F120" si="33">D117</f>
        <v>2000</v>
      </c>
      <c r="G117" s="99"/>
      <c r="H117" s="99"/>
      <c r="I117" s="99"/>
      <c r="J117" s="99"/>
      <c r="K117" s="99"/>
      <c r="L117" s="99"/>
      <c r="M117" s="297"/>
      <c r="N117" s="297"/>
      <c r="O117" s="301">
        <f>INDEX(C117:L117,1,$O$8)</f>
        <v>2000</v>
      </c>
      <c r="P117" s="22"/>
      <c r="Q117" s="22"/>
      <c r="R117" s="22"/>
      <c r="S117" s="22"/>
      <c r="T117" s="22"/>
      <c r="U117" s="22"/>
      <c r="V117" s="22"/>
      <c r="W117" s="22"/>
      <c r="X117" s="22"/>
      <c r="Y117" s="22"/>
      <c r="Z117" s="22"/>
      <c r="AA117" s="22"/>
      <c r="AB117" s="22"/>
      <c r="AC117" s="22"/>
    </row>
    <row r="118" spans="1:29" x14ac:dyDescent="0.3">
      <c r="A118" s="406" t="s">
        <v>552</v>
      </c>
      <c r="B118" s="401" t="s">
        <v>2</v>
      </c>
      <c r="C118" s="491">
        <v>2900</v>
      </c>
      <c r="D118" s="491">
        <f>C118</f>
        <v>2900</v>
      </c>
      <c r="E118" s="99">
        <f t="shared" si="32"/>
        <v>2900</v>
      </c>
      <c r="F118" s="99">
        <f t="shared" si="33"/>
        <v>2900</v>
      </c>
      <c r="G118" s="99"/>
      <c r="H118" s="99"/>
      <c r="I118" s="99"/>
      <c r="J118" s="99"/>
      <c r="K118" s="99"/>
      <c r="L118" s="99"/>
      <c r="M118" s="297"/>
      <c r="N118" s="297"/>
      <c r="O118" s="298">
        <f>INDEX(C118:L118,1,$O$8)</f>
        <v>2900</v>
      </c>
      <c r="P118" s="22"/>
      <c r="Q118" s="22"/>
      <c r="R118" s="22"/>
      <c r="S118" s="22"/>
      <c r="T118" s="22"/>
      <c r="U118" s="22"/>
      <c r="V118" s="22"/>
      <c r="W118" s="22"/>
      <c r="X118" s="22"/>
      <c r="Y118" s="22"/>
      <c r="Z118" s="22"/>
      <c r="AA118" s="22"/>
      <c r="AB118" s="22"/>
      <c r="AC118" s="22"/>
    </row>
    <row r="119" spans="1:29" x14ac:dyDescent="0.3">
      <c r="A119" s="407" t="s">
        <v>553</v>
      </c>
      <c r="B119" s="401" t="s">
        <v>2</v>
      </c>
      <c r="C119" s="491">
        <v>19000</v>
      </c>
      <c r="D119" s="491">
        <v>19000</v>
      </c>
      <c r="E119" s="99">
        <f t="shared" si="32"/>
        <v>19000</v>
      </c>
      <c r="F119" s="99">
        <f t="shared" si="33"/>
        <v>19000</v>
      </c>
      <c r="G119" s="99"/>
      <c r="H119" s="99"/>
      <c r="I119" s="99"/>
      <c r="J119" s="99"/>
      <c r="K119" s="99"/>
      <c r="L119" s="99"/>
      <c r="M119" s="297"/>
      <c r="N119" s="297"/>
      <c r="O119" s="298">
        <f>INDEX(C119:L119,1,$O$8)</f>
        <v>19000</v>
      </c>
      <c r="P119" s="22"/>
      <c r="Q119" s="22"/>
      <c r="R119" s="22"/>
      <c r="S119" s="22"/>
      <c r="T119" s="22"/>
      <c r="U119" s="22"/>
      <c r="V119" s="22"/>
      <c r="W119" s="22"/>
      <c r="X119" s="22"/>
      <c r="Y119" s="22"/>
      <c r="Z119" s="22"/>
      <c r="AA119" s="22"/>
      <c r="AB119" s="22"/>
      <c r="AC119" s="22"/>
    </row>
    <row r="120" spans="1:29" x14ac:dyDescent="0.3">
      <c r="A120" s="408" t="s">
        <v>554</v>
      </c>
      <c r="B120" s="402" t="s">
        <v>2</v>
      </c>
      <c r="C120" s="491">
        <v>25000</v>
      </c>
      <c r="D120" s="491">
        <v>25000</v>
      </c>
      <c r="E120" s="99">
        <f t="shared" si="32"/>
        <v>25000</v>
      </c>
      <c r="F120" s="99">
        <f t="shared" si="33"/>
        <v>25000</v>
      </c>
      <c r="G120" s="99"/>
      <c r="H120" s="99"/>
      <c r="I120" s="99"/>
      <c r="J120" s="99"/>
      <c r="K120" s="99"/>
      <c r="L120" s="99"/>
      <c r="M120" s="297"/>
      <c r="N120" s="297"/>
      <c r="O120" s="299">
        <f>INDEX(C120:L120,1,$O$8)</f>
        <v>25000</v>
      </c>
      <c r="P120" s="22"/>
      <c r="Q120" s="22"/>
      <c r="R120" s="22"/>
      <c r="S120" s="22"/>
      <c r="T120" s="22"/>
      <c r="U120" s="22"/>
      <c r="V120" s="22"/>
      <c r="W120" s="22"/>
      <c r="X120" s="22"/>
      <c r="Y120" s="22"/>
      <c r="Z120" s="22"/>
      <c r="AA120" s="22"/>
      <c r="AB120" s="22"/>
      <c r="AC120" s="22"/>
    </row>
    <row r="121" spans="1:29" x14ac:dyDescent="0.3">
      <c r="A121" s="404" t="s">
        <v>555</v>
      </c>
      <c r="B121" s="22"/>
      <c r="C121" s="297"/>
      <c r="D121" s="297"/>
      <c r="E121" s="414"/>
      <c r="F121" s="414"/>
      <c r="G121" s="414"/>
      <c r="H121" s="414"/>
      <c r="I121" s="414"/>
      <c r="J121" s="414"/>
      <c r="K121" s="414"/>
      <c r="L121" s="414"/>
      <c r="M121" s="297"/>
      <c r="N121" s="297"/>
      <c r="O121" s="297"/>
      <c r="P121" s="22"/>
      <c r="Q121" s="22"/>
      <c r="R121" s="22"/>
      <c r="S121" s="22"/>
      <c r="T121" s="22"/>
      <c r="U121" s="22"/>
      <c r="V121" s="22"/>
      <c r="W121" s="22"/>
      <c r="X121" s="22"/>
      <c r="Y121" s="22"/>
      <c r="Z121" s="22"/>
      <c r="AA121" s="22"/>
      <c r="AB121" s="22"/>
      <c r="AC121" s="22"/>
    </row>
    <row r="122" spans="1:29" x14ac:dyDescent="0.3">
      <c r="A122" s="405" t="s">
        <v>551</v>
      </c>
      <c r="B122" s="400" t="s">
        <v>556</v>
      </c>
      <c r="C122" s="491">
        <v>200</v>
      </c>
      <c r="D122" s="491">
        <v>200</v>
      </c>
      <c r="E122" s="99">
        <f t="shared" ref="E122:E125" si="34">C122</f>
        <v>200</v>
      </c>
      <c r="F122" s="99">
        <f t="shared" ref="F122:F125" si="35">D122</f>
        <v>200</v>
      </c>
      <c r="G122" s="99"/>
      <c r="H122" s="99"/>
      <c r="I122" s="99"/>
      <c r="J122" s="99"/>
      <c r="K122" s="99"/>
      <c r="L122" s="99"/>
      <c r="M122" s="297"/>
      <c r="N122" s="297"/>
      <c r="O122" s="301">
        <f>INDEX(C122:L122,1,$O$8)</f>
        <v>200</v>
      </c>
      <c r="P122" s="22"/>
      <c r="Q122" s="22"/>
      <c r="R122" s="22"/>
      <c r="S122" s="22"/>
      <c r="T122" s="22"/>
      <c r="U122" s="22"/>
      <c r="V122" s="22"/>
      <c r="W122" s="22"/>
      <c r="X122" s="22"/>
      <c r="Y122" s="22"/>
      <c r="Z122" s="22"/>
      <c r="AA122" s="22"/>
      <c r="AB122" s="22"/>
      <c r="AC122" s="22"/>
    </row>
    <row r="123" spans="1:29" x14ac:dyDescent="0.3">
      <c r="A123" s="406" t="s">
        <v>552</v>
      </c>
      <c r="B123" s="401" t="s">
        <v>556</v>
      </c>
      <c r="C123" s="491">
        <v>280</v>
      </c>
      <c r="D123" s="491">
        <v>280</v>
      </c>
      <c r="E123" s="99">
        <f t="shared" si="34"/>
        <v>280</v>
      </c>
      <c r="F123" s="99">
        <f t="shared" si="35"/>
        <v>280</v>
      </c>
      <c r="G123" s="99"/>
      <c r="H123" s="99"/>
      <c r="I123" s="99"/>
      <c r="J123" s="99"/>
      <c r="K123" s="99"/>
      <c r="L123" s="99"/>
      <c r="M123" s="297"/>
      <c r="N123" s="297"/>
      <c r="O123" s="298">
        <f>INDEX(C123:L123,1,$O$8)</f>
        <v>280</v>
      </c>
      <c r="P123" s="22"/>
      <c r="Q123" s="22"/>
      <c r="R123" s="22"/>
      <c r="S123" s="22"/>
      <c r="T123" s="22"/>
      <c r="U123" s="22"/>
      <c r="V123" s="22"/>
      <c r="W123" s="22"/>
      <c r="X123" s="22"/>
      <c r="Y123" s="22"/>
      <c r="Z123" s="22"/>
      <c r="AA123" s="22"/>
      <c r="AB123" s="22"/>
      <c r="AC123" s="22"/>
    </row>
    <row r="124" spans="1:29" x14ac:dyDescent="0.3">
      <c r="A124" s="407" t="s">
        <v>553</v>
      </c>
      <c r="B124" s="401" t="s">
        <v>556</v>
      </c>
      <c r="C124" s="491">
        <v>370</v>
      </c>
      <c r="D124" s="491">
        <v>370</v>
      </c>
      <c r="E124" s="99">
        <f t="shared" si="34"/>
        <v>370</v>
      </c>
      <c r="F124" s="99">
        <f t="shared" si="35"/>
        <v>370</v>
      </c>
      <c r="G124" s="99"/>
      <c r="H124" s="99"/>
      <c r="I124" s="99"/>
      <c r="J124" s="99"/>
      <c r="K124" s="99"/>
      <c r="L124" s="99"/>
      <c r="M124" s="297"/>
      <c r="N124" s="297"/>
      <c r="O124" s="298">
        <f>INDEX(C124:L124,1,$O$8)</f>
        <v>370</v>
      </c>
      <c r="P124" s="22"/>
      <c r="Q124" s="22"/>
      <c r="R124" s="22"/>
      <c r="S124" s="22"/>
      <c r="T124" s="22"/>
      <c r="U124" s="22"/>
      <c r="V124" s="22"/>
      <c r="W124" s="22"/>
      <c r="X124" s="22"/>
      <c r="Y124" s="22"/>
      <c r="Z124" s="22"/>
      <c r="AA124" s="22"/>
      <c r="AB124" s="22"/>
      <c r="AC124" s="22"/>
    </row>
    <row r="125" spans="1:29" x14ac:dyDescent="0.3">
      <c r="A125" s="408" t="s">
        <v>554</v>
      </c>
      <c r="B125" s="402" t="s">
        <v>556</v>
      </c>
      <c r="C125" s="491">
        <v>530</v>
      </c>
      <c r="D125" s="491">
        <v>530</v>
      </c>
      <c r="E125" s="99">
        <f t="shared" si="34"/>
        <v>530</v>
      </c>
      <c r="F125" s="99">
        <f t="shared" si="35"/>
        <v>530</v>
      </c>
      <c r="G125" s="99"/>
      <c r="H125" s="99"/>
      <c r="I125" s="99"/>
      <c r="J125" s="99"/>
      <c r="K125" s="99"/>
      <c r="L125" s="99"/>
      <c r="M125" s="297"/>
      <c r="N125" s="297"/>
      <c r="O125" s="299">
        <f>INDEX(C125:L125,1,$O$8)</f>
        <v>530</v>
      </c>
      <c r="P125" s="22"/>
      <c r="Q125" s="22"/>
      <c r="R125" s="22"/>
      <c r="S125" s="22"/>
      <c r="T125" s="22"/>
      <c r="U125" s="22"/>
      <c r="V125" s="22"/>
      <c r="W125" s="22"/>
      <c r="X125" s="22"/>
      <c r="Y125" s="22"/>
      <c r="Z125" s="22"/>
      <c r="AA125" s="22"/>
      <c r="AB125" s="22"/>
      <c r="AC125" s="22"/>
    </row>
    <row r="126" spans="1:29" x14ac:dyDescent="0.3">
      <c r="A126" s="404" t="s">
        <v>512</v>
      </c>
      <c r="B126" s="22"/>
      <c r="C126" s="297"/>
      <c r="D126" s="297"/>
      <c r="E126" s="414"/>
      <c r="F126" s="414"/>
      <c r="G126" s="414"/>
      <c r="H126" s="414"/>
      <c r="I126" s="414"/>
      <c r="J126" s="414"/>
      <c r="K126" s="414"/>
      <c r="L126" s="414"/>
      <c r="M126" s="297"/>
      <c r="N126" s="297"/>
      <c r="O126" s="297"/>
      <c r="P126" s="22"/>
      <c r="Q126" s="22"/>
      <c r="R126" s="22"/>
      <c r="S126" s="22"/>
      <c r="T126" s="22"/>
      <c r="U126" s="22"/>
      <c r="V126" s="22"/>
      <c r="W126" s="22"/>
      <c r="X126" s="22"/>
      <c r="Y126" s="22"/>
      <c r="Z126" s="22"/>
      <c r="AA126" s="22"/>
      <c r="AB126" s="22"/>
      <c r="AC126" s="22"/>
    </row>
    <row r="127" spans="1:29" x14ac:dyDescent="0.3">
      <c r="A127" s="405" t="s">
        <v>551</v>
      </c>
      <c r="B127" s="400" t="s">
        <v>354</v>
      </c>
      <c r="C127" s="491">
        <v>0.08</v>
      </c>
      <c r="D127" s="491">
        <v>0.08</v>
      </c>
      <c r="E127" s="99">
        <f t="shared" ref="E127:E130" si="36">C127</f>
        <v>0.08</v>
      </c>
      <c r="F127" s="99">
        <f t="shared" ref="F127:F130" si="37">D127</f>
        <v>0.08</v>
      </c>
      <c r="G127" s="99"/>
      <c r="H127" s="99"/>
      <c r="I127" s="99"/>
      <c r="J127" s="99"/>
      <c r="K127" s="99"/>
      <c r="L127" s="99"/>
      <c r="M127" s="297"/>
      <c r="N127" s="297"/>
      <c r="O127" s="301">
        <f>INDEX(C127:L127,1,$O$8)</f>
        <v>0.08</v>
      </c>
      <c r="P127" s="22"/>
      <c r="Q127" s="22"/>
      <c r="R127" s="22"/>
      <c r="S127" s="22"/>
      <c r="T127" s="22"/>
      <c r="U127" s="22"/>
      <c r="V127" s="22"/>
      <c r="W127" s="22"/>
      <c r="X127" s="22"/>
      <c r="Y127" s="22"/>
      <c r="Z127" s="22"/>
      <c r="AA127" s="22"/>
      <c r="AB127" s="22"/>
      <c r="AC127" s="22"/>
    </row>
    <row r="128" spans="1:29" x14ac:dyDescent="0.3">
      <c r="A128" s="406" t="s">
        <v>552</v>
      </c>
      <c r="B128" s="401" t="s">
        <v>354</v>
      </c>
      <c r="C128" s="491">
        <f>C127</f>
        <v>0.08</v>
      </c>
      <c r="D128" s="491">
        <f>D127</f>
        <v>0.08</v>
      </c>
      <c r="E128" s="99">
        <f t="shared" si="36"/>
        <v>0.08</v>
      </c>
      <c r="F128" s="99">
        <f t="shared" si="37"/>
        <v>0.08</v>
      </c>
      <c r="G128" s="99"/>
      <c r="H128" s="99"/>
      <c r="I128" s="99"/>
      <c r="J128" s="99"/>
      <c r="K128" s="99"/>
      <c r="L128" s="99"/>
      <c r="M128" s="297"/>
      <c r="N128" s="297"/>
      <c r="O128" s="298">
        <f>INDEX(C128:L128,1,$O$8)</f>
        <v>0.08</v>
      </c>
      <c r="P128" s="22"/>
      <c r="Q128" s="22"/>
      <c r="R128" s="22"/>
      <c r="S128" s="22"/>
      <c r="T128" s="22"/>
      <c r="U128" s="22"/>
      <c r="V128" s="22"/>
      <c r="W128" s="22"/>
      <c r="X128" s="22"/>
      <c r="Y128" s="22"/>
      <c r="Z128" s="22"/>
      <c r="AA128" s="22"/>
      <c r="AB128" s="22"/>
      <c r="AC128" s="22"/>
    </row>
    <row r="129" spans="1:29" x14ac:dyDescent="0.3">
      <c r="A129" s="407" t="s">
        <v>553</v>
      </c>
      <c r="B129" s="401" t="s">
        <v>354</v>
      </c>
      <c r="C129" s="491">
        <v>0.15</v>
      </c>
      <c r="D129" s="491">
        <v>0.15</v>
      </c>
      <c r="E129" s="99">
        <f t="shared" si="36"/>
        <v>0.15</v>
      </c>
      <c r="F129" s="99">
        <f t="shared" si="37"/>
        <v>0.15</v>
      </c>
      <c r="G129" s="99"/>
      <c r="H129" s="99"/>
      <c r="I129" s="99"/>
      <c r="J129" s="99"/>
      <c r="K129" s="99"/>
      <c r="L129" s="99"/>
      <c r="M129" s="297"/>
      <c r="N129" s="297"/>
      <c r="O129" s="298">
        <f>INDEX(C129:L129,1,$O$8)</f>
        <v>0.15</v>
      </c>
      <c r="P129" s="22"/>
      <c r="Q129" s="22"/>
      <c r="R129" s="22"/>
      <c r="S129" s="22"/>
      <c r="T129" s="22"/>
      <c r="U129" s="22"/>
      <c r="V129" s="22"/>
      <c r="W129" s="22"/>
      <c r="X129" s="22"/>
      <c r="Y129" s="22"/>
      <c r="Z129" s="22"/>
      <c r="AA129" s="22"/>
      <c r="AB129" s="22"/>
      <c r="AC129" s="22"/>
    </row>
    <row r="130" spans="1:29" x14ac:dyDescent="0.3">
      <c r="A130" s="408" t="s">
        <v>554</v>
      </c>
      <c r="B130" s="402" t="s">
        <v>354</v>
      </c>
      <c r="C130" s="491">
        <v>0.2</v>
      </c>
      <c r="D130" s="491">
        <v>0.2</v>
      </c>
      <c r="E130" s="99">
        <f t="shared" si="36"/>
        <v>0.2</v>
      </c>
      <c r="F130" s="99">
        <f t="shared" si="37"/>
        <v>0.2</v>
      </c>
      <c r="G130" s="99"/>
      <c r="H130" s="99"/>
      <c r="I130" s="99"/>
      <c r="J130" s="99"/>
      <c r="K130" s="99"/>
      <c r="L130" s="99"/>
      <c r="M130" s="297"/>
      <c r="N130" s="297"/>
      <c r="O130" s="299">
        <f>INDEX(C130:L130,1,$O$8)</f>
        <v>0.2</v>
      </c>
      <c r="P130" s="22"/>
      <c r="Q130" s="22"/>
      <c r="R130" s="22"/>
      <c r="S130" s="22"/>
      <c r="T130" s="22"/>
      <c r="U130" s="22"/>
      <c r="V130" s="22"/>
      <c r="W130" s="22"/>
      <c r="X130" s="22"/>
      <c r="Y130" s="22"/>
      <c r="Z130" s="22"/>
      <c r="AA130" s="22"/>
      <c r="AB130" s="22"/>
      <c r="AC130" s="22"/>
    </row>
    <row r="131" spans="1:29" x14ac:dyDescent="0.3">
      <c r="A131" s="404" t="s">
        <v>730</v>
      </c>
      <c r="B131" s="22"/>
      <c r="C131" s="297"/>
      <c r="D131" s="297"/>
      <c r="E131" s="414"/>
      <c r="F131" s="414"/>
      <c r="G131" s="414"/>
      <c r="H131" s="414"/>
      <c r="I131" s="414"/>
      <c r="J131" s="414"/>
      <c r="K131" s="414"/>
      <c r="L131" s="414"/>
      <c r="M131" s="297"/>
      <c r="N131" s="297"/>
      <c r="O131" s="297"/>
      <c r="P131" s="22"/>
      <c r="Q131" s="22"/>
      <c r="R131" s="22"/>
      <c r="S131" s="22"/>
      <c r="T131" s="22"/>
      <c r="U131" s="22"/>
      <c r="V131" s="22"/>
      <c r="W131" s="22"/>
      <c r="X131" s="22"/>
      <c r="Y131" s="22"/>
      <c r="Z131" s="22"/>
      <c r="AA131" s="22"/>
      <c r="AB131" s="22"/>
      <c r="AC131" s="22"/>
    </row>
    <row r="132" spans="1:29" x14ac:dyDescent="0.3">
      <c r="A132" s="409" t="s">
        <v>731</v>
      </c>
      <c r="B132" s="400" t="s">
        <v>2</v>
      </c>
      <c r="C132" s="491">
        <v>10000</v>
      </c>
      <c r="D132" s="491">
        <v>12000</v>
      </c>
      <c r="E132" s="99">
        <f t="shared" ref="E132:E136" si="38">C132</f>
        <v>10000</v>
      </c>
      <c r="F132" s="99">
        <f t="shared" ref="F132:F136" si="39">D132</f>
        <v>12000</v>
      </c>
      <c r="G132" s="99"/>
      <c r="H132" s="99"/>
      <c r="I132" s="99"/>
      <c r="J132" s="99"/>
      <c r="K132" s="99"/>
      <c r="L132" s="99"/>
      <c r="M132" s="297"/>
      <c r="N132" s="297"/>
      <c r="O132" s="301">
        <f>INDEX(C132:L132,1,$O$8)</f>
        <v>12000</v>
      </c>
      <c r="P132" s="22"/>
      <c r="Q132" s="22"/>
      <c r="R132" s="22"/>
      <c r="S132" s="22"/>
      <c r="T132" s="22"/>
      <c r="U132" s="22"/>
      <c r="V132" s="22"/>
      <c r="W132" s="22"/>
      <c r="X132" s="22"/>
      <c r="Y132" s="22"/>
      <c r="Z132" s="22"/>
      <c r="AA132" s="22"/>
      <c r="AB132" s="22"/>
      <c r="AC132" s="22"/>
    </row>
    <row r="133" spans="1:29" x14ac:dyDescent="0.3">
      <c r="A133" s="407" t="s">
        <v>740</v>
      </c>
      <c r="B133" s="401" t="s">
        <v>732</v>
      </c>
      <c r="C133" s="491">
        <v>250</v>
      </c>
      <c r="D133" s="491">
        <v>250</v>
      </c>
      <c r="E133" s="99">
        <f t="shared" si="38"/>
        <v>250</v>
      </c>
      <c r="F133" s="99">
        <f t="shared" si="39"/>
        <v>250</v>
      </c>
      <c r="G133" s="99"/>
      <c r="H133" s="99"/>
      <c r="I133" s="99"/>
      <c r="J133" s="99"/>
      <c r="K133" s="99"/>
      <c r="L133" s="99"/>
      <c r="M133" s="297"/>
      <c r="N133" s="297"/>
      <c r="O133" s="298">
        <f>INDEX(C133:L133,1,$O$8)</f>
        <v>250</v>
      </c>
      <c r="P133" s="22"/>
      <c r="Q133" s="22"/>
      <c r="R133" s="22"/>
      <c r="S133" s="22"/>
      <c r="T133" s="22"/>
      <c r="U133" s="22"/>
      <c r="V133" s="22"/>
      <c r="W133" s="22"/>
      <c r="X133" s="22"/>
      <c r="Y133" s="22"/>
      <c r="Z133" s="22"/>
      <c r="AA133" s="22"/>
      <c r="AB133" s="22"/>
      <c r="AC133" s="22"/>
    </row>
    <row r="134" spans="1:29" x14ac:dyDescent="0.3">
      <c r="A134" s="407" t="s">
        <v>743</v>
      </c>
      <c r="B134" s="401" t="s">
        <v>732</v>
      </c>
      <c r="C134" s="491">
        <v>300</v>
      </c>
      <c r="D134" s="491">
        <v>300</v>
      </c>
      <c r="E134" s="99">
        <f t="shared" si="38"/>
        <v>300</v>
      </c>
      <c r="F134" s="99">
        <f t="shared" si="39"/>
        <v>300</v>
      </c>
      <c r="G134" s="99"/>
      <c r="H134" s="99"/>
      <c r="I134" s="99"/>
      <c r="J134" s="99"/>
      <c r="K134" s="99"/>
      <c r="L134" s="99"/>
      <c r="M134" s="297"/>
      <c r="N134" s="297"/>
      <c r="O134" s="298">
        <f>INDEX(C134:L134,1,$O$8)</f>
        <v>300</v>
      </c>
      <c r="P134" s="22"/>
      <c r="Q134" s="22"/>
      <c r="R134" s="22"/>
      <c r="S134" s="22"/>
      <c r="T134" s="22"/>
      <c r="U134" s="22"/>
      <c r="V134" s="22"/>
      <c r="W134" s="22"/>
      <c r="X134" s="22"/>
      <c r="Y134" s="22"/>
      <c r="Z134" s="22"/>
      <c r="AA134" s="22"/>
      <c r="AB134" s="22"/>
      <c r="AC134" s="22"/>
    </row>
    <row r="135" spans="1:29" x14ac:dyDescent="0.3">
      <c r="A135" s="407" t="s">
        <v>741</v>
      </c>
      <c r="B135" s="401" t="s">
        <v>356</v>
      </c>
      <c r="C135" s="491">
        <v>2.5</v>
      </c>
      <c r="D135" s="491">
        <v>2.5</v>
      </c>
      <c r="E135" s="99">
        <f t="shared" si="38"/>
        <v>2.5</v>
      </c>
      <c r="F135" s="99">
        <f t="shared" si="39"/>
        <v>2.5</v>
      </c>
      <c r="G135" s="99"/>
      <c r="H135" s="99"/>
      <c r="I135" s="99"/>
      <c r="J135" s="99"/>
      <c r="K135" s="99"/>
      <c r="L135" s="99"/>
      <c r="M135" s="297"/>
      <c r="N135" s="297"/>
      <c r="O135" s="298">
        <f>INDEX(C135:L135,1,$O$8)</f>
        <v>2.5</v>
      </c>
      <c r="P135" s="22"/>
      <c r="Q135" s="22"/>
      <c r="R135" s="22"/>
      <c r="S135" s="22"/>
      <c r="T135" s="22"/>
      <c r="U135" s="22"/>
      <c r="V135" s="22"/>
      <c r="W135" s="22"/>
      <c r="X135" s="22"/>
      <c r="Y135" s="22"/>
      <c r="Z135" s="22"/>
      <c r="AA135" s="22"/>
      <c r="AB135" s="22"/>
      <c r="AC135" s="22"/>
    </row>
    <row r="136" spans="1:29" x14ac:dyDescent="0.3">
      <c r="A136" s="408" t="s">
        <v>742</v>
      </c>
      <c r="B136" s="402" t="s">
        <v>356</v>
      </c>
      <c r="C136" s="491">
        <v>3.2</v>
      </c>
      <c r="D136" s="491">
        <v>3.2</v>
      </c>
      <c r="E136" s="99">
        <f t="shared" si="38"/>
        <v>3.2</v>
      </c>
      <c r="F136" s="99">
        <f t="shared" si="39"/>
        <v>3.2</v>
      </c>
      <c r="G136" s="99"/>
      <c r="H136" s="99"/>
      <c r="I136" s="99"/>
      <c r="J136" s="99"/>
      <c r="K136" s="99"/>
      <c r="L136" s="99"/>
      <c r="M136" s="297"/>
      <c r="N136" s="297"/>
      <c r="O136" s="299">
        <f>INDEX(C136:L136,1,$O$8)</f>
        <v>3.2</v>
      </c>
      <c r="P136" s="22"/>
      <c r="Q136" s="22"/>
      <c r="R136" s="22"/>
      <c r="S136" s="22"/>
      <c r="T136" s="22"/>
      <c r="U136" s="22"/>
      <c r="V136" s="22"/>
      <c r="W136" s="22"/>
      <c r="X136" s="22"/>
      <c r="Y136" s="22"/>
      <c r="Z136" s="22"/>
      <c r="AA136" s="22"/>
      <c r="AB136" s="22"/>
      <c r="AC136" s="22"/>
    </row>
    <row r="137" spans="1:29" x14ac:dyDescent="0.3">
      <c r="A137" s="22"/>
      <c r="B137" s="22"/>
      <c r="C137" s="297"/>
      <c r="D137" s="297"/>
      <c r="E137" s="414"/>
      <c r="F137" s="414"/>
      <c r="G137" s="414"/>
      <c r="H137" s="414"/>
      <c r="I137" s="414"/>
      <c r="J137" s="414"/>
      <c r="K137" s="414"/>
      <c r="L137" s="414"/>
      <c r="M137" s="297"/>
      <c r="N137" s="297"/>
      <c r="O137" s="297"/>
      <c r="P137" s="22"/>
      <c r="Q137" s="22"/>
      <c r="R137" s="22"/>
      <c r="S137" s="22"/>
      <c r="T137" s="22"/>
      <c r="U137" s="22"/>
      <c r="V137" s="22"/>
      <c r="W137" s="22"/>
      <c r="X137" s="22"/>
      <c r="Y137" s="22"/>
      <c r="Z137" s="22"/>
      <c r="AA137" s="22"/>
      <c r="AB137" s="22"/>
      <c r="AC137" s="22"/>
    </row>
    <row r="138" spans="1:29" x14ac:dyDescent="0.3">
      <c r="A138" s="399" t="s">
        <v>557</v>
      </c>
      <c r="B138" s="22"/>
      <c r="C138" s="297"/>
      <c r="D138" s="297"/>
      <c r="E138" s="414"/>
      <c r="F138" s="414"/>
      <c r="G138" s="414"/>
      <c r="H138" s="414"/>
      <c r="I138" s="414"/>
      <c r="J138" s="414"/>
      <c r="K138" s="414"/>
      <c r="L138" s="414"/>
      <c r="M138" s="297"/>
      <c r="N138" s="297"/>
      <c r="O138" s="297"/>
      <c r="P138" s="22"/>
      <c r="Q138" s="22"/>
      <c r="R138" s="22"/>
      <c r="S138" s="22"/>
      <c r="T138" s="22"/>
      <c r="U138" s="22"/>
      <c r="V138" s="22"/>
      <c r="W138" s="22"/>
      <c r="X138" s="22"/>
      <c r="Y138" s="22"/>
      <c r="Z138" s="22"/>
      <c r="AA138" s="22"/>
      <c r="AB138" s="22"/>
      <c r="AC138" s="22"/>
    </row>
    <row r="139" spans="1:29" x14ac:dyDescent="0.3">
      <c r="A139" s="410" t="s">
        <v>1070</v>
      </c>
      <c r="B139" s="400" t="s">
        <v>354</v>
      </c>
      <c r="C139" s="491">
        <v>0.4</v>
      </c>
      <c r="D139" s="491">
        <v>0.4</v>
      </c>
      <c r="E139" s="99">
        <f t="shared" ref="E139:E144" si="40">C139</f>
        <v>0.4</v>
      </c>
      <c r="F139" s="99">
        <f t="shared" ref="F139:F144" si="41">D139</f>
        <v>0.4</v>
      </c>
      <c r="G139" s="99"/>
      <c r="H139" s="99"/>
      <c r="I139" s="99"/>
      <c r="J139" s="99"/>
      <c r="K139" s="99"/>
      <c r="L139" s="99"/>
      <c r="M139" s="297"/>
      <c r="N139" s="297"/>
      <c r="O139" s="301">
        <f t="shared" ref="O139:O144" si="42">INDEX(C139:L139,1,$O$8)</f>
        <v>0.4</v>
      </c>
      <c r="P139" s="22"/>
      <c r="Q139" s="22"/>
      <c r="R139" s="22"/>
      <c r="S139" s="22"/>
      <c r="T139" s="22"/>
      <c r="U139" s="22"/>
      <c r="V139" s="22"/>
      <c r="W139" s="22"/>
      <c r="X139" s="22"/>
      <c r="Y139" s="22"/>
      <c r="Z139" s="22"/>
      <c r="AA139" s="22"/>
      <c r="AB139" s="22"/>
      <c r="AC139" s="22"/>
    </row>
    <row r="140" spans="1:29" x14ac:dyDescent="0.3">
      <c r="A140" s="349" t="s">
        <v>558</v>
      </c>
      <c r="B140" s="401" t="s">
        <v>354</v>
      </c>
      <c r="C140" s="491">
        <v>0.55000000000000004</v>
      </c>
      <c r="D140" s="491">
        <v>0.55000000000000004</v>
      </c>
      <c r="E140" s="99">
        <f t="shared" si="40"/>
        <v>0.55000000000000004</v>
      </c>
      <c r="F140" s="99">
        <f t="shared" si="41"/>
        <v>0.55000000000000004</v>
      </c>
      <c r="G140" s="99"/>
      <c r="H140" s="99"/>
      <c r="I140" s="99"/>
      <c r="J140" s="99"/>
      <c r="K140" s="99"/>
      <c r="L140" s="99"/>
      <c r="M140" s="297"/>
      <c r="N140" s="297"/>
      <c r="O140" s="298">
        <f t="shared" si="42"/>
        <v>0.55000000000000004</v>
      </c>
      <c r="P140" s="22"/>
      <c r="Q140" s="22"/>
      <c r="R140" s="22"/>
      <c r="S140" s="22"/>
      <c r="T140" s="22"/>
      <c r="U140" s="22"/>
      <c r="V140" s="22"/>
      <c r="W140" s="22"/>
      <c r="X140" s="22"/>
      <c r="Y140" s="22"/>
      <c r="Z140" s="22"/>
      <c r="AA140" s="22"/>
      <c r="AB140" s="22"/>
      <c r="AC140" s="22"/>
    </row>
    <row r="141" spans="1:29" x14ac:dyDescent="0.3">
      <c r="A141" s="349" t="s">
        <v>559</v>
      </c>
      <c r="B141" s="401" t="s">
        <v>354</v>
      </c>
      <c r="C141" s="491">
        <v>0.75</v>
      </c>
      <c r="D141" s="491">
        <v>0.75</v>
      </c>
      <c r="E141" s="99">
        <f t="shared" si="40"/>
        <v>0.75</v>
      </c>
      <c r="F141" s="99">
        <f t="shared" si="41"/>
        <v>0.75</v>
      </c>
      <c r="G141" s="99"/>
      <c r="H141" s="99"/>
      <c r="I141" s="99"/>
      <c r="J141" s="99"/>
      <c r="K141" s="99"/>
      <c r="L141" s="99"/>
      <c r="M141" s="297"/>
      <c r="N141" s="297"/>
      <c r="O141" s="298">
        <f t="shared" si="42"/>
        <v>0.75</v>
      </c>
      <c r="P141" s="22"/>
      <c r="Q141" s="22"/>
      <c r="R141" s="22"/>
      <c r="S141" s="22"/>
      <c r="T141" s="22"/>
      <c r="U141" s="22"/>
      <c r="V141" s="22"/>
      <c r="W141" s="22"/>
      <c r="X141" s="22"/>
      <c r="Y141" s="22"/>
      <c r="Z141" s="22"/>
      <c r="AA141" s="22"/>
      <c r="AB141" s="22"/>
      <c r="AC141" s="22"/>
    </row>
    <row r="142" spans="1:29" x14ac:dyDescent="0.3">
      <c r="A142" s="349" t="s">
        <v>560</v>
      </c>
      <c r="B142" s="401" t="s">
        <v>354</v>
      </c>
      <c r="C142" s="491">
        <v>0.95</v>
      </c>
      <c r="D142" s="491">
        <v>1.2</v>
      </c>
      <c r="E142" s="99">
        <f t="shared" si="40"/>
        <v>0.95</v>
      </c>
      <c r="F142" s="99">
        <f t="shared" si="41"/>
        <v>1.2</v>
      </c>
      <c r="G142" s="99"/>
      <c r="H142" s="99"/>
      <c r="I142" s="99"/>
      <c r="J142" s="99"/>
      <c r="K142" s="99"/>
      <c r="L142" s="99"/>
      <c r="M142" s="297"/>
      <c r="N142" s="297"/>
      <c r="O142" s="298">
        <f t="shared" si="42"/>
        <v>1.2</v>
      </c>
      <c r="P142" s="22"/>
      <c r="Q142" s="22"/>
      <c r="R142" s="22"/>
      <c r="S142" s="22"/>
      <c r="T142" s="22"/>
      <c r="U142" s="22"/>
      <c r="V142" s="22"/>
      <c r="W142" s="22"/>
      <c r="X142" s="22"/>
      <c r="Y142" s="22"/>
      <c r="Z142" s="22"/>
      <c r="AA142" s="22"/>
      <c r="AB142" s="22"/>
      <c r="AC142" s="22"/>
    </row>
    <row r="143" spans="1:29" x14ac:dyDescent="0.3">
      <c r="A143" s="349" t="s">
        <v>561</v>
      </c>
      <c r="B143" s="401" t="s">
        <v>354</v>
      </c>
      <c r="C143" s="491">
        <v>1.1499999999999999</v>
      </c>
      <c r="D143" s="491">
        <v>1.35</v>
      </c>
      <c r="E143" s="99">
        <f t="shared" si="40"/>
        <v>1.1499999999999999</v>
      </c>
      <c r="F143" s="99">
        <f t="shared" si="41"/>
        <v>1.35</v>
      </c>
      <c r="G143" s="99"/>
      <c r="H143" s="99"/>
      <c r="I143" s="99"/>
      <c r="J143" s="99"/>
      <c r="K143" s="99"/>
      <c r="L143" s="99"/>
      <c r="M143" s="297"/>
      <c r="N143" s="297"/>
      <c r="O143" s="298">
        <f t="shared" si="42"/>
        <v>1.35</v>
      </c>
      <c r="P143" s="22"/>
      <c r="Q143" s="22"/>
      <c r="R143" s="22"/>
      <c r="S143" s="22"/>
      <c r="T143" s="22"/>
      <c r="U143" s="22"/>
      <c r="V143" s="22"/>
      <c r="W143" s="22"/>
      <c r="X143" s="22"/>
      <c r="Y143" s="22"/>
      <c r="Z143" s="22"/>
      <c r="AA143" s="22"/>
      <c r="AB143" s="22"/>
      <c r="AC143" s="22"/>
    </row>
    <row r="144" spans="1:29" x14ac:dyDescent="0.3">
      <c r="A144" s="411"/>
      <c r="B144" s="402"/>
      <c r="C144" s="491"/>
      <c r="D144" s="491"/>
      <c r="E144" s="99">
        <f t="shared" si="40"/>
        <v>0</v>
      </c>
      <c r="F144" s="99">
        <f t="shared" si="41"/>
        <v>0</v>
      </c>
      <c r="G144" s="99"/>
      <c r="H144" s="99"/>
      <c r="I144" s="99"/>
      <c r="J144" s="99"/>
      <c r="K144" s="99"/>
      <c r="L144" s="99"/>
      <c r="M144" s="297"/>
      <c r="N144" s="297"/>
      <c r="O144" s="299">
        <f t="shared" si="42"/>
        <v>0</v>
      </c>
      <c r="P144" s="22"/>
      <c r="Q144" s="22"/>
      <c r="R144" s="22"/>
      <c r="S144" s="22"/>
      <c r="T144" s="22"/>
      <c r="U144" s="22"/>
      <c r="V144" s="22"/>
      <c r="W144" s="22"/>
      <c r="X144" s="22"/>
      <c r="Y144" s="22"/>
      <c r="Z144" s="22"/>
      <c r="AA144" s="22"/>
      <c r="AB144" s="22"/>
      <c r="AC144" s="22"/>
    </row>
    <row r="145" spans="1:29" x14ac:dyDescent="0.3">
      <c r="A145" s="22"/>
      <c r="B145" s="22"/>
      <c r="C145" s="297"/>
      <c r="D145" s="297"/>
      <c r="E145" s="414"/>
      <c r="F145" s="414"/>
      <c r="G145" s="414"/>
      <c r="H145" s="414"/>
      <c r="I145" s="414"/>
      <c r="J145" s="414"/>
      <c r="K145" s="414"/>
      <c r="L145" s="414"/>
      <c r="M145" s="297"/>
      <c r="N145" s="297"/>
      <c r="O145" s="297"/>
      <c r="P145" s="22"/>
      <c r="Q145" s="22"/>
      <c r="R145" s="22"/>
      <c r="S145" s="22"/>
      <c r="T145" s="22"/>
      <c r="U145" s="22"/>
      <c r="V145" s="22"/>
      <c r="W145" s="22"/>
      <c r="X145" s="22"/>
      <c r="Y145" s="22"/>
      <c r="Z145" s="22"/>
      <c r="AA145" s="22"/>
      <c r="AB145" s="22"/>
      <c r="AC145" s="22"/>
    </row>
    <row r="146" spans="1:29" x14ac:dyDescent="0.3">
      <c r="A146" s="399" t="s">
        <v>562</v>
      </c>
      <c r="B146" s="22"/>
      <c r="C146" s="297"/>
      <c r="D146" s="297"/>
      <c r="E146" s="414"/>
      <c r="F146" s="414"/>
      <c r="G146" s="414"/>
      <c r="H146" s="414"/>
      <c r="I146" s="414"/>
      <c r="J146" s="414"/>
      <c r="K146" s="414"/>
      <c r="L146" s="414"/>
      <c r="M146" s="297"/>
      <c r="N146" s="297"/>
      <c r="O146" s="297"/>
      <c r="P146" s="22"/>
      <c r="Q146" s="22"/>
      <c r="R146" s="22"/>
      <c r="S146" s="22"/>
      <c r="T146" s="22"/>
      <c r="U146" s="22"/>
      <c r="V146" s="22"/>
      <c r="W146" s="22"/>
      <c r="X146" s="22"/>
      <c r="Y146" s="22"/>
      <c r="Z146" s="22"/>
      <c r="AA146" s="22"/>
      <c r="AB146" s="22"/>
      <c r="AC146" s="22"/>
    </row>
    <row r="147" spans="1:29" x14ac:dyDescent="0.3">
      <c r="A147" s="400" t="s">
        <v>550</v>
      </c>
      <c r="B147" s="400" t="s">
        <v>2</v>
      </c>
      <c r="C147" s="491">
        <v>2000</v>
      </c>
      <c r="D147" s="491">
        <v>2000</v>
      </c>
      <c r="E147" s="99">
        <f t="shared" ref="E147:E148" si="43">C147</f>
        <v>2000</v>
      </c>
      <c r="F147" s="99">
        <f t="shared" ref="F147:F148" si="44">D147</f>
        <v>2000</v>
      </c>
      <c r="G147" s="99"/>
      <c r="H147" s="99"/>
      <c r="I147" s="99"/>
      <c r="J147" s="99"/>
      <c r="K147" s="99"/>
      <c r="L147" s="99"/>
      <c r="M147" s="297"/>
      <c r="N147" s="297"/>
      <c r="O147" s="301">
        <f>INDEX(C147:L147,1,$O$8)</f>
        <v>2000</v>
      </c>
      <c r="P147" s="22"/>
      <c r="Q147" s="22"/>
      <c r="R147" s="22"/>
      <c r="S147" s="22"/>
      <c r="T147" s="22"/>
      <c r="U147" s="22"/>
      <c r="V147" s="22"/>
      <c r="W147" s="22"/>
      <c r="X147" s="22"/>
      <c r="Y147" s="22"/>
      <c r="Z147" s="22"/>
      <c r="AA147" s="22"/>
      <c r="AB147" s="22"/>
      <c r="AC147" s="22"/>
    </row>
    <row r="148" spans="1:29" x14ac:dyDescent="0.3">
      <c r="A148" s="402" t="s">
        <v>512</v>
      </c>
      <c r="B148" s="402" t="s">
        <v>563</v>
      </c>
      <c r="C148" s="491">
        <v>5</v>
      </c>
      <c r="D148" s="491">
        <v>5</v>
      </c>
      <c r="E148" s="99">
        <f t="shared" si="43"/>
        <v>5</v>
      </c>
      <c r="F148" s="99">
        <f t="shared" si="44"/>
        <v>5</v>
      </c>
      <c r="G148" s="99"/>
      <c r="H148" s="99"/>
      <c r="I148" s="99"/>
      <c r="J148" s="99"/>
      <c r="K148" s="99"/>
      <c r="L148" s="99"/>
      <c r="M148" s="297"/>
      <c r="N148" s="297"/>
      <c r="O148" s="299">
        <f>INDEX(C148:L148,1,$O$8)</f>
        <v>5</v>
      </c>
      <c r="P148" s="22"/>
      <c r="Q148" s="22"/>
      <c r="R148" s="22"/>
      <c r="S148" s="22"/>
      <c r="T148" s="22"/>
      <c r="U148" s="22"/>
      <c r="V148" s="22"/>
      <c r="W148" s="22"/>
      <c r="X148" s="22"/>
      <c r="Y148" s="22"/>
      <c r="Z148" s="22"/>
      <c r="AA148" s="22"/>
      <c r="AB148" s="22"/>
      <c r="AC148" s="22"/>
    </row>
    <row r="149" spans="1:29" x14ac:dyDescent="0.3">
      <c r="A149" s="22"/>
      <c r="B149" s="22"/>
      <c r="C149" s="297"/>
      <c r="D149" s="297"/>
      <c r="E149" s="414"/>
      <c r="F149" s="414"/>
      <c r="G149" s="414"/>
      <c r="H149" s="414"/>
      <c r="I149" s="414"/>
      <c r="J149" s="414"/>
      <c r="K149" s="414"/>
      <c r="L149" s="414"/>
      <c r="M149" s="297"/>
      <c r="N149" s="297"/>
      <c r="O149" s="297"/>
      <c r="P149" s="22"/>
      <c r="Q149" s="22"/>
      <c r="R149" s="22"/>
      <c r="S149" s="22"/>
      <c r="T149" s="22"/>
      <c r="U149" s="22"/>
      <c r="V149" s="22"/>
      <c r="W149" s="22"/>
      <c r="X149" s="22"/>
      <c r="Y149" s="22"/>
      <c r="Z149" s="22"/>
      <c r="AA149" s="22"/>
      <c r="AB149" s="22"/>
      <c r="AC149" s="22"/>
    </row>
    <row r="150" spans="1:29" x14ac:dyDescent="0.3">
      <c r="A150" s="399" t="s">
        <v>169</v>
      </c>
      <c r="B150" s="22"/>
      <c r="C150" s="297"/>
      <c r="D150" s="297"/>
      <c r="E150" s="414"/>
      <c r="F150" s="414"/>
      <c r="G150" s="414"/>
      <c r="H150" s="414"/>
      <c r="I150" s="414"/>
      <c r="J150" s="414"/>
      <c r="K150" s="414"/>
      <c r="L150" s="414"/>
      <c r="M150" s="297"/>
      <c r="N150" s="297"/>
      <c r="O150" s="297"/>
      <c r="P150" s="22"/>
      <c r="Q150" s="22"/>
      <c r="R150" s="22"/>
      <c r="S150" s="22"/>
      <c r="T150" s="22"/>
      <c r="U150" s="22"/>
      <c r="V150" s="22"/>
      <c r="W150" s="22"/>
      <c r="X150" s="22"/>
      <c r="Y150" s="22"/>
      <c r="Z150" s="22"/>
      <c r="AA150" s="22"/>
      <c r="AB150" s="22"/>
      <c r="AC150" s="22"/>
    </row>
    <row r="151" spans="1:29" x14ac:dyDescent="0.3">
      <c r="A151" s="400" t="s">
        <v>564</v>
      </c>
      <c r="B151" s="400" t="s">
        <v>2</v>
      </c>
      <c r="C151" s="491">
        <v>25000</v>
      </c>
      <c r="D151" s="491">
        <v>40000</v>
      </c>
      <c r="E151" s="99">
        <f t="shared" ref="E151:E153" si="45">C151</f>
        <v>25000</v>
      </c>
      <c r="F151" s="99">
        <f t="shared" ref="F151:F153" si="46">D151</f>
        <v>40000</v>
      </c>
      <c r="G151" s="99"/>
      <c r="H151" s="99"/>
      <c r="I151" s="99"/>
      <c r="J151" s="99"/>
      <c r="K151" s="99"/>
      <c r="L151" s="99"/>
      <c r="M151" s="297"/>
      <c r="N151" s="297"/>
      <c r="O151" s="301">
        <f>INDEX(C151:L151,1,$O$8)</f>
        <v>40000</v>
      </c>
      <c r="P151" s="22"/>
      <c r="Q151" s="22"/>
      <c r="R151" s="22"/>
      <c r="S151" s="22"/>
      <c r="T151" s="22"/>
      <c r="U151" s="22"/>
      <c r="V151" s="22"/>
      <c r="W151" s="22"/>
      <c r="X151" s="22"/>
      <c r="Y151" s="22"/>
      <c r="Z151" s="22"/>
      <c r="AA151" s="22"/>
      <c r="AB151" s="22"/>
      <c r="AC151" s="22"/>
    </row>
    <row r="152" spans="1:29" x14ac:dyDescent="0.3">
      <c r="A152" s="401" t="s">
        <v>565</v>
      </c>
      <c r="B152" s="401" t="s">
        <v>2</v>
      </c>
      <c r="C152" s="491">
        <v>2500</v>
      </c>
      <c r="D152" s="491"/>
      <c r="E152" s="99">
        <f t="shared" si="45"/>
        <v>2500</v>
      </c>
      <c r="F152" s="99">
        <f t="shared" si="46"/>
        <v>0</v>
      </c>
      <c r="G152" s="99"/>
      <c r="H152" s="99"/>
      <c r="I152" s="99"/>
      <c r="J152" s="99"/>
      <c r="K152" s="99"/>
      <c r="L152" s="99"/>
      <c r="M152" s="297"/>
      <c r="N152" s="297"/>
      <c r="O152" s="298">
        <f>INDEX(C152:L152,1,$O$8)</f>
        <v>0</v>
      </c>
      <c r="P152" s="22"/>
      <c r="Q152" s="22"/>
      <c r="R152" s="22"/>
      <c r="S152" s="22"/>
      <c r="T152" s="22"/>
      <c r="U152" s="22"/>
      <c r="V152" s="22"/>
      <c r="W152" s="22"/>
      <c r="X152" s="22"/>
      <c r="Y152" s="22"/>
      <c r="Z152" s="22"/>
      <c r="AA152" s="22"/>
      <c r="AB152" s="22"/>
      <c r="AC152" s="22"/>
    </row>
    <row r="153" spans="1:29" x14ac:dyDescent="0.3">
      <c r="A153" s="402" t="s">
        <v>566</v>
      </c>
      <c r="B153" s="402" t="s">
        <v>567</v>
      </c>
      <c r="C153" s="491">
        <v>10</v>
      </c>
      <c r="D153" s="491">
        <v>10</v>
      </c>
      <c r="E153" s="99">
        <f t="shared" si="45"/>
        <v>10</v>
      </c>
      <c r="F153" s="99">
        <f t="shared" si="46"/>
        <v>10</v>
      </c>
      <c r="G153" s="416"/>
      <c r="H153" s="416"/>
      <c r="I153" s="416"/>
      <c r="J153" s="416"/>
      <c r="K153" s="416"/>
      <c r="L153" s="416"/>
      <c r="M153" s="22"/>
      <c r="N153" s="22"/>
      <c r="O153" s="296">
        <f>INDEX(C153:L153,1,$O$8)</f>
        <v>10</v>
      </c>
      <c r="P153" s="22"/>
      <c r="Q153" s="22"/>
      <c r="R153" s="22"/>
      <c r="S153" s="22"/>
      <c r="T153" s="22"/>
      <c r="U153" s="22"/>
      <c r="V153" s="22"/>
      <c r="W153" s="22"/>
      <c r="X153" s="22"/>
      <c r="Y153" s="22"/>
      <c r="Z153" s="22"/>
      <c r="AA153" s="22"/>
      <c r="AB153" s="22"/>
      <c r="AC153" s="22"/>
    </row>
    <row r="154" spans="1:29"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x14ac:dyDescent="0.3">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x14ac:dyDescent="0.3">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x14ac:dyDescent="0.3">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x14ac:dyDescent="0.3">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x14ac:dyDescent="0.3">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x14ac:dyDescent="0.3">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x14ac:dyDescent="0.3">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x14ac:dyDescent="0.3">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x14ac:dyDescent="0.3">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x14ac:dyDescent="0.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x14ac:dyDescent="0.3">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x14ac:dyDescent="0.3">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x14ac:dyDescent="0.3">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x14ac:dyDescent="0.3">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x14ac:dyDescent="0.3">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x14ac:dyDescent="0.3">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x14ac:dyDescent="0.3">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x14ac:dyDescent="0.3">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x14ac:dyDescent="0.3">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x14ac:dyDescent="0.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x14ac:dyDescent="0.3">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x14ac:dyDescent="0.3">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x14ac:dyDescent="0.3">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x14ac:dyDescent="0.3">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x14ac:dyDescent="0.3">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x14ac:dyDescent="0.3">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x14ac:dyDescent="0.3">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x14ac:dyDescent="0.3">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x14ac:dyDescent="0.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x14ac:dyDescent="0.3">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x14ac:dyDescent="0.3">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x14ac:dyDescent="0.3">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x14ac:dyDescent="0.3">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x14ac:dyDescent="0.3">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x14ac:dyDescent="0.3">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x14ac:dyDescent="0.3">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x14ac:dyDescent="0.3">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x14ac:dyDescent="0.3">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x14ac:dyDescent="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x14ac:dyDescent="0.3">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x14ac:dyDescent="0.3">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x14ac:dyDescent="0.3">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x14ac:dyDescent="0.3">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x14ac:dyDescent="0.3">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x14ac:dyDescent="0.3">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x14ac:dyDescent="0.3">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x14ac:dyDescent="0.3">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sheetData>
  <sheetProtection password="8BC3" sheet="1" objects="1" scenarios="1"/>
  <mergeCells count="20">
    <mergeCell ref="C4:D4"/>
    <mergeCell ref="E4:F4"/>
    <mergeCell ref="G4:H4"/>
    <mergeCell ref="I4:J4"/>
    <mergeCell ref="K4:L4"/>
    <mergeCell ref="C3:D3"/>
    <mergeCell ref="E3:F3"/>
    <mergeCell ref="G3:H3"/>
    <mergeCell ref="I3:J3"/>
    <mergeCell ref="K3:L3"/>
    <mergeCell ref="C6:D6"/>
    <mergeCell ref="E6:F6"/>
    <mergeCell ref="G6:H6"/>
    <mergeCell ref="I6:J6"/>
    <mergeCell ref="K6:L6"/>
    <mergeCell ref="C5:D5"/>
    <mergeCell ref="E5:F5"/>
    <mergeCell ref="G5:H5"/>
    <mergeCell ref="I5:J5"/>
    <mergeCell ref="K5:L5"/>
  </mergeCells>
  <dataValidations count="3">
    <dataValidation allowBlank="1" showInputMessage="1" showErrorMessage="1" prompt="Enter the name of the Capital Cost assumptions set_x000a_" sqref="E4:L4"/>
    <dataValidation allowBlank="1" showInputMessage="1" showErrorMessage="1" prompt="Enter the estimate date for the Capital Cost Set - costs will be inflated from the year following the estimate date" sqref="E5:L5"/>
    <dataValidation allowBlank="1" showInputMessage="1" showErrorMessage="1" prompt="Enter the Water Depth to swtich from the Shallow Water unit costs to the Deep Water unit costs " sqref="E6:L6"/>
  </dataValidations>
  <hyperlinks>
    <hyperlink ref="B1" location="Guide" display="Guide"/>
    <hyperlink ref="B2" location="Input" display="Input"/>
  </hyperlinks>
  <pageMargins left="0.7" right="0.7" top="0.75" bottom="0.75" header="0.3" footer="0.3"/>
  <pageSetup paperSize="9" scale="38" fitToHeight="0" orientation="portrait" r:id="rId1"/>
  <headerFooter>
    <oddFooter>&amp;LNova Scotia Exploration Economics Model&amp;Rwww.indeva.com</oddFooter>
  </headerFooter>
  <rowBreaks count="1" manualBreakCount="1">
    <brk id="85"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pageSetUpPr fitToPage="1"/>
  </sheetPr>
  <dimension ref="A1:AJ227"/>
  <sheetViews>
    <sheetView showGridLines="0" showRowColHeaders="0" zoomScale="75" zoomScaleNormal="75" workbookViewId="0">
      <pane ySplit="2" topLeftCell="A44" activePane="bottomLeft" state="frozen"/>
      <selection activeCell="D43" sqref="D43"/>
      <selection pane="bottomLeft" activeCell="B63" sqref="B63"/>
    </sheetView>
  </sheetViews>
  <sheetFormatPr defaultRowHeight="14.4" x14ac:dyDescent="0.3"/>
  <cols>
    <col min="1" max="1" width="24.44140625" customWidth="1"/>
    <col min="2" max="2" width="12.6640625" customWidth="1"/>
    <col min="3" max="3" width="16.109375" customWidth="1"/>
    <col min="4" max="4" width="11.109375" customWidth="1"/>
    <col min="5" max="5" width="13.33203125" customWidth="1"/>
    <col min="6" max="6" width="14.44140625" customWidth="1"/>
    <col min="7" max="7" width="15" customWidth="1"/>
    <col min="8" max="8" width="12.5546875" customWidth="1"/>
    <col min="9" max="9" width="13.33203125" customWidth="1"/>
  </cols>
  <sheetData>
    <row r="1" spans="1:36" ht="18.75" x14ac:dyDescent="0.3">
      <c r="A1" s="2" t="s">
        <v>445</v>
      </c>
      <c r="B1" s="15"/>
      <c r="C1" s="15"/>
      <c r="D1" s="15"/>
      <c r="E1" s="107" t="s">
        <v>769</v>
      </c>
      <c r="F1" s="15"/>
      <c r="G1" s="15"/>
      <c r="H1" s="15"/>
      <c r="I1" s="15"/>
      <c r="J1" s="15"/>
      <c r="K1" s="15"/>
      <c r="L1" s="15"/>
      <c r="M1" s="15"/>
      <c r="N1" s="15"/>
      <c r="O1" s="15"/>
      <c r="P1" s="15"/>
      <c r="Q1" s="15"/>
      <c r="R1" s="15"/>
      <c r="S1" s="15"/>
      <c r="T1" s="15"/>
      <c r="U1" s="15"/>
      <c r="V1" s="15"/>
      <c r="W1" s="15"/>
      <c r="X1" s="15"/>
      <c r="Y1" s="15"/>
      <c r="Z1" s="15"/>
      <c r="AA1" s="15"/>
      <c r="AB1" s="15"/>
      <c r="AC1" s="15"/>
      <c r="AD1" s="15"/>
      <c r="AE1" s="15"/>
      <c r="AF1" s="1"/>
      <c r="AG1" s="1"/>
      <c r="AH1" s="1"/>
      <c r="AI1" s="1"/>
      <c r="AJ1" s="1"/>
    </row>
    <row r="2" spans="1:36" ht="18.75" x14ac:dyDescent="0.25">
      <c r="A2" s="15"/>
      <c r="B2" s="15"/>
      <c r="C2" s="15"/>
      <c r="D2" s="15"/>
      <c r="E2" s="107" t="s">
        <v>143</v>
      </c>
      <c r="F2" s="15"/>
      <c r="G2" s="15"/>
      <c r="H2" s="15"/>
      <c r="I2" s="15"/>
      <c r="J2" s="15"/>
      <c r="K2" s="15"/>
      <c r="L2" s="15"/>
      <c r="M2" s="15"/>
      <c r="N2" s="15"/>
      <c r="O2" s="15"/>
      <c r="P2" s="15"/>
      <c r="Q2" s="15"/>
      <c r="R2" s="15"/>
      <c r="S2" s="15"/>
      <c r="T2" s="15"/>
      <c r="U2" s="15"/>
      <c r="V2" s="15"/>
      <c r="W2" s="15"/>
      <c r="X2" s="15"/>
      <c r="Y2" s="15"/>
      <c r="Z2" s="15"/>
      <c r="AA2" s="15"/>
      <c r="AB2" s="15"/>
      <c r="AC2" s="15"/>
      <c r="AD2" s="15"/>
      <c r="AE2" s="15"/>
      <c r="AF2" s="1"/>
      <c r="AG2" s="1"/>
      <c r="AH2" s="1"/>
      <c r="AI2" s="1"/>
      <c r="AJ2" s="1"/>
    </row>
    <row r="3" spans="1:36" ht="15" x14ac:dyDescent="0.25">
      <c r="A3" s="53" t="s">
        <v>446</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36" ht="15" x14ac:dyDescent="0.25">
      <c r="A4" s="15" t="s">
        <v>673</v>
      </c>
      <c r="B4" s="15"/>
      <c r="C4" s="15"/>
      <c r="D4" s="15"/>
      <c r="E4" s="15"/>
      <c r="F4" s="15" t="s">
        <v>672</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36" ht="15" x14ac:dyDescent="0.25">
      <c r="A5" s="31" t="s">
        <v>111</v>
      </c>
      <c r="B5" s="31" t="s">
        <v>318</v>
      </c>
      <c r="C5" s="31" t="s">
        <v>111</v>
      </c>
      <c r="D5" s="31" t="s">
        <v>336</v>
      </c>
      <c r="E5" s="15"/>
      <c r="F5" s="31" t="s">
        <v>111</v>
      </c>
      <c r="G5" s="31" t="s">
        <v>318</v>
      </c>
      <c r="H5" s="31" t="s">
        <v>111</v>
      </c>
      <c r="I5" s="31" t="s">
        <v>336</v>
      </c>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36" ht="15" x14ac:dyDescent="0.25">
      <c r="A6" s="35" t="s">
        <v>326</v>
      </c>
      <c r="B6" s="35" t="s">
        <v>447</v>
      </c>
      <c r="C6" s="35" t="s">
        <v>448</v>
      </c>
      <c r="D6" s="35" t="s">
        <v>427</v>
      </c>
      <c r="E6" s="15"/>
      <c r="F6" s="35" t="s">
        <v>650</v>
      </c>
      <c r="G6" s="35" t="s">
        <v>447</v>
      </c>
      <c r="H6" s="35" t="s">
        <v>448</v>
      </c>
      <c r="I6" s="35" t="s">
        <v>427</v>
      </c>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36" ht="15" x14ac:dyDescent="0.25">
      <c r="A7" s="13">
        <v>0</v>
      </c>
      <c r="B7" s="54">
        <v>0.17</v>
      </c>
      <c r="C7" s="54">
        <v>0.6</v>
      </c>
      <c r="D7" s="54">
        <v>0.25</v>
      </c>
      <c r="E7" s="15"/>
      <c r="F7" s="83">
        <v>0</v>
      </c>
      <c r="G7" s="54">
        <v>0.16</v>
      </c>
      <c r="H7" s="54">
        <v>0.4</v>
      </c>
      <c r="I7" s="54">
        <v>0.17</v>
      </c>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36" ht="15" x14ac:dyDescent="0.25">
      <c r="A8" s="13">
        <v>200</v>
      </c>
      <c r="B8" s="54">
        <v>0.15</v>
      </c>
      <c r="C8" s="54">
        <v>0.6</v>
      </c>
      <c r="D8" s="54">
        <v>0.25</v>
      </c>
      <c r="E8" s="15"/>
      <c r="F8" s="83">
        <v>100</v>
      </c>
      <c r="G8" s="54">
        <v>0.13</v>
      </c>
      <c r="H8" s="54">
        <v>0.4</v>
      </c>
      <c r="I8" s="54">
        <v>0.17</v>
      </c>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36" ht="15" x14ac:dyDescent="0.25">
      <c r="A9" s="13">
        <v>500</v>
      </c>
      <c r="B9" s="54">
        <v>0.14000000000000001</v>
      </c>
      <c r="C9" s="54">
        <v>0.6</v>
      </c>
      <c r="D9" s="54">
        <v>0.22</v>
      </c>
      <c r="E9" s="15"/>
      <c r="F9" s="83">
        <v>200</v>
      </c>
      <c r="G9" s="54">
        <v>0.1</v>
      </c>
      <c r="H9" s="54">
        <v>0.4</v>
      </c>
      <c r="I9" s="54">
        <v>0.15</v>
      </c>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row>
    <row r="10" spans="1:36" ht="15" x14ac:dyDescent="0.25">
      <c r="A10" s="13">
        <v>1000</v>
      </c>
      <c r="B10" s="54">
        <v>0.12</v>
      </c>
      <c r="C10" s="54">
        <v>0.6</v>
      </c>
      <c r="D10" s="54">
        <v>0.2</v>
      </c>
      <c r="E10" s="15"/>
      <c r="F10" s="83">
        <v>500</v>
      </c>
      <c r="G10" s="54">
        <v>0.1</v>
      </c>
      <c r="H10" s="54">
        <v>0.4</v>
      </c>
      <c r="I10" s="54">
        <v>0.15</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ht="15" x14ac:dyDescent="0.25">
      <c r="A11" s="88">
        <v>2000</v>
      </c>
      <c r="B11" s="54">
        <v>0.08</v>
      </c>
      <c r="C11" s="54">
        <v>0.6</v>
      </c>
      <c r="D11" s="54">
        <v>0.15</v>
      </c>
      <c r="E11" s="15"/>
      <c r="F11" s="88">
        <v>700</v>
      </c>
      <c r="G11" s="54">
        <v>0.1</v>
      </c>
      <c r="H11" s="54">
        <v>0.4</v>
      </c>
      <c r="I11" s="54">
        <v>0.15</v>
      </c>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row>
    <row r="12" spans="1:36" ht="15" x14ac:dyDescent="0.25">
      <c r="A12" s="88">
        <v>4000</v>
      </c>
      <c r="B12" s="54">
        <v>0.08</v>
      </c>
      <c r="C12" s="54">
        <v>0.6</v>
      </c>
      <c r="D12" s="54">
        <v>0.15</v>
      </c>
      <c r="E12" s="15"/>
      <c r="F12" s="88">
        <v>900</v>
      </c>
      <c r="G12" s="54">
        <v>0.1</v>
      </c>
      <c r="H12" s="54">
        <v>0.4</v>
      </c>
      <c r="I12" s="54">
        <v>0.15</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ht="15" x14ac:dyDescent="0.25">
      <c r="A13" s="13">
        <v>1000000000</v>
      </c>
      <c r="B13" s="54">
        <v>0.08</v>
      </c>
      <c r="C13" s="54">
        <v>0.6</v>
      </c>
      <c r="D13" s="54">
        <v>0.15</v>
      </c>
      <c r="E13" s="15"/>
      <c r="F13" s="83">
        <v>1000000000</v>
      </c>
      <c r="G13" s="54">
        <v>0.1</v>
      </c>
      <c r="H13" s="54">
        <v>0.4</v>
      </c>
      <c r="I13" s="54">
        <v>0.15</v>
      </c>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row>
    <row r="14" spans="1:36"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ht="15" x14ac:dyDescent="0.25">
      <c r="A15" s="28" t="s">
        <v>449</v>
      </c>
      <c r="B15" s="55">
        <v>4.8</v>
      </c>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row>
    <row r="16" spans="1:36" ht="15" x14ac:dyDescent="0.25">
      <c r="A16" s="2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row>
    <row r="17" spans="1:36" ht="15" x14ac:dyDescent="0.25">
      <c r="A17" s="39" t="s">
        <v>764</v>
      </c>
      <c r="B17" s="100"/>
      <c r="C17" s="98">
        <v>5.6</v>
      </c>
      <c r="D17" s="15" t="s">
        <v>765</v>
      </c>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ht="15" x14ac:dyDescent="0.25">
      <c r="A18" s="39" t="s">
        <v>762</v>
      </c>
      <c r="B18" s="100"/>
      <c r="C18" s="54">
        <v>0.06</v>
      </c>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row>
    <row r="19" spans="1:36" ht="15" x14ac:dyDescent="0.25">
      <c r="A19" s="39" t="s">
        <v>761</v>
      </c>
      <c r="B19" s="100"/>
      <c r="C19" s="54">
        <v>0.03</v>
      </c>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ht="15" x14ac:dyDescent="0.25">
      <c r="A20" s="2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row>
    <row r="21" spans="1:36" ht="15" x14ac:dyDescent="0.25">
      <c r="A21" s="96" t="s">
        <v>754</v>
      </c>
      <c r="B21" s="28" t="s">
        <v>755</v>
      </c>
      <c r="C21" s="28" t="s">
        <v>335</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ht="15" x14ac:dyDescent="0.25">
      <c r="A22" s="28" t="s">
        <v>647</v>
      </c>
      <c r="B22" s="97">
        <v>0.5</v>
      </c>
      <c r="C22" s="97">
        <v>0.7</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row>
    <row r="23" spans="1:36" ht="15" x14ac:dyDescent="0.25">
      <c r="A23" s="28" t="s">
        <v>340</v>
      </c>
      <c r="B23" s="58">
        <v>0.7</v>
      </c>
      <c r="C23" s="58">
        <v>0.9</v>
      </c>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ht="15" x14ac:dyDescent="0.25">
      <c r="A24" s="2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row>
    <row r="25" spans="1:36" ht="15" x14ac:dyDescent="0.25">
      <c r="A25" s="53" t="s">
        <v>450</v>
      </c>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ht="15" x14ac:dyDescent="0.25">
      <c r="A26" s="15" t="s">
        <v>673</v>
      </c>
      <c r="B26" s="15"/>
      <c r="C26" s="15"/>
      <c r="D26" s="15"/>
      <c r="E26" s="15"/>
      <c r="F26" s="15" t="s">
        <v>751</v>
      </c>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row>
    <row r="27" spans="1:36" ht="15" x14ac:dyDescent="0.25">
      <c r="A27" s="56" t="s">
        <v>111</v>
      </c>
      <c r="B27" s="56" t="s">
        <v>451</v>
      </c>
      <c r="C27" s="15"/>
      <c r="D27" s="15"/>
      <c r="E27" s="15"/>
      <c r="F27" s="82" t="s">
        <v>111</v>
      </c>
      <c r="G27" s="82" t="s">
        <v>655</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ht="15" x14ac:dyDescent="0.25">
      <c r="A28" s="13">
        <v>0</v>
      </c>
      <c r="B28" s="13">
        <v>100</v>
      </c>
      <c r="C28" s="15"/>
      <c r="D28" s="15"/>
      <c r="E28" s="15"/>
      <c r="F28" s="83">
        <v>0</v>
      </c>
      <c r="G28" s="83">
        <v>10</v>
      </c>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row>
    <row r="29" spans="1:36" ht="15" x14ac:dyDescent="0.25">
      <c r="A29" s="13">
        <v>250</v>
      </c>
      <c r="B29" s="92">
        <v>120</v>
      </c>
      <c r="C29" s="15"/>
      <c r="D29" s="15"/>
      <c r="E29" s="15"/>
      <c r="F29" s="83">
        <v>100</v>
      </c>
      <c r="G29" s="83">
        <v>12</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ht="15" x14ac:dyDescent="0.25">
      <c r="A30" s="13">
        <v>500</v>
      </c>
      <c r="B30" s="92">
        <v>130</v>
      </c>
      <c r="C30" s="15"/>
      <c r="D30" s="15"/>
      <c r="E30" s="15"/>
      <c r="F30" s="83">
        <v>200</v>
      </c>
      <c r="G30" s="83">
        <v>14.3</v>
      </c>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row>
    <row r="31" spans="1:36" ht="15" x14ac:dyDescent="0.25">
      <c r="A31" s="13">
        <v>1000</v>
      </c>
      <c r="B31" s="92">
        <v>150</v>
      </c>
      <c r="C31" s="15"/>
      <c r="D31" s="15"/>
      <c r="E31" s="15"/>
      <c r="F31" s="83">
        <v>500</v>
      </c>
      <c r="G31" s="92">
        <v>15</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row>
    <row r="32" spans="1:36" ht="15" x14ac:dyDescent="0.25">
      <c r="A32" s="88">
        <v>2000</v>
      </c>
      <c r="B32" s="92">
        <v>180</v>
      </c>
      <c r="C32" s="15"/>
      <c r="D32" s="15"/>
      <c r="E32" s="15"/>
      <c r="F32" s="88">
        <v>700</v>
      </c>
      <c r="G32" s="92">
        <v>15</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ht="15" x14ac:dyDescent="0.25">
      <c r="A33" s="88">
        <v>4000</v>
      </c>
      <c r="B33" s="92">
        <v>210</v>
      </c>
      <c r="C33" s="15"/>
      <c r="D33" s="15"/>
      <c r="E33" s="15"/>
      <c r="F33" s="88">
        <v>900</v>
      </c>
      <c r="G33" s="92">
        <v>15</v>
      </c>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row>
    <row r="34" spans="1:36" ht="15" x14ac:dyDescent="0.25">
      <c r="A34" s="13">
        <v>1000000</v>
      </c>
      <c r="B34" s="92">
        <f>B33</f>
        <v>210</v>
      </c>
      <c r="C34" s="15"/>
      <c r="D34" s="15"/>
      <c r="E34" s="15"/>
      <c r="F34" s="83">
        <v>1000000000</v>
      </c>
      <c r="G34" s="92">
        <v>15</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ht="15"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row>
    <row r="36" spans="1:36" ht="15" x14ac:dyDescent="0.25">
      <c r="A36" s="15" t="s">
        <v>694</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ht="15" x14ac:dyDescent="0.25">
      <c r="A37" s="87" t="s">
        <v>169</v>
      </c>
      <c r="B37" s="87" t="s">
        <v>459</v>
      </c>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row>
    <row r="38" spans="1:36" ht="15" x14ac:dyDescent="0.25">
      <c r="A38" s="88">
        <v>1</v>
      </c>
      <c r="B38" s="88">
        <v>1</v>
      </c>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ht="15" x14ac:dyDescent="0.25">
      <c r="A39" s="88">
        <v>8</v>
      </c>
      <c r="B39" s="88">
        <v>2</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row>
    <row r="40" spans="1:36" ht="15" x14ac:dyDescent="0.25">
      <c r="A40" s="88">
        <v>20</v>
      </c>
      <c r="B40" s="88">
        <v>3</v>
      </c>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ht="15" x14ac:dyDescent="0.25">
      <c r="A41" s="88">
        <v>30</v>
      </c>
      <c r="B41" s="88">
        <v>4</v>
      </c>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row>
    <row r="42" spans="1:36" ht="15" x14ac:dyDescent="0.25">
      <c r="A42" s="88">
        <v>40</v>
      </c>
      <c r="B42" s="88">
        <v>5</v>
      </c>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ht="15" x14ac:dyDescent="0.25">
      <c r="A43" s="88">
        <v>1000000</v>
      </c>
      <c r="B43" s="88">
        <v>5</v>
      </c>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row>
    <row r="44" spans="1:36" ht="15"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ht="15" x14ac:dyDescent="0.25">
      <c r="A45" s="53" t="s">
        <v>888</v>
      </c>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row>
    <row r="46" spans="1:36" ht="15"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ht="15" x14ac:dyDescent="0.25">
      <c r="A47" s="28" t="s">
        <v>889</v>
      </c>
      <c r="B47" s="56" t="s">
        <v>453</v>
      </c>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row>
    <row r="48" spans="1:36" ht="15" x14ac:dyDescent="0.25">
      <c r="A48" s="28" t="s">
        <v>116</v>
      </c>
      <c r="B48" s="13">
        <v>1.1000000000000001</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ht="15" x14ac:dyDescent="0.25">
      <c r="A49" s="28" t="s">
        <v>92</v>
      </c>
      <c r="B49" s="13">
        <v>1.3</v>
      </c>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row>
    <row r="50" spans="1:36" ht="15" x14ac:dyDescent="0.25">
      <c r="A50" s="28" t="s">
        <v>117</v>
      </c>
      <c r="B50" s="13">
        <v>1.6</v>
      </c>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ht="15"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row>
    <row r="52" spans="1:36" ht="15" x14ac:dyDescent="0.25">
      <c r="A52" s="53" t="s">
        <v>454</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ht="15"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row>
    <row r="54" spans="1:36" ht="15" x14ac:dyDescent="0.25">
      <c r="A54" s="28" t="s">
        <v>91</v>
      </c>
      <c r="B54" s="31" t="s">
        <v>453</v>
      </c>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ht="15" x14ac:dyDescent="0.25">
      <c r="A55" s="28" t="s">
        <v>116</v>
      </c>
      <c r="B55" s="13">
        <v>1</v>
      </c>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row>
    <row r="56" spans="1:36" ht="15" x14ac:dyDescent="0.25">
      <c r="A56" s="28" t="s">
        <v>92</v>
      </c>
      <c r="B56" s="13">
        <v>1.2</v>
      </c>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ht="15" x14ac:dyDescent="0.25">
      <c r="A57" s="28" t="s">
        <v>117</v>
      </c>
      <c r="B57" s="13">
        <v>1.4</v>
      </c>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row>
    <row r="58" spans="1:36" ht="15"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row>
    <row r="59" spans="1:36" ht="15" x14ac:dyDescent="0.25">
      <c r="A59" s="53" t="s">
        <v>780</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ht="15"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row>
    <row r="61" spans="1:36" ht="15" x14ac:dyDescent="0.25">
      <c r="A61" s="28" t="s">
        <v>455</v>
      </c>
      <c r="B61" s="31" t="s">
        <v>453</v>
      </c>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ht="15" x14ac:dyDescent="0.25">
      <c r="A62" s="28" t="s">
        <v>924</v>
      </c>
      <c r="B62" s="31" t="s">
        <v>925</v>
      </c>
      <c r="C62" s="121" t="s">
        <v>926</v>
      </c>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row>
    <row r="63" spans="1:36" ht="15" x14ac:dyDescent="0.25">
      <c r="A63" s="28" t="str">
        <f>Lists!A87</f>
        <v>Normally Pressured</v>
      </c>
      <c r="B63" s="122">
        <v>1</v>
      </c>
      <c r="C63" s="122">
        <v>1</v>
      </c>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ht="15" x14ac:dyDescent="0.25">
      <c r="A64" s="28" t="s">
        <v>920</v>
      </c>
      <c r="B64" s="122">
        <v>1.2</v>
      </c>
      <c r="C64" s="122">
        <v>1.2</v>
      </c>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row>
    <row r="65" spans="1:36" ht="15" x14ac:dyDescent="0.25">
      <c r="A65" s="28" t="s">
        <v>921</v>
      </c>
      <c r="B65" s="122">
        <v>1.5</v>
      </c>
      <c r="C65" s="122">
        <v>1.5</v>
      </c>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ht="15" x14ac:dyDescent="0.25">
      <c r="A66" s="53" t="s">
        <v>781</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row>
    <row r="67" spans="1:36"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ht="15" x14ac:dyDescent="0.25">
      <c r="A68" s="28" t="s">
        <v>455</v>
      </c>
      <c r="B68" s="31" t="s">
        <v>453</v>
      </c>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row>
    <row r="69" spans="1:36" ht="15" x14ac:dyDescent="0.25">
      <c r="A69" s="28" t="str">
        <f>A63</f>
        <v>Normally Pressured</v>
      </c>
      <c r="B69" s="13">
        <v>1</v>
      </c>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row>
    <row r="70" spans="1:36" ht="15" x14ac:dyDescent="0.25">
      <c r="A70" s="28" t="str">
        <f>A64</f>
        <v>Over Pressure</v>
      </c>
      <c r="B70" s="13">
        <v>1.1000000000000001</v>
      </c>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ht="15" x14ac:dyDescent="0.25">
      <c r="A71" s="28" t="str">
        <f>A65</f>
        <v>Geo Pressure</v>
      </c>
      <c r="B71" s="120">
        <v>1.1000000000000001</v>
      </c>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row>
    <row r="72" spans="1:36" ht="15" x14ac:dyDescent="0.25">
      <c r="A72" s="53" t="s">
        <v>456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x14ac:dyDescent="0.3">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row>
    <row r="74" spans="1:36" x14ac:dyDescent="0.3">
      <c r="A74" s="30" t="s">
        <v>889</v>
      </c>
      <c r="B74" s="31" t="s">
        <v>457</v>
      </c>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x14ac:dyDescent="0.3">
      <c r="A75" s="28" t="s">
        <v>116</v>
      </c>
      <c r="B75" s="13">
        <v>4</v>
      </c>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row>
    <row r="76" spans="1:36" x14ac:dyDescent="0.3">
      <c r="A76" s="28" t="s">
        <v>92</v>
      </c>
      <c r="B76" s="13">
        <v>6</v>
      </c>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x14ac:dyDescent="0.3">
      <c r="A77" s="28" t="s">
        <v>117</v>
      </c>
      <c r="B77" s="13">
        <v>8</v>
      </c>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row>
    <row r="78" spans="1:36" x14ac:dyDescent="0.3">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x14ac:dyDescent="0.3">
      <c r="A79" s="53" t="s">
        <v>458</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row>
    <row r="80" spans="1:36" x14ac:dyDescent="0.3">
      <c r="A80" s="15" t="s">
        <v>673</v>
      </c>
      <c r="B80" s="15"/>
      <c r="C80" s="15"/>
      <c r="D80" s="15"/>
      <c r="E80" s="15"/>
      <c r="F80" s="15" t="s">
        <v>672</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x14ac:dyDescent="0.3">
      <c r="A81" s="28" t="s">
        <v>111</v>
      </c>
      <c r="B81" s="28" t="s">
        <v>459</v>
      </c>
      <c r="C81" s="15"/>
      <c r="D81" s="15"/>
      <c r="E81" s="15"/>
      <c r="F81" s="28" t="s">
        <v>111</v>
      </c>
      <c r="G81" s="28" t="s">
        <v>459</v>
      </c>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row>
    <row r="82" spans="1:36" x14ac:dyDescent="0.3">
      <c r="A82" s="13">
        <v>0</v>
      </c>
      <c r="B82" s="13">
        <v>1</v>
      </c>
      <c r="C82" s="15"/>
      <c r="D82" s="15"/>
      <c r="E82" s="15"/>
      <c r="F82" s="83">
        <v>0</v>
      </c>
      <c r="G82" s="83">
        <v>1</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x14ac:dyDescent="0.3">
      <c r="A83" s="13">
        <v>200</v>
      </c>
      <c r="B83" s="13">
        <v>2</v>
      </c>
      <c r="C83" s="15"/>
      <c r="D83" s="15"/>
      <c r="E83" s="15"/>
      <c r="F83" s="83">
        <v>20</v>
      </c>
      <c r="G83" s="83">
        <v>1</v>
      </c>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row>
    <row r="84" spans="1:36" x14ac:dyDescent="0.3">
      <c r="A84" s="13">
        <v>500</v>
      </c>
      <c r="B84" s="13">
        <v>3</v>
      </c>
      <c r="C84" s="15"/>
      <c r="D84" s="15"/>
      <c r="E84" s="15"/>
      <c r="F84" s="83">
        <v>50</v>
      </c>
      <c r="G84" s="83">
        <v>2</v>
      </c>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row>
    <row r="85" spans="1:36" x14ac:dyDescent="0.3">
      <c r="A85" s="13">
        <v>1000</v>
      </c>
      <c r="B85" s="13">
        <v>4</v>
      </c>
      <c r="C85" s="15"/>
      <c r="D85" s="15"/>
      <c r="E85" s="15"/>
      <c r="F85" s="83">
        <v>100</v>
      </c>
      <c r="G85" s="83">
        <v>3</v>
      </c>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row>
    <row r="86" spans="1:36" x14ac:dyDescent="0.3">
      <c r="A86" s="13">
        <v>10000000000</v>
      </c>
      <c r="B86" s="13"/>
      <c r="C86" s="15"/>
      <c r="D86" s="15"/>
      <c r="E86" s="15"/>
      <c r="F86" s="83">
        <v>1000000000</v>
      </c>
      <c r="G86" s="83"/>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row>
    <row r="87" spans="1:36" x14ac:dyDescent="0.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row>
    <row r="88" spans="1:36" x14ac:dyDescent="0.3">
      <c r="A88" s="53" t="s">
        <v>863</v>
      </c>
      <c r="B88" s="15"/>
      <c r="C88" s="117">
        <v>150</v>
      </c>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row>
    <row r="89" spans="1:36" x14ac:dyDescent="0.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row>
    <row r="90" spans="1:36" x14ac:dyDescent="0.3">
      <c r="A90" s="53" t="s">
        <v>460</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row>
    <row r="91" spans="1:36" x14ac:dyDescent="0.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row>
    <row r="92" spans="1:36" x14ac:dyDescent="0.3">
      <c r="A92" s="15"/>
      <c r="B92" s="579" t="s">
        <v>461</v>
      </c>
      <c r="C92" s="580"/>
      <c r="D92" s="581"/>
      <c r="E92" s="579" t="s">
        <v>462</v>
      </c>
      <c r="F92" s="580"/>
      <c r="G92" s="581"/>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row>
    <row r="93" spans="1:36" x14ac:dyDescent="0.3">
      <c r="A93" s="15"/>
      <c r="B93" s="56" t="s">
        <v>463</v>
      </c>
      <c r="C93" s="56" t="s">
        <v>464</v>
      </c>
      <c r="D93" s="56" t="s">
        <v>465</v>
      </c>
      <c r="E93" s="56" t="s">
        <v>463</v>
      </c>
      <c r="F93" s="56" t="s">
        <v>464</v>
      </c>
      <c r="G93" s="56" t="s">
        <v>465</v>
      </c>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row>
    <row r="94" spans="1:36" x14ac:dyDescent="0.3">
      <c r="A94" s="28" t="s">
        <v>270</v>
      </c>
      <c r="B94" s="13">
        <v>650</v>
      </c>
      <c r="C94" s="30"/>
      <c r="D94" s="30"/>
      <c r="E94" s="13">
        <v>20</v>
      </c>
      <c r="F94" s="30"/>
      <c r="G94" s="30"/>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row>
    <row r="95" spans="1:36" x14ac:dyDescent="0.3">
      <c r="A95" s="28" t="s">
        <v>271</v>
      </c>
      <c r="B95" s="13">
        <v>250</v>
      </c>
      <c r="C95" s="13">
        <v>1</v>
      </c>
      <c r="D95" s="32" t="s">
        <v>466</v>
      </c>
      <c r="E95" s="13">
        <v>30</v>
      </c>
      <c r="F95" s="32"/>
      <c r="G95" s="32"/>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row>
    <row r="96" spans="1:36" x14ac:dyDescent="0.3">
      <c r="A96" s="28" t="s">
        <v>733</v>
      </c>
      <c r="B96" s="89">
        <v>650</v>
      </c>
      <c r="C96" s="89"/>
      <c r="D96" s="32"/>
      <c r="E96" s="89">
        <v>30</v>
      </c>
      <c r="F96" s="32"/>
      <c r="G96" s="32"/>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row>
    <row r="97" spans="1:36" x14ac:dyDescent="0.3">
      <c r="A97" s="28" t="s">
        <v>734</v>
      </c>
      <c r="B97" s="89">
        <v>650</v>
      </c>
      <c r="C97" s="89"/>
      <c r="D97" s="32"/>
      <c r="E97" s="89">
        <v>50</v>
      </c>
      <c r="F97" s="32"/>
      <c r="G97" s="32"/>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row>
    <row r="98" spans="1:36" x14ac:dyDescent="0.3">
      <c r="A98" s="28" t="s">
        <v>272</v>
      </c>
      <c r="B98" s="13">
        <v>180</v>
      </c>
      <c r="C98" s="32"/>
      <c r="D98" s="32"/>
      <c r="E98" s="13">
        <v>20</v>
      </c>
      <c r="F98" s="32"/>
      <c r="G98" s="32"/>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row>
    <row r="99" spans="1:36" x14ac:dyDescent="0.3">
      <c r="A99" s="28" t="s">
        <v>273</v>
      </c>
      <c r="B99" s="13">
        <v>400</v>
      </c>
      <c r="C99" s="13">
        <v>0.2</v>
      </c>
      <c r="D99" s="32" t="s">
        <v>3</v>
      </c>
      <c r="E99" s="13">
        <v>60</v>
      </c>
      <c r="F99" s="32"/>
      <c r="G99" s="32"/>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row>
    <row r="100" spans="1:36" x14ac:dyDescent="0.3">
      <c r="A100" s="28" t="s">
        <v>744</v>
      </c>
      <c r="B100" s="13">
        <v>400</v>
      </c>
      <c r="C100" s="13">
        <v>0.2</v>
      </c>
      <c r="D100" s="32" t="s">
        <v>3</v>
      </c>
      <c r="E100" s="13">
        <v>0</v>
      </c>
      <c r="F100" s="32"/>
      <c r="G100" s="32"/>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row>
    <row r="101" spans="1:36" x14ac:dyDescent="0.3">
      <c r="A101" s="57" t="s">
        <v>274</v>
      </c>
      <c r="B101" s="13">
        <v>150</v>
      </c>
      <c r="C101" s="13">
        <v>5</v>
      </c>
      <c r="D101" s="32" t="s">
        <v>467</v>
      </c>
      <c r="E101" s="32"/>
      <c r="F101" s="13">
        <v>5</v>
      </c>
      <c r="G101" s="32" t="s">
        <v>467</v>
      </c>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row>
    <row r="102" spans="1:36" x14ac:dyDescent="0.3">
      <c r="A102" s="57" t="s">
        <v>275</v>
      </c>
      <c r="B102" s="13">
        <v>150</v>
      </c>
      <c r="C102" s="13">
        <v>0.1</v>
      </c>
      <c r="D102" s="32" t="s">
        <v>250</v>
      </c>
      <c r="E102" s="13">
        <v>20</v>
      </c>
      <c r="F102" s="13">
        <v>0.5</v>
      </c>
      <c r="G102" s="32" t="s">
        <v>250</v>
      </c>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row>
    <row r="103" spans="1:36" x14ac:dyDescent="0.3">
      <c r="A103" s="28" t="s">
        <v>468</v>
      </c>
      <c r="B103" s="58">
        <v>0.2</v>
      </c>
      <c r="C103" s="34"/>
      <c r="D103" s="34"/>
      <c r="E103" s="34"/>
      <c r="F103" s="34"/>
      <c r="G103" s="34"/>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row>
    <row r="104" spans="1:36" x14ac:dyDescent="0.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row>
    <row r="105" spans="1:36" x14ac:dyDescent="0.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row>
    <row r="106" spans="1:36" x14ac:dyDescent="0.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row>
    <row r="107" spans="1:36" x14ac:dyDescent="0.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row>
    <row r="108" spans="1:36" x14ac:dyDescent="0.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row>
    <row r="109" spans="1:36" x14ac:dyDescent="0.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row>
    <row r="110" spans="1:36" x14ac:dyDescent="0.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row>
    <row r="111" spans="1:36" x14ac:dyDescent="0.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row>
    <row r="112" spans="1:36" x14ac:dyDescent="0.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row>
    <row r="113" spans="1:36" x14ac:dyDescent="0.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row>
    <row r="114" spans="1:36" x14ac:dyDescent="0.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row>
    <row r="115" spans="1:36" x14ac:dyDescent="0.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row>
    <row r="116" spans="1:36" x14ac:dyDescent="0.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row>
    <row r="117" spans="1:36" x14ac:dyDescent="0.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row>
    <row r="118" spans="1:36" x14ac:dyDescent="0.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row>
    <row r="119" spans="1:36" x14ac:dyDescent="0.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row>
    <row r="120" spans="1:36" x14ac:dyDescent="0.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row>
    <row r="121" spans="1:36" x14ac:dyDescent="0.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row>
    <row r="122" spans="1:36" x14ac:dyDescent="0.3">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row>
    <row r="123" spans="1:36" x14ac:dyDescent="0.3">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row>
    <row r="124" spans="1:36" x14ac:dyDescent="0.3">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row>
    <row r="125" spans="1:36" x14ac:dyDescent="0.3">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row>
    <row r="126" spans="1:36" x14ac:dyDescent="0.3">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row>
    <row r="127" spans="1:36" x14ac:dyDescent="0.3">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row>
    <row r="128" spans="1:36" x14ac:dyDescent="0.3">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row>
    <row r="129" spans="1:36" x14ac:dyDescent="0.3">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row>
    <row r="130" spans="1:36" x14ac:dyDescent="0.3">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row>
    <row r="131" spans="1:36" x14ac:dyDescent="0.3">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row>
    <row r="132" spans="1:36" x14ac:dyDescent="0.3">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row>
    <row r="133" spans="1:36" x14ac:dyDescent="0.3">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row>
    <row r="134" spans="1:36" x14ac:dyDescent="0.3">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row>
    <row r="135" spans="1:36" x14ac:dyDescent="0.3">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row>
    <row r="136" spans="1:36" x14ac:dyDescent="0.3">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row>
    <row r="137" spans="1:36" x14ac:dyDescent="0.3">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row>
    <row r="138" spans="1:36" x14ac:dyDescent="0.3">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row>
    <row r="139" spans="1:36" x14ac:dyDescent="0.3">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row>
    <row r="140" spans="1:36" x14ac:dyDescent="0.3">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row>
    <row r="141" spans="1:36" x14ac:dyDescent="0.3">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row>
    <row r="142" spans="1:36" x14ac:dyDescent="0.3">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row>
    <row r="143" spans="1:36" x14ac:dyDescent="0.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row>
    <row r="144" spans="1:36" x14ac:dyDescent="0.3">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row>
    <row r="145" spans="1:36" x14ac:dyDescent="0.3">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row>
    <row r="146" spans="1:36" x14ac:dyDescent="0.3">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row>
    <row r="147" spans="1:36" x14ac:dyDescent="0.3">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row>
    <row r="148" spans="1:36" x14ac:dyDescent="0.3">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row>
    <row r="149" spans="1:36" x14ac:dyDescent="0.3">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row>
    <row r="150" spans="1:36" x14ac:dyDescent="0.3">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row>
    <row r="151" spans="1:36" x14ac:dyDescent="0.3">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row>
    <row r="152" spans="1:36" x14ac:dyDescent="0.3">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row>
    <row r="153" spans="1:36" x14ac:dyDescent="0.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row>
    <row r="154" spans="1:36" x14ac:dyDescent="0.3">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row>
    <row r="155" spans="1:36" x14ac:dyDescent="0.3">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row>
    <row r="156" spans="1:36" x14ac:dyDescent="0.3">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row>
    <row r="157" spans="1:36" x14ac:dyDescent="0.3">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row>
    <row r="158" spans="1:36" x14ac:dyDescent="0.3">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row>
    <row r="159" spans="1:36" x14ac:dyDescent="0.3">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row>
    <row r="160" spans="1:36" x14ac:dyDescent="0.3">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row>
    <row r="161" spans="1:36" x14ac:dyDescent="0.3">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row>
    <row r="162" spans="1:36" x14ac:dyDescent="0.3">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row>
    <row r="163" spans="1:36" x14ac:dyDescent="0.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row>
    <row r="164" spans="1:36" x14ac:dyDescent="0.3">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row>
    <row r="165" spans="1:36" x14ac:dyDescent="0.3">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row>
    <row r="166" spans="1:36" x14ac:dyDescent="0.3">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row>
    <row r="167" spans="1:36" x14ac:dyDescent="0.3">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row>
    <row r="168" spans="1:36" x14ac:dyDescent="0.3">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row>
    <row r="169" spans="1:36" x14ac:dyDescent="0.3">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row>
    <row r="170" spans="1:36" x14ac:dyDescent="0.3">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row>
    <row r="171" spans="1:36" x14ac:dyDescent="0.3">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row>
    <row r="172" spans="1:36" x14ac:dyDescent="0.3">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row>
    <row r="173" spans="1:36" x14ac:dyDescent="0.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row>
    <row r="174" spans="1:36" x14ac:dyDescent="0.3">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row>
    <row r="175" spans="1:36" x14ac:dyDescent="0.3">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row>
    <row r="176" spans="1:36" x14ac:dyDescent="0.3">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row>
    <row r="177" spans="1:36" x14ac:dyDescent="0.3">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row>
    <row r="178" spans="1:36" x14ac:dyDescent="0.3">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row>
    <row r="179" spans="1:36" x14ac:dyDescent="0.3">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row>
    <row r="180" spans="1:36" x14ac:dyDescent="0.3">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row>
    <row r="181" spans="1:36" x14ac:dyDescent="0.3">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row>
    <row r="182" spans="1:36" x14ac:dyDescent="0.3">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row>
    <row r="183" spans="1:36" x14ac:dyDescent="0.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row>
    <row r="184" spans="1:36" x14ac:dyDescent="0.3">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row>
    <row r="185" spans="1:36" x14ac:dyDescent="0.3">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row>
    <row r="186" spans="1:36" x14ac:dyDescent="0.3">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row>
    <row r="187" spans="1:36" x14ac:dyDescent="0.3">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row>
    <row r="188" spans="1:36" x14ac:dyDescent="0.3">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row>
    <row r="189" spans="1:36" x14ac:dyDescent="0.3">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row>
    <row r="190" spans="1:36" x14ac:dyDescent="0.3">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row>
    <row r="191" spans="1:36" x14ac:dyDescent="0.3">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row>
    <row r="192" spans="1:36" x14ac:dyDescent="0.3">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row>
    <row r="193" spans="1:36" x14ac:dyDescent="0.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row>
    <row r="194" spans="1:36" x14ac:dyDescent="0.3">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row>
    <row r="195" spans="1:36" x14ac:dyDescent="0.3">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row>
    <row r="196" spans="1:36" x14ac:dyDescent="0.3">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row>
    <row r="197" spans="1:36" x14ac:dyDescent="0.3">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row>
    <row r="198" spans="1:36" x14ac:dyDescent="0.3">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row>
    <row r="199" spans="1:36" x14ac:dyDescent="0.3">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row>
    <row r="200" spans="1:36" x14ac:dyDescent="0.3">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row>
    <row r="201" spans="1:36" x14ac:dyDescent="0.3">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row>
    <row r="202" spans="1:36" x14ac:dyDescent="0.3">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row>
    <row r="203" spans="1:36" x14ac:dyDescent="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row>
    <row r="204" spans="1:36" x14ac:dyDescent="0.3">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row>
    <row r="205" spans="1:36" x14ac:dyDescent="0.3">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row>
    <row r="206" spans="1:36" x14ac:dyDescent="0.3">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row>
    <row r="207" spans="1:36" x14ac:dyDescent="0.3">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row>
    <row r="208" spans="1:36" x14ac:dyDescent="0.3">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row>
    <row r="209" spans="1:36" x14ac:dyDescent="0.3">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row>
    <row r="210" spans="1:36" x14ac:dyDescent="0.3">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row>
    <row r="211" spans="1:36" x14ac:dyDescent="0.3">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row>
    <row r="212" spans="1:36" x14ac:dyDescent="0.3">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row>
    <row r="213" spans="1:36" x14ac:dyDescent="0.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row>
    <row r="214" spans="1:36" x14ac:dyDescent="0.3">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row>
    <row r="215" spans="1:36" x14ac:dyDescent="0.3">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row>
    <row r="216" spans="1:36" x14ac:dyDescent="0.3">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row>
    <row r="217" spans="1:36" x14ac:dyDescent="0.3">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row>
    <row r="218" spans="1:36" x14ac:dyDescent="0.3">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row>
    <row r="219" spans="1:36" x14ac:dyDescent="0.3">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row>
    <row r="220" spans="1:36" x14ac:dyDescent="0.3">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row>
    <row r="221" spans="1:36" x14ac:dyDescent="0.3">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row>
    <row r="222" spans="1:36" x14ac:dyDescent="0.3">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row>
    <row r="223" spans="1:36" x14ac:dyDescent="0.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row>
    <row r="224" spans="1:36" x14ac:dyDescent="0.3">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row>
    <row r="225" spans="1:36" x14ac:dyDescent="0.3">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row>
    <row r="226" spans="1:36" x14ac:dyDescent="0.3">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row>
    <row r="227" spans="1:36" x14ac:dyDescent="0.3">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row>
  </sheetData>
  <sheetProtection password="8BC3" sheet="1" objects="1" scenarios="1"/>
  <mergeCells count="2">
    <mergeCell ref="B92:D92"/>
    <mergeCell ref="E92:G92"/>
  </mergeCells>
  <dataValidations xWindow="787" yWindow="260" count="17">
    <dataValidation allowBlank="1" showInputMessage="1" showErrorMessage="1" promptTitle="Profile Parameters" prompt="These tables adjust the assumed production profile parameters for oil and gas.  The parameters should be only be adjusted in a small range as the algorithms used may not converge if large adjustments are used" sqref="A3:I13"/>
    <dataValidation allowBlank="1" showInputMessage="1" showErrorMessage="1" promptTitle="BOE Factor" prompt="The factor used to present gas volumes as oil equivalent volumes" sqref="A15:B15"/>
    <dataValidation allowBlank="1" showInputMessage="1" showErrorMessage="1" prompt="This table specifies the percentage of the total calculated production wells required at production startup and production plateau" sqref="A21"/>
    <dataValidation allowBlank="1" showInputMessage="1" showErrorMessage="1" promptTitle="Well Productivity" prompt="These tables specify the reserves produced per well for different reserves sizes for gas and oil.   The number of wells required is the the reserves divided by the volume per well specified in the table" sqref="A25:G34"/>
    <dataValidation allowBlank="1" showInputMessage="1" showErrorMessage="1" promptTitle="Drilling Centres" prompt="This lookup table specifes the number of drilling centres assumed dependent on the total number of wells" sqref="A36:B43"/>
    <dataValidation allowBlank="1" showInputMessage="1" showErrorMessage="1" promptTitle="Areal Extent Multiplier" prompt="The areal extent multiplier is a multiplier on the assumed length of each well dependent on the specification of the areal extent of the reservoir" sqref="A45:B50"/>
    <dataValidation allowBlank="1" showInputMessage="1" showErrorMessage="1" promptTitle="Reservoir Complexity Multiplier" prompt="This reservoir complexity multiplier is a multiplier on the number of wells dependent on the reservoir complexity,this is a subjective measure of faulting and other factors that require additional wells to be drilled" sqref="A52:B57"/>
    <dataValidation allowBlank="1" showInputMessage="1" showErrorMessage="1" promptTitle="Well Time Multiplier" prompt="This table specifies a multiplier on the time taken to drill a well dependent on whether the reservoir is normally pressured or High Pressure High Temperature (HPHT)" sqref="A59:C65"/>
    <dataValidation allowBlank="1" showInputMessage="1" showErrorMessage="1" promptTitle="Well Tangible Multiplier" prompt="This table speicifies a multiplier on the cost of well tangibles dependent on whether the reservoir is normally pressured or High Pressure High Temperature (HPHT)" sqref="A66:B71"/>
    <dataValidation allowBlank="1" showInputMessage="1" showErrorMessage="1" promptTitle="Subsea Bundle Length" prompt="This table specifies the subsea bundle length for flowlines for satellite wells dependent on reservoir areal extent.  The program selects between satellite and deviated wells dependent on the total cost of the two alternatives" sqref="A72:B77"/>
    <dataValidation allowBlank="1" showInputMessage="1" showErrorMessage="1" promptTitle="Number of Appraisal Wells" prompt="These tables specify the average number of required appraisal wells dependent on discovered reserves size" sqref="A79:G86"/>
    <dataValidation allowBlank="1" showInputMessage="1" showErrorMessage="1" promptTitle="Construct and Installation Times" prompt="The assumed fixed and variable times required to construct and install the field facilities " sqref="A90:G103"/>
    <dataValidation allowBlank="1" showInputMessage="1" showErrorMessage="1" prompt="Enter average gas shrinkage (from Production to Sales) for a a gas field - includes fuel requirements" sqref="A18:C18"/>
    <dataValidation allowBlank="1" showInputMessage="1" showErrorMessage="1" prompt="Enter oilfield fuel requirement as a percentage of liquid production.  Program will use associated gas at an energy equivalent level where sufficient gas" sqref="A19:C19"/>
    <dataValidation allowBlank="1" showInputMessage="1" showErrorMessage="1" prompt="Enter the equivalent energy ratio of oil to gas for the purpose of calculating fuel requirements of the two products" sqref="A17:C17"/>
    <dataValidation allowBlank="1" showInputMessage="1" showErrorMessage="1" prompt="Enter the percentage of wells availabel at production start-up and at start of plateau production" sqref="A22:C23"/>
    <dataValidation allowBlank="1" showInputMessage="1" showErrorMessage="1" prompt="Enter the assumed gas reserver per required gas reinjection well" sqref="A88:C88"/>
  </dataValidations>
  <hyperlinks>
    <hyperlink ref="E1" location="Guide" display="Guide"/>
    <hyperlink ref="E2" location="Input" display="Input"/>
  </hyperlinks>
  <pageMargins left="0.7" right="0.7" top="0.75" bottom="0.75" header="0.3" footer="0.3"/>
  <pageSetup paperSize="9" scale="47" orientation="portrait" r:id="rId1"/>
  <headerFooter>
    <oddFooter>&amp;LNova Scotia Exploration Economics Model&amp;Rwww.indeva.com</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79998168889431442"/>
    <pageSetUpPr fitToPage="1"/>
  </sheetPr>
  <dimension ref="A1:AB74"/>
  <sheetViews>
    <sheetView showGridLines="0" showZeros="0" zoomScale="75" zoomScaleNormal="75" workbookViewId="0">
      <pane xSplit="2" ySplit="2" topLeftCell="H3" activePane="bottomRight" state="frozen"/>
      <selection activeCell="D43" sqref="D43"/>
      <selection pane="topRight" activeCell="D43" sqref="D43"/>
      <selection pane="bottomLeft" activeCell="D43" sqref="D43"/>
      <selection pane="bottomRight" activeCell="V27" sqref="V27"/>
    </sheetView>
  </sheetViews>
  <sheetFormatPr defaultRowHeight="14.4" x14ac:dyDescent="0.3"/>
  <cols>
    <col min="1" max="1" width="6.109375" customWidth="1"/>
    <col min="2" max="2" width="25.88671875" customWidth="1"/>
    <col min="3" max="3" width="10" customWidth="1"/>
    <col min="4" max="4" width="10.88671875" customWidth="1"/>
    <col min="5" max="5" width="10.109375" customWidth="1"/>
    <col min="6" max="6" width="11.5546875" bestFit="1" customWidth="1"/>
    <col min="7" max="7" width="12" customWidth="1"/>
    <col min="8" max="8" width="10.88671875" bestFit="1" customWidth="1"/>
    <col min="9" max="9" width="11.109375" customWidth="1"/>
    <col min="10" max="10" width="11.6640625" customWidth="1"/>
    <col min="11" max="12" width="9.33203125" bestFit="1" customWidth="1"/>
    <col min="13" max="13" width="9.88671875" bestFit="1" customWidth="1"/>
    <col min="14" max="14" width="9.33203125" bestFit="1" customWidth="1"/>
    <col min="15" max="15" width="10" bestFit="1" customWidth="1"/>
    <col min="16" max="18" width="9.33203125" bestFit="1" customWidth="1"/>
    <col min="19" max="19" width="11.5546875" customWidth="1"/>
    <col min="22" max="22" width="10.6640625" customWidth="1"/>
    <col min="23" max="23" width="12.33203125" customWidth="1"/>
    <col min="24" max="24" width="10.88671875" customWidth="1"/>
    <col min="28" max="28" width="11.5546875" customWidth="1"/>
  </cols>
  <sheetData>
    <row r="1" spans="1:28" ht="18.75" x14ac:dyDescent="0.3">
      <c r="A1" s="93"/>
      <c r="B1" s="143" t="str">
        <f>Input!B8</f>
        <v>Prospect X</v>
      </c>
      <c r="C1" s="143" t="s">
        <v>182</v>
      </c>
      <c r="D1" s="143"/>
      <c r="E1" s="143"/>
      <c r="F1" s="93"/>
      <c r="G1" s="93"/>
      <c r="H1" s="144" t="s">
        <v>769</v>
      </c>
      <c r="I1" s="93"/>
      <c r="J1" s="93"/>
      <c r="K1" s="93"/>
      <c r="L1" s="93"/>
      <c r="M1" s="93"/>
      <c r="N1" s="93"/>
      <c r="O1" s="93"/>
      <c r="P1" s="93"/>
      <c r="Q1" s="93"/>
      <c r="R1" s="93"/>
      <c r="S1" s="93"/>
      <c r="T1" s="93"/>
      <c r="U1" s="93"/>
      <c r="V1" s="93"/>
      <c r="W1" s="93"/>
      <c r="X1" s="93"/>
      <c r="Y1" s="93"/>
      <c r="Z1" s="93"/>
      <c r="AA1" s="93"/>
      <c r="AB1" s="93"/>
    </row>
    <row r="2" spans="1:28" ht="18.75" x14ac:dyDescent="0.25">
      <c r="A2" s="93"/>
      <c r="B2" s="93"/>
      <c r="C2" s="93"/>
      <c r="D2" s="93"/>
      <c r="E2" s="93"/>
      <c r="F2" s="93"/>
      <c r="G2" s="93"/>
      <c r="H2" s="144" t="s">
        <v>143</v>
      </c>
      <c r="I2" s="93"/>
      <c r="J2" s="93"/>
      <c r="K2" s="93"/>
      <c r="L2" s="93"/>
      <c r="M2" s="93"/>
      <c r="N2" s="93"/>
      <c r="O2" s="93"/>
      <c r="P2" s="93"/>
      <c r="Q2" s="93"/>
      <c r="R2" s="93"/>
      <c r="S2" s="93"/>
      <c r="T2" s="93"/>
      <c r="U2" s="93"/>
      <c r="V2" s="93"/>
      <c r="W2" s="93"/>
      <c r="X2" s="93"/>
      <c r="Y2" s="93"/>
      <c r="Z2" s="93"/>
      <c r="AA2" s="93"/>
      <c r="AB2" s="93"/>
    </row>
    <row r="3" spans="1:28" ht="15" x14ac:dyDescent="0.25">
      <c r="A3" s="93"/>
      <c r="B3" s="134" t="s">
        <v>183</v>
      </c>
      <c r="C3" s="93"/>
      <c r="D3" s="93"/>
      <c r="E3" s="93"/>
      <c r="F3" s="93"/>
      <c r="G3" s="93"/>
      <c r="H3" s="93"/>
      <c r="I3" s="93"/>
      <c r="J3" s="93"/>
      <c r="K3" s="93"/>
      <c r="L3" s="93"/>
      <c r="M3" s="93"/>
      <c r="N3" s="93"/>
      <c r="O3" s="93"/>
      <c r="P3" s="93"/>
      <c r="Q3" s="93"/>
      <c r="R3" s="93"/>
      <c r="S3" s="93"/>
      <c r="T3" s="93"/>
      <c r="U3" s="93"/>
      <c r="V3" s="93"/>
      <c r="W3" s="93"/>
      <c r="X3" s="93"/>
      <c r="Y3" s="93"/>
      <c r="Z3" s="93"/>
      <c r="AA3" s="93"/>
      <c r="AB3" s="93"/>
    </row>
    <row r="4" spans="1:28" ht="15" x14ac:dyDescent="0.25">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row>
    <row r="5" spans="1:28" ht="15" x14ac:dyDescent="0.25">
      <c r="A5" s="93"/>
      <c r="B5" s="135" t="s">
        <v>78</v>
      </c>
      <c r="C5" s="136">
        <f>IF(Thresholds!E1="Seismic",1,0)</f>
        <v>0</v>
      </c>
      <c r="D5" s="93"/>
      <c r="E5" s="93"/>
      <c r="F5" s="93"/>
      <c r="G5" s="93"/>
      <c r="H5" s="93"/>
      <c r="I5" s="93"/>
      <c r="J5" s="93"/>
      <c r="K5" s="93"/>
      <c r="L5" s="93"/>
      <c r="M5" s="93"/>
      <c r="N5" s="93"/>
      <c r="O5" s="93"/>
      <c r="P5" s="93"/>
      <c r="Q5" s="93"/>
      <c r="R5" s="93"/>
      <c r="S5" s="93"/>
      <c r="T5" s="93"/>
      <c r="U5" s="93"/>
      <c r="V5" s="93"/>
      <c r="W5" s="93"/>
      <c r="X5" s="93"/>
      <c r="Y5" s="93"/>
      <c r="Z5" s="93"/>
      <c r="AA5" s="93"/>
      <c r="AB5" s="93"/>
    </row>
    <row r="6" spans="1:28" ht="15" x14ac:dyDescent="0.25">
      <c r="A6" s="93"/>
      <c r="B6" s="135" t="s">
        <v>86</v>
      </c>
      <c r="C6" s="136">
        <f>IF(Input!C37=TRUE,MAX(0,MIN(1,IF(Thresholds!E1="Seismic",Input!B19*'Sensitivity Ranges'!$F$45,IF(Thresholds!E1="Wildcat",1,0)))),0)</f>
        <v>1</v>
      </c>
      <c r="D6" s="93"/>
      <c r="E6" s="93"/>
      <c r="F6" s="93"/>
      <c r="G6" s="93"/>
      <c r="H6" s="93"/>
      <c r="I6" s="93"/>
      <c r="J6" s="93"/>
      <c r="K6" s="93"/>
      <c r="L6" s="93"/>
      <c r="M6" s="93"/>
      <c r="N6" s="93"/>
      <c r="O6" s="93"/>
      <c r="P6" s="93"/>
      <c r="Q6" s="93"/>
      <c r="R6" s="93"/>
      <c r="S6" s="93"/>
      <c r="T6" s="93"/>
      <c r="U6" s="93"/>
      <c r="V6" s="93"/>
      <c r="W6" s="93"/>
      <c r="X6" s="93"/>
      <c r="Y6" s="93"/>
      <c r="Z6" s="93"/>
      <c r="AA6" s="93"/>
      <c r="AB6" s="93"/>
    </row>
    <row r="7" spans="1:28" ht="15" x14ac:dyDescent="0.25">
      <c r="A7" s="93"/>
      <c r="B7" s="135" t="s">
        <v>87</v>
      </c>
      <c r="C7" s="136">
        <f>MAX(0,MIN(1,IF(Thresholds!E1="Seismic",C6*Input!B20,IF(Thresholds!E1="Wildcat",C6*Input!B20*'Sensitivity Ranges'!$F$45,IF(Thresholds!E1="Appraisal",1,0)))))</f>
        <v>0.35</v>
      </c>
      <c r="D7" s="93"/>
      <c r="E7" s="93"/>
      <c r="F7" s="93"/>
      <c r="G7" s="93"/>
      <c r="H7" s="93"/>
      <c r="I7" s="93"/>
      <c r="J7" s="93"/>
      <c r="K7" s="93"/>
      <c r="L7" s="93"/>
      <c r="M7" s="93"/>
      <c r="N7" s="93"/>
      <c r="O7" s="93"/>
      <c r="P7" s="93"/>
      <c r="Q7" s="93"/>
      <c r="R7" s="93"/>
      <c r="S7" s="93"/>
      <c r="T7" s="93"/>
      <c r="U7" s="93"/>
      <c r="V7" s="93"/>
      <c r="W7" s="93"/>
      <c r="X7" s="93"/>
      <c r="Y7" s="93"/>
      <c r="Z7" s="93"/>
      <c r="AA7" s="93"/>
      <c r="AB7" s="93"/>
    </row>
    <row r="8" spans="1:28" ht="15" x14ac:dyDescent="0.25">
      <c r="A8" s="93"/>
      <c r="B8" s="135" t="s">
        <v>88</v>
      </c>
      <c r="C8" s="136">
        <f>MAX(0,MIN(1,IF(OR(Thresholds!E1="seismic",Thresholds!E1="wildcat"),C7*Input!B21,IF(Thresholds!E1="appraisal",C7*Input!B21*'Sensitivity Ranges'!F45,IF(Thresholds!E1="Development Planning",1,0)))))</f>
        <v>0.26249999999999996</v>
      </c>
      <c r="D8" s="93"/>
      <c r="E8" s="93"/>
      <c r="F8" s="93"/>
      <c r="G8" s="93"/>
      <c r="H8" s="93"/>
      <c r="I8" s="93"/>
      <c r="J8" s="93"/>
      <c r="K8" s="93"/>
      <c r="L8" s="93"/>
      <c r="M8" s="93"/>
      <c r="N8" s="93"/>
      <c r="O8" s="93"/>
      <c r="P8" s="93"/>
      <c r="Q8" s="93"/>
      <c r="R8" s="93"/>
      <c r="S8" s="93"/>
      <c r="T8" s="93"/>
      <c r="U8" s="93"/>
      <c r="V8" s="93"/>
      <c r="W8" s="93"/>
      <c r="X8" s="93"/>
      <c r="Y8" s="93"/>
      <c r="Z8" s="93"/>
      <c r="AA8" s="93"/>
      <c r="AB8" s="93"/>
    </row>
    <row r="9" spans="1:28" ht="15" x14ac:dyDescent="0.25">
      <c r="A9" s="93"/>
      <c r="B9" s="137" t="s">
        <v>184</v>
      </c>
      <c r="C9" s="138">
        <f>MAX(0,MIN(1,IF(Thresholds!E1="Development Start",1,IF(Thresholds!E1="Development Planning",C8*Input!B22*'Sensitivity Ranges'!F45,C8*Input!B22))))</f>
        <v>0.26249999999999996</v>
      </c>
      <c r="D9" s="93"/>
      <c r="E9" s="93"/>
      <c r="F9" s="93"/>
      <c r="G9" s="93"/>
      <c r="H9" s="93"/>
      <c r="I9" s="93"/>
      <c r="J9" s="93"/>
      <c r="K9" s="93"/>
      <c r="L9" s="93"/>
      <c r="M9" s="93"/>
      <c r="N9" s="93"/>
      <c r="O9" s="93"/>
      <c r="P9" s="93"/>
      <c r="Q9" s="93"/>
      <c r="R9" s="93"/>
      <c r="S9" s="93"/>
      <c r="T9" s="93"/>
      <c r="U9" s="93"/>
      <c r="V9" s="93"/>
      <c r="W9" s="93"/>
      <c r="X9" s="93"/>
      <c r="Y9" s="93"/>
      <c r="Z9" s="93"/>
      <c r="AA9" s="93"/>
      <c r="AB9" s="93"/>
    </row>
    <row r="10" spans="1:28" ht="15" x14ac:dyDescent="0.25">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row>
    <row r="11" spans="1:28" ht="15" x14ac:dyDescent="0.25">
      <c r="A11" s="93"/>
      <c r="B11" s="135" t="s">
        <v>185</v>
      </c>
      <c r="C11" s="139">
        <f>IF(Overrides!C22=Lists!A37,SUM(M23:M27),VLOOKUP(Thresholds!E2,IF(Input!B11="gas",'Sched &amp; Prod Assumptions'!A82:B86,'Sched &amp; Prod Assumptions'!F82:G86),2))</f>
        <v>3</v>
      </c>
      <c r="D11" s="93"/>
      <c r="E11" s="93"/>
      <c r="F11" s="93"/>
      <c r="G11" s="93"/>
      <c r="H11" s="93"/>
      <c r="I11" s="93"/>
      <c r="J11" s="93"/>
      <c r="K11" s="93"/>
      <c r="L11" s="93"/>
      <c r="M11" s="93"/>
      <c r="N11" s="93"/>
      <c r="O11" s="93"/>
      <c r="P11" s="93"/>
      <c r="Q11" s="93"/>
      <c r="R11" s="93"/>
      <c r="S11" s="93"/>
      <c r="T11" s="93"/>
      <c r="U11" s="93"/>
      <c r="V11" s="93"/>
      <c r="W11" s="93"/>
      <c r="X11" s="93"/>
      <c r="Y11" s="93"/>
      <c r="Z11" s="93"/>
      <c r="AA11" s="93"/>
      <c r="AB11" s="93"/>
    </row>
    <row r="12" spans="1:28" ht="15" x14ac:dyDescent="0.25">
      <c r="A12" s="93"/>
      <c r="B12" s="135" t="s">
        <v>186</v>
      </c>
      <c r="C12" s="139">
        <f>IF(Overrides!C4="Manual Override",1,0)</f>
        <v>0</v>
      </c>
      <c r="D12" s="93"/>
      <c r="E12" s="93"/>
      <c r="F12" s="93"/>
      <c r="G12" s="93"/>
      <c r="H12" s="93"/>
      <c r="I12" s="93"/>
      <c r="J12" s="93"/>
      <c r="K12" s="93"/>
      <c r="L12" s="93"/>
      <c r="M12" s="93"/>
      <c r="N12" s="93"/>
      <c r="O12" s="93"/>
      <c r="P12" s="93"/>
      <c r="Q12" s="93"/>
      <c r="R12" s="93"/>
      <c r="S12" s="93"/>
      <c r="T12" s="93"/>
      <c r="U12" s="93"/>
      <c r="V12" s="93"/>
      <c r="W12" s="93"/>
      <c r="X12" s="93"/>
      <c r="Y12" s="93"/>
      <c r="Z12" s="93"/>
      <c r="AA12" s="93"/>
      <c r="AB12" s="93"/>
    </row>
    <row r="13" spans="1:28" ht="15" x14ac:dyDescent="0.25">
      <c r="A13" s="93"/>
      <c r="B13" s="135" t="s">
        <v>187</v>
      </c>
      <c r="C13" s="139">
        <f>IF(Overrides!C14="Manual Override",1,0)</f>
        <v>0</v>
      </c>
      <c r="D13" s="93"/>
      <c r="E13" s="93"/>
      <c r="F13" s="93"/>
      <c r="G13" s="93"/>
      <c r="H13" s="93"/>
      <c r="I13" s="93"/>
      <c r="J13" s="93"/>
      <c r="K13" s="93"/>
      <c r="L13" s="93"/>
      <c r="M13" s="93"/>
      <c r="N13" s="93"/>
      <c r="O13" s="93"/>
      <c r="P13" s="93"/>
      <c r="Q13" s="93"/>
      <c r="R13" s="93"/>
      <c r="S13" s="93"/>
      <c r="T13" s="93"/>
      <c r="U13" s="93"/>
      <c r="V13" s="93"/>
      <c r="W13" s="93"/>
      <c r="X13" s="93"/>
      <c r="Y13" s="93"/>
      <c r="Z13" s="93"/>
      <c r="AA13" s="93"/>
      <c r="AB13" s="93"/>
    </row>
    <row r="14" spans="1:28" ht="15" x14ac:dyDescent="0.25">
      <c r="A14" s="93"/>
      <c r="B14" s="135" t="s">
        <v>188</v>
      </c>
      <c r="C14" s="139">
        <f>IF(Overrides!C22="Manual Override",1,0)</f>
        <v>0</v>
      </c>
      <c r="D14" s="93"/>
      <c r="E14" s="93"/>
      <c r="F14" s="93"/>
      <c r="G14" s="93"/>
      <c r="H14" s="93"/>
      <c r="I14" s="93"/>
      <c r="J14" s="93"/>
      <c r="K14" s="93"/>
      <c r="L14" s="93"/>
      <c r="M14" s="93"/>
      <c r="N14" s="93"/>
      <c r="O14" s="93"/>
      <c r="P14" s="93"/>
      <c r="Q14" s="93"/>
      <c r="R14" s="93"/>
      <c r="S14" s="93"/>
      <c r="T14" s="93"/>
      <c r="U14" s="93"/>
      <c r="V14" s="93"/>
      <c r="W14" s="93"/>
      <c r="X14" s="93"/>
      <c r="Y14" s="93"/>
      <c r="Z14" s="93"/>
      <c r="AA14" s="93"/>
      <c r="AB14" s="93"/>
    </row>
    <row r="15" spans="1:28" ht="15" x14ac:dyDescent="0.25">
      <c r="A15" s="93"/>
      <c r="B15" s="135" t="s">
        <v>189</v>
      </c>
      <c r="C15" s="135">
        <f>IF('Cost Assumptions'!O6="Deepwater",IF(Input!B27=Lists!A87,'Sched &amp; Prod Assumptions'!C63,IF(Input!B27=Lists!A88,'Sched &amp; Prod Assumptions'!C64,'Sched &amp; Prod Assumptions'!C65)),IF(Input!B27=Lists!A87,'Sched &amp; Prod Assumptions'!B63,IF(Input!B27=Lists!A88,'Sched &amp; Prod Assumptions'!B64,'Sched &amp; Prod Assumptions'!B65)))</f>
        <v>1</v>
      </c>
      <c r="D15" s="93"/>
      <c r="E15" s="93"/>
      <c r="F15" s="134"/>
      <c r="G15" s="93"/>
      <c r="H15" s="93"/>
      <c r="I15" s="93"/>
      <c r="J15" s="93"/>
      <c r="K15" s="93"/>
      <c r="L15" s="93"/>
      <c r="M15" s="93"/>
      <c r="N15" s="93"/>
      <c r="O15" s="93"/>
      <c r="P15" s="93"/>
      <c r="Q15" s="93"/>
      <c r="R15" s="93"/>
      <c r="S15" s="93"/>
      <c r="T15" s="93"/>
      <c r="U15" s="93"/>
      <c r="V15" s="93"/>
      <c r="W15" s="93"/>
      <c r="X15" s="93"/>
      <c r="Y15" s="93"/>
      <c r="Z15" s="93"/>
      <c r="AA15" s="93"/>
      <c r="AB15" s="93"/>
    </row>
    <row r="16" spans="1:28" ht="15" x14ac:dyDescent="0.25">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row>
    <row r="17" spans="1:28" ht="15" x14ac:dyDescent="0.25">
      <c r="A17" s="93"/>
      <c r="B17" s="93"/>
      <c r="C17" s="140"/>
      <c r="D17" s="140" t="s">
        <v>190</v>
      </c>
      <c r="E17" s="140" t="s">
        <v>190</v>
      </c>
      <c r="F17" s="140" t="s">
        <v>190</v>
      </c>
      <c r="G17" s="93"/>
      <c r="H17" s="140" t="s">
        <v>191</v>
      </c>
      <c r="I17" s="140" t="s">
        <v>191</v>
      </c>
      <c r="J17" s="140" t="s">
        <v>191</v>
      </c>
      <c r="K17" s="140" t="s">
        <v>191</v>
      </c>
      <c r="L17" s="140" t="s">
        <v>191</v>
      </c>
      <c r="M17" s="140" t="s">
        <v>192</v>
      </c>
      <c r="N17" s="93"/>
      <c r="O17" s="140" t="s">
        <v>193</v>
      </c>
      <c r="P17" s="140" t="s">
        <v>194</v>
      </c>
      <c r="Q17" s="140" t="s">
        <v>195</v>
      </c>
      <c r="R17" s="140" t="s">
        <v>195</v>
      </c>
      <c r="S17" s="140" t="s">
        <v>196</v>
      </c>
      <c r="T17" s="93"/>
      <c r="U17" s="93"/>
      <c r="V17" s="140" t="s">
        <v>63</v>
      </c>
      <c r="W17" s="93"/>
      <c r="X17" s="145" t="s">
        <v>197</v>
      </c>
      <c r="Y17" s="146"/>
      <c r="Z17" s="146"/>
      <c r="AA17" s="147"/>
      <c r="AB17" s="148">
        <f>IF(C11=0,0,(Input!B21+(1-Input!B21)*(Exploration!C11+1)/2/Exploration!C11))</f>
        <v>0.91666666666666663</v>
      </c>
    </row>
    <row r="18" spans="1:28" ht="15" x14ac:dyDescent="0.25">
      <c r="A18" s="93"/>
      <c r="B18" s="93"/>
      <c r="C18" s="141" t="s">
        <v>198</v>
      </c>
      <c r="D18" s="141" t="s">
        <v>146</v>
      </c>
      <c r="E18" s="141" t="s">
        <v>199</v>
      </c>
      <c r="F18" s="141" t="s">
        <v>200</v>
      </c>
      <c r="G18" s="93"/>
      <c r="H18" s="149" t="s">
        <v>79</v>
      </c>
      <c r="I18" s="149" t="s">
        <v>146</v>
      </c>
      <c r="J18" s="149" t="s">
        <v>201</v>
      </c>
      <c r="K18" s="149" t="s">
        <v>199</v>
      </c>
      <c r="L18" s="149" t="s">
        <v>202</v>
      </c>
      <c r="M18" s="149"/>
      <c r="N18" s="93"/>
      <c r="O18" s="149" t="s">
        <v>14</v>
      </c>
      <c r="P18" s="149" t="s">
        <v>14</v>
      </c>
      <c r="Q18" s="149" t="s">
        <v>203</v>
      </c>
      <c r="R18" s="149" t="s">
        <v>42</v>
      </c>
      <c r="S18" s="149" t="s">
        <v>42</v>
      </c>
      <c r="T18" s="93"/>
      <c r="U18" s="93"/>
      <c r="V18" s="141" t="s">
        <v>204</v>
      </c>
      <c r="W18" s="93"/>
      <c r="X18" s="93"/>
      <c r="Y18" s="93"/>
      <c r="Z18" s="93"/>
      <c r="AA18" s="93"/>
      <c r="AB18" s="93"/>
    </row>
    <row r="19" spans="1:28" ht="15" customHeight="1" x14ac:dyDescent="0.3">
      <c r="A19" s="93"/>
      <c r="B19" s="135" t="s">
        <v>78</v>
      </c>
      <c r="C19" s="142"/>
      <c r="D19" s="142">
        <f>'Cost Assumptions'!O10</f>
        <v>90</v>
      </c>
      <c r="E19" s="142">
        <v>0</v>
      </c>
      <c r="F19" s="142">
        <f>'Cost Assumptions'!O11</f>
        <v>7500</v>
      </c>
      <c r="G19" s="93"/>
      <c r="H19" s="150">
        <f>IF(Thresholds!E1="Seismic",Input!B10,0)</f>
        <v>0</v>
      </c>
      <c r="I19" s="142">
        <f>IF($C$12=1,Overrides!D11,Exploration!D19)</f>
        <v>90</v>
      </c>
      <c r="J19" s="150">
        <f t="shared" ref="J19:J27" si="0">H19+I19</f>
        <v>90</v>
      </c>
      <c r="K19" s="142">
        <f>IF($C$12=1,Overrides!E11,Exploration!E19)</f>
        <v>0</v>
      </c>
      <c r="L19" s="142">
        <f>IF(Exploration!$C$12=1,Overrides!F11,Exploration!F19)/1000</f>
        <v>7.5</v>
      </c>
      <c r="M19" s="135"/>
      <c r="N19" s="93"/>
      <c r="O19" s="151">
        <f>YEAR(H19)</f>
        <v>1900</v>
      </c>
      <c r="P19" s="135">
        <f t="shared" ref="P19:P27" si="1">YEAR(J19)</f>
        <v>1900</v>
      </c>
      <c r="Q19" s="148">
        <f t="shared" ref="Q19:Q27" si="2">IF(I19=0,0,(MIN(J19,DATE(O19,12,31))-H19)/I19)</f>
        <v>1</v>
      </c>
      <c r="R19" s="152">
        <f t="shared" ref="R19:R27" si="3">Q19*L19</f>
        <v>7.5</v>
      </c>
      <c r="S19" s="152">
        <f t="shared" ref="S19:S27" si="4">L19-R19</f>
        <v>0</v>
      </c>
      <c r="T19" s="93"/>
      <c r="U19" s="135" t="s">
        <v>205</v>
      </c>
      <c r="V19" s="153">
        <f>IF(J19&lt;Input!$B$10,SUM(Exploration!L19:L20),0)</f>
        <v>11</v>
      </c>
      <c r="W19" s="93"/>
      <c r="X19" s="582" t="s">
        <v>206</v>
      </c>
      <c r="Y19" s="582"/>
      <c r="Z19" s="582"/>
      <c r="AA19" s="582"/>
      <c r="AB19" s="582"/>
    </row>
    <row r="20" spans="1:28" x14ac:dyDescent="0.3">
      <c r="A20" s="93"/>
      <c r="B20" s="135" t="s">
        <v>148</v>
      </c>
      <c r="C20" s="142"/>
      <c r="D20" s="142">
        <f>'Cost Assumptions'!O12</f>
        <v>180</v>
      </c>
      <c r="E20" s="142">
        <f>'Cost Assumptions'!O14</f>
        <v>120</v>
      </c>
      <c r="F20" s="142">
        <f>'Cost Assumptions'!O13</f>
        <v>3500</v>
      </c>
      <c r="G20" s="93"/>
      <c r="H20" s="150">
        <f>J19+K19</f>
        <v>90</v>
      </c>
      <c r="I20" s="142">
        <f>IF($C$12=1,Overrides!D12,Exploration!D20)</f>
        <v>180</v>
      </c>
      <c r="J20" s="150">
        <f t="shared" si="0"/>
        <v>270</v>
      </c>
      <c r="K20" s="142">
        <f>IF($C$12=1,Overrides!E12,Exploration!E20)</f>
        <v>120</v>
      </c>
      <c r="L20" s="142">
        <f>IF(Exploration!$C$12=1,Overrides!F12,Exploration!F20)/1000</f>
        <v>3.5</v>
      </c>
      <c r="M20" s="135"/>
      <c r="N20" s="93"/>
      <c r="O20" s="135">
        <f t="shared" ref="O20:O27" si="5">YEAR(H20)</f>
        <v>1900</v>
      </c>
      <c r="P20" s="135">
        <f t="shared" si="1"/>
        <v>1900</v>
      </c>
      <c r="Q20" s="148">
        <f t="shared" si="2"/>
        <v>1</v>
      </c>
      <c r="R20" s="152">
        <f t="shared" si="3"/>
        <v>3.5</v>
      </c>
      <c r="S20" s="152">
        <f t="shared" si="4"/>
        <v>0</v>
      </c>
      <c r="T20" s="93"/>
      <c r="U20" s="135" t="s">
        <v>207</v>
      </c>
      <c r="V20" s="153">
        <f>IF(J22&lt;Input!$B$10,SUM(Exploration!L21:L22),0)</f>
        <v>0</v>
      </c>
      <c r="W20" s="93"/>
      <c r="X20" s="582"/>
      <c r="Y20" s="582"/>
      <c r="Z20" s="582"/>
      <c r="AA20" s="582"/>
      <c r="AB20" s="582"/>
    </row>
    <row r="21" spans="1:28" x14ac:dyDescent="0.3">
      <c r="A21" s="93"/>
      <c r="B21" s="135" t="s">
        <v>86</v>
      </c>
      <c r="C21" s="142">
        <f>Thresholds!E3-Input!B13</f>
        <v>2500</v>
      </c>
      <c r="D21" s="142">
        <f>(C21/'Cost Assumptions'!$O$31)*C15+'Cost Assumptions'!$O$30</f>
        <v>69.454545454545453</v>
      </c>
      <c r="E21" s="142">
        <v>0</v>
      </c>
      <c r="F21" s="142">
        <f>(D21*('Cost Assumptions'!$O$29+'Cost Assumptions'!$O$24)+'Cost Assumptions'!$O$28*C21)/1000+'Cost Assumptions'!$O$27</f>
        <v>67729.090909090912</v>
      </c>
      <c r="G21" s="93"/>
      <c r="H21" s="150">
        <f>IF(Thresholds!E1="Wildcat",Input!B10,J20+K20)</f>
        <v>41091</v>
      </c>
      <c r="I21" s="142">
        <f>IF($C$13=1,Overrides!D19,Exploration!D21)</f>
        <v>69.454545454545453</v>
      </c>
      <c r="J21" s="150">
        <f t="shared" si="0"/>
        <v>41160.454545454544</v>
      </c>
      <c r="K21" s="142">
        <f>IF($C$13=1,Overrides!E19,Exploration!E21)</f>
        <v>0</v>
      </c>
      <c r="L21" s="142">
        <f>IF(Exploration!$C$13=1,Overrides!F19,Exploration!F21)/1000</f>
        <v>67.729090909090914</v>
      </c>
      <c r="M21" s="135"/>
      <c r="N21" s="93"/>
      <c r="O21" s="135">
        <f t="shared" si="5"/>
        <v>2012</v>
      </c>
      <c r="P21" s="135">
        <f t="shared" si="1"/>
        <v>2012</v>
      </c>
      <c r="Q21" s="148">
        <f t="shared" si="2"/>
        <v>0.99999999999998102</v>
      </c>
      <c r="R21" s="152">
        <f t="shared" si="3"/>
        <v>67.729090909089635</v>
      </c>
      <c r="S21" s="152">
        <f t="shared" si="4"/>
        <v>1.2789769243681803E-12</v>
      </c>
      <c r="T21" s="93"/>
      <c r="U21" s="135" t="s">
        <v>208</v>
      </c>
      <c r="V21" s="153">
        <f>IF(J27&lt;Input!B10,SUM(Exploration!L23:L27),0)</f>
        <v>0</v>
      </c>
      <c r="W21" s="93"/>
      <c r="X21" s="582"/>
      <c r="Y21" s="582"/>
      <c r="Z21" s="582"/>
      <c r="AA21" s="582"/>
      <c r="AB21" s="582"/>
    </row>
    <row r="22" spans="1:28" x14ac:dyDescent="0.3">
      <c r="A22" s="93"/>
      <c r="B22" s="135" t="s">
        <v>150</v>
      </c>
      <c r="C22" s="142"/>
      <c r="D22" s="142">
        <f>'Cost Assumptions'!O15</f>
        <v>90</v>
      </c>
      <c r="E22" s="142">
        <f>'Cost Assumptions'!O17</f>
        <v>120</v>
      </c>
      <c r="F22" s="142">
        <f>'Cost Assumptions'!O16</f>
        <v>500</v>
      </c>
      <c r="G22" s="93"/>
      <c r="H22" s="150">
        <f t="shared" ref="H22:H27" si="6">J21+K21</f>
        <v>41160.454545454544</v>
      </c>
      <c r="I22" s="142">
        <f>IF($C$13=1,Overrides!D20,Exploration!D22)</f>
        <v>90</v>
      </c>
      <c r="J22" s="150">
        <f t="shared" si="0"/>
        <v>41250.454545454544</v>
      </c>
      <c r="K22" s="142">
        <f>IF($C$13=1,Overrides!E20,Exploration!E22)</f>
        <v>120</v>
      </c>
      <c r="L22" s="142">
        <f>IF(Exploration!$C$13=1,Overrides!F20,Exploration!F22)/1000</f>
        <v>0.5</v>
      </c>
      <c r="M22" s="135"/>
      <c r="N22" s="93"/>
      <c r="O22" s="135">
        <f t="shared" si="5"/>
        <v>2012</v>
      </c>
      <c r="P22" s="135">
        <f t="shared" si="1"/>
        <v>2012</v>
      </c>
      <c r="Q22" s="148">
        <f t="shared" si="2"/>
        <v>1</v>
      </c>
      <c r="R22" s="152">
        <f t="shared" si="3"/>
        <v>0.5</v>
      </c>
      <c r="S22" s="152">
        <f t="shared" si="4"/>
        <v>0</v>
      </c>
      <c r="T22" s="93"/>
      <c r="U22" s="135" t="s">
        <v>209</v>
      </c>
      <c r="V22" s="153">
        <f>IF(Development!B5&lt;Input!B10,Development!B10/1000,0)</f>
        <v>0</v>
      </c>
      <c r="W22" s="93"/>
      <c r="X22" s="582"/>
      <c r="Y22" s="582"/>
      <c r="Z22" s="582"/>
      <c r="AA22" s="582"/>
      <c r="AB22" s="582"/>
    </row>
    <row r="23" spans="1:28" x14ac:dyDescent="0.3">
      <c r="A23" s="135">
        <v>1</v>
      </c>
      <c r="B23" s="135" t="s">
        <v>152</v>
      </c>
      <c r="C23" s="142">
        <f>IF(A23&gt;$C$11,0,Thresholds!$E$3-Input!$B$13)</f>
        <v>2500</v>
      </c>
      <c r="D23" s="142">
        <f>IF(A23&gt;$C$11,0,(C23/'Cost Assumptions'!$O$31)*C$15+'Cost Assumptions'!$O$30)</f>
        <v>69.454545454545453</v>
      </c>
      <c r="E23" s="142">
        <f>IF(A23&gt;=$C$11,0,'Cost Assumptions'!$O$20)</f>
        <v>90</v>
      </c>
      <c r="F23" s="142">
        <f>IF(A23&gt;$C$11,0,(D23*('Cost Assumptions'!$O$29+'Cost Assumptions'!$O$24)+'Cost Assumptions'!$O$28*C23)/1000+'Cost Assumptions'!$O$27)</f>
        <v>67729.090909090912</v>
      </c>
      <c r="G23" s="93"/>
      <c r="H23" s="150">
        <f>IF(Thresholds!E1="Appraisal",Input!B10,J22+K22)</f>
        <v>41370.454545454544</v>
      </c>
      <c r="I23" s="142">
        <f>IF($C$14=1,Overrides!D27,Exploration!D23)</f>
        <v>69.454545454545453</v>
      </c>
      <c r="J23" s="150">
        <f t="shared" si="0"/>
        <v>41439.909090909088</v>
      </c>
      <c r="K23" s="142">
        <f>IF($C$14=1,Overrides!E27,Exploration!E23)</f>
        <v>90</v>
      </c>
      <c r="L23" s="142">
        <f>IF(Exploration!$C$14=1,Overrides!F27,Exploration!F23)/1000</f>
        <v>67.729090909090914</v>
      </c>
      <c r="M23" s="135">
        <f>IF(I23&gt;0,1,0)</f>
        <v>1</v>
      </c>
      <c r="N23" s="93"/>
      <c r="O23" s="135">
        <f t="shared" si="5"/>
        <v>2013</v>
      </c>
      <c r="P23" s="135">
        <f t="shared" si="1"/>
        <v>2013</v>
      </c>
      <c r="Q23" s="148">
        <f t="shared" si="2"/>
        <v>0.99999999999998102</v>
      </c>
      <c r="R23" s="152">
        <f t="shared" si="3"/>
        <v>67.729090909089635</v>
      </c>
      <c r="S23" s="152">
        <f t="shared" si="4"/>
        <v>1.2789769243681803E-12</v>
      </c>
      <c r="T23" s="93"/>
      <c r="U23" s="135" t="s">
        <v>210</v>
      </c>
      <c r="V23" s="153">
        <f>SUM(V19:V22)</f>
        <v>11</v>
      </c>
      <c r="W23" s="93"/>
      <c r="X23" s="582"/>
      <c r="Y23" s="582"/>
      <c r="Z23" s="582"/>
      <c r="AA23" s="582"/>
      <c r="AB23" s="582"/>
    </row>
    <row r="24" spans="1:28" x14ac:dyDescent="0.3">
      <c r="A24" s="135">
        <f>A23+1</f>
        <v>2</v>
      </c>
      <c r="B24" s="135" t="s">
        <v>153</v>
      </c>
      <c r="C24" s="142">
        <f>IF(A24&gt;$C$11,0,Thresholds!$E$3-Input!$B$13)</f>
        <v>2500</v>
      </c>
      <c r="D24" s="142">
        <f>IF(A24&gt;$C$11,0,(C24/'Cost Assumptions'!$O$31)*C$15+'Cost Assumptions'!$O$30)</f>
        <v>69.454545454545453</v>
      </c>
      <c r="E24" s="142">
        <f>IF(A24&gt;=$C$11,0,'Cost Assumptions'!$O$20)</f>
        <v>90</v>
      </c>
      <c r="F24" s="142">
        <f>IF(A24&gt;$C$11,0,(D24*('Cost Assumptions'!$O$29+'Cost Assumptions'!$O$24)+'Cost Assumptions'!$O$28*C24)/1000+'Cost Assumptions'!$O$27)</f>
        <v>67729.090909090912</v>
      </c>
      <c r="G24" s="93"/>
      <c r="H24" s="150">
        <f t="shared" si="6"/>
        <v>41529.909090909088</v>
      </c>
      <c r="I24" s="142">
        <f>IF($C$14=1,Overrides!D28,Exploration!D24)</f>
        <v>69.454545454545453</v>
      </c>
      <c r="J24" s="150">
        <f t="shared" si="0"/>
        <v>41599.363636363632</v>
      </c>
      <c r="K24" s="142">
        <f>IF($C$14=1,Overrides!E28,Exploration!E24)</f>
        <v>90</v>
      </c>
      <c r="L24" s="142">
        <f>IF(Exploration!$C$14=1,Overrides!F28,Exploration!F24)/1000</f>
        <v>67.729090909090914</v>
      </c>
      <c r="M24" s="135">
        <f>IF(I24&gt;0,1,0)</f>
        <v>1</v>
      </c>
      <c r="N24" s="93"/>
      <c r="O24" s="135">
        <f t="shared" si="5"/>
        <v>2013</v>
      </c>
      <c r="P24" s="135">
        <f t="shared" si="1"/>
        <v>2013</v>
      </c>
      <c r="Q24" s="148">
        <f t="shared" si="2"/>
        <v>0.99999999999998102</v>
      </c>
      <c r="R24" s="152">
        <f t="shared" si="3"/>
        <v>67.729090909089635</v>
      </c>
      <c r="S24" s="152">
        <f t="shared" si="4"/>
        <v>1.2789769243681803E-12</v>
      </c>
      <c r="T24" s="93"/>
      <c r="U24" s="135"/>
      <c r="V24" s="135"/>
      <c r="W24" s="93"/>
      <c r="X24" s="582"/>
      <c r="Y24" s="582"/>
      <c r="Z24" s="582"/>
      <c r="AA24" s="582"/>
      <c r="AB24" s="582"/>
    </row>
    <row r="25" spans="1:28" x14ac:dyDescent="0.3">
      <c r="A25" s="135">
        <f>A24+1</f>
        <v>3</v>
      </c>
      <c r="B25" s="135" t="s">
        <v>154</v>
      </c>
      <c r="C25" s="142">
        <f>IF(A25&gt;$C$11,0,Thresholds!$E$3-Input!$B$13)</f>
        <v>2500</v>
      </c>
      <c r="D25" s="142">
        <f>IF(A25&gt;$C$11,0,(C25/'Cost Assumptions'!$O$31)*C$15+'Cost Assumptions'!$O$30)</f>
        <v>69.454545454545453</v>
      </c>
      <c r="E25" s="142">
        <f>IF(A25&gt;=$C$11,0,'Cost Assumptions'!$O$20)</f>
        <v>0</v>
      </c>
      <c r="F25" s="142">
        <f>IF(A25&gt;$C$11,0,(D25*('Cost Assumptions'!$O$29+'Cost Assumptions'!$O$24)+'Cost Assumptions'!$O$28*C25)/1000+'Cost Assumptions'!$O$27)</f>
        <v>67729.090909090912</v>
      </c>
      <c r="G25" s="93"/>
      <c r="H25" s="150">
        <f t="shared" si="6"/>
        <v>41689.363636363632</v>
      </c>
      <c r="I25" s="142">
        <f>IF($C$14=1,Overrides!D29,Exploration!D25)</f>
        <v>69.454545454545453</v>
      </c>
      <c r="J25" s="150">
        <f t="shared" si="0"/>
        <v>41758.818181818177</v>
      </c>
      <c r="K25" s="142">
        <f>IF($C$14=1,Overrides!E29,Exploration!E25)</f>
        <v>0</v>
      </c>
      <c r="L25" s="142">
        <f>IF(Exploration!$C$14=1,Overrides!F29,Exploration!F25)/1000</f>
        <v>67.729090909090914</v>
      </c>
      <c r="M25" s="135">
        <f>IF(I25&gt;0,1,0)</f>
        <v>1</v>
      </c>
      <c r="N25" s="93"/>
      <c r="O25" s="135">
        <f t="shared" si="5"/>
        <v>2014</v>
      </c>
      <c r="P25" s="135">
        <f t="shared" si="1"/>
        <v>2014</v>
      </c>
      <c r="Q25" s="148">
        <f t="shared" si="2"/>
        <v>0.99999999999998102</v>
      </c>
      <c r="R25" s="152">
        <f t="shared" si="3"/>
        <v>67.729090909089635</v>
      </c>
      <c r="S25" s="152">
        <f t="shared" si="4"/>
        <v>1.2789769243681803E-12</v>
      </c>
      <c r="T25" s="93"/>
      <c r="U25" s="135" t="s">
        <v>211</v>
      </c>
      <c r="V25" s="153">
        <f>V20+V19</f>
        <v>11</v>
      </c>
      <c r="W25" s="93"/>
      <c r="X25" s="582"/>
      <c r="Y25" s="582"/>
      <c r="Z25" s="582"/>
      <c r="AA25" s="582"/>
      <c r="AB25" s="582"/>
    </row>
    <row r="26" spans="1:28" x14ac:dyDescent="0.3">
      <c r="A26" s="135">
        <f>A25+1</f>
        <v>4</v>
      </c>
      <c r="B26" s="135" t="s">
        <v>155</v>
      </c>
      <c r="C26" s="142">
        <f>IF(A26&gt;$C$11,0,Thresholds!$E$3-Input!$B$13)</f>
        <v>0</v>
      </c>
      <c r="D26" s="142">
        <f>IF(A26&gt;$C$11,0,(C26/'Cost Assumptions'!$O$31)*C$15+'Cost Assumptions'!$O$30)</f>
        <v>0</v>
      </c>
      <c r="E26" s="142">
        <f>IF(A26&gt;=$C$11,0,'Cost Assumptions'!$O$20)</f>
        <v>0</v>
      </c>
      <c r="F26" s="142">
        <f>IF(A26&gt;$C$11,0,(D26*('Cost Assumptions'!$O$29+'Cost Assumptions'!$O$24)+'Cost Assumptions'!$O$28*C26)/1000+'Cost Assumptions'!$O$27)</f>
        <v>0</v>
      </c>
      <c r="G26" s="93"/>
      <c r="H26" s="150">
        <f t="shared" si="6"/>
        <v>41758.818181818177</v>
      </c>
      <c r="I26" s="142">
        <f>IF($C$14=1,Overrides!D30,Exploration!D26)</f>
        <v>0</v>
      </c>
      <c r="J26" s="150">
        <f t="shared" si="0"/>
        <v>41758.818181818177</v>
      </c>
      <c r="K26" s="142">
        <f>IF($C$14=1,Overrides!E30,Exploration!E26)</f>
        <v>0</v>
      </c>
      <c r="L26" s="142">
        <f>IF(Exploration!$C$14=1,Overrides!F30,Exploration!F26)/1000</f>
        <v>0</v>
      </c>
      <c r="M26" s="135">
        <f>IF(I26&gt;0,1,0)</f>
        <v>0</v>
      </c>
      <c r="N26" s="93"/>
      <c r="O26" s="135">
        <f t="shared" si="5"/>
        <v>2014</v>
      </c>
      <c r="P26" s="135">
        <f t="shared" si="1"/>
        <v>2014</v>
      </c>
      <c r="Q26" s="148">
        <f t="shared" si="2"/>
        <v>0</v>
      </c>
      <c r="R26" s="152">
        <f t="shared" si="3"/>
        <v>0</v>
      </c>
      <c r="S26" s="152">
        <f t="shared" si="4"/>
        <v>0</v>
      </c>
      <c r="T26" s="93"/>
      <c r="U26" s="135" t="s">
        <v>212</v>
      </c>
      <c r="V26" s="153">
        <f>V21</f>
        <v>0</v>
      </c>
      <c r="W26" s="93"/>
      <c r="X26" s="582"/>
      <c r="Y26" s="582"/>
      <c r="Z26" s="582"/>
      <c r="AA26" s="582"/>
      <c r="AB26" s="582"/>
    </row>
    <row r="27" spans="1:28" ht="15" x14ac:dyDescent="0.25">
      <c r="A27" s="135">
        <f>A26+1</f>
        <v>5</v>
      </c>
      <c r="B27" s="135" t="s">
        <v>156</v>
      </c>
      <c r="C27" s="142">
        <f>IF(A27&gt;$C$11,0,Thresholds!$E$3)</f>
        <v>0</v>
      </c>
      <c r="D27" s="142">
        <f>IF(A27&gt;$C$11,0,(C27/'Cost Assumptions'!$O$31)*C$15+'Cost Assumptions'!$O$30)</f>
        <v>0</v>
      </c>
      <c r="E27" s="142">
        <f>IF(A27&gt;=$C$11,0,'Cost Assumptions'!$O$20)</f>
        <v>0</v>
      </c>
      <c r="F27" s="142">
        <f>IF(A27&gt;$C$11,0,(D27*('Cost Assumptions'!$O$29+'Cost Assumptions'!$O$24)+'Cost Assumptions'!$O$28*C27)/1000+'Cost Assumptions'!$O$27)</f>
        <v>0</v>
      </c>
      <c r="G27" s="93"/>
      <c r="H27" s="150">
        <f t="shared" si="6"/>
        <v>41758.818181818177</v>
      </c>
      <c r="I27" s="142">
        <f>IF($C$14=1,Overrides!D31,Exploration!D27)</f>
        <v>0</v>
      </c>
      <c r="J27" s="150">
        <f t="shared" si="0"/>
        <v>41758.818181818177</v>
      </c>
      <c r="K27" s="142">
        <f>IF($C$14=1,Overrides!E31,Exploration!E27)</f>
        <v>0</v>
      </c>
      <c r="L27" s="142">
        <f>IF(Exploration!$C$14=1,Overrides!F31,Exploration!F27)/1000</f>
        <v>0</v>
      </c>
      <c r="M27" s="135">
        <f>IF(I27&gt;0,1,0)</f>
        <v>0</v>
      </c>
      <c r="N27" s="93"/>
      <c r="O27" s="135">
        <f t="shared" si="5"/>
        <v>2014</v>
      </c>
      <c r="P27" s="135">
        <f t="shared" si="1"/>
        <v>2014</v>
      </c>
      <c r="Q27" s="148">
        <f t="shared" si="2"/>
        <v>0</v>
      </c>
      <c r="R27" s="152">
        <f t="shared" si="3"/>
        <v>0</v>
      </c>
      <c r="S27" s="152">
        <f t="shared" si="4"/>
        <v>0</v>
      </c>
      <c r="T27" s="93"/>
      <c r="U27" s="135" t="s">
        <v>213</v>
      </c>
      <c r="V27" s="153">
        <f>V22</f>
        <v>0</v>
      </c>
      <c r="W27" s="93"/>
      <c r="X27" s="93"/>
      <c r="Y27" s="93"/>
      <c r="Z27" s="93"/>
      <c r="AA27" s="93"/>
      <c r="AB27" s="93"/>
    </row>
    <row r="28" spans="1:28" ht="15" x14ac:dyDescent="0.25">
      <c r="A28" s="93"/>
      <c r="B28" s="93"/>
      <c r="C28" s="93"/>
      <c r="D28" s="93"/>
      <c r="E28" s="93"/>
      <c r="F28" s="93"/>
      <c r="G28" s="93"/>
      <c r="H28" s="93"/>
      <c r="I28" s="93"/>
      <c r="J28" s="93"/>
      <c r="K28" s="93"/>
      <c r="L28" s="93"/>
      <c r="M28" s="154"/>
      <c r="N28" s="154"/>
      <c r="O28" s="154"/>
      <c r="P28" s="93"/>
      <c r="Q28" s="93"/>
      <c r="R28" s="93"/>
      <c r="S28" s="93"/>
      <c r="T28" s="93"/>
      <c r="U28" s="93"/>
      <c r="V28" s="93"/>
      <c r="W28" s="93"/>
      <c r="X28" s="93"/>
      <c r="Y28" s="93"/>
      <c r="Z28" s="93"/>
      <c r="AA28" s="93"/>
      <c r="AB28" s="93"/>
    </row>
    <row r="29" spans="1:28" ht="15" x14ac:dyDescent="0.25">
      <c r="A29" s="93"/>
      <c r="B29" s="93"/>
      <c r="C29" s="134" t="s">
        <v>214</v>
      </c>
      <c r="D29" s="93"/>
      <c r="E29" s="93"/>
      <c r="F29" s="93"/>
      <c r="G29" s="93"/>
      <c r="H29" s="93"/>
      <c r="I29" s="93"/>
      <c r="J29" s="93"/>
      <c r="K29" s="93"/>
      <c r="L29" s="93"/>
      <c r="M29" s="154"/>
      <c r="N29" s="154"/>
      <c r="O29" s="154"/>
      <c r="P29" s="134" t="s">
        <v>215</v>
      </c>
      <c r="Q29" s="93"/>
      <c r="R29" s="93"/>
      <c r="S29" s="93"/>
      <c r="T29" s="93"/>
      <c r="U29" s="134" t="s">
        <v>216</v>
      </c>
      <c r="V29" s="93"/>
      <c r="W29" s="93"/>
      <c r="X29" s="93"/>
      <c r="Y29" s="93"/>
      <c r="Z29" s="93"/>
      <c r="AA29" s="93"/>
      <c r="AB29" s="93"/>
    </row>
    <row r="30" spans="1:28" ht="15" hidden="1" x14ac:dyDescent="0.25">
      <c r="A30" s="93"/>
      <c r="B30" s="93"/>
      <c r="C30" s="93">
        <v>1</v>
      </c>
      <c r="D30" s="93">
        <v>2</v>
      </c>
      <c r="E30" s="93"/>
      <c r="F30" s="93">
        <v>3</v>
      </c>
      <c r="G30" s="93">
        <v>4</v>
      </c>
      <c r="H30" s="93"/>
      <c r="I30" s="93">
        <v>5</v>
      </c>
      <c r="J30" s="93">
        <v>6</v>
      </c>
      <c r="K30" s="93">
        <v>7</v>
      </c>
      <c r="L30" s="93">
        <v>8</v>
      </c>
      <c r="M30" s="93">
        <v>9</v>
      </c>
      <c r="N30" s="93"/>
      <c r="O30" s="93"/>
      <c r="P30" s="93"/>
      <c r="Q30" s="93"/>
      <c r="R30" s="93"/>
      <c r="S30" s="93"/>
      <c r="T30" s="93"/>
      <c r="U30" s="93"/>
      <c r="V30" s="93"/>
      <c r="W30" s="93"/>
      <c r="X30" s="93"/>
      <c r="Y30" s="93"/>
      <c r="Z30" s="93"/>
      <c r="AA30" s="93"/>
      <c r="AB30" s="93"/>
    </row>
    <row r="31" spans="1:28" ht="15" x14ac:dyDescent="0.25">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row>
    <row r="32" spans="1:28" ht="15" x14ac:dyDescent="0.25">
      <c r="A32" s="93"/>
      <c r="B32" s="93"/>
      <c r="C32" s="140" t="s">
        <v>78</v>
      </c>
      <c r="D32" s="140" t="s">
        <v>78</v>
      </c>
      <c r="E32" s="140" t="s">
        <v>13</v>
      </c>
      <c r="F32" s="140" t="s">
        <v>86</v>
      </c>
      <c r="G32" s="140" t="s">
        <v>86</v>
      </c>
      <c r="H32" s="140" t="s">
        <v>13</v>
      </c>
      <c r="I32" s="140" t="s">
        <v>87</v>
      </c>
      <c r="J32" s="140" t="s">
        <v>87</v>
      </c>
      <c r="K32" s="140" t="s">
        <v>87</v>
      </c>
      <c r="L32" s="140" t="s">
        <v>87</v>
      </c>
      <c r="M32" s="140" t="s">
        <v>87</v>
      </c>
      <c r="N32" s="140" t="s">
        <v>13</v>
      </c>
      <c r="O32" s="93"/>
      <c r="P32" s="140" t="s">
        <v>78</v>
      </c>
      <c r="Q32" s="140" t="s">
        <v>86</v>
      </c>
      <c r="R32" s="140" t="s">
        <v>87</v>
      </c>
      <c r="S32" s="140" t="s">
        <v>13</v>
      </c>
      <c r="T32" s="93"/>
      <c r="U32" s="140" t="s">
        <v>78</v>
      </c>
      <c r="V32" s="140" t="s">
        <v>86</v>
      </c>
      <c r="W32" s="140" t="s">
        <v>87</v>
      </c>
      <c r="X32" s="140" t="s">
        <v>13</v>
      </c>
      <c r="Y32" s="93"/>
      <c r="Z32" s="140" t="s">
        <v>217</v>
      </c>
      <c r="AA32" s="93"/>
      <c r="AB32" s="140" t="s">
        <v>218</v>
      </c>
    </row>
    <row r="33" spans="1:28" x14ac:dyDescent="0.3">
      <c r="A33" s="93"/>
      <c r="B33" s="93"/>
      <c r="C33" s="155"/>
      <c r="D33" s="155" t="s">
        <v>219</v>
      </c>
      <c r="E33" s="155" t="s">
        <v>78</v>
      </c>
      <c r="F33" s="149"/>
      <c r="G33" s="149" t="s">
        <v>220</v>
      </c>
      <c r="H33" s="149" t="s">
        <v>86</v>
      </c>
      <c r="I33" s="149" t="s">
        <v>221</v>
      </c>
      <c r="J33" s="149" t="s">
        <v>222</v>
      </c>
      <c r="K33" s="149" t="s">
        <v>223</v>
      </c>
      <c r="L33" s="149" t="s">
        <v>224</v>
      </c>
      <c r="M33" s="149" t="s">
        <v>225</v>
      </c>
      <c r="N33" s="149" t="s">
        <v>87</v>
      </c>
      <c r="O33" s="93"/>
      <c r="P33" s="155"/>
      <c r="Q33" s="155"/>
      <c r="R33" s="155"/>
      <c r="S33" s="155" t="s">
        <v>226</v>
      </c>
      <c r="T33" s="93"/>
      <c r="U33" s="155">
        <f>Exploration!C5</f>
        <v>0</v>
      </c>
      <c r="V33" s="155">
        <f>Exploration!C6</f>
        <v>1</v>
      </c>
      <c r="W33" s="155">
        <f>C7*AB17</f>
        <v>0.3208333333333333</v>
      </c>
      <c r="X33" s="155" t="s">
        <v>226</v>
      </c>
      <c r="Y33" s="93"/>
      <c r="Z33" s="155"/>
      <c r="AA33" s="93"/>
      <c r="AB33" s="155">
        <v>0</v>
      </c>
    </row>
    <row r="34" spans="1:28" x14ac:dyDescent="0.3">
      <c r="A34" s="93"/>
      <c r="B34" s="156" t="s">
        <v>13</v>
      </c>
      <c r="C34" s="152">
        <f>SUM(C35:C74)</f>
        <v>0</v>
      </c>
      <c r="D34" s="152">
        <f t="shared" ref="D34:N34" si="7">SUM(D35:D74)</f>
        <v>0</v>
      </c>
      <c r="E34" s="152">
        <f t="shared" si="7"/>
        <v>0</v>
      </c>
      <c r="F34" s="152">
        <f t="shared" si="7"/>
        <v>67.729090909089635</v>
      </c>
      <c r="G34" s="152">
        <f t="shared" si="7"/>
        <v>0.5</v>
      </c>
      <c r="H34" s="152">
        <f t="shared" si="7"/>
        <v>68.229090909089635</v>
      </c>
      <c r="I34" s="152">
        <f t="shared" si="7"/>
        <v>67.729090909089635</v>
      </c>
      <c r="J34" s="152">
        <f t="shared" si="7"/>
        <v>67.729090909089635</v>
      </c>
      <c r="K34" s="152">
        <f t="shared" si="7"/>
        <v>67.729090909089635</v>
      </c>
      <c r="L34" s="152">
        <f t="shared" si="7"/>
        <v>0</v>
      </c>
      <c r="M34" s="152">
        <f t="shared" si="7"/>
        <v>0</v>
      </c>
      <c r="N34" s="152">
        <f t="shared" si="7"/>
        <v>203.18727272726892</v>
      </c>
      <c r="O34" s="157"/>
      <c r="P34" s="152">
        <f>SUM(P35:P74)</f>
        <v>0</v>
      </c>
      <c r="Q34" s="152">
        <f>SUM(Q35:Q74)</f>
        <v>67.729090909089635</v>
      </c>
      <c r="R34" s="152">
        <f>SUM(R35:R74)</f>
        <v>210.00251249999604</v>
      </c>
      <c r="S34" s="152">
        <f>SUM(S35:S74)</f>
        <v>277.73160340908566</v>
      </c>
      <c r="T34" s="157"/>
      <c r="U34" s="152">
        <f>SUM(U35:U74)</f>
        <v>0</v>
      </c>
      <c r="V34" s="152">
        <f>SUM(V35:V74)</f>
        <v>67.729090909089635</v>
      </c>
      <c r="W34" s="152">
        <f>SUM(W35:W74)</f>
        <v>67.375806093748722</v>
      </c>
      <c r="X34" s="152">
        <f>SUM(X35:X74)</f>
        <v>135.10489700283836</v>
      </c>
      <c r="Y34" s="157"/>
      <c r="Z34" s="152">
        <f>SUM(Z35:Z74)</f>
        <v>67.729090909089635</v>
      </c>
      <c r="AA34" s="157"/>
      <c r="AB34" s="152">
        <f>SUM(AB35:AB74)</f>
        <v>277.73160340908566</v>
      </c>
    </row>
    <row r="35" spans="1:28" x14ac:dyDescent="0.3">
      <c r="A35" s="93"/>
      <c r="B35" s="158">
        <f>'Success Cash Flow'!A10</f>
        <v>2012</v>
      </c>
      <c r="C35" s="159">
        <f t="shared" ref="C35:D50" si="8">IF($B35=INDEX($O$19:$O$27,C$30,1),INDEX($R$19:$R$27,C$30,1),IF($B35=INDEX($P$19:$P$27,C$30,1),INDEX($S$19:$S$27,C$30,1),0))</f>
        <v>0</v>
      </c>
      <c r="D35" s="159">
        <f t="shared" si="8"/>
        <v>0</v>
      </c>
      <c r="E35" s="159">
        <f>SUM(C35:D35)</f>
        <v>0</v>
      </c>
      <c r="F35" s="159">
        <f t="shared" ref="F35:G50" si="9">IF($B35=INDEX($O$19:$O$27,F$30,1),INDEX($R$19:$R$27,F$30,1),IF($B35=INDEX($P$19:$P$27,F$30,1),INDEX($S$19:$S$27,F$30,1),0))</f>
        <v>67.729090909089635</v>
      </c>
      <c r="G35" s="159">
        <f t="shared" si="9"/>
        <v>0.5</v>
      </c>
      <c r="H35" s="159">
        <f>SUM(F35:G35)</f>
        <v>68.229090909089635</v>
      </c>
      <c r="I35" s="159">
        <f t="shared" ref="I35:M50" si="10">IF($B35=INDEX($O$19:$O$27,I$30,1),INDEX($R$19:$R$27,I$30,1),IF($B35=INDEX($P$19:$P$27,I$30,1),INDEX($S$19:$S$27,I$30,1),0))</f>
        <v>0</v>
      </c>
      <c r="J35" s="159">
        <f t="shared" si="10"/>
        <v>0</v>
      </c>
      <c r="K35" s="159">
        <f t="shared" si="10"/>
        <v>0</v>
      </c>
      <c r="L35" s="159">
        <f t="shared" si="10"/>
        <v>0</v>
      </c>
      <c r="M35" s="159">
        <f t="shared" si="10"/>
        <v>0</v>
      </c>
      <c r="N35" s="159">
        <f>SUM(I35:M35)</f>
        <v>0</v>
      </c>
      <c r="O35" s="157"/>
      <c r="P35" s="159">
        <f>E35*'Selected Economics'!$I11*'Sensitivity Ranges'!$F$46</f>
        <v>0</v>
      </c>
      <c r="Q35" s="159">
        <f>F35*'Selected Economics'!$I11*'Sensitivity Ranges'!$F$46</f>
        <v>67.729090909089635</v>
      </c>
      <c r="R35" s="159">
        <f>N35*'Selected Economics'!$I11*'Sensitivity Ranges'!$F$46</f>
        <v>0</v>
      </c>
      <c r="S35" s="159">
        <f>SUM(P35:R35)</f>
        <v>67.729090909089635</v>
      </c>
      <c r="T35" s="157"/>
      <c r="U35" s="159">
        <f t="shared" ref="U35:W74" si="11">P35*U$33</f>
        <v>0</v>
      </c>
      <c r="V35" s="159">
        <f t="shared" si="11"/>
        <v>67.729090909089635</v>
      </c>
      <c r="W35" s="159">
        <f t="shared" si="11"/>
        <v>0</v>
      </c>
      <c r="X35" s="159">
        <f>SUM(U35:W35)</f>
        <v>67.729090909089635</v>
      </c>
      <c r="Y35" s="157"/>
      <c r="Z35" s="159">
        <f>P35+Q35</f>
        <v>67.729090909089635</v>
      </c>
      <c r="AA35" s="157"/>
      <c r="AB35" s="159">
        <f>S35*(1+$AB$33)</f>
        <v>67.729090909089635</v>
      </c>
    </row>
    <row r="36" spans="1:28" x14ac:dyDescent="0.3">
      <c r="A36" s="93"/>
      <c r="B36" s="160">
        <f>B35+1</f>
        <v>2013</v>
      </c>
      <c r="C36" s="161">
        <f t="shared" si="8"/>
        <v>0</v>
      </c>
      <c r="D36" s="161">
        <f t="shared" si="8"/>
        <v>0</v>
      </c>
      <c r="E36" s="161">
        <f t="shared" ref="E36:E49" si="12">SUM(C36:D36)</f>
        <v>0</v>
      </c>
      <c r="F36" s="161">
        <f t="shared" si="9"/>
        <v>0</v>
      </c>
      <c r="G36" s="161">
        <f t="shared" si="9"/>
        <v>0</v>
      </c>
      <c r="H36" s="161">
        <f t="shared" ref="H36:H49" si="13">SUM(F36:G36)</f>
        <v>0</v>
      </c>
      <c r="I36" s="161">
        <f t="shared" si="10"/>
        <v>67.729090909089635</v>
      </c>
      <c r="J36" s="161">
        <f t="shared" si="10"/>
        <v>67.729090909089635</v>
      </c>
      <c r="K36" s="161">
        <f t="shared" si="10"/>
        <v>0</v>
      </c>
      <c r="L36" s="161">
        <f t="shared" si="10"/>
        <v>0</v>
      </c>
      <c r="M36" s="161">
        <f t="shared" si="10"/>
        <v>0</v>
      </c>
      <c r="N36" s="161">
        <f t="shared" ref="N36:N49" si="14">SUM(I36:M36)</f>
        <v>135.45818181817927</v>
      </c>
      <c r="O36" s="157"/>
      <c r="P36" s="161">
        <f>E36*'Selected Economics'!$I12*'Sensitivity Ranges'!$F$46</f>
        <v>0</v>
      </c>
      <c r="Q36" s="161">
        <f>F36*'Selected Economics'!$I12*'Sensitivity Ranges'!$F$46</f>
        <v>0</v>
      </c>
      <c r="R36" s="161">
        <f>N36*'Selected Economics'!$I12*'Sensitivity Ranges'!$F$46</f>
        <v>138.84463636363375</v>
      </c>
      <c r="S36" s="161">
        <f t="shared" ref="S36:S74" si="15">SUM(P36:R36)</f>
        <v>138.84463636363375</v>
      </c>
      <c r="T36" s="157"/>
      <c r="U36" s="161">
        <f t="shared" si="11"/>
        <v>0</v>
      </c>
      <c r="V36" s="161">
        <f t="shared" si="11"/>
        <v>0</v>
      </c>
      <c r="W36" s="161">
        <f t="shared" si="11"/>
        <v>44.545987499999157</v>
      </c>
      <c r="X36" s="161">
        <f t="shared" ref="X36:X49" si="16">SUM(U36:W36)</f>
        <v>44.545987499999157</v>
      </c>
      <c r="Y36" s="157"/>
      <c r="Z36" s="161">
        <f t="shared" ref="Z36:Z74" si="17">P36+Q36</f>
        <v>0</v>
      </c>
      <c r="AA36" s="157"/>
      <c r="AB36" s="161">
        <f t="shared" ref="AB36:AB74" si="18">S36*(1+$AB$33)</f>
        <v>138.84463636363375</v>
      </c>
    </row>
    <row r="37" spans="1:28" x14ac:dyDescent="0.3">
      <c r="A37" s="93"/>
      <c r="B37" s="160">
        <f t="shared" ref="B37:B74" si="19">B36+1</f>
        <v>2014</v>
      </c>
      <c r="C37" s="161">
        <f t="shared" si="8"/>
        <v>0</v>
      </c>
      <c r="D37" s="161">
        <f t="shared" si="8"/>
        <v>0</v>
      </c>
      <c r="E37" s="161">
        <f t="shared" si="12"/>
        <v>0</v>
      </c>
      <c r="F37" s="161">
        <f t="shared" si="9"/>
        <v>0</v>
      </c>
      <c r="G37" s="161">
        <f t="shared" si="9"/>
        <v>0</v>
      </c>
      <c r="H37" s="161">
        <f t="shared" si="13"/>
        <v>0</v>
      </c>
      <c r="I37" s="161">
        <f t="shared" si="10"/>
        <v>0</v>
      </c>
      <c r="J37" s="161">
        <f t="shared" si="10"/>
        <v>0</v>
      </c>
      <c r="K37" s="161">
        <f t="shared" si="10"/>
        <v>67.729090909089635</v>
      </c>
      <c r="L37" s="161">
        <f t="shared" si="10"/>
        <v>0</v>
      </c>
      <c r="M37" s="161">
        <f t="shared" si="10"/>
        <v>0</v>
      </c>
      <c r="N37" s="161">
        <f t="shared" si="14"/>
        <v>67.729090909089635</v>
      </c>
      <c r="O37" s="157"/>
      <c r="P37" s="161">
        <f>E37*'Selected Economics'!$I13*'Sensitivity Ranges'!$F$46</f>
        <v>0</v>
      </c>
      <c r="Q37" s="161">
        <f>F37*'Selected Economics'!$I13*'Sensitivity Ranges'!$F$46</f>
        <v>0</v>
      </c>
      <c r="R37" s="161">
        <f>N37*'Selected Economics'!$I13*'Sensitivity Ranges'!$F$46</f>
        <v>71.15787613636229</v>
      </c>
      <c r="S37" s="161">
        <f t="shared" si="15"/>
        <v>71.15787613636229</v>
      </c>
      <c r="T37" s="157"/>
      <c r="U37" s="161">
        <f t="shared" si="11"/>
        <v>0</v>
      </c>
      <c r="V37" s="161">
        <f t="shared" si="11"/>
        <v>0</v>
      </c>
      <c r="W37" s="161">
        <f t="shared" si="11"/>
        <v>22.829818593749565</v>
      </c>
      <c r="X37" s="161">
        <f t="shared" si="16"/>
        <v>22.829818593749565</v>
      </c>
      <c r="Y37" s="157"/>
      <c r="Z37" s="161">
        <f t="shared" si="17"/>
        <v>0</v>
      </c>
      <c r="AA37" s="157"/>
      <c r="AB37" s="161">
        <f t="shared" si="18"/>
        <v>71.15787613636229</v>
      </c>
    </row>
    <row r="38" spans="1:28" x14ac:dyDescent="0.3">
      <c r="A38" s="93"/>
      <c r="B38" s="160">
        <f t="shared" si="19"/>
        <v>2015</v>
      </c>
      <c r="C38" s="161">
        <f t="shared" si="8"/>
        <v>0</v>
      </c>
      <c r="D38" s="161">
        <f t="shared" si="8"/>
        <v>0</v>
      </c>
      <c r="E38" s="161">
        <f t="shared" si="12"/>
        <v>0</v>
      </c>
      <c r="F38" s="161">
        <f t="shared" si="9"/>
        <v>0</v>
      </c>
      <c r="G38" s="161">
        <f t="shared" si="9"/>
        <v>0</v>
      </c>
      <c r="H38" s="161">
        <f t="shared" si="13"/>
        <v>0</v>
      </c>
      <c r="I38" s="161">
        <f t="shared" si="10"/>
        <v>0</v>
      </c>
      <c r="J38" s="161">
        <f t="shared" si="10"/>
        <v>0</v>
      </c>
      <c r="K38" s="161">
        <f t="shared" si="10"/>
        <v>0</v>
      </c>
      <c r="L38" s="161">
        <f t="shared" si="10"/>
        <v>0</v>
      </c>
      <c r="M38" s="161">
        <f t="shared" si="10"/>
        <v>0</v>
      </c>
      <c r="N38" s="161">
        <f t="shared" si="14"/>
        <v>0</v>
      </c>
      <c r="O38" s="157"/>
      <c r="P38" s="161">
        <f>E38*'Selected Economics'!$I14*'Sensitivity Ranges'!$F$46</f>
        <v>0</v>
      </c>
      <c r="Q38" s="161">
        <f>F38*'Selected Economics'!$I14*'Sensitivity Ranges'!$F$46</f>
        <v>0</v>
      </c>
      <c r="R38" s="161">
        <f>N38*'Selected Economics'!$I14*'Sensitivity Ranges'!$F$46</f>
        <v>0</v>
      </c>
      <c r="S38" s="161">
        <f t="shared" si="15"/>
        <v>0</v>
      </c>
      <c r="T38" s="157"/>
      <c r="U38" s="161">
        <f t="shared" si="11"/>
        <v>0</v>
      </c>
      <c r="V38" s="161">
        <f t="shared" si="11"/>
        <v>0</v>
      </c>
      <c r="W38" s="161">
        <f t="shared" si="11"/>
        <v>0</v>
      </c>
      <c r="X38" s="161">
        <f t="shared" si="16"/>
        <v>0</v>
      </c>
      <c r="Y38" s="157"/>
      <c r="Z38" s="161">
        <f t="shared" si="17"/>
        <v>0</v>
      </c>
      <c r="AA38" s="157"/>
      <c r="AB38" s="161">
        <f t="shared" si="18"/>
        <v>0</v>
      </c>
    </row>
    <row r="39" spans="1:28" x14ac:dyDescent="0.3">
      <c r="A39" s="93"/>
      <c r="B39" s="160">
        <f t="shared" si="19"/>
        <v>2016</v>
      </c>
      <c r="C39" s="161">
        <f t="shared" si="8"/>
        <v>0</v>
      </c>
      <c r="D39" s="161">
        <f t="shared" si="8"/>
        <v>0</v>
      </c>
      <c r="E39" s="161">
        <f t="shared" si="12"/>
        <v>0</v>
      </c>
      <c r="F39" s="161">
        <f t="shared" si="9"/>
        <v>0</v>
      </c>
      <c r="G39" s="161">
        <f t="shared" si="9"/>
        <v>0</v>
      </c>
      <c r="H39" s="161">
        <f t="shared" si="13"/>
        <v>0</v>
      </c>
      <c r="I39" s="161">
        <f t="shared" si="10"/>
        <v>0</v>
      </c>
      <c r="J39" s="161">
        <f t="shared" si="10"/>
        <v>0</v>
      </c>
      <c r="K39" s="161">
        <f t="shared" si="10"/>
        <v>0</v>
      </c>
      <c r="L39" s="161">
        <f t="shared" si="10"/>
        <v>0</v>
      </c>
      <c r="M39" s="161">
        <f t="shared" si="10"/>
        <v>0</v>
      </c>
      <c r="N39" s="161">
        <f t="shared" si="14"/>
        <v>0</v>
      </c>
      <c r="O39" s="157"/>
      <c r="P39" s="161">
        <f>E39*'Selected Economics'!$I15*'Sensitivity Ranges'!$F$46</f>
        <v>0</v>
      </c>
      <c r="Q39" s="161">
        <f>F39*'Selected Economics'!$I15*'Sensitivity Ranges'!$F$46</f>
        <v>0</v>
      </c>
      <c r="R39" s="161">
        <f>N39*'Selected Economics'!$I15*'Sensitivity Ranges'!$F$46</f>
        <v>0</v>
      </c>
      <c r="S39" s="161">
        <f t="shared" si="15"/>
        <v>0</v>
      </c>
      <c r="T39" s="157"/>
      <c r="U39" s="161">
        <f t="shared" si="11"/>
        <v>0</v>
      </c>
      <c r="V39" s="161">
        <f t="shared" si="11"/>
        <v>0</v>
      </c>
      <c r="W39" s="161">
        <f t="shared" si="11"/>
        <v>0</v>
      </c>
      <c r="X39" s="161">
        <f t="shared" si="16"/>
        <v>0</v>
      </c>
      <c r="Y39" s="157"/>
      <c r="Z39" s="161">
        <f t="shared" si="17"/>
        <v>0</v>
      </c>
      <c r="AA39" s="157"/>
      <c r="AB39" s="161">
        <f t="shared" si="18"/>
        <v>0</v>
      </c>
    </row>
    <row r="40" spans="1:28" x14ac:dyDescent="0.3">
      <c r="A40" s="93"/>
      <c r="B40" s="160">
        <f t="shared" si="19"/>
        <v>2017</v>
      </c>
      <c r="C40" s="161">
        <f t="shared" si="8"/>
        <v>0</v>
      </c>
      <c r="D40" s="161">
        <f t="shared" si="8"/>
        <v>0</v>
      </c>
      <c r="E40" s="161">
        <f t="shared" si="12"/>
        <v>0</v>
      </c>
      <c r="F40" s="161">
        <f t="shared" si="9"/>
        <v>0</v>
      </c>
      <c r="G40" s="161">
        <f t="shared" si="9"/>
        <v>0</v>
      </c>
      <c r="H40" s="161">
        <f t="shared" si="13"/>
        <v>0</v>
      </c>
      <c r="I40" s="161">
        <f t="shared" si="10"/>
        <v>0</v>
      </c>
      <c r="J40" s="161">
        <f t="shared" si="10"/>
        <v>0</v>
      </c>
      <c r="K40" s="161">
        <f t="shared" si="10"/>
        <v>0</v>
      </c>
      <c r="L40" s="161">
        <f t="shared" si="10"/>
        <v>0</v>
      </c>
      <c r="M40" s="161">
        <f t="shared" si="10"/>
        <v>0</v>
      </c>
      <c r="N40" s="161">
        <f t="shared" si="14"/>
        <v>0</v>
      </c>
      <c r="O40" s="157"/>
      <c r="P40" s="161">
        <f>E40*'Selected Economics'!$I16*'Sensitivity Ranges'!$F$46</f>
        <v>0</v>
      </c>
      <c r="Q40" s="161">
        <f>F40*'Selected Economics'!$I16*'Sensitivity Ranges'!$F$46</f>
        <v>0</v>
      </c>
      <c r="R40" s="161">
        <f>N40*'Selected Economics'!$I16*'Sensitivity Ranges'!$F$46</f>
        <v>0</v>
      </c>
      <c r="S40" s="161">
        <f t="shared" si="15"/>
        <v>0</v>
      </c>
      <c r="T40" s="157"/>
      <c r="U40" s="161">
        <f t="shared" si="11"/>
        <v>0</v>
      </c>
      <c r="V40" s="161">
        <f t="shared" si="11"/>
        <v>0</v>
      </c>
      <c r="W40" s="161">
        <f t="shared" si="11"/>
        <v>0</v>
      </c>
      <c r="X40" s="161">
        <f t="shared" si="16"/>
        <v>0</v>
      </c>
      <c r="Y40" s="157"/>
      <c r="Z40" s="161">
        <f t="shared" si="17"/>
        <v>0</v>
      </c>
      <c r="AA40" s="157"/>
      <c r="AB40" s="161">
        <f t="shared" si="18"/>
        <v>0</v>
      </c>
    </row>
    <row r="41" spans="1:28" x14ac:dyDescent="0.3">
      <c r="A41" s="93"/>
      <c r="B41" s="160">
        <f t="shared" si="19"/>
        <v>2018</v>
      </c>
      <c r="C41" s="161">
        <f t="shared" si="8"/>
        <v>0</v>
      </c>
      <c r="D41" s="161">
        <f t="shared" si="8"/>
        <v>0</v>
      </c>
      <c r="E41" s="161">
        <f t="shared" si="12"/>
        <v>0</v>
      </c>
      <c r="F41" s="161">
        <f t="shared" si="9"/>
        <v>0</v>
      </c>
      <c r="G41" s="161">
        <f t="shared" si="9"/>
        <v>0</v>
      </c>
      <c r="H41" s="161">
        <f t="shared" si="13"/>
        <v>0</v>
      </c>
      <c r="I41" s="161">
        <f t="shared" si="10"/>
        <v>0</v>
      </c>
      <c r="J41" s="161">
        <f t="shared" si="10"/>
        <v>0</v>
      </c>
      <c r="K41" s="161">
        <f t="shared" si="10"/>
        <v>0</v>
      </c>
      <c r="L41" s="161">
        <f t="shared" si="10"/>
        <v>0</v>
      </c>
      <c r="M41" s="161">
        <f t="shared" si="10"/>
        <v>0</v>
      </c>
      <c r="N41" s="161">
        <f t="shared" si="14"/>
        <v>0</v>
      </c>
      <c r="O41" s="157"/>
      <c r="P41" s="161">
        <f>E41*'Selected Economics'!$I17*'Sensitivity Ranges'!$F$46</f>
        <v>0</v>
      </c>
      <c r="Q41" s="161">
        <f>F41*'Selected Economics'!$I17*'Sensitivity Ranges'!$F$46</f>
        <v>0</v>
      </c>
      <c r="R41" s="161">
        <f>N41*'Selected Economics'!$I17*'Sensitivity Ranges'!$F$46</f>
        <v>0</v>
      </c>
      <c r="S41" s="161">
        <f t="shared" si="15"/>
        <v>0</v>
      </c>
      <c r="T41" s="157"/>
      <c r="U41" s="161">
        <f t="shared" si="11"/>
        <v>0</v>
      </c>
      <c r="V41" s="161">
        <f t="shared" si="11"/>
        <v>0</v>
      </c>
      <c r="W41" s="161">
        <f t="shared" si="11"/>
        <v>0</v>
      </c>
      <c r="X41" s="161">
        <f t="shared" si="16"/>
        <v>0</v>
      </c>
      <c r="Y41" s="157"/>
      <c r="Z41" s="161">
        <f t="shared" si="17"/>
        <v>0</v>
      </c>
      <c r="AA41" s="157"/>
      <c r="AB41" s="161">
        <f t="shared" si="18"/>
        <v>0</v>
      </c>
    </row>
    <row r="42" spans="1:28" x14ac:dyDescent="0.3">
      <c r="A42" s="93"/>
      <c r="B42" s="160">
        <f t="shared" si="19"/>
        <v>2019</v>
      </c>
      <c r="C42" s="161">
        <f t="shared" si="8"/>
        <v>0</v>
      </c>
      <c r="D42" s="161">
        <f t="shared" si="8"/>
        <v>0</v>
      </c>
      <c r="E42" s="161">
        <f t="shared" si="12"/>
        <v>0</v>
      </c>
      <c r="F42" s="161">
        <f t="shared" si="9"/>
        <v>0</v>
      </c>
      <c r="G42" s="161">
        <f t="shared" si="9"/>
        <v>0</v>
      </c>
      <c r="H42" s="161">
        <f t="shared" si="13"/>
        <v>0</v>
      </c>
      <c r="I42" s="161">
        <f t="shared" si="10"/>
        <v>0</v>
      </c>
      <c r="J42" s="161">
        <f t="shared" si="10"/>
        <v>0</v>
      </c>
      <c r="K42" s="161">
        <f t="shared" si="10"/>
        <v>0</v>
      </c>
      <c r="L42" s="161">
        <f t="shared" si="10"/>
        <v>0</v>
      </c>
      <c r="M42" s="161">
        <f t="shared" si="10"/>
        <v>0</v>
      </c>
      <c r="N42" s="161">
        <f t="shared" si="14"/>
        <v>0</v>
      </c>
      <c r="O42" s="157"/>
      <c r="P42" s="161">
        <f>E42*'Selected Economics'!$I18*'Sensitivity Ranges'!$F$46</f>
        <v>0</v>
      </c>
      <c r="Q42" s="161">
        <f>F42*'Selected Economics'!$I18*'Sensitivity Ranges'!$F$46</f>
        <v>0</v>
      </c>
      <c r="R42" s="161">
        <f>N42*'Selected Economics'!$I18*'Sensitivity Ranges'!$F$46</f>
        <v>0</v>
      </c>
      <c r="S42" s="161">
        <f t="shared" si="15"/>
        <v>0</v>
      </c>
      <c r="T42" s="157"/>
      <c r="U42" s="161">
        <f t="shared" si="11"/>
        <v>0</v>
      </c>
      <c r="V42" s="161">
        <f t="shared" si="11"/>
        <v>0</v>
      </c>
      <c r="W42" s="161">
        <f t="shared" si="11"/>
        <v>0</v>
      </c>
      <c r="X42" s="161">
        <f t="shared" si="16"/>
        <v>0</v>
      </c>
      <c r="Y42" s="157"/>
      <c r="Z42" s="161">
        <f t="shared" si="17"/>
        <v>0</v>
      </c>
      <c r="AA42" s="157"/>
      <c r="AB42" s="161">
        <f t="shared" si="18"/>
        <v>0</v>
      </c>
    </row>
    <row r="43" spans="1:28" x14ac:dyDescent="0.3">
      <c r="A43" s="93"/>
      <c r="B43" s="160">
        <f t="shared" si="19"/>
        <v>2020</v>
      </c>
      <c r="C43" s="161">
        <f t="shared" si="8"/>
        <v>0</v>
      </c>
      <c r="D43" s="161">
        <f t="shared" si="8"/>
        <v>0</v>
      </c>
      <c r="E43" s="161">
        <f t="shared" si="12"/>
        <v>0</v>
      </c>
      <c r="F43" s="161">
        <f t="shared" si="9"/>
        <v>0</v>
      </c>
      <c r="G43" s="161">
        <f t="shared" si="9"/>
        <v>0</v>
      </c>
      <c r="H43" s="161">
        <f t="shared" si="13"/>
        <v>0</v>
      </c>
      <c r="I43" s="161">
        <f t="shared" si="10"/>
        <v>0</v>
      </c>
      <c r="J43" s="161">
        <f t="shared" si="10"/>
        <v>0</v>
      </c>
      <c r="K43" s="161">
        <f t="shared" si="10"/>
        <v>0</v>
      </c>
      <c r="L43" s="161">
        <f t="shared" si="10"/>
        <v>0</v>
      </c>
      <c r="M43" s="161">
        <f t="shared" si="10"/>
        <v>0</v>
      </c>
      <c r="N43" s="161">
        <f t="shared" si="14"/>
        <v>0</v>
      </c>
      <c r="O43" s="157"/>
      <c r="P43" s="161">
        <f>E43*'Selected Economics'!$I19*'Sensitivity Ranges'!$F$46</f>
        <v>0</v>
      </c>
      <c r="Q43" s="161">
        <f>F43*'Selected Economics'!$I19*'Sensitivity Ranges'!$F$46</f>
        <v>0</v>
      </c>
      <c r="R43" s="161">
        <f>N43*'Selected Economics'!$I19*'Sensitivity Ranges'!$F$46</f>
        <v>0</v>
      </c>
      <c r="S43" s="161">
        <f t="shared" si="15"/>
        <v>0</v>
      </c>
      <c r="T43" s="157"/>
      <c r="U43" s="161">
        <f t="shared" si="11"/>
        <v>0</v>
      </c>
      <c r="V43" s="161">
        <f t="shared" si="11"/>
        <v>0</v>
      </c>
      <c r="W43" s="161">
        <f t="shared" si="11"/>
        <v>0</v>
      </c>
      <c r="X43" s="161">
        <f t="shared" si="16"/>
        <v>0</v>
      </c>
      <c r="Y43" s="157"/>
      <c r="Z43" s="161">
        <f t="shared" si="17"/>
        <v>0</v>
      </c>
      <c r="AA43" s="157"/>
      <c r="AB43" s="161">
        <f t="shared" si="18"/>
        <v>0</v>
      </c>
    </row>
    <row r="44" spans="1:28" x14ac:dyDescent="0.3">
      <c r="A44" s="93"/>
      <c r="B44" s="160">
        <f t="shared" si="19"/>
        <v>2021</v>
      </c>
      <c r="C44" s="161">
        <f t="shared" si="8"/>
        <v>0</v>
      </c>
      <c r="D44" s="161">
        <f t="shared" si="8"/>
        <v>0</v>
      </c>
      <c r="E44" s="161">
        <f t="shared" si="12"/>
        <v>0</v>
      </c>
      <c r="F44" s="161">
        <f t="shared" si="9"/>
        <v>0</v>
      </c>
      <c r="G44" s="161">
        <f t="shared" si="9"/>
        <v>0</v>
      </c>
      <c r="H44" s="161">
        <f t="shared" si="13"/>
        <v>0</v>
      </c>
      <c r="I44" s="161">
        <f t="shared" si="10"/>
        <v>0</v>
      </c>
      <c r="J44" s="161">
        <f t="shared" si="10"/>
        <v>0</v>
      </c>
      <c r="K44" s="161">
        <f t="shared" si="10"/>
        <v>0</v>
      </c>
      <c r="L44" s="161">
        <f t="shared" si="10"/>
        <v>0</v>
      </c>
      <c r="M44" s="161">
        <f t="shared" si="10"/>
        <v>0</v>
      </c>
      <c r="N44" s="161">
        <f t="shared" si="14"/>
        <v>0</v>
      </c>
      <c r="O44" s="157"/>
      <c r="P44" s="161">
        <f>E44*'Selected Economics'!$I20*'Sensitivity Ranges'!$F$46</f>
        <v>0</v>
      </c>
      <c r="Q44" s="161">
        <f>F44*'Selected Economics'!$I20*'Sensitivity Ranges'!$F$46</f>
        <v>0</v>
      </c>
      <c r="R44" s="161">
        <f>N44*'Selected Economics'!$I20*'Sensitivity Ranges'!$F$46</f>
        <v>0</v>
      </c>
      <c r="S44" s="161">
        <f t="shared" si="15"/>
        <v>0</v>
      </c>
      <c r="T44" s="157"/>
      <c r="U44" s="161">
        <f t="shared" si="11"/>
        <v>0</v>
      </c>
      <c r="V44" s="161">
        <f t="shared" si="11"/>
        <v>0</v>
      </c>
      <c r="W44" s="161">
        <f t="shared" si="11"/>
        <v>0</v>
      </c>
      <c r="X44" s="161">
        <f t="shared" si="16"/>
        <v>0</v>
      </c>
      <c r="Y44" s="157"/>
      <c r="Z44" s="161">
        <f t="shared" si="17"/>
        <v>0</v>
      </c>
      <c r="AA44" s="157"/>
      <c r="AB44" s="161">
        <f t="shared" si="18"/>
        <v>0</v>
      </c>
    </row>
    <row r="45" spans="1:28" x14ac:dyDescent="0.3">
      <c r="A45" s="93"/>
      <c r="B45" s="160">
        <f t="shared" si="19"/>
        <v>2022</v>
      </c>
      <c r="C45" s="161">
        <f t="shared" si="8"/>
        <v>0</v>
      </c>
      <c r="D45" s="161">
        <f t="shared" si="8"/>
        <v>0</v>
      </c>
      <c r="E45" s="161">
        <f t="shared" si="12"/>
        <v>0</v>
      </c>
      <c r="F45" s="161">
        <f t="shared" si="9"/>
        <v>0</v>
      </c>
      <c r="G45" s="161">
        <f t="shared" si="9"/>
        <v>0</v>
      </c>
      <c r="H45" s="161">
        <f t="shared" si="13"/>
        <v>0</v>
      </c>
      <c r="I45" s="161">
        <f t="shared" si="10"/>
        <v>0</v>
      </c>
      <c r="J45" s="161">
        <f t="shared" si="10"/>
        <v>0</v>
      </c>
      <c r="K45" s="161">
        <f t="shared" si="10"/>
        <v>0</v>
      </c>
      <c r="L45" s="161">
        <f t="shared" si="10"/>
        <v>0</v>
      </c>
      <c r="M45" s="161">
        <f t="shared" si="10"/>
        <v>0</v>
      </c>
      <c r="N45" s="161">
        <f t="shared" si="14"/>
        <v>0</v>
      </c>
      <c r="O45" s="157"/>
      <c r="P45" s="161">
        <f>E45*'Selected Economics'!$I21*'Sensitivity Ranges'!$F$46</f>
        <v>0</v>
      </c>
      <c r="Q45" s="161">
        <f>F45*'Selected Economics'!$I21*'Sensitivity Ranges'!$F$46</f>
        <v>0</v>
      </c>
      <c r="R45" s="161">
        <f>N45*'Selected Economics'!$I21*'Sensitivity Ranges'!$F$46</f>
        <v>0</v>
      </c>
      <c r="S45" s="161">
        <f t="shared" si="15"/>
        <v>0</v>
      </c>
      <c r="T45" s="157"/>
      <c r="U45" s="161">
        <f t="shared" si="11"/>
        <v>0</v>
      </c>
      <c r="V45" s="161">
        <f t="shared" si="11"/>
        <v>0</v>
      </c>
      <c r="W45" s="161">
        <f t="shared" si="11"/>
        <v>0</v>
      </c>
      <c r="X45" s="161">
        <f t="shared" si="16"/>
        <v>0</v>
      </c>
      <c r="Y45" s="157"/>
      <c r="Z45" s="161">
        <f t="shared" si="17"/>
        <v>0</v>
      </c>
      <c r="AA45" s="157"/>
      <c r="AB45" s="161">
        <f t="shared" si="18"/>
        <v>0</v>
      </c>
    </row>
    <row r="46" spans="1:28" x14ac:dyDescent="0.3">
      <c r="A46" s="93"/>
      <c r="B46" s="160">
        <f t="shared" si="19"/>
        <v>2023</v>
      </c>
      <c r="C46" s="161">
        <f t="shared" si="8"/>
        <v>0</v>
      </c>
      <c r="D46" s="161">
        <f t="shared" si="8"/>
        <v>0</v>
      </c>
      <c r="E46" s="161">
        <f t="shared" si="12"/>
        <v>0</v>
      </c>
      <c r="F46" s="161">
        <f t="shared" si="9"/>
        <v>0</v>
      </c>
      <c r="G46" s="161">
        <f t="shared" si="9"/>
        <v>0</v>
      </c>
      <c r="H46" s="161">
        <f t="shared" si="13"/>
        <v>0</v>
      </c>
      <c r="I46" s="161">
        <f t="shared" si="10"/>
        <v>0</v>
      </c>
      <c r="J46" s="161">
        <f t="shared" si="10"/>
        <v>0</v>
      </c>
      <c r="K46" s="161">
        <f t="shared" si="10"/>
        <v>0</v>
      </c>
      <c r="L46" s="161">
        <f t="shared" si="10"/>
        <v>0</v>
      </c>
      <c r="M46" s="161">
        <f t="shared" si="10"/>
        <v>0</v>
      </c>
      <c r="N46" s="161">
        <f t="shared" si="14"/>
        <v>0</v>
      </c>
      <c r="O46" s="157"/>
      <c r="P46" s="161">
        <f>E46*'Selected Economics'!$I22*'Sensitivity Ranges'!$F$46</f>
        <v>0</v>
      </c>
      <c r="Q46" s="161">
        <f>F46*'Selected Economics'!$I22*'Sensitivity Ranges'!$F$46</f>
        <v>0</v>
      </c>
      <c r="R46" s="161">
        <f>N46*'Selected Economics'!$I22*'Sensitivity Ranges'!$F$46</f>
        <v>0</v>
      </c>
      <c r="S46" s="161">
        <f t="shared" si="15"/>
        <v>0</v>
      </c>
      <c r="T46" s="157"/>
      <c r="U46" s="161">
        <f t="shared" si="11"/>
        <v>0</v>
      </c>
      <c r="V46" s="161">
        <f t="shared" si="11"/>
        <v>0</v>
      </c>
      <c r="W46" s="161">
        <f t="shared" si="11"/>
        <v>0</v>
      </c>
      <c r="X46" s="161">
        <f t="shared" si="16"/>
        <v>0</v>
      </c>
      <c r="Y46" s="157"/>
      <c r="Z46" s="161">
        <f t="shared" si="17"/>
        <v>0</v>
      </c>
      <c r="AA46" s="157"/>
      <c r="AB46" s="161">
        <f t="shared" si="18"/>
        <v>0</v>
      </c>
    </row>
    <row r="47" spans="1:28" x14ac:dyDescent="0.3">
      <c r="A47" s="93"/>
      <c r="B47" s="160">
        <f t="shared" si="19"/>
        <v>2024</v>
      </c>
      <c r="C47" s="161">
        <f t="shared" si="8"/>
        <v>0</v>
      </c>
      <c r="D47" s="161">
        <f t="shared" si="8"/>
        <v>0</v>
      </c>
      <c r="E47" s="161">
        <f t="shared" si="12"/>
        <v>0</v>
      </c>
      <c r="F47" s="161">
        <f t="shared" si="9"/>
        <v>0</v>
      </c>
      <c r="G47" s="161">
        <f t="shared" si="9"/>
        <v>0</v>
      </c>
      <c r="H47" s="161">
        <f t="shared" si="13"/>
        <v>0</v>
      </c>
      <c r="I47" s="161">
        <f t="shared" si="10"/>
        <v>0</v>
      </c>
      <c r="J47" s="161">
        <f t="shared" si="10"/>
        <v>0</v>
      </c>
      <c r="K47" s="161">
        <f t="shared" si="10"/>
        <v>0</v>
      </c>
      <c r="L47" s="161">
        <f t="shared" si="10"/>
        <v>0</v>
      </c>
      <c r="M47" s="161">
        <f t="shared" si="10"/>
        <v>0</v>
      </c>
      <c r="N47" s="161">
        <f t="shared" si="14"/>
        <v>0</v>
      </c>
      <c r="O47" s="157"/>
      <c r="P47" s="161">
        <f>E47*'Selected Economics'!$I23*'Sensitivity Ranges'!$F$46</f>
        <v>0</v>
      </c>
      <c r="Q47" s="161">
        <f>F47*'Selected Economics'!$I23*'Sensitivity Ranges'!$F$46</f>
        <v>0</v>
      </c>
      <c r="R47" s="161">
        <f>N47*'Selected Economics'!$I23*'Sensitivity Ranges'!$F$46</f>
        <v>0</v>
      </c>
      <c r="S47" s="161">
        <f t="shared" si="15"/>
        <v>0</v>
      </c>
      <c r="T47" s="157"/>
      <c r="U47" s="161">
        <f t="shared" si="11"/>
        <v>0</v>
      </c>
      <c r="V47" s="161">
        <f t="shared" si="11"/>
        <v>0</v>
      </c>
      <c r="W47" s="161">
        <f t="shared" si="11"/>
        <v>0</v>
      </c>
      <c r="X47" s="161">
        <f t="shared" si="16"/>
        <v>0</v>
      </c>
      <c r="Y47" s="157"/>
      <c r="Z47" s="161">
        <f t="shared" si="17"/>
        <v>0</v>
      </c>
      <c r="AA47" s="157"/>
      <c r="AB47" s="161">
        <f t="shared" si="18"/>
        <v>0</v>
      </c>
    </row>
    <row r="48" spans="1:28" x14ac:dyDescent="0.3">
      <c r="A48" s="93"/>
      <c r="B48" s="160">
        <f t="shared" si="19"/>
        <v>2025</v>
      </c>
      <c r="C48" s="161">
        <f t="shared" si="8"/>
        <v>0</v>
      </c>
      <c r="D48" s="161">
        <f t="shared" si="8"/>
        <v>0</v>
      </c>
      <c r="E48" s="161">
        <f t="shared" si="12"/>
        <v>0</v>
      </c>
      <c r="F48" s="161">
        <f t="shared" si="9"/>
        <v>0</v>
      </c>
      <c r="G48" s="161">
        <f t="shared" si="9"/>
        <v>0</v>
      </c>
      <c r="H48" s="161">
        <f t="shared" si="13"/>
        <v>0</v>
      </c>
      <c r="I48" s="161">
        <f t="shared" si="10"/>
        <v>0</v>
      </c>
      <c r="J48" s="161">
        <f t="shared" si="10"/>
        <v>0</v>
      </c>
      <c r="K48" s="161">
        <f t="shared" si="10"/>
        <v>0</v>
      </c>
      <c r="L48" s="161">
        <f t="shared" si="10"/>
        <v>0</v>
      </c>
      <c r="M48" s="161">
        <f t="shared" si="10"/>
        <v>0</v>
      </c>
      <c r="N48" s="161">
        <f t="shared" si="14"/>
        <v>0</v>
      </c>
      <c r="O48" s="157"/>
      <c r="P48" s="161">
        <f>E48*'Selected Economics'!$I24*'Sensitivity Ranges'!$F$46</f>
        <v>0</v>
      </c>
      <c r="Q48" s="161">
        <f>F48*'Selected Economics'!$I24*'Sensitivity Ranges'!$F$46</f>
        <v>0</v>
      </c>
      <c r="R48" s="161">
        <f>N48*'Selected Economics'!$I24*'Sensitivity Ranges'!$F$46</f>
        <v>0</v>
      </c>
      <c r="S48" s="161">
        <f t="shared" si="15"/>
        <v>0</v>
      </c>
      <c r="T48" s="157"/>
      <c r="U48" s="161">
        <f t="shared" si="11"/>
        <v>0</v>
      </c>
      <c r="V48" s="161">
        <f t="shared" si="11"/>
        <v>0</v>
      </c>
      <c r="W48" s="161">
        <f t="shared" si="11"/>
        <v>0</v>
      </c>
      <c r="X48" s="161">
        <f t="shared" si="16"/>
        <v>0</v>
      </c>
      <c r="Y48" s="157"/>
      <c r="Z48" s="161">
        <f t="shared" si="17"/>
        <v>0</v>
      </c>
      <c r="AA48" s="157"/>
      <c r="AB48" s="161">
        <f t="shared" si="18"/>
        <v>0</v>
      </c>
    </row>
    <row r="49" spans="1:28" x14ac:dyDescent="0.3">
      <c r="A49" s="93"/>
      <c r="B49" s="160">
        <f t="shared" si="19"/>
        <v>2026</v>
      </c>
      <c r="C49" s="161">
        <f t="shared" si="8"/>
        <v>0</v>
      </c>
      <c r="D49" s="161">
        <f t="shared" si="8"/>
        <v>0</v>
      </c>
      <c r="E49" s="161">
        <f t="shared" si="12"/>
        <v>0</v>
      </c>
      <c r="F49" s="161">
        <f t="shared" si="9"/>
        <v>0</v>
      </c>
      <c r="G49" s="161">
        <f t="shared" si="9"/>
        <v>0</v>
      </c>
      <c r="H49" s="161">
        <f t="shared" si="13"/>
        <v>0</v>
      </c>
      <c r="I49" s="161">
        <f t="shared" si="10"/>
        <v>0</v>
      </c>
      <c r="J49" s="161">
        <f t="shared" si="10"/>
        <v>0</v>
      </c>
      <c r="K49" s="161">
        <f t="shared" si="10"/>
        <v>0</v>
      </c>
      <c r="L49" s="161">
        <f t="shared" si="10"/>
        <v>0</v>
      </c>
      <c r="M49" s="161">
        <f t="shared" si="10"/>
        <v>0</v>
      </c>
      <c r="N49" s="161">
        <f t="shared" si="14"/>
        <v>0</v>
      </c>
      <c r="O49" s="157"/>
      <c r="P49" s="161">
        <f>E49*'Selected Economics'!$I25*'Sensitivity Ranges'!$F$46</f>
        <v>0</v>
      </c>
      <c r="Q49" s="161">
        <f>F49*'Selected Economics'!$I25*'Sensitivity Ranges'!$F$46</f>
        <v>0</v>
      </c>
      <c r="R49" s="161">
        <f>N49*'Selected Economics'!$I25*'Sensitivity Ranges'!$F$46</f>
        <v>0</v>
      </c>
      <c r="S49" s="161">
        <f t="shared" si="15"/>
        <v>0</v>
      </c>
      <c r="T49" s="157"/>
      <c r="U49" s="161">
        <f t="shared" si="11"/>
        <v>0</v>
      </c>
      <c r="V49" s="161">
        <f t="shared" si="11"/>
        <v>0</v>
      </c>
      <c r="W49" s="161">
        <f t="shared" si="11"/>
        <v>0</v>
      </c>
      <c r="X49" s="161">
        <f t="shared" si="16"/>
        <v>0</v>
      </c>
      <c r="Y49" s="157"/>
      <c r="Z49" s="161">
        <f t="shared" si="17"/>
        <v>0</v>
      </c>
      <c r="AA49" s="157"/>
      <c r="AB49" s="161">
        <f t="shared" si="18"/>
        <v>0</v>
      </c>
    </row>
    <row r="50" spans="1:28" x14ac:dyDescent="0.3">
      <c r="A50" s="93"/>
      <c r="B50" s="160">
        <f t="shared" si="19"/>
        <v>2027</v>
      </c>
      <c r="C50" s="161">
        <f t="shared" si="8"/>
        <v>0</v>
      </c>
      <c r="D50" s="161">
        <f t="shared" si="8"/>
        <v>0</v>
      </c>
      <c r="E50" s="161">
        <f t="shared" ref="E50:E74" si="20">SUM(C50:D50)</f>
        <v>0</v>
      </c>
      <c r="F50" s="161">
        <f t="shared" si="9"/>
        <v>0</v>
      </c>
      <c r="G50" s="161">
        <f t="shared" si="9"/>
        <v>0</v>
      </c>
      <c r="H50" s="161">
        <f t="shared" ref="H50:H74" si="21">SUM(F50:G50)</f>
        <v>0</v>
      </c>
      <c r="I50" s="161">
        <f t="shared" si="10"/>
        <v>0</v>
      </c>
      <c r="J50" s="161">
        <f t="shared" si="10"/>
        <v>0</v>
      </c>
      <c r="K50" s="161">
        <f t="shared" si="10"/>
        <v>0</v>
      </c>
      <c r="L50" s="161">
        <f t="shared" si="10"/>
        <v>0</v>
      </c>
      <c r="M50" s="161">
        <f t="shared" si="10"/>
        <v>0</v>
      </c>
      <c r="N50" s="161">
        <f t="shared" ref="N50:N74" si="22">SUM(I50:M50)</f>
        <v>0</v>
      </c>
      <c r="O50" s="157"/>
      <c r="P50" s="161">
        <f>E50*'Selected Economics'!$I26*'Sensitivity Ranges'!$F$46</f>
        <v>0</v>
      </c>
      <c r="Q50" s="161">
        <f>F50*'Selected Economics'!$I26*'Sensitivity Ranges'!$F$46</f>
        <v>0</v>
      </c>
      <c r="R50" s="161">
        <f>N50*'Selected Economics'!$I26*'Sensitivity Ranges'!$F$46</f>
        <v>0</v>
      </c>
      <c r="S50" s="161">
        <f t="shared" si="15"/>
        <v>0</v>
      </c>
      <c r="T50" s="157"/>
      <c r="U50" s="161">
        <f t="shared" si="11"/>
        <v>0</v>
      </c>
      <c r="V50" s="161">
        <f t="shared" si="11"/>
        <v>0</v>
      </c>
      <c r="W50" s="161">
        <f t="shared" si="11"/>
        <v>0</v>
      </c>
      <c r="X50" s="161">
        <f t="shared" ref="X50:X74" si="23">SUM(U50:W50)</f>
        <v>0</v>
      </c>
      <c r="Y50" s="157"/>
      <c r="Z50" s="161">
        <f t="shared" si="17"/>
        <v>0</v>
      </c>
      <c r="AA50" s="157"/>
      <c r="AB50" s="161">
        <f t="shared" si="18"/>
        <v>0</v>
      </c>
    </row>
    <row r="51" spans="1:28" x14ac:dyDescent="0.3">
      <c r="A51" s="93"/>
      <c r="B51" s="160">
        <f t="shared" si="19"/>
        <v>2028</v>
      </c>
      <c r="C51" s="161">
        <f t="shared" ref="C51:D69" si="24">IF($B51=INDEX($O$19:$O$27,C$30,1),INDEX($R$19:$R$27,C$30,1),IF($B51=INDEX($P$19:$P$27,C$30,1),INDEX($S$19:$S$27,C$30,1),0))</f>
        <v>0</v>
      </c>
      <c r="D51" s="161">
        <f t="shared" si="24"/>
        <v>0</v>
      </c>
      <c r="E51" s="161">
        <f t="shared" si="20"/>
        <v>0</v>
      </c>
      <c r="F51" s="161">
        <f t="shared" ref="F51:G69" si="25">IF($B51=INDEX($O$19:$O$27,F$30,1),INDEX($R$19:$R$27,F$30,1),IF($B51=INDEX($P$19:$P$27,F$30,1),INDEX($S$19:$S$27,F$30,1),0))</f>
        <v>0</v>
      </c>
      <c r="G51" s="161">
        <f t="shared" si="25"/>
        <v>0</v>
      </c>
      <c r="H51" s="161">
        <f t="shared" si="21"/>
        <v>0</v>
      </c>
      <c r="I51" s="161">
        <f t="shared" ref="I51:M69" si="26">IF($B51=INDEX($O$19:$O$27,I$30,1),INDEX($R$19:$R$27,I$30,1),IF($B51=INDEX($P$19:$P$27,I$30,1),INDEX($S$19:$S$27,I$30,1),0))</f>
        <v>0</v>
      </c>
      <c r="J51" s="161">
        <f t="shared" si="26"/>
        <v>0</v>
      </c>
      <c r="K51" s="161">
        <f t="shared" si="26"/>
        <v>0</v>
      </c>
      <c r="L51" s="161">
        <f t="shared" si="26"/>
        <v>0</v>
      </c>
      <c r="M51" s="161">
        <f t="shared" si="26"/>
        <v>0</v>
      </c>
      <c r="N51" s="161">
        <f t="shared" si="22"/>
        <v>0</v>
      </c>
      <c r="O51" s="157"/>
      <c r="P51" s="161">
        <f>E51*'Selected Economics'!$I27*'Sensitivity Ranges'!$F$46</f>
        <v>0</v>
      </c>
      <c r="Q51" s="161">
        <f>F51*'Selected Economics'!$I27*'Sensitivity Ranges'!$F$46</f>
        <v>0</v>
      </c>
      <c r="R51" s="161">
        <f>N51*'Selected Economics'!$I27*'Sensitivity Ranges'!$F$46</f>
        <v>0</v>
      </c>
      <c r="S51" s="161">
        <f t="shared" si="15"/>
        <v>0</v>
      </c>
      <c r="T51" s="157"/>
      <c r="U51" s="161">
        <f t="shared" si="11"/>
        <v>0</v>
      </c>
      <c r="V51" s="161">
        <f t="shared" si="11"/>
        <v>0</v>
      </c>
      <c r="W51" s="161">
        <f t="shared" si="11"/>
        <v>0</v>
      </c>
      <c r="X51" s="161">
        <f t="shared" si="23"/>
        <v>0</v>
      </c>
      <c r="Y51" s="157"/>
      <c r="Z51" s="161">
        <f t="shared" si="17"/>
        <v>0</v>
      </c>
      <c r="AA51" s="157"/>
      <c r="AB51" s="161">
        <f t="shared" si="18"/>
        <v>0</v>
      </c>
    </row>
    <row r="52" spans="1:28" x14ac:dyDescent="0.3">
      <c r="A52" s="93"/>
      <c r="B52" s="160">
        <f t="shared" si="19"/>
        <v>2029</v>
      </c>
      <c r="C52" s="161">
        <f t="shared" si="24"/>
        <v>0</v>
      </c>
      <c r="D52" s="161">
        <f t="shared" si="24"/>
        <v>0</v>
      </c>
      <c r="E52" s="161">
        <f t="shared" si="20"/>
        <v>0</v>
      </c>
      <c r="F52" s="161">
        <f t="shared" si="25"/>
        <v>0</v>
      </c>
      <c r="G52" s="161">
        <f t="shared" si="25"/>
        <v>0</v>
      </c>
      <c r="H52" s="161">
        <f t="shared" si="21"/>
        <v>0</v>
      </c>
      <c r="I52" s="161">
        <f t="shared" si="26"/>
        <v>0</v>
      </c>
      <c r="J52" s="161">
        <f t="shared" si="26"/>
        <v>0</v>
      </c>
      <c r="K52" s="161">
        <f t="shared" si="26"/>
        <v>0</v>
      </c>
      <c r="L52" s="161">
        <f t="shared" si="26"/>
        <v>0</v>
      </c>
      <c r="M52" s="161">
        <f t="shared" si="26"/>
        <v>0</v>
      </c>
      <c r="N52" s="161">
        <f t="shared" si="22"/>
        <v>0</v>
      </c>
      <c r="O52" s="157"/>
      <c r="P52" s="161">
        <f>E52*'Selected Economics'!$I28*'Sensitivity Ranges'!$F$46</f>
        <v>0</v>
      </c>
      <c r="Q52" s="161">
        <f>F52*'Selected Economics'!$I28*'Sensitivity Ranges'!$F$46</f>
        <v>0</v>
      </c>
      <c r="R52" s="161">
        <f>N52*'Selected Economics'!$I28*'Sensitivity Ranges'!$F$46</f>
        <v>0</v>
      </c>
      <c r="S52" s="161">
        <f t="shared" si="15"/>
        <v>0</v>
      </c>
      <c r="T52" s="157"/>
      <c r="U52" s="161">
        <f t="shared" si="11"/>
        <v>0</v>
      </c>
      <c r="V52" s="161">
        <f t="shared" si="11"/>
        <v>0</v>
      </c>
      <c r="W52" s="161">
        <f t="shared" si="11"/>
        <v>0</v>
      </c>
      <c r="X52" s="161">
        <f t="shared" si="23"/>
        <v>0</v>
      </c>
      <c r="Y52" s="157"/>
      <c r="Z52" s="161">
        <f t="shared" si="17"/>
        <v>0</v>
      </c>
      <c r="AA52" s="157"/>
      <c r="AB52" s="161">
        <f t="shared" si="18"/>
        <v>0</v>
      </c>
    </row>
    <row r="53" spans="1:28" x14ac:dyDescent="0.3">
      <c r="A53" s="93"/>
      <c r="B53" s="160">
        <f t="shared" si="19"/>
        <v>2030</v>
      </c>
      <c r="C53" s="161">
        <f t="shared" si="24"/>
        <v>0</v>
      </c>
      <c r="D53" s="161">
        <f t="shared" si="24"/>
        <v>0</v>
      </c>
      <c r="E53" s="161">
        <f t="shared" si="20"/>
        <v>0</v>
      </c>
      <c r="F53" s="161">
        <f t="shared" si="25"/>
        <v>0</v>
      </c>
      <c r="G53" s="161">
        <f t="shared" si="25"/>
        <v>0</v>
      </c>
      <c r="H53" s="161">
        <f t="shared" si="21"/>
        <v>0</v>
      </c>
      <c r="I53" s="161">
        <f t="shared" si="26"/>
        <v>0</v>
      </c>
      <c r="J53" s="161">
        <f t="shared" si="26"/>
        <v>0</v>
      </c>
      <c r="K53" s="161">
        <f t="shared" si="26"/>
        <v>0</v>
      </c>
      <c r="L53" s="161">
        <f t="shared" si="26"/>
        <v>0</v>
      </c>
      <c r="M53" s="161">
        <f t="shared" si="26"/>
        <v>0</v>
      </c>
      <c r="N53" s="161">
        <f t="shared" si="22"/>
        <v>0</v>
      </c>
      <c r="O53" s="157"/>
      <c r="P53" s="161">
        <f>E53*'Selected Economics'!$I29*'Sensitivity Ranges'!$F$46</f>
        <v>0</v>
      </c>
      <c r="Q53" s="161">
        <f>F53*'Selected Economics'!$I29*'Sensitivity Ranges'!$F$46</f>
        <v>0</v>
      </c>
      <c r="R53" s="161">
        <f>N53*'Selected Economics'!$I29*'Sensitivity Ranges'!$F$46</f>
        <v>0</v>
      </c>
      <c r="S53" s="161">
        <f t="shared" si="15"/>
        <v>0</v>
      </c>
      <c r="T53" s="157"/>
      <c r="U53" s="161">
        <f t="shared" si="11"/>
        <v>0</v>
      </c>
      <c r="V53" s="161">
        <f t="shared" si="11"/>
        <v>0</v>
      </c>
      <c r="W53" s="161">
        <f t="shared" si="11"/>
        <v>0</v>
      </c>
      <c r="X53" s="161">
        <f t="shared" si="23"/>
        <v>0</v>
      </c>
      <c r="Y53" s="157"/>
      <c r="Z53" s="161">
        <f t="shared" si="17"/>
        <v>0</v>
      </c>
      <c r="AA53" s="157"/>
      <c r="AB53" s="161">
        <f t="shared" si="18"/>
        <v>0</v>
      </c>
    </row>
    <row r="54" spans="1:28" x14ac:dyDescent="0.3">
      <c r="A54" s="93"/>
      <c r="B54" s="160">
        <f t="shared" si="19"/>
        <v>2031</v>
      </c>
      <c r="C54" s="161">
        <f t="shared" si="24"/>
        <v>0</v>
      </c>
      <c r="D54" s="161">
        <f t="shared" si="24"/>
        <v>0</v>
      </c>
      <c r="E54" s="161">
        <f t="shared" si="20"/>
        <v>0</v>
      </c>
      <c r="F54" s="161">
        <f t="shared" si="25"/>
        <v>0</v>
      </c>
      <c r="G54" s="161">
        <f t="shared" si="25"/>
        <v>0</v>
      </c>
      <c r="H54" s="161">
        <f t="shared" si="21"/>
        <v>0</v>
      </c>
      <c r="I54" s="161">
        <f t="shared" si="26"/>
        <v>0</v>
      </c>
      <c r="J54" s="161">
        <f t="shared" si="26"/>
        <v>0</v>
      </c>
      <c r="K54" s="161">
        <f t="shared" si="26"/>
        <v>0</v>
      </c>
      <c r="L54" s="161">
        <f t="shared" si="26"/>
        <v>0</v>
      </c>
      <c r="M54" s="161">
        <f t="shared" si="26"/>
        <v>0</v>
      </c>
      <c r="N54" s="161">
        <f t="shared" si="22"/>
        <v>0</v>
      </c>
      <c r="O54" s="157"/>
      <c r="P54" s="161">
        <f>E54*'Selected Economics'!$I30*'Sensitivity Ranges'!$F$46</f>
        <v>0</v>
      </c>
      <c r="Q54" s="161">
        <f>F54*'Selected Economics'!$I30*'Sensitivity Ranges'!$F$46</f>
        <v>0</v>
      </c>
      <c r="R54" s="161">
        <f>N54*'Selected Economics'!$I30*'Sensitivity Ranges'!$F$46</f>
        <v>0</v>
      </c>
      <c r="S54" s="161">
        <f t="shared" si="15"/>
        <v>0</v>
      </c>
      <c r="T54" s="157"/>
      <c r="U54" s="161">
        <f t="shared" si="11"/>
        <v>0</v>
      </c>
      <c r="V54" s="161">
        <f t="shared" si="11"/>
        <v>0</v>
      </c>
      <c r="W54" s="161">
        <f t="shared" si="11"/>
        <v>0</v>
      </c>
      <c r="X54" s="161">
        <f t="shared" si="23"/>
        <v>0</v>
      </c>
      <c r="Y54" s="157"/>
      <c r="Z54" s="161">
        <f t="shared" si="17"/>
        <v>0</v>
      </c>
      <c r="AA54" s="157"/>
      <c r="AB54" s="161">
        <f t="shared" si="18"/>
        <v>0</v>
      </c>
    </row>
    <row r="55" spans="1:28" x14ac:dyDescent="0.3">
      <c r="A55" s="93"/>
      <c r="B55" s="160">
        <f t="shared" si="19"/>
        <v>2032</v>
      </c>
      <c r="C55" s="161">
        <f t="shared" si="24"/>
        <v>0</v>
      </c>
      <c r="D55" s="161">
        <f t="shared" si="24"/>
        <v>0</v>
      </c>
      <c r="E55" s="161">
        <f t="shared" si="20"/>
        <v>0</v>
      </c>
      <c r="F55" s="161">
        <f t="shared" si="25"/>
        <v>0</v>
      </c>
      <c r="G55" s="161">
        <f t="shared" si="25"/>
        <v>0</v>
      </c>
      <c r="H55" s="161">
        <f t="shared" si="21"/>
        <v>0</v>
      </c>
      <c r="I55" s="161">
        <f t="shared" si="26"/>
        <v>0</v>
      </c>
      <c r="J55" s="161">
        <f t="shared" si="26"/>
        <v>0</v>
      </c>
      <c r="K55" s="161">
        <f t="shared" si="26"/>
        <v>0</v>
      </c>
      <c r="L55" s="161">
        <f t="shared" si="26"/>
        <v>0</v>
      </c>
      <c r="M55" s="161">
        <f t="shared" si="26"/>
        <v>0</v>
      </c>
      <c r="N55" s="161">
        <f t="shared" si="22"/>
        <v>0</v>
      </c>
      <c r="O55" s="157"/>
      <c r="P55" s="161">
        <f>E55*'Selected Economics'!$I31*'Sensitivity Ranges'!$F$46</f>
        <v>0</v>
      </c>
      <c r="Q55" s="161">
        <f>F55*'Selected Economics'!$I31*'Sensitivity Ranges'!$F$46</f>
        <v>0</v>
      </c>
      <c r="R55" s="161">
        <f>N55*'Selected Economics'!$I31*'Sensitivity Ranges'!$F$46</f>
        <v>0</v>
      </c>
      <c r="S55" s="161">
        <f t="shared" si="15"/>
        <v>0</v>
      </c>
      <c r="T55" s="157"/>
      <c r="U55" s="161">
        <f t="shared" si="11"/>
        <v>0</v>
      </c>
      <c r="V55" s="161">
        <f t="shared" si="11"/>
        <v>0</v>
      </c>
      <c r="W55" s="161">
        <f t="shared" si="11"/>
        <v>0</v>
      </c>
      <c r="X55" s="161">
        <f t="shared" si="23"/>
        <v>0</v>
      </c>
      <c r="Y55" s="157"/>
      <c r="Z55" s="161">
        <f t="shared" si="17"/>
        <v>0</v>
      </c>
      <c r="AA55" s="157"/>
      <c r="AB55" s="161">
        <f t="shared" si="18"/>
        <v>0</v>
      </c>
    </row>
    <row r="56" spans="1:28" x14ac:dyDescent="0.3">
      <c r="A56" s="93"/>
      <c r="B56" s="160">
        <f t="shared" si="19"/>
        <v>2033</v>
      </c>
      <c r="C56" s="161">
        <f t="shared" si="24"/>
        <v>0</v>
      </c>
      <c r="D56" s="161">
        <f t="shared" si="24"/>
        <v>0</v>
      </c>
      <c r="E56" s="161">
        <f t="shared" si="20"/>
        <v>0</v>
      </c>
      <c r="F56" s="161">
        <f t="shared" si="25"/>
        <v>0</v>
      </c>
      <c r="G56" s="161">
        <f t="shared" si="25"/>
        <v>0</v>
      </c>
      <c r="H56" s="161">
        <f t="shared" si="21"/>
        <v>0</v>
      </c>
      <c r="I56" s="161">
        <f t="shared" si="26"/>
        <v>0</v>
      </c>
      <c r="J56" s="161">
        <f t="shared" si="26"/>
        <v>0</v>
      </c>
      <c r="K56" s="161">
        <f t="shared" si="26"/>
        <v>0</v>
      </c>
      <c r="L56" s="161">
        <f t="shared" si="26"/>
        <v>0</v>
      </c>
      <c r="M56" s="161">
        <f t="shared" si="26"/>
        <v>0</v>
      </c>
      <c r="N56" s="161">
        <f t="shared" si="22"/>
        <v>0</v>
      </c>
      <c r="O56" s="157"/>
      <c r="P56" s="161">
        <f>E56*'Selected Economics'!$I32*'Sensitivity Ranges'!$F$46</f>
        <v>0</v>
      </c>
      <c r="Q56" s="161">
        <f>F56*'Selected Economics'!$I32*'Sensitivity Ranges'!$F$46</f>
        <v>0</v>
      </c>
      <c r="R56" s="161">
        <f>N56*'Selected Economics'!$I32*'Sensitivity Ranges'!$F$46</f>
        <v>0</v>
      </c>
      <c r="S56" s="161">
        <f t="shared" si="15"/>
        <v>0</v>
      </c>
      <c r="T56" s="157"/>
      <c r="U56" s="161">
        <f t="shared" si="11"/>
        <v>0</v>
      </c>
      <c r="V56" s="161">
        <f t="shared" si="11"/>
        <v>0</v>
      </c>
      <c r="W56" s="161">
        <f t="shared" si="11"/>
        <v>0</v>
      </c>
      <c r="X56" s="161">
        <f t="shared" si="23"/>
        <v>0</v>
      </c>
      <c r="Y56" s="157"/>
      <c r="Z56" s="161">
        <f t="shared" si="17"/>
        <v>0</v>
      </c>
      <c r="AA56" s="157"/>
      <c r="AB56" s="161">
        <f t="shared" si="18"/>
        <v>0</v>
      </c>
    </row>
    <row r="57" spans="1:28" x14ac:dyDescent="0.3">
      <c r="A57" s="93"/>
      <c r="B57" s="160">
        <f t="shared" si="19"/>
        <v>2034</v>
      </c>
      <c r="C57" s="161">
        <f t="shared" si="24"/>
        <v>0</v>
      </c>
      <c r="D57" s="161">
        <f t="shared" si="24"/>
        <v>0</v>
      </c>
      <c r="E57" s="161">
        <f t="shared" si="20"/>
        <v>0</v>
      </c>
      <c r="F57" s="161">
        <f t="shared" si="25"/>
        <v>0</v>
      </c>
      <c r="G57" s="161">
        <f t="shared" si="25"/>
        <v>0</v>
      </c>
      <c r="H57" s="161">
        <f t="shared" si="21"/>
        <v>0</v>
      </c>
      <c r="I57" s="161">
        <f t="shared" si="26"/>
        <v>0</v>
      </c>
      <c r="J57" s="161">
        <f t="shared" si="26"/>
        <v>0</v>
      </c>
      <c r="K57" s="161">
        <f t="shared" si="26"/>
        <v>0</v>
      </c>
      <c r="L57" s="161">
        <f t="shared" si="26"/>
        <v>0</v>
      </c>
      <c r="M57" s="161">
        <f t="shared" si="26"/>
        <v>0</v>
      </c>
      <c r="N57" s="161">
        <f t="shared" si="22"/>
        <v>0</v>
      </c>
      <c r="O57" s="157"/>
      <c r="P57" s="161">
        <f>E57*'Selected Economics'!$I33*'Sensitivity Ranges'!$F$46</f>
        <v>0</v>
      </c>
      <c r="Q57" s="161">
        <f>F57*'Selected Economics'!$I33*'Sensitivity Ranges'!$F$46</f>
        <v>0</v>
      </c>
      <c r="R57" s="161">
        <f>N57*'Selected Economics'!$I33*'Sensitivity Ranges'!$F$46</f>
        <v>0</v>
      </c>
      <c r="S57" s="161">
        <f t="shared" si="15"/>
        <v>0</v>
      </c>
      <c r="T57" s="157"/>
      <c r="U57" s="161">
        <f t="shared" si="11"/>
        <v>0</v>
      </c>
      <c r="V57" s="161">
        <f t="shared" si="11"/>
        <v>0</v>
      </c>
      <c r="W57" s="161">
        <f t="shared" si="11"/>
        <v>0</v>
      </c>
      <c r="X57" s="161">
        <f t="shared" si="23"/>
        <v>0</v>
      </c>
      <c r="Y57" s="157"/>
      <c r="Z57" s="161">
        <f t="shared" si="17"/>
        <v>0</v>
      </c>
      <c r="AA57" s="157"/>
      <c r="AB57" s="161">
        <f t="shared" si="18"/>
        <v>0</v>
      </c>
    </row>
    <row r="58" spans="1:28" x14ac:dyDescent="0.3">
      <c r="A58" s="93"/>
      <c r="B58" s="160">
        <f t="shared" si="19"/>
        <v>2035</v>
      </c>
      <c r="C58" s="161">
        <f t="shared" si="24"/>
        <v>0</v>
      </c>
      <c r="D58" s="161">
        <f t="shared" si="24"/>
        <v>0</v>
      </c>
      <c r="E58" s="161">
        <f t="shared" si="20"/>
        <v>0</v>
      </c>
      <c r="F58" s="161">
        <f t="shared" si="25"/>
        <v>0</v>
      </c>
      <c r="G58" s="161">
        <f t="shared" si="25"/>
        <v>0</v>
      </c>
      <c r="H58" s="161">
        <f t="shared" si="21"/>
        <v>0</v>
      </c>
      <c r="I58" s="161">
        <f t="shared" si="26"/>
        <v>0</v>
      </c>
      <c r="J58" s="161">
        <f t="shared" si="26"/>
        <v>0</v>
      </c>
      <c r="K58" s="161">
        <f t="shared" si="26"/>
        <v>0</v>
      </c>
      <c r="L58" s="161">
        <f t="shared" si="26"/>
        <v>0</v>
      </c>
      <c r="M58" s="161">
        <f t="shared" si="26"/>
        <v>0</v>
      </c>
      <c r="N58" s="161">
        <f t="shared" si="22"/>
        <v>0</v>
      </c>
      <c r="O58" s="157"/>
      <c r="P58" s="161">
        <f>E58*'Selected Economics'!$I34*'Sensitivity Ranges'!$F$46</f>
        <v>0</v>
      </c>
      <c r="Q58" s="161">
        <f>F58*'Selected Economics'!$I34*'Sensitivity Ranges'!$F$46</f>
        <v>0</v>
      </c>
      <c r="R58" s="161">
        <f>N58*'Selected Economics'!$I34*'Sensitivity Ranges'!$F$46</f>
        <v>0</v>
      </c>
      <c r="S58" s="161">
        <f t="shared" si="15"/>
        <v>0</v>
      </c>
      <c r="T58" s="157"/>
      <c r="U58" s="161">
        <f t="shared" si="11"/>
        <v>0</v>
      </c>
      <c r="V58" s="161">
        <f t="shared" si="11"/>
        <v>0</v>
      </c>
      <c r="W58" s="161">
        <f t="shared" si="11"/>
        <v>0</v>
      </c>
      <c r="X58" s="161">
        <f t="shared" si="23"/>
        <v>0</v>
      </c>
      <c r="Y58" s="157"/>
      <c r="Z58" s="161">
        <f t="shared" si="17"/>
        <v>0</v>
      </c>
      <c r="AA58" s="157"/>
      <c r="AB58" s="161">
        <f t="shared" si="18"/>
        <v>0</v>
      </c>
    </row>
    <row r="59" spans="1:28" x14ac:dyDescent="0.3">
      <c r="A59" s="93"/>
      <c r="B59" s="160">
        <f t="shared" si="19"/>
        <v>2036</v>
      </c>
      <c r="C59" s="161">
        <f t="shared" si="24"/>
        <v>0</v>
      </c>
      <c r="D59" s="161">
        <f t="shared" si="24"/>
        <v>0</v>
      </c>
      <c r="E59" s="161">
        <f t="shared" si="20"/>
        <v>0</v>
      </c>
      <c r="F59" s="161">
        <f t="shared" si="25"/>
        <v>0</v>
      </c>
      <c r="G59" s="161">
        <f t="shared" si="25"/>
        <v>0</v>
      </c>
      <c r="H59" s="161">
        <f t="shared" si="21"/>
        <v>0</v>
      </c>
      <c r="I59" s="161">
        <f t="shared" si="26"/>
        <v>0</v>
      </c>
      <c r="J59" s="161">
        <f t="shared" si="26"/>
        <v>0</v>
      </c>
      <c r="K59" s="161">
        <f t="shared" si="26"/>
        <v>0</v>
      </c>
      <c r="L59" s="161">
        <f t="shared" si="26"/>
        <v>0</v>
      </c>
      <c r="M59" s="161">
        <f t="shared" si="26"/>
        <v>0</v>
      </c>
      <c r="N59" s="161">
        <f t="shared" si="22"/>
        <v>0</v>
      </c>
      <c r="O59" s="157"/>
      <c r="P59" s="161">
        <f>E59*'Selected Economics'!$I35*'Sensitivity Ranges'!$F$46</f>
        <v>0</v>
      </c>
      <c r="Q59" s="161">
        <f>F59*'Selected Economics'!$I35*'Sensitivity Ranges'!$F$46</f>
        <v>0</v>
      </c>
      <c r="R59" s="161">
        <f>N59*'Selected Economics'!$I35*'Sensitivity Ranges'!$F$46</f>
        <v>0</v>
      </c>
      <c r="S59" s="161">
        <f t="shared" si="15"/>
        <v>0</v>
      </c>
      <c r="T59" s="157"/>
      <c r="U59" s="161">
        <f t="shared" si="11"/>
        <v>0</v>
      </c>
      <c r="V59" s="161">
        <f t="shared" si="11"/>
        <v>0</v>
      </c>
      <c r="W59" s="161">
        <f t="shared" si="11"/>
        <v>0</v>
      </c>
      <c r="X59" s="161">
        <f t="shared" si="23"/>
        <v>0</v>
      </c>
      <c r="Y59" s="157"/>
      <c r="Z59" s="161">
        <f t="shared" si="17"/>
        <v>0</v>
      </c>
      <c r="AA59" s="157"/>
      <c r="AB59" s="161">
        <f t="shared" si="18"/>
        <v>0</v>
      </c>
    </row>
    <row r="60" spans="1:28" x14ac:dyDescent="0.3">
      <c r="A60" s="93"/>
      <c r="B60" s="160">
        <f t="shared" si="19"/>
        <v>2037</v>
      </c>
      <c r="C60" s="161">
        <f t="shared" si="24"/>
        <v>0</v>
      </c>
      <c r="D60" s="161">
        <f t="shared" si="24"/>
        <v>0</v>
      </c>
      <c r="E60" s="161">
        <f t="shared" si="20"/>
        <v>0</v>
      </c>
      <c r="F60" s="161">
        <f t="shared" si="25"/>
        <v>0</v>
      </c>
      <c r="G60" s="161">
        <f t="shared" si="25"/>
        <v>0</v>
      </c>
      <c r="H60" s="161">
        <f t="shared" si="21"/>
        <v>0</v>
      </c>
      <c r="I60" s="161">
        <f t="shared" si="26"/>
        <v>0</v>
      </c>
      <c r="J60" s="161">
        <f t="shared" si="26"/>
        <v>0</v>
      </c>
      <c r="K60" s="161">
        <f t="shared" si="26"/>
        <v>0</v>
      </c>
      <c r="L60" s="161">
        <f t="shared" si="26"/>
        <v>0</v>
      </c>
      <c r="M60" s="161">
        <f t="shared" si="26"/>
        <v>0</v>
      </c>
      <c r="N60" s="161">
        <f t="shared" si="22"/>
        <v>0</v>
      </c>
      <c r="O60" s="157"/>
      <c r="P60" s="161">
        <f>E60*'Selected Economics'!$I36*'Sensitivity Ranges'!$F$46</f>
        <v>0</v>
      </c>
      <c r="Q60" s="161">
        <f>F60*'Selected Economics'!$I36*'Sensitivity Ranges'!$F$46</f>
        <v>0</v>
      </c>
      <c r="R60" s="161">
        <f>N60*'Selected Economics'!$I36*'Sensitivity Ranges'!$F$46</f>
        <v>0</v>
      </c>
      <c r="S60" s="161">
        <f t="shared" si="15"/>
        <v>0</v>
      </c>
      <c r="T60" s="157"/>
      <c r="U60" s="161">
        <f t="shared" si="11"/>
        <v>0</v>
      </c>
      <c r="V60" s="161">
        <f t="shared" si="11"/>
        <v>0</v>
      </c>
      <c r="W60" s="161">
        <f t="shared" si="11"/>
        <v>0</v>
      </c>
      <c r="X60" s="161">
        <f t="shared" si="23"/>
        <v>0</v>
      </c>
      <c r="Y60" s="157"/>
      <c r="Z60" s="161">
        <f t="shared" si="17"/>
        <v>0</v>
      </c>
      <c r="AA60" s="157"/>
      <c r="AB60" s="161">
        <f t="shared" si="18"/>
        <v>0</v>
      </c>
    </row>
    <row r="61" spans="1:28" x14ac:dyDescent="0.3">
      <c r="A61" s="93"/>
      <c r="B61" s="160">
        <f t="shared" si="19"/>
        <v>2038</v>
      </c>
      <c r="C61" s="161">
        <f t="shared" si="24"/>
        <v>0</v>
      </c>
      <c r="D61" s="161">
        <f t="shared" si="24"/>
        <v>0</v>
      </c>
      <c r="E61" s="161">
        <f t="shared" si="20"/>
        <v>0</v>
      </c>
      <c r="F61" s="161">
        <f t="shared" si="25"/>
        <v>0</v>
      </c>
      <c r="G61" s="161">
        <f t="shared" si="25"/>
        <v>0</v>
      </c>
      <c r="H61" s="161">
        <f t="shared" si="21"/>
        <v>0</v>
      </c>
      <c r="I61" s="161">
        <f t="shared" si="26"/>
        <v>0</v>
      </c>
      <c r="J61" s="161">
        <f t="shared" si="26"/>
        <v>0</v>
      </c>
      <c r="K61" s="161">
        <f t="shared" si="26"/>
        <v>0</v>
      </c>
      <c r="L61" s="161">
        <f t="shared" si="26"/>
        <v>0</v>
      </c>
      <c r="M61" s="161">
        <f t="shared" si="26"/>
        <v>0</v>
      </c>
      <c r="N61" s="161">
        <f t="shared" si="22"/>
        <v>0</v>
      </c>
      <c r="O61" s="157"/>
      <c r="P61" s="161">
        <f>E61*'Selected Economics'!$I37*'Sensitivity Ranges'!$F$46</f>
        <v>0</v>
      </c>
      <c r="Q61" s="161">
        <f>F61*'Selected Economics'!$I37*'Sensitivity Ranges'!$F$46</f>
        <v>0</v>
      </c>
      <c r="R61" s="161">
        <f>N61*'Selected Economics'!$I37*'Sensitivity Ranges'!$F$46</f>
        <v>0</v>
      </c>
      <c r="S61" s="161">
        <f t="shared" si="15"/>
        <v>0</v>
      </c>
      <c r="T61" s="157"/>
      <c r="U61" s="161">
        <f t="shared" si="11"/>
        <v>0</v>
      </c>
      <c r="V61" s="161">
        <f t="shared" si="11"/>
        <v>0</v>
      </c>
      <c r="W61" s="161">
        <f t="shared" si="11"/>
        <v>0</v>
      </c>
      <c r="X61" s="161">
        <f t="shared" si="23"/>
        <v>0</v>
      </c>
      <c r="Y61" s="157"/>
      <c r="Z61" s="161">
        <f t="shared" si="17"/>
        <v>0</v>
      </c>
      <c r="AA61" s="157"/>
      <c r="AB61" s="161">
        <f t="shared" si="18"/>
        <v>0</v>
      </c>
    </row>
    <row r="62" spans="1:28" x14ac:dyDescent="0.3">
      <c r="A62" s="93"/>
      <c r="B62" s="160">
        <f t="shared" si="19"/>
        <v>2039</v>
      </c>
      <c r="C62" s="161">
        <f t="shared" si="24"/>
        <v>0</v>
      </c>
      <c r="D62" s="161">
        <f t="shared" si="24"/>
        <v>0</v>
      </c>
      <c r="E62" s="161">
        <f t="shared" si="20"/>
        <v>0</v>
      </c>
      <c r="F62" s="161">
        <f t="shared" si="25"/>
        <v>0</v>
      </c>
      <c r="G62" s="161">
        <f t="shared" si="25"/>
        <v>0</v>
      </c>
      <c r="H62" s="161">
        <f t="shared" si="21"/>
        <v>0</v>
      </c>
      <c r="I62" s="161">
        <f t="shared" si="26"/>
        <v>0</v>
      </c>
      <c r="J62" s="161">
        <f t="shared" si="26"/>
        <v>0</v>
      </c>
      <c r="K62" s="161">
        <f t="shared" si="26"/>
        <v>0</v>
      </c>
      <c r="L62" s="161">
        <f t="shared" si="26"/>
        <v>0</v>
      </c>
      <c r="M62" s="161">
        <f t="shared" si="26"/>
        <v>0</v>
      </c>
      <c r="N62" s="161">
        <f t="shared" si="22"/>
        <v>0</v>
      </c>
      <c r="O62" s="157"/>
      <c r="P62" s="161">
        <f>E62*'Selected Economics'!$I38*'Sensitivity Ranges'!$F$46</f>
        <v>0</v>
      </c>
      <c r="Q62" s="161">
        <f>F62*'Selected Economics'!$I38*'Sensitivity Ranges'!$F$46</f>
        <v>0</v>
      </c>
      <c r="R62" s="161">
        <f>N62*'Selected Economics'!$I38*'Sensitivity Ranges'!$F$46</f>
        <v>0</v>
      </c>
      <c r="S62" s="161">
        <f t="shared" si="15"/>
        <v>0</v>
      </c>
      <c r="T62" s="157"/>
      <c r="U62" s="161">
        <f t="shared" si="11"/>
        <v>0</v>
      </c>
      <c r="V62" s="161">
        <f t="shared" si="11"/>
        <v>0</v>
      </c>
      <c r="W62" s="161">
        <f t="shared" si="11"/>
        <v>0</v>
      </c>
      <c r="X62" s="161">
        <f t="shared" si="23"/>
        <v>0</v>
      </c>
      <c r="Y62" s="157"/>
      <c r="Z62" s="161">
        <f t="shared" si="17"/>
        <v>0</v>
      </c>
      <c r="AA62" s="157"/>
      <c r="AB62" s="161">
        <f t="shared" si="18"/>
        <v>0</v>
      </c>
    </row>
    <row r="63" spans="1:28" x14ac:dyDescent="0.3">
      <c r="A63" s="93"/>
      <c r="B63" s="160">
        <f t="shared" si="19"/>
        <v>2040</v>
      </c>
      <c r="C63" s="161">
        <f t="shared" si="24"/>
        <v>0</v>
      </c>
      <c r="D63" s="161">
        <f t="shared" si="24"/>
        <v>0</v>
      </c>
      <c r="E63" s="161">
        <f t="shared" si="20"/>
        <v>0</v>
      </c>
      <c r="F63" s="161">
        <f t="shared" si="25"/>
        <v>0</v>
      </c>
      <c r="G63" s="161">
        <f t="shared" si="25"/>
        <v>0</v>
      </c>
      <c r="H63" s="161">
        <f t="shared" si="21"/>
        <v>0</v>
      </c>
      <c r="I63" s="161">
        <f t="shared" si="26"/>
        <v>0</v>
      </c>
      <c r="J63" s="161">
        <f t="shared" si="26"/>
        <v>0</v>
      </c>
      <c r="K63" s="161">
        <f t="shared" si="26"/>
        <v>0</v>
      </c>
      <c r="L63" s="161">
        <f t="shared" si="26"/>
        <v>0</v>
      </c>
      <c r="M63" s="161">
        <f t="shared" si="26"/>
        <v>0</v>
      </c>
      <c r="N63" s="161">
        <f t="shared" si="22"/>
        <v>0</v>
      </c>
      <c r="O63" s="157"/>
      <c r="P63" s="161">
        <f>E63*'Selected Economics'!$I39*'Sensitivity Ranges'!$F$46</f>
        <v>0</v>
      </c>
      <c r="Q63" s="161">
        <f>F63*'Selected Economics'!$I39*'Sensitivity Ranges'!$F$46</f>
        <v>0</v>
      </c>
      <c r="R63" s="161">
        <f>N63*'Selected Economics'!$I39*'Sensitivity Ranges'!$F$46</f>
        <v>0</v>
      </c>
      <c r="S63" s="161">
        <f t="shared" si="15"/>
        <v>0</v>
      </c>
      <c r="T63" s="157"/>
      <c r="U63" s="161">
        <f t="shared" si="11"/>
        <v>0</v>
      </c>
      <c r="V63" s="161">
        <f t="shared" si="11"/>
        <v>0</v>
      </c>
      <c r="W63" s="161">
        <f t="shared" si="11"/>
        <v>0</v>
      </c>
      <c r="X63" s="161">
        <f t="shared" si="23"/>
        <v>0</v>
      </c>
      <c r="Y63" s="157"/>
      <c r="Z63" s="161">
        <f t="shared" si="17"/>
        <v>0</v>
      </c>
      <c r="AA63" s="157"/>
      <c r="AB63" s="161">
        <f t="shared" si="18"/>
        <v>0</v>
      </c>
    </row>
    <row r="64" spans="1:28" x14ac:dyDescent="0.3">
      <c r="A64" s="93"/>
      <c r="B64" s="160">
        <f t="shared" si="19"/>
        <v>2041</v>
      </c>
      <c r="C64" s="161">
        <f t="shared" si="24"/>
        <v>0</v>
      </c>
      <c r="D64" s="161">
        <f t="shared" si="24"/>
        <v>0</v>
      </c>
      <c r="E64" s="161">
        <f t="shared" si="20"/>
        <v>0</v>
      </c>
      <c r="F64" s="161">
        <f t="shared" si="25"/>
        <v>0</v>
      </c>
      <c r="G64" s="161">
        <f t="shared" si="25"/>
        <v>0</v>
      </c>
      <c r="H64" s="161">
        <f t="shared" si="21"/>
        <v>0</v>
      </c>
      <c r="I64" s="161">
        <f t="shared" si="26"/>
        <v>0</v>
      </c>
      <c r="J64" s="161">
        <f t="shared" si="26"/>
        <v>0</v>
      </c>
      <c r="K64" s="161">
        <f t="shared" si="26"/>
        <v>0</v>
      </c>
      <c r="L64" s="161">
        <f t="shared" si="26"/>
        <v>0</v>
      </c>
      <c r="M64" s="161">
        <f t="shared" si="26"/>
        <v>0</v>
      </c>
      <c r="N64" s="161">
        <f t="shared" si="22"/>
        <v>0</v>
      </c>
      <c r="O64" s="157"/>
      <c r="P64" s="161">
        <f>E64*'Selected Economics'!$I40*'Sensitivity Ranges'!$F$46</f>
        <v>0</v>
      </c>
      <c r="Q64" s="161">
        <f>F64*'Selected Economics'!$I40*'Sensitivity Ranges'!$F$46</f>
        <v>0</v>
      </c>
      <c r="R64" s="161">
        <f>N64*'Selected Economics'!$I40*'Sensitivity Ranges'!$F$46</f>
        <v>0</v>
      </c>
      <c r="S64" s="161">
        <f t="shared" si="15"/>
        <v>0</v>
      </c>
      <c r="T64" s="157"/>
      <c r="U64" s="161">
        <f t="shared" si="11"/>
        <v>0</v>
      </c>
      <c r="V64" s="161">
        <f t="shared" si="11"/>
        <v>0</v>
      </c>
      <c r="W64" s="161">
        <f t="shared" si="11"/>
        <v>0</v>
      </c>
      <c r="X64" s="161">
        <f t="shared" si="23"/>
        <v>0</v>
      </c>
      <c r="Y64" s="157"/>
      <c r="Z64" s="161">
        <f t="shared" si="17"/>
        <v>0</v>
      </c>
      <c r="AA64" s="157"/>
      <c r="AB64" s="161">
        <f t="shared" si="18"/>
        <v>0</v>
      </c>
    </row>
    <row r="65" spans="1:28" x14ac:dyDescent="0.3">
      <c r="A65" s="93"/>
      <c r="B65" s="160">
        <f t="shared" si="19"/>
        <v>2042</v>
      </c>
      <c r="C65" s="161">
        <f t="shared" si="24"/>
        <v>0</v>
      </c>
      <c r="D65" s="161">
        <f t="shared" si="24"/>
        <v>0</v>
      </c>
      <c r="E65" s="161">
        <f t="shared" si="20"/>
        <v>0</v>
      </c>
      <c r="F65" s="161">
        <f t="shared" si="25"/>
        <v>0</v>
      </c>
      <c r="G65" s="161">
        <f t="shared" si="25"/>
        <v>0</v>
      </c>
      <c r="H65" s="161">
        <f t="shared" si="21"/>
        <v>0</v>
      </c>
      <c r="I65" s="161">
        <f t="shared" si="26"/>
        <v>0</v>
      </c>
      <c r="J65" s="161">
        <f t="shared" si="26"/>
        <v>0</v>
      </c>
      <c r="K65" s="161">
        <f t="shared" si="26"/>
        <v>0</v>
      </c>
      <c r="L65" s="161">
        <f t="shared" si="26"/>
        <v>0</v>
      </c>
      <c r="M65" s="161">
        <f t="shared" si="26"/>
        <v>0</v>
      </c>
      <c r="N65" s="161">
        <f t="shared" si="22"/>
        <v>0</v>
      </c>
      <c r="O65" s="157"/>
      <c r="P65" s="161">
        <f>E65*'Selected Economics'!$I41*'Sensitivity Ranges'!$F$46</f>
        <v>0</v>
      </c>
      <c r="Q65" s="161">
        <f>F65*'Selected Economics'!$I41*'Sensitivity Ranges'!$F$46</f>
        <v>0</v>
      </c>
      <c r="R65" s="161">
        <f>N65*'Selected Economics'!$I41*'Sensitivity Ranges'!$F$46</f>
        <v>0</v>
      </c>
      <c r="S65" s="161">
        <f t="shared" si="15"/>
        <v>0</v>
      </c>
      <c r="T65" s="157"/>
      <c r="U65" s="161">
        <f t="shared" si="11"/>
        <v>0</v>
      </c>
      <c r="V65" s="161">
        <f t="shared" si="11"/>
        <v>0</v>
      </c>
      <c r="W65" s="161">
        <f t="shared" si="11"/>
        <v>0</v>
      </c>
      <c r="X65" s="161">
        <f t="shared" si="23"/>
        <v>0</v>
      </c>
      <c r="Y65" s="157"/>
      <c r="Z65" s="161">
        <f t="shared" si="17"/>
        <v>0</v>
      </c>
      <c r="AA65" s="157"/>
      <c r="AB65" s="161">
        <f t="shared" si="18"/>
        <v>0</v>
      </c>
    </row>
    <row r="66" spans="1:28" x14ac:dyDescent="0.3">
      <c r="A66" s="93"/>
      <c r="B66" s="160">
        <f t="shared" si="19"/>
        <v>2043</v>
      </c>
      <c r="C66" s="161">
        <f t="shared" si="24"/>
        <v>0</v>
      </c>
      <c r="D66" s="161">
        <f t="shared" si="24"/>
        <v>0</v>
      </c>
      <c r="E66" s="161">
        <f t="shared" si="20"/>
        <v>0</v>
      </c>
      <c r="F66" s="161">
        <f t="shared" si="25"/>
        <v>0</v>
      </c>
      <c r="G66" s="161">
        <f t="shared" si="25"/>
        <v>0</v>
      </c>
      <c r="H66" s="161">
        <f t="shared" si="21"/>
        <v>0</v>
      </c>
      <c r="I66" s="161">
        <f t="shared" si="26"/>
        <v>0</v>
      </c>
      <c r="J66" s="161">
        <f t="shared" si="26"/>
        <v>0</v>
      </c>
      <c r="K66" s="161">
        <f t="shared" si="26"/>
        <v>0</v>
      </c>
      <c r="L66" s="161">
        <f t="shared" si="26"/>
        <v>0</v>
      </c>
      <c r="M66" s="161">
        <f t="shared" si="26"/>
        <v>0</v>
      </c>
      <c r="N66" s="161">
        <f t="shared" si="22"/>
        <v>0</v>
      </c>
      <c r="O66" s="157"/>
      <c r="P66" s="161">
        <f>E66*'Selected Economics'!$I42*'Sensitivity Ranges'!$F$46</f>
        <v>0</v>
      </c>
      <c r="Q66" s="161">
        <f>F66*'Selected Economics'!$I42*'Sensitivity Ranges'!$F$46</f>
        <v>0</v>
      </c>
      <c r="R66" s="161">
        <f>N66*'Selected Economics'!$I42*'Sensitivity Ranges'!$F$46</f>
        <v>0</v>
      </c>
      <c r="S66" s="161">
        <f t="shared" si="15"/>
        <v>0</v>
      </c>
      <c r="T66" s="157"/>
      <c r="U66" s="161">
        <f t="shared" si="11"/>
        <v>0</v>
      </c>
      <c r="V66" s="161">
        <f t="shared" si="11"/>
        <v>0</v>
      </c>
      <c r="W66" s="161">
        <f t="shared" si="11"/>
        <v>0</v>
      </c>
      <c r="X66" s="161">
        <f t="shared" si="23"/>
        <v>0</v>
      </c>
      <c r="Y66" s="157"/>
      <c r="Z66" s="161">
        <f t="shared" si="17"/>
        <v>0</v>
      </c>
      <c r="AA66" s="157"/>
      <c r="AB66" s="161">
        <f t="shared" si="18"/>
        <v>0</v>
      </c>
    </row>
    <row r="67" spans="1:28" x14ac:dyDescent="0.3">
      <c r="A67" s="93"/>
      <c r="B67" s="160">
        <f t="shared" si="19"/>
        <v>2044</v>
      </c>
      <c r="C67" s="161">
        <f t="shared" si="24"/>
        <v>0</v>
      </c>
      <c r="D67" s="161">
        <f t="shared" si="24"/>
        <v>0</v>
      </c>
      <c r="E67" s="161">
        <f t="shared" si="20"/>
        <v>0</v>
      </c>
      <c r="F67" s="161">
        <f t="shared" si="25"/>
        <v>0</v>
      </c>
      <c r="G67" s="161">
        <f t="shared" si="25"/>
        <v>0</v>
      </c>
      <c r="H67" s="161">
        <f t="shared" si="21"/>
        <v>0</v>
      </c>
      <c r="I67" s="161">
        <f t="shared" si="26"/>
        <v>0</v>
      </c>
      <c r="J67" s="161">
        <f t="shared" si="26"/>
        <v>0</v>
      </c>
      <c r="K67" s="161">
        <f t="shared" si="26"/>
        <v>0</v>
      </c>
      <c r="L67" s="161">
        <f t="shared" si="26"/>
        <v>0</v>
      </c>
      <c r="M67" s="161">
        <f t="shared" si="26"/>
        <v>0</v>
      </c>
      <c r="N67" s="161">
        <f t="shared" si="22"/>
        <v>0</v>
      </c>
      <c r="O67" s="157"/>
      <c r="P67" s="161">
        <f>E67*'Selected Economics'!$I43*'Sensitivity Ranges'!$F$46</f>
        <v>0</v>
      </c>
      <c r="Q67" s="161">
        <f>F67*'Selected Economics'!$I43*'Sensitivity Ranges'!$F$46</f>
        <v>0</v>
      </c>
      <c r="R67" s="161">
        <f>N67*'Selected Economics'!$I43*'Sensitivity Ranges'!$F$46</f>
        <v>0</v>
      </c>
      <c r="S67" s="161">
        <f t="shared" si="15"/>
        <v>0</v>
      </c>
      <c r="T67" s="157"/>
      <c r="U67" s="161">
        <f t="shared" si="11"/>
        <v>0</v>
      </c>
      <c r="V67" s="161">
        <f t="shared" si="11"/>
        <v>0</v>
      </c>
      <c r="W67" s="161">
        <f t="shared" si="11"/>
        <v>0</v>
      </c>
      <c r="X67" s="161">
        <f t="shared" si="23"/>
        <v>0</v>
      </c>
      <c r="Y67" s="157"/>
      <c r="Z67" s="161">
        <f t="shared" si="17"/>
        <v>0</v>
      </c>
      <c r="AA67" s="157"/>
      <c r="AB67" s="161">
        <f t="shared" si="18"/>
        <v>0</v>
      </c>
    </row>
    <row r="68" spans="1:28" x14ac:dyDescent="0.3">
      <c r="A68" s="93"/>
      <c r="B68" s="160">
        <f t="shared" si="19"/>
        <v>2045</v>
      </c>
      <c r="C68" s="161">
        <f t="shared" si="24"/>
        <v>0</v>
      </c>
      <c r="D68" s="161">
        <f t="shared" si="24"/>
        <v>0</v>
      </c>
      <c r="E68" s="161">
        <f t="shared" si="20"/>
        <v>0</v>
      </c>
      <c r="F68" s="161">
        <f t="shared" si="25"/>
        <v>0</v>
      </c>
      <c r="G68" s="161">
        <f t="shared" si="25"/>
        <v>0</v>
      </c>
      <c r="H68" s="161">
        <f t="shared" si="21"/>
        <v>0</v>
      </c>
      <c r="I68" s="161">
        <f t="shared" si="26"/>
        <v>0</v>
      </c>
      <c r="J68" s="161">
        <f t="shared" si="26"/>
        <v>0</v>
      </c>
      <c r="K68" s="161">
        <f t="shared" si="26"/>
        <v>0</v>
      </c>
      <c r="L68" s="161">
        <f t="shared" si="26"/>
        <v>0</v>
      </c>
      <c r="M68" s="161">
        <f t="shared" si="26"/>
        <v>0</v>
      </c>
      <c r="N68" s="161">
        <f t="shared" si="22"/>
        <v>0</v>
      </c>
      <c r="O68" s="157"/>
      <c r="P68" s="161">
        <f>E68*'Selected Economics'!$I44*'Sensitivity Ranges'!$F$46</f>
        <v>0</v>
      </c>
      <c r="Q68" s="161">
        <f>F68*'Selected Economics'!$I44*'Sensitivity Ranges'!$F$46</f>
        <v>0</v>
      </c>
      <c r="R68" s="161">
        <f>N68*'Selected Economics'!$I44*'Sensitivity Ranges'!$F$46</f>
        <v>0</v>
      </c>
      <c r="S68" s="161">
        <f t="shared" si="15"/>
        <v>0</v>
      </c>
      <c r="T68" s="157"/>
      <c r="U68" s="161">
        <f t="shared" si="11"/>
        <v>0</v>
      </c>
      <c r="V68" s="161">
        <f t="shared" si="11"/>
        <v>0</v>
      </c>
      <c r="W68" s="161">
        <f t="shared" si="11"/>
        <v>0</v>
      </c>
      <c r="X68" s="161">
        <f t="shared" si="23"/>
        <v>0</v>
      </c>
      <c r="Y68" s="157"/>
      <c r="Z68" s="161">
        <f t="shared" si="17"/>
        <v>0</v>
      </c>
      <c r="AA68" s="157"/>
      <c r="AB68" s="161">
        <f t="shared" si="18"/>
        <v>0</v>
      </c>
    </row>
    <row r="69" spans="1:28" x14ac:dyDescent="0.3">
      <c r="A69" s="93"/>
      <c r="B69" s="160">
        <f t="shared" si="19"/>
        <v>2046</v>
      </c>
      <c r="C69" s="161">
        <f t="shared" si="24"/>
        <v>0</v>
      </c>
      <c r="D69" s="161">
        <f t="shared" si="24"/>
        <v>0</v>
      </c>
      <c r="E69" s="161">
        <f t="shared" si="20"/>
        <v>0</v>
      </c>
      <c r="F69" s="161">
        <f t="shared" si="25"/>
        <v>0</v>
      </c>
      <c r="G69" s="161">
        <f t="shared" si="25"/>
        <v>0</v>
      </c>
      <c r="H69" s="161">
        <f t="shared" si="21"/>
        <v>0</v>
      </c>
      <c r="I69" s="161">
        <f t="shared" si="26"/>
        <v>0</v>
      </c>
      <c r="J69" s="161">
        <f t="shared" si="26"/>
        <v>0</v>
      </c>
      <c r="K69" s="161">
        <f t="shared" si="26"/>
        <v>0</v>
      </c>
      <c r="L69" s="161">
        <f t="shared" si="26"/>
        <v>0</v>
      </c>
      <c r="M69" s="161">
        <f t="shared" si="26"/>
        <v>0</v>
      </c>
      <c r="N69" s="161">
        <f t="shared" si="22"/>
        <v>0</v>
      </c>
      <c r="O69" s="157"/>
      <c r="P69" s="161">
        <f>E69*'Selected Economics'!$I45*'Sensitivity Ranges'!$F$46</f>
        <v>0</v>
      </c>
      <c r="Q69" s="161">
        <f>F69*'Selected Economics'!$I45*'Sensitivity Ranges'!$F$46</f>
        <v>0</v>
      </c>
      <c r="R69" s="161">
        <f>N69*'Selected Economics'!$I45*'Sensitivity Ranges'!$F$46</f>
        <v>0</v>
      </c>
      <c r="S69" s="161">
        <f t="shared" si="15"/>
        <v>0</v>
      </c>
      <c r="T69" s="157"/>
      <c r="U69" s="161">
        <f t="shared" si="11"/>
        <v>0</v>
      </c>
      <c r="V69" s="161">
        <f t="shared" si="11"/>
        <v>0</v>
      </c>
      <c r="W69" s="161">
        <f t="shared" si="11"/>
        <v>0</v>
      </c>
      <c r="X69" s="161">
        <f t="shared" si="23"/>
        <v>0</v>
      </c>
      <c r="Y69" s="157"/>
      <c r="Z69" s="161">
        <f t="shared" si="17"/>
        <v>0</v>
      </c>
      <c r="AA69" s="157"/>
      <c r="AB69" s="161">
        <f t="shared" si="18"/>
        <v>0</v>
      </c>
    </row>
    <row r="70" spans="1:28" x14ac:dyDescent="0.3">
      <c r="A70" s="93"/>
      <c r="B70" s="160">
        <f t="shared" si="19"/>
        <v>2047</v>
      </c>
      <c r="C70" s="161">
        <f t="shared" ref="C70:D74" si="27">IF($B70=INDEX($O$19:$O$27,C$30,1),INDEX($R$19:$R$27,C$30,1),IF($B70=INDEX($P$19:$P$27,C$30,1),INDEX($S$19:$S$27,C$30,1),0))</f>
        <v>0</v>
      </c>
      <c r="D70" s="161">
        <f t="shared" si="27"/>
        <v>0</v>
      </c>
      <c r="E70" s="161">
        <f t="shared" si="20"/>
        <v>0</v>
      </c>
      <c r="F70" s="161">
        <f t="shared" ref="F70:G74" si="28">IF($B70=INDEX($O$19:$O$27,F$30,1),INDEX($R$19:$R$27,F$30,1),IF($B70=INDEX($P$19:$P$27,F$30,1),INDEX($S$19:$S$27,F$30,1),0))</f>
        <v>0</v>
      </c>
      <c r="G70" s="161">
        <f t="shared" si="28"/>
        <v>0</v>
      </c>
      <c r="H70" s="161">
        <f t="shared" si="21"/>
        <v>0</v>
      </c>
      <c r="I70" s="161">
        <f t="shared" ref="I70:M74" si="29">IF($B70=INDEX($O$19:$O$27,I$30,1),INDEX($R$19:$R$27,I$30,1),IF($B70=INDEX($P$19:$P$27,I$30,1),INDEX($S$19:$S$27,I$30,1),0))</f>
        <v>0</v>
      </c>
      <c r="J70" s="161">
        <f t="shared" si="29"/>
        <v>0</v>
      </c>
      <c r="K70" s="161">
        <f t="shared" si="29"/>
        <v>0</v>
      </c>
      <c r="L70" s="161">
        <f t="shared" si="29"/>
        <v>0</v>
      </c>
      <c r="M70" s="161">
        <f t="shared" si="29"/>
        <v>0</v>
      </c>
      <c r="N70" s="161">
        <f t="shared" si="22"/>
        <v>0</v>
      </c>
      <c r="O70" s="157"/>
      <c r="P70" s="161">
        <f>E70*'Selected Economics'!$I46*'Sensitivity Ranges'!$F$46</f>
        <v>0</v>
      </c>
      <c r="Q70" s="161">
        <f>F70*'Selected Economics'!$I46*'Sensitivity Ranges'!$F$46</f>
        <v>0</v>
      </c>
      <c r="R70" s="161">
        <f>N70*'Selected Economics'!$I46*'Sensitivity Ranges'!$F$46</f>
        <v>0</v>
      </c>
      <c r="S70" s="161">
        <f t="shared" si="15"/>
        <v>0</v>
      </c>
      <c r="T70" s="157"/>
      <c r="U70" s="161">
        <f t="shared" si="11"/>
        <v>0</v>
      </c>
      <c r="V70" s="161">
        <f t="shared" si="11"/>
        <v>0</v>
      </c>
      <c r="W70" s="161">
        <f t="shared" si="11"/>
        <v>0</v>
      </c>
      <c r="X70" s="161">
        <f t="shared" si="23"/>
        <v>0</v>
      </c>
      <c r="Y70" s="157"/>
      <c r="Z70" s="161">
        <f t="shared" si="17"/>
        <v>0</v>
      </c>
      <c r="AA70" s="157"/>
      <c r="AB70" s="161">
        <f t="shared" si="18"/>
        <v>0</v>
      </c>
    </row>
    <row r="71" spans="1:28" x14ac:dyDescent="0.3">
      <c r="A71" s="93"/>
      <c r="B71" s="160">
        <f t="shared" si="19"/>
        <v>2048</v>
      </c>
      <c r="C71" s="161">
        <f t="shared" si="27"/>
        <v>0</v>
      </c>
      <c r="D71" s="161">
        <f t="shared" si="27"/>
        <v>0</v>
      </c>
      <c r="E71" s="161">
        <f t="shared" si="20"/>
        <v>0</v>
      </c>
      <c r="F71" s="161">
        <f t="shared" si="28"/>
        <v>0</v>
      </c>
      <c r="G71" s="161">
        <f t="shared" si="28"/>
        <v>0</v>
      </c>
      <c r="H71" s="161">
        <f t="shared" si="21"/>
        <v>0</v>
      </c>
      <c r="I71" s="161">
        <f t="shared" si="29"/>
        <v>0</v>
      </c>
      <c r="J71" s="161">
        <f t="shared" si="29"/>
        <v>0</v>
      </c>
      <c r="K71" s="161">
        <f t="shared" si="29"/>
        <v>0</v>
      </c>
      <c r="L71" s="161">
        <f t="shared" si="29"/>
        <v>0</v>
      </c>
      <c r="M71" s="161">
        <f t="shared" si="29"/>
        <v>0</v>
      </c>
      <c r="N71" s="161">
        <f t="shared" si="22"/>
        <v>0</v>
      </c>
      <c r="O71" s="157"/>
      <c r="P71" s="161">
        <f>E71*'Selected Economics'!$I47*'Sensitivity Ranges'!$F$46</f>
        <v>0</v>
      </c>
      <c r="Q71" s="161">
        <f>F71*'Selected Economics'!$I47*'Sensitivity Ranges'!$F$46</f>
        <v>0</v>
      </c>
      <c r="R71" s="161">
        <f>N71*'Selected Economics'!$I47*'Sensitivity Ranges'!$F$46</f>
        <v>0</v>
      </c>
      <c r="S71" s="161">
        <f t="shared" si="15"/>
        <v>0</v>
      </c>
      <c r="T71" s="157"/>
      <c r="U71" s="161">
        <f t="shared" si="11"/>
        <v>0</v>
      </c>
      <c r="V71" s="161">
        <f t="shared" si="11"/>
        <v>0</v>
      </c>
      <c r="W71" s="161">
        <f t="shared" si="11"/>
        <v>0</v>
      </c>
      <c r="X71" s="161">
        <f t="shared" si="23"/>
        <v>0</v>
      </c>
      <c r="Y71" s="157"/>
      <c r="Z71" s="161">
        <f t="shared" si="17"/>
        <v>0</v>
      </c>
      <c r="AA71" s="157"/>
      <c r="AB71" s="161">
        <f t="shared" si="18"/>
        <v>0</v>
      </c>
    </row>
    <row r="72" spans="1:28" x14ac:dyDescent="0.3">
      <c r="A72" s="93"/>
      <c r="B72" s="160">
        <f t="shared" si="19"/>
        <v>2049</v>
      </c>
      <c r="C72" s="161">
        <f t="shared" si="27"/>
        <v>0</v>
      </c>
      <c r="D72" s="161">
        <f t="shared" si="27"/>
        <v>0</v>
      </c>
      <c r="E72" s="161">
        <f t="shared" si="20"/>
        <v>0</v>
      </c>
      <c r="F72" s="161">
        <f t="shared" si="28"/>
        <v>0</v>
      </c>
      <c r="G72" s="161">
        <f t="shared" si="28"/>
        <v>0</v>
      </c>
      <c r="H72" s="161">
        <f t="shared" si="21"/>
        <v>0</v>
      </c>
      <c r="I72" s="161">
        <f t="shared" si="29"/>
        <v>0</v>
      </c>
      <c r="J72" s="161">
        <f t="shared" si="29"/>
        <v>0</v>
      </c>
      <c r="K72" s="161">
        <f t="shared" si="29"/>
        <v>0</v>
      </c>
      <c r="L72" s="161">
        <f t="shared" si="29"/>
        <v>0</v>
      </c>
      <c r="M72" s="161">
        <f t="shared" si="29"/>
        <v>0</v>
      </c>
      <c r="N72" s="161">
        <f t="shared" si="22"/>
        <v>0</v>
      </c>
      <c r="O72" s="157"/>
      <c r="P72" s="161">
        <f>E72*'Selected Economics'!$I48*'Sensitivity Ranges'!$F$46</f>
        <v>0</v>
      </c>
      <c r="Q72" s="161">
        <f>F72*'Selected Economics'!$I48*'Sensitivity Ranges'!$F$46</f>
        <v>0</v>
      </c>
      <c r="R72" s="161">
        <f>N72*'Selected Economics'!$I48*'Sensitivity Ranges'!$F$46</f>
        <v>0</v>
      </c>
      <c r="S72" s="161">
        <f t="shared" si="15"/>
        <v>0</v>
      </c>
      <c r="T72" s="157"/>
      <c r="U72" s="161">
        <f t="shared" si="11"/>
        <v>0</v>
      </c>
      <c r="V72" s="161">
        <f t="shared" si="11"/>
        <v>0</v>
      </c>
      <c r="W72" s="161">
        <f t="shared" si="11"/>
        <v>0</v>
      </c>
      <c r="X72" s="161">
        <f t="shared" si="23"/>
        <v>0</v>
      </c>
      <c r="Y72" s="157"/>
      <c r="Z72" s="161">
        <f t="shared" si="17"/>
        <v>0</v>
      </c>
      <c r="AA72" s="157"/>
      <c r="AB72" s="161">
        <f t="shared" si="18"/>
        <v>0</v>
      </c>
    </row>
    <row r="73" spans="1:28" x14ac:dyDescent="0.3">
      <c r="A73" s="93"/>
      <c r="B73" s="160">
        <f t="shared" si="19"/>
        <v>2050</v>
      </c>
      <c r="C73" s="161">
        <f t="shared" si="27"/>
        <v>0</v>
      </c>
      <c r="D73" s="161">
        <f t="shared" si="27"/>
        <v>0</v>
      </c>
      <c r="E73" s="161">
        <f t="shared" si="20"/>
        <v>0</v>
      </c>
      <c r="F73" s="161">
        <f t="shared" si="28"/>
        <v>0</v>
      </c>
      <c r="G73" s="161">
        <f t="shared" si="28"/>
        <v>0</v>
      </c>
      <c r="H73" s="161">
        <f t="shared" si="21"/>
        <v>0</v>
      </c>
      <c r="I73" s="161">
        <f t="shared" si="29"/>
        <v>0</v>
      </c>
      <c r="J73" s="161">
        <f t="shared" si="29"/>
        <v>0</v>
      </c>
      <c r="K73" s="161">
        <f t="shared" si="29"/>
        <v>0</v>
      </c>
      <c r="L73" s="161">
        <f t="shared" si="29"/>
        <v>0</v>
      </c>
      <c r="M73" s="161">
        <f t="shared" si="29"/>
        <v>0</v>
      </c>
      <c r="N73" s="161">
        <f t="shared" si="22"/>
        <v>0</v>
      </c>
      <c r="O73" s="157"/>
      <c r="P73" s="161">
        <f>E73*'Selected Economics'!$I49*'Sensitivity Ranges'!$F$46</f>
        <v>0</v>
      </c>
      <c r="Q73" s="161">
        <f>F73*'Selected Economics'!$I49*'Sensitivity Ranges'!$F$46</f>
        <v>0</v>
      </c>
      <c r="R73" s="161">
        <f>N73*'Selected Economics'!$I49*'Sensitivity Ranges'!$F$46</f>
        <v>0</v>
      </c>
      <c r="S73" s="161">
        <f t="shared" si="15"/>
        <v>0</v>
      </c>
      <c r="T73" s="157"/>
      <c r="U73" s="161">
        <f t="shared" si="11"/>
        <v>0</v>
      </c>
      <c r="V73" s="161">
        <f t="shared" si="11"/>
        <v>0</v>
      </c>
      <c r="W73" s="161">
        <f t="shared" si="11"/>
        <v>0</v>
      </c>
      <c r="X73" s="161">
        <f t="shared" si="23"/>
        <v>0</v>
      </c>
      <c r="Y73" s="157"/>
      <c r="Z73" s="161">
        <f t="shared" si="17"/>
        <v>0</v>
      </c>
      <c r="AA73" s="157"/>
      <c r="AB73" s="161">
        <f t="shared" si="18"/>
        <v>0</v>
      </c>
    </row>
    <row r="74" spans="1:28" x14ac:dyDescent="0.3">
      <c r="A74" s="93"/>
      <c r="B74" s="162">
        <f t="shared" si="19"/>
        <v>2051</v>
      </c>
      <c r="C74" s="163">
        <f t="shared" si="27"/>
        <v>0</v>
      </c>
      <c r="D74" s="163">
        <f t="shared" si="27"/>
        <v>0</v>
      </c>
      <c r="E74" s="163">
        <f t="shared" si="20"/>
        <v>0</v>
      </c>
      <c r="F74" s="163">
        <f t="shared" si="28"/>
        <v>0</v>
      </c>
      <c r="G74" s="163">
        <f t="shared" si="28"/>
        <v>0</v>
      </c>
      <c r="H74" s="163">
        <f t="shared" si="21"/>
        <v>0</v>
      </c>
      <c r="I74" s="163">
        <f t="shared" si="29"/>
        <v>0</v>
      </c>
      <c r="J74" s="163">
        <f t="shared" si="29"/>
        <v>0</v>
      </c>
      <c r="K74" s="163">
        <f t="shared" si="29"/>
        <v>0</v>
      </c>
      <c r="L74" s="163">
        <f t="shared" si="29"/>
        <v>0</v>
      </c>
      <c r="M74" s="163">
        <f t="shared" si="29"/>
        <v>0</v>
      </c>
      <c r="N74" s="163">
        <f t="shared" si="22"/>
        <v>0</v>
      </c>
      <c r="O74" s="157"/>
      <c r="P74" s="163">
        <f>E74*'Selected Economics'!$I50*'Sensitivity Ranges'!$F$46</f>
        <v>0</v>
      </c>
      <c r="Q74" s="163">
        <f>F74*'Selected Economics'!$I50*'Sensitivity Ranges'!$F$46</f>
        <v>0</v>
      </c>
      <c r="R74" s="163">
        <f>N74*'Selected Economics'!$I50*'Sensitivity Ranges'!$F$46</f>
        <v>0</v>
      </c>
      <c r="S74" s="163">
        <f t="shared" si="15"/>
        <v>0</v>
      </c>
      <c r="T74" s="157"/>
      <c r="U74" s="163">
        <f t="shared" si="11"/>
        <v>0</v>
      </c>
      <c r="V74" s="163">
        <f t="shared" si="11"/>
        <v>0</v>
      </c>
      <c r="W74" s="163">
        <f t="shared" si="11"/>
        <v>0</v>
      </c>
      <c r="X74" s="163">
        <f t="shared" si="23"/>
        <v>0</v>
      </c>
      <c r="Y74" s="157"/>
      <c r="Z74" s="163">
        <f t="shared" si="17"/>
        <v>0</v>
      </c>
      <c r="AA74" s="157"/>
      <c r="AB74" s="163">
        <f t="shared" si="18"/>
        <v>0</v>
      </c>
    </row>
  </sheetData>
  <sheetProtection password="8BC3" sheet="1" objects="1" scenarios="1"/>
  <mergeCells count="1">
    <mergeCell ref="X19:AB26"/>
  </mergeCells>
  <dataValidations count="1">
    <dataValidation type="whole" allowBlank="1" showInputMessage="1" showErrorMessage="1" sqref="C11">
      <formula1>0</formula1>
      <formula2>10</formula2>
    </dataValidation>
  </dataValidations>
  <hyperlinks>
    <hyperlink ref="H1" location="Guide" display="Guide"/>
    <hyperlink ref="H2" location="Input" display="Input"/>
  </hyperlinks>
  <pageMargins left="0.7" right="0.7" top="0.75" bottom="0.75" header="0.3" footer="0.3"/>
  <pageSetup paperSize="9" scale="44" fitToHeight="0" orientation="landscape" r:id="rId1"/>
  <headerFooter>
    <oddFooter>&amp;LNova Scotia Exploration Economics Model&amp;Rwww.indeva.com</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pageSetUpPr fitToPage="1"/>
  </sheetPr>
  <dimension ref="A1:AE203"/>
  <sheetViews>
    <sheetView showGridLines="0" showRowColHeaders="0" topLeftCell="A19" zoomScaleNormal="100" workbookViewId="0">
      <pane ySplit="3" topLeftCell="A22" activePane="bottomLeft" state="frozen"/>
      <selection activeCell="A19" sqref="A19"/>
      <selection pane="bottomLeft" activeCell="A22" sqref="A22:XFD22"/>
    </sheetView>
  </sheetViews>
  <sheetFormatPr defaultRowHeight="14.4" x14ac:dyDescent="0.3"/>
  <sheetData>
    <row r="1" spans="1:31" ht="15" x14ac:dyDescent="0.25">
      <c r="A1" s="116"/>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ht="15" x14ac:dyDescent="0.2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ht="15" x14ac:dyDescent="0.25">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ht="15" x14ac:dyDescent="0.2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ht="15" x14ac:dyDescent="0.25">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5" x14ac:dyDescent="0.25">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row>
    <row r="7" spans="1:31" ht="15" x14ac:dyDescent="0.25">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row>
    <row r="8" spans="1:31" ht="15" x14ac:dyDescent="0.25">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row>
    <row r="9" spans="1:31" ht="15" x14ac:dyDescent="0.25">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row>
    <row r="10" spans="1:31" ht="15" x14ac:dyDescent="0.25">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row>
    <row r="11" spans="1:31" ht="15" x14ac:dyDescent="0.25">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row>
    <row r="12" spans="1:31" ht="15" x14ac:dyDescent="0.25">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row>
    <row r="13" spans="1:31" ht="15" x14ac:dyDescent="0.25">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row>
    <row r="14" spans="1:31" ht="15" x14ac:dyDescent="0.25">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row>
    <row r="15" spans="1:31" ht="15" x14ac:dyDescent="0.25">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row>
    <row r="16" spans="1:31" ht="15" x14ac:dyDescent="0.25">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row>
    <row r="17" spans="1:31" ht="15" x14ac:dyDescent="0.25">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row>
    <row r="18" spans="1:31" ht="15" x14ac:dyDescent="0.25">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row>
    <row r="19" spans="1:31" ht="15" x14ac:dyDescent="0.25">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row>
    <row r="20" spans="1:31" ht="15" x14ac:dyDescent="0.25">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row>
    <row r="21" spans="1:31" ht="15" x14ac:dyDescent="0.25">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row>
    <row r="22" spans="1:31" ht="15" x14ac:dyDescent="0.25">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row>
    <row r="23" spans="1:31" ht="15" x14ac:dyDescent="0.25">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row>
    <row r="24" spans="1:31" ht="15" x14ac:dyDescent="0.25">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row>
    <row r="25" spans="1:31" ht="15" x14ac:dyDescent="0.25">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row>
    <row r="26" spans="1:31" ht="15" x14ac:dyDescent="0.25">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row>
    <row r="27" spans="1:31" ht="15" x14ac:dyDescent="0.25">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row>
    <row r="28" spans="1:31" ht="15" x14ac:dyDescent="0.25">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row>
    <row r="29" spans="1:31" ht="15" x14ac:dyDescent="0.25">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row>
    <row r="30" spans="1:31" ht="15" x14ac:dyDescent="0.25">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row>
    <row r="31" spans="1:31" ht="15" x14ac:dyDescent="0.25">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row>
    <row r="32" spans="1:31" ht="15" x14ac:dyDescent="0.25">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row>
    <row r="33" spans="1:31" ht="15" x14ac:dyDescent="0.25">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row>
    <row r="34" spans="1:31" ht="15" x14ac:dyDescent="0.25">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row>
    <row r="35" spans="1:31" ht="15" x14ac:dyDescent="0.25">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row>
    <row r="36" spans="1:31" ht="15" x14ac:dyDescent="0.25">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row>
    <row r="37" spans="1:31" ht="15" x14ac:dyDescent="0.25">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row>
    <row r="38" spans="1:31" ht="15" x14ac:dyDescent="0.25">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row>
    <row r="39" spans="1:31" ht="15" x14ac:dyDescent="0.25">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row>
    <row r="40" spans="1:31" ht="15" x14ac:dyDescent="0.25">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row>
    <row r="41" spans="1:31" ht="15" x14ac:dyDescent="0.25">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row>
    <row r="42" spans="1:31" ht="15" x14ac:dyDescent="0.25">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row>
    <row r="43" spans="1:31" ht="15" x14ac:dyDescent="0.25">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row>
    <row r="44" spans="1:31" ht="15" x14ac:dyDescent="0.25">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row>
    <row r="45" spans="1:31" x14ac:dyDescent="0.3">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row>
    <row r="46" spans="1:31" x14ac:dyDescent="0.3">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row>
    <row r="47" spans="1:31" x14ac:dyDescent="0.3">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row>
    <row r="48" spans="1:31" x14ac:dyDescent="0.3">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row>
    <row r="49" spans="1:31" x14ac:dyDescent="0.3">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row>
    <row r="50" spans="1:31" x14ac:dyDescent="0.3">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row>
    <row r="51" spans="1:31" x14ac:dyDescent="0.3">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row>
    <row r="52" spans="1:31" x14ac:dyDescent="0.3">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row>
    <row r="53" spans="1:31" x14ac:dyDescent="0.3">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row>
    <row r="54" spans="1:31" x14ac:dyDescent="0.3">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row>
    <row r="55" spans="1:31" x14ac:dyDescent="0.3">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row>
    <row r="56" spans="1:31" x14ac:dyDescent="0.3">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row>
    <row r="57" spans="1:31" x14ac:dyDescent="0.3">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row>
    <row r="58" spans="1:31" x14ac:dyDescent="0.3">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row>
    <row r="59" spans="1:31" x14ac:dyDescent="0.3">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row>
    <row r="60" spans="1:31" x14ac:dyDescent="0.3">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row>
    <row r="61" spans="1:31" x14ac:dyDescent="0.3">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row>
    <row r="62" spans="1:31" x14ac:dyDescent="0.3">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row>
    <row r="63" spans="1:31" x14ac:dyDescent="0.3">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row>
    <row r="64" spans="1:31" x14ac:dyDescent="0.3">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row>
    <row r="65" spans="1:31" x14ac:dyDescent="0.3">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row>
    <row r="66" spans="1:31" x14ac:dyDescent="0.3">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row>
    <row r="67" spans="1:31" x14ac:dyDescent="0.3">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row>
    <row r="68" spans="1:31" x14ac:dyDescent="0.3">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row>
    <row r="69" spans="1:31" x14ac:dyDescent="0.3">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row>
    <row r="70" spans="1:31" x14ac:dyDescent="0.3">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row>
    <row r="71" spans="1:31" x14ac:dyDescent="0.3">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row>
    <row r="72" spans="1:31" x14ac:dyDescent="0.3">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row>
    <row r="73" spans="1:31" x14ac:dyDescent="0.3">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row>
    <row r="74" spans="1:31" x14ac:dyDescent="0.3">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row>
    <row r="75" spans="1:31" x14ac:dyDescent="0.3">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row>
    <row r="76" spans="1:31" x14ac:dyDescent="0.3">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row>
    <row r="77" spans="1:31" x14ac:dyDescent="0.3">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row>
    <row r="78" spans="1:31" x14ac:dyDescent="0.3">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row>
    <row r="79" spans="1:31" x14ac:dyDescent="0.3">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row>
    <row r="80" spans="1:31" x14ac:dyDescent="0.3">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row>
    <row r="81" spans="1:31" x14ac:dyDescent="0.3">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row>
    <row r="82" spans="1:31" x14ac:dyDescent="0.3">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row>
    <row r="83" spans="1:31" x14ac:dyDescent="0.3">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row>
    <row r="84" spans="1:31" x14ac:dyDescent="0.3">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row>
    <row r="85" spans="1:31" x14ac:dyDescent="0.3">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row>
    <row r="86" spans="1:31" x14ac:dyDescent="0.3">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row>
    <row r="87" spans="1:31" x14ac:dyDescent="0.3">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row>
    <row r="88" spans="1:31" x14ac:dyDescent="0.3">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row>
    <row r="89" spans="1:31" x14ac:dyDescent="0.3">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row>
    <row r="90" spans="1:31" x14ac:dyDescent="0.3">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row>
    <row r="91" spans="1:31" x14ac:dyDescent="0.3">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row>
    <row r="92" spans="1:31" x14ac:dyDescent="0.3">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row>
    <row r="93" spans="1:31" x14ac:dyDescent="0.3">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row>
    <row r="94" spans="1:31" x14ac:dyDescent="0.3">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row>
    <row r="95" spans="1:31" x14ac:dyDescent="0.3">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row>
    <row r="96" spans="1:31" x14ac:dyDescent="0.3">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row>
    <row r="97" spans="1:31" x14ac:dyDescent="0.3">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row>
    <row r="98" spans="1:31" x14ac:dyDescent="0.3">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row>
    <row r="99" spans="1:31" x14ac:dyDescent="0.3">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row>
    <row r="100" spans="1:31" x14ac:dyDescent="0.3">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row>
    <row r="101" spans="1:31" x14ac:dyDescent="0.3">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row>
    <row r="102" spans="1:31" x14ac:dyDescent="0.3">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row>
    <row r="103" spans="1:31" x14ac:dyDescent="0.3">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row>
    <row r="104" spans="1:31" x14ac:dyDescent="0.3">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1" x14ac:dyDescent="0.3">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row>
    <row r="106" spans="1:31" x14ac:dyDescent="0.3">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1" x14ac:dyDescent="0.3">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row>
    <row r="108" spans="1:31" x14ac:dyDescent="0.3">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1" x14ac:dyDescent="0.3">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row>
    <row r="110" spans="1:31" x14ac:dyDescent="0.3">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1" x14ac:dyDescent="0.3">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row>
    <row r="112" spans="1:31" x14ac:dyDescent="0.3">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row>
    <row r="113" spans="1:31" x14ac:dyDescent="0.3">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row>
    <row r="114" spans="1:31" x14ac:dyDescent="0.3">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1" x14ac:dyDescent="0.3">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row>
    <row r="116" spans="1:31" x14ac:dyDescent="0.3">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1" x14ac:dyDescent="0.3">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row>
    <row r="118" spans="1:31" x14ac:dyDescent="0.3">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row>
    <row r="119" spans="1:31" x14ac:dyDescent="0.3">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row>
    <row r="120" spans="1:31" x14ac:dyDescent="0.3">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row>
    <row r="121" spans="1:31" x14ac:dyDescent="0.3">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row>
    <row r="122" spans="1:31" x14ac:dyDescent="0.3">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row>
    <row r="123" spans="1:31" x14ac:dyDescent="0.3">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row>
    <row r="124" spans="1:31" x14ac:dyDescent="0.3">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row>
    <row r="125" spans="1:31" x14ac:dyDescent="0.3">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row>
    <row r="126" spans="1:31" x14ac:dyDescent="0.3">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row>
    <row r="127" spans="1:31" x14ac:dyDescent="0.3">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row>
    <row r="128" spans="1:31" x14ac:dyDescent="0.3">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1" x14ac:dyDescent="0.3">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row>
    <row r="130" spans="1:31" x14ac:dyDescent="0.3">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1" x14ac:dyDescent="0.3">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row>
    <row r="132" spans="1:31" x14ac:dyDescent="0.3">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1" x14ac:dyDescent="0.3">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row>
    <row r="134" spans="1:31" x14ac:dyDescent="0.3">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row>
    <row r="135" spans="1:31" x14ac:dyDescent="0.3">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row>
    <row r="136" spans="1:31" x14ac:dyDescent="0.3">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row>
    <row r="137" spans="1:31" x14ac:dyDescent="0.3">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row>
    <row r="138" spans="1:31" x14ac:dyDescent="0.3">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row>
    <row r="139" spans="1:31" x14ac:dyDescent="0.3">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1" x14ac:dyDescent="0.3">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row>
    <row r="141" spans="1:31" x14ac:dyDescent="0.3">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row>
    <row r="142" spans="1:31" x14ac:dyDescent="0.3">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row>
    <row r="143" spans="1:31" x14ac:dyDescent="0.3">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row>
    <row r="144" spans="1:31" x14ac:dyDescent="0.3">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row>
    <row r="145" spans="1:31" x14ac:dyDescent="0.3">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1" x14ac:dyDescent="0.3">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row>
    <row r="147" spans="1:31" x14ac:dyDescent="0.3">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1" x14ac:dyDescent="0.3">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row>
    <row r="149" spans="1:31" x14ac:dyDescent="0.3">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row>
    <row r="150" spans="1:31" x14ac:dyDescent="0.3">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row>
    <row r="151" spans="1:31" x14ac:dyDescent="0.3">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row>
    <row r="152" spans="1:31" x14ac:dyDescent="0.3">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row>
    <row r="153" spans="1:31" x14ac:dyDescent="0.3">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row>
    <row r="154" spans="1:31" x14ac:dyDescent="0.3">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1" x14ac:dyDescent="0.3">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row>
    <row r="156" spans="1:31" x14ac:dyDescent="0.3">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1" x14ac:dyDescent="0.3">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row>
    <row r="158" spans="1:31" x14ac:dyDescent="0.3">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row>
    <row r="159" spans="1:31" x14ac:dyDescent="0.3">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row>
    <row r="160" spans="1:31" x14ac:dyDescent="0.3">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row>
    <row r="161" spans="1:31" x14ac:dyDescent="0.3">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row>
    <row r="162" spans="1:31" x14ac:dyDescent="0.3">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1" x14ac:dyDescent="0.3">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row>
    <row r="164" spans="1:31" x14ac:dyDescent="0.3">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1" x14ac:dyDescent="0.3">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row>
    <row r="166" spans="1:31" x14ac:dyDescent="0.3">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row>
    <row r="167" spans="1:31" x14ac:dyDescent="0.3">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row>
    <row r="168" spans="1:31" x14ac:dyDescent="0.3">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row>
    <row r="169" spans="1:31" x14ac:dyDescent="0.3">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row>
    <row r="170" spans="1:31" x14ac:dyDescent="0.3">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row>
    <row r="171" spans="1:31" x14ac:dyDescent="0.3">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row>
    <row r="172" spans="1:31" x14ac:dyDescent="0.3">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1" x14ac:dyDescent="0.3">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row>
    <row r="174" spans="1:31" x14ac:dyDescent="0.3">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1" x14ac:dyDescent="0.3">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row>
    <row r="176" spans="1:31" x14ac:dyDescent="0.3">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row>
    <row r="177" spans="1:31" x14ac:dyDescent="0.3">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row>
    <row r="178" spans="1:31" x14ac:dyDescent="0.3">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row>
    <row r="179" spans="1:31" x14ac:dyDescent="0.3">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row>
    <row r="180" spans="1:31" x14ac:dyDescent="0.3">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row>
    <row r="181" spans="1:31" x14ac:dyDescent="0.3">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row>
    <row r="182" spans="1:31" x14ac:dyDescent="0.3">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1" x14ac:dyDescent="0.3">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row>
    <row r="184" spans="1:31" x14ac:dyDescent="0.3">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1" x14ac:dyDescent="0.3">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row>
    <row r="186" spans="1:31" x14ac:dyDescent="0.3">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1" x14ac:dyDescent="0.3">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row>
    <row r="188" spans="1:31" x14ac:dyDescent="0.3">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row>
    <row r="189" spans="1:31" x14ac:dyDescent="0.3">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x14ac:dyDescent="0.3">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x14ac:dyDescent="0.3">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3">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row>
    <row r="193" spans="1:31" x14ac:dyDescent="0.3">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row>
    <row r="194" spans="1:31" x14ac:dyDescent="0.3">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row>
    <row r="195" spans="1:31" x14ac:dyDescent="0.3">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1" x14ac:dyDescent="0.3">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row>
    <row r="197" spans="1:31" x14ac:dyDescent="0.3">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1" x14ac:dyDescent="0.3">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row>
    <row r="199" spans="1:31" x14ac:dyDescent="0.3">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row>
    <row r="200" spans="1:31" x14ac:dyDescent="0.3">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row>
    <row r="201" spans="1:31" x14ac:dyDescent="0.3">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1" x14ac:dyDescent="0.3">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row>
    <row r="203" spans="1:31" x14ac:dyDescent="0.3">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row>
  </sheetData>
  <sheetProtection password="8BC3" sheet="1" objects="1" scenarios="1"/>
  <pageMargins left="0.70866141732283505" right="0.70866141732283505" top="0.74803149606299202" bottom="0.71" header="0.31496062992126" footer="0.31496062992126"/>
  <pageSetup paperSize="9" scale="62" orientation="landscape" r:id="rId1"/>
  <headerFooter>
    <oddFooter>&amp;LNova Scotia Exploration Economics Model&amp;Rwww.indeva.com</oddFooter>
  </headerFooter>
  <rowBreaks count="1" manualBreakCount="1">
    <brk id="53" max="16383" man="1"/>
  </rowBreaks>
  <colBreaks count="1" manualBreakCount="1">
    <brk id="24"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sheetPr>
  <dimension ref="A1:BZ130"/>
  <sheetViews>
    <sheetView showGridLines="0" showZeros="0" zoomScale="75" zoomScaleNormal="75" workbookViewId="0">
      <pane xSplit="1" ySplit="2" topLeftCell="B62" activePane="bottomRight" state="frozen"/>
      <selection activeCell="D43" sqref="D43"/>
      <selection pane="topRight" activeCell="D43" sqref="D43"/>
      <selection pane="bottomLeft" activeCell="D43" sqref="D43"/>
      <selection pane="bottomRight" activeCell="B90" sqref="B90"/>
    </sheetView>
  </sheetViews>
  <sheetFormatPr defaultRowHeight="14.4" x14ac:dyDescent="0.3"/>
  <cols>
    <col min="1" max="1" width="36" customWidth="1"/>
    <col min="2" max="2" width="12.6640625" customWidth="1"/>
    <col min="3" max="3" width="12.33203125" customWidth="1"/>
    <col min="4" max="4" width="12.88671875" customWidth="1"/>
    <col min="5" max="5" width="13.44140625" customWidth="1"/>
    <col min="6" max="6" width="11.33203125" customWidth="1"/>
    <col min="7" max="8" width="12.109375" customWidth="1"/>
    <col min="9" max="9" width="12.33203125" bestFit="1" customWidth="1"/>
    <col min="10" max="10" width="11.5546875" customWidth="1"/>
    <col min="11" max="11" width="10.5546875" customWidth="1"/>
    <col min="12" max="12" width="12.109375" customWidth="1"/>
    <col min="13" max="13" width="11.44140625" customWidth="1"/>
    <col min="14" max="14" width="12" customWidth="1"/>
    <col min="15" max="15" width="12.109375" customWidth="1"/>
    <col min="16" max="16" width="11" customWidth="1"/>
    <col min="17" max="17" width="11.88671875" customWidth="1"/>
    <col min="18" max="19" width="10.6640625" customWidth="1"/>
    <col min="20" max="20" width="12.33203125" customWidth="1"/>
    <col min="21" max="21" width="12.5546875" customWidth="1"/>
    <col min="22" max="22" width="12.33203125" customWidth="1"/>
    <col min="23" max="23" width="12" customWidth="1"/>
    <col min="24" max="24" width="13.33203125" customWidth="1"/>
    <col min="25" max="25" width="13.44140625" bestFit="1" customWidth="1"/>
    <col min="26" max="26" width="12.6640625" bestFit="1" customWidth="1"/>
    <col min="27" max="27" width="11" bestFit="1" customWidth="1"/>
    <col min="28" max="28" width="13.33203125" bestFit="1" customWidth="1"/>
    <col min="29" max="29" width="11.88671875" customWidth="1"/>
    <col min="30" max="30" width="11" customWidth="1"/>
    <col min="31" max="31" width="12.109375" customWidth="1"/>
    <col min="32" max="33" width="11.88671875" customWidth="1"/>
    <col min="34" max="34" width="12.5546875" customWidth="1"/>
    <col min="35" max="35" width="13.109375" customWidth="1"/>
    <col min="36" max="41" width="11.6640625" customWidth="1"/>
    <col min="42" max="42" width="12.44140625" customWidth="1"/>
    <col min="43" max="44" width="13.5546875" customWidth="1"/>
    <col min="45" max="45" width="12.6640625" customWidth="1"/>
    <col min="46" max="46" width="10.88671875" customWidth="1"/>
    <col min="47" max="47" width="9.88671875" customWidth="1"/>
    <col min="48" max="48" width="10.44140625" customWidth="1"/>
    <col min="49" max="51" width="9.33203125" bestFit="1" customWidth="1"/>
    <col min="52" max="52" width="11.6640625" customWidth="1"/>
    <col min="53" max="53" width="12.5546875" customWidth="1"/>
    <col min="54" max="55" width="13.109375" customWidth="1"/>
    <col min="56" max="56" width="12.44140625" customWidth="1"/>
    <col min="57" max="57" width="10.6640625" customWidth="1"/>
    <col min="58" max="58" width="10.44140625" bestFit="1" customWidth="1"/>
    <col min="59" max="59" width="10.109375" customWidth="1"/>
    <col min="60" max="60" width="10.44140625" bestFit="1" customWidth="1"/>
    <col min="62" max="62" width="9.88671875" customWidth="1"/>
    <col min="63" max="63" width="12" customWidth="1"/>
    <col min="64" max="64" width="13.5546875" customWidth="1"/>
    <col min="65" max="65" width="10.44140625" customWidth="1"/>
    <col min="66" max="66" width="10.44140625" bestFit="1" customWidth="1"/>
    <col min="67" max="67" width="10.33203125" customWidth="1"/>
    <col min="68" max="70" width="9.33203125" bestFit="1" customWidth="1"/>
    <col min="71" max="71" width="10.33203125" customWidth="1"/>
    <col min="72" max="72" width="9.33203125" bestFit="1" customWidth="1"/>
    <col min="73" max="74" width="11.44140625" customWidth="1"/>
    <col min="75" max="75" width="13" customWidth="1"/>
    <col min="76" max="76" width="10.44140625" bestFit="1" customWidth="1"/>
  </cols>
  <sheetData>
    <row r="1" spans="1:78" ht="18.75" x14ac:dyDescent="0.3">
      <c r="A1" s="143" t="str">
        <f>Input!B8</f>
        <v>Prospect X</v>
      </c>
      <c r="B1" s="143" t="s">
        <v>227</v>
      </c>
      <c r="C1" s="143"/>
      <c r="D1" s="164"/>
      <c r="E1" s="93"/>
      <c r="F1" s="93"/>
      <c r="G1" s="144" t="s">
        <v>769</v>
      </c>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row>
    <row r="2" spans="1:78" ht="18.75" x14ac:dyDescent="0.25">
      <c r="A2" s="93"/>
      <c r="B2" s="93"/>
      <c r="C2" s="93"/>
      <c r="D2" s="93"/>
      <c r="E2" s="93"/>
      <c r="F2" s="93"/>
      <c r="G2" s="144" t="s">
        <v>143</v>
      </c>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3" spans="1:78" ht="15" x14ac:dyDescent="0.25">
      <c r="A3" s="93"/>
      <c r="B3" s="134" t="s">
        <v>79</v>
      </c>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row>
    <row r="4" spans="1:78" ht="15" x14ac:dyDescent="0.25">
      <c r="A4" s="93" t="s">
        <v>228</v>
      </c>
      <c r="B4" s="134">
        <f>IF(Overrides!C33=Lists!A37,1,0)</f>
        <v>0</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row>
    <row r="5" spans="1:78" ht="15" x14ac:dyDescent="0.25">
      <c r="A5" s="135" t="s">
        <v>229</v>
      </c>
      <c r="B5" s="150">
        <f>ROUNDDOWN(IF(Thresholds!E1=Lists!A11,Input!B10,Exploration!J27+'Cost Assumptions'!O21),0)</f>
        <v>41938</v>
      </c>
      <c r="C5" s="156" t="s">
        <v>14</v>
      </c>
      <c r="D5" s="156" t="s">
        <v>230</v>
      </c>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row>
    <row r="6" spans="1:78" ht="15" x14ac:dyDescent="0.25">
      <c r="A6" s="135" t="s">
        <v>231</v>
      </c>
      <c r="B6" s="150">
        <f>IF(B4=1,MIN(B5+Overrides!C36,ROUNDDOWN(B5+'Cost Assumptions'!O22,0)),ROUNDDOWN(B5+'Cost Assumptions'!O22,0))</f>
        <v>42238</v>
      </c>
      <c r="C6" s="135">
        <f>YEAR(B7)</f>
        <v>2016</v>
      </c>
      <c r="D6" s="135">
        <f>MONTH(B7)</f>
        <v>2</v>
      </c>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row>
    <row r="7" spans="1:78" ht="15" x14ac:dyDescent="0.25">
      <c r="A7" s="135" t="s">
        <v>232</v>
      </c>
      <c r="B7" s="150">
        <f>IF(B4=1,MIN(B5+Overrides!C36,ROUNDDOWN(IF(Thresholds!E1=Lists!A12,Input!B10,Development!B6+'Cost Assumptions'!O23),0)),ROUNDDOWN(IF(Thresholds!E1=Lists!A12,Input!B10,Development!B6+'Cost Assumptions'!O23),0))</f>
        <v>42418</v>
      </c>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row>
    <row r="8" spans="1:78" ht="15" x14ac:dyDescent="0.25">
      <c r="A8" s="135" t="s">
        <v>233</v>
      </c>
      <c r="B8" s="150">
        <f>IF(AND(B4=1,NOT(Thresholds!E1=Lists!A12)),B5+Overrides!C36,ROUNDDOWN(IF(Thresholds!E1=Lists!A12,Input!B10,B7+'Cost Assumptions'!O23),0))</f>
        <v>42598</v>
      </c>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row>
    <row r="9" spans="1:78" ht="15" x14ac:dyDescent="0.25">
      <c r="A9" s="93"/>
      <c r="B9" s="165"/>
      <c r="C9" s="93"/>
      <c r="D9" s="156" t="s">
        <v>234</v>
      </c>
      <c r="E9" s="156" t="s">
        <v>235</v>
      </c>
      <c r="F9" s="156" t="s">
        <v>234</v>
      </c>
      <c r="G9" s="156" t="s">
        <v>235</v>
      </c>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row>
    <row r="10" spans="1:78" ht="15" x14ac:dyDescent="0.25">
      <c r="A10" s="135" t="s">
        <v>157</v>
      </c>
      <c r="B10" s="153">
        <f>IF(B4=1,Overrides!C35,'Cost Assumptions'!O50+'Cost Assumptions'!O51*Thresholds!E2)</f>
        <v>10900</v>
      </c>
      <c r="C10" s="145" t="s">
        <v>2</v>
      </c>
      <c r="D10" s="135">
        <f>YEAR(B5)</f>
        <v>2014</v>
      </c>
      <c r="E10" s="135">
        <f>YEAR(B6)</f>
        <v>2015</v>
      </c>
      <c r="F10" s="142">
        <f>IF(E10=D10,B10,(DATE(D10,12,31)-B5)/(B6-B5)*B10)</f>
        <v>2398</v>
      </c>
      <c r="G10" s="142">
        <f>B10-F10</f>
        <v>8502</v>
      </c>
      <c r="H10" s="93"/>
      <c r="I10" s="166"/>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row>
    <row r="11" spans="1:78" ht="15" x14ac:dyDescent="0.25">
      <c r="A11" s="93"/>
      <c r="B11" s="167"/>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row>
    <row r="12" spans="1:78" ht="15" x14ac:dyDescent="0.25">
      <c r="A12" s="134" t="s">
        <v>236</v>
      </c>
      <c r="B12" s="167" t="s">
        <v>670</v>
      </c>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row>
    <row r="13" spans="1:78" ht="15" x14ac:dyDescent="0.25">
      <c r="A13" s="134"/>
      <c r="B13" s="93"/>
      <c r="C13" s="583" t="s">
        <v>237</v>
      </c>
      <c r="D13" s="583"/>
      <c r="E13" s="583" t="s">
        <v>238</v>
      </c>
      <c r="F13" s="58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row>
    <row r="14" spans="1:78" ht="15" x14ac:dyDescent="0.25">
      <c r="A14" s="134"/>
      <c r="B14" s="93"/>
      <c r="C14" s="140" t="s">
        <v>159</v>
      </c>
      <c r="D14" s="140" t="s">
        <v>239</v>
      </c>
      <c r="E14" s="140" t="s">
        <v>159</v>
      </c>
      <c r="F14" s="140" t="s">
        <v>239</v>
      </c>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row>
    <row r="15" spans="1:78" ht="15" x14ac:dyDescent="0.25">
      <c r="A15" s="135" t="s">
        <v>691</v>
      </c>
      <c r="B15" s="135">
        <f>ROUNDUP(Thresholds!E2/VLOOKUP(Thresholds!E2,IF(Input!B11="Gas",'Sched &amp; Prod Assumptions'!A28:B34,'Sched &amp; Prod Assumptions'!F28:G34),2)*INDEX('Sched &amp; Prod Assumptions'!B55:B57,MATCH(Input!B25,'Sched &amp; Prod Assumptions'!A55:A57,0),1),0)+IF(Input!B15=Lists!Q36,ROUNDUP(Development!M15/'Sched &amp; Prod Assumptions'!C88,0))</f>
        <v>26</v>
      </c>
      <c r="C15" s="135"/>
      <c r="D15" s="142"/>
      <c r="E15" s="135"/>
      <c r="F15" s="142"/>
      <c r="G15" s="93"/>
      <c r="H15" s="93"/>
      <c r="I15" s="93"/>
      <c r="J15" s="93"/>
      <c r="K15" s="93"/>
      <c r="L15" s="135" t="s">
        <v>862</v>
      </c>
      <c r="M15" s="135">
        <f>IF(Input!B11="Oil",Input!B12*Input!B29/1000,0)</f>
        <v>999.99</v>
      </c>
      <c r="N15" s="135" t="s">
        <v>326</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row>
    <row r="16" spans="1:78" ht="15" x14ac:dyDescent="0.25">
      <c r="A16" s="135" t="s">
        <v>240</v>
      </c>
      <c r="B16" s="135">
        <f>IF(Input!B31="Yes",MIN(Exploration!C11+1,B15)-1,0)</f>
        <v>3</v>
      </c>
      <c r="C16" s="135"/>
      <c r="D16" s="142"/>
      <c r="E16" s="135"/>
      <c r="F16" s="142"/>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row>
    <row r="17" spans="1:78" ht="15" x14ac:dyDescent="0.25">
      <c r="A17" s="135" t="s">
        <v>241</v>
      </c>
      <c r="B17" s="135">
        <f>IF(Input!B14=Fixed_Platform,MIN(1,B16),0)</f>
        <v>0</v>
      </c>
      <c r="C17" s="153"/>
      <c r="D17" s="142"/>
      <c r="E17" s="153">
        <f>'Cost Assumptions'!O44+'Cost Assumptions'!O46+Development!B32/'Cost Assumptions'!O45</f>
        <v>12.416666666666668</v>
      </c>
      <c r="F17" s="142">
        <f>(E17*('Cost Assumptions'!$O$43+'Cost Assumptions'!$O$24)+'Cost Assumptions'!$O$42*Development!B$33)/1000+'Cost Assumptions'!$O$41</f>
        <v>9530.8333333333339</v>
      </c>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row>
    <row r="18" spans="1:78" ht="15" x14ac:dyDescent="0.25">
      <c r="A18" s="135" t="s">
        <v>242</v>
      </c>
      <c r="B18" s="135">
        <f>B16-B17</f>
        <v>3</v>
      </c>
      <c r="C18" s="153"/>
      <c r="D18" s="142"/>
      <c r="E18" s="153">
        <f>'Cost Assumptions'!O44+'Cost Assumptions'!O46+Development!B33/'Cost Assumptions'!O45</f>
        <v>11.166666666666668</v>
      </c>
      <c r="F18" s="142">
        <f>(E18*('Cost Assumptions'!$O$43+'Cost Assumptions'!$O$24)+'Cost Assumptions'!$O$42*Development!B$33)/1000+'Cost Assumptions'!$O$41</f>
        <v>8868.3333333333339</v>
      </c>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row>
    <row r="19" spans="1:78" ht="15" x14ac:dyDescent="0.25">
      <c r="A19" s="135" t="s">
        <v>692</v>
      </c>
      <c r="B19" s="135">
        <f>B15-B16</f>
        <v>23</v>
      </c>
      <c r="C19" s="135"/>
      <c r="D19" s="142"/>
      <c r="E19" s="135"/>
      <c r="F19" s="142"/>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row>
    <row r="20" spans="1:78" ht="15" x14ac:dyDescent="0.25">
      <c r="A20" s="135" t="s">
        <v>243</v>
      </c>
      <c r="B20" s="135">
        <f>IF(B27=1,C27-B21-B17,0)</f>
        <v>0</v>
      </c>
      <c r="C20" s="153">
        <f>'Cost Assumptions'!O37+Development!B32/'Cost Assumptions'!O38*Exploration!C15</f>
        <v>53</v>
      </c>
      <c r="D20" s="142">
        <f>(C20*('Cost Assumptions'!O36+'Cost Assumptions'!O24)+'Cost Assumptions'!O35*Development!B32)/1000+'Cost Assumptions'!O34</f>
        <v>52440</v>
      </c>
      <c r="E20" s="153">
        <f>'Cost Assumptions'!O44+Development!B32/'Cost Assumptions'!O45</f>
        <v>8.4166666666666679</v>
      </c>
      <c r="F20" s="142">
        <f>(E20*('Cost Assumptions'!$O$43+'Cost Assumptions'!$O$24)+'Cost Assumptions'!$O$42*Development!B$32)/1000+'Cost Assumptions'!$O$41</f>
        <v>8085.8333333333339</v>
      </c>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15" x14ac:dyDescent="0.25">
      <c r="A21" s="135" t="s">
        <v>244</v>
      </c>
      <c r="B21" s="135">
        <f>IF(Input!B14=Fixed_Platform,MIN(C27-B17,ROUNDDOWN(I78/C21,0)),0)</f>
        <v>0</v>
      </c>
      <c r="C21" s="153">
        <f>'Cost Assumptions'!O37+Development!B32/'Cost Assumptions'!O38*Exploration!C15</f>
        <v>53</v>
      </c>
      <c r="D21" s="142">
        <f>(C21*('Cost Assumptions'!O36+'Cost Assumptions'!O24)+'Cost Assumptions'!O35*Development!B32)/1000+'Cost Assumptions'!O34</f>
        <v>52440</v>
      </c>
      <c r="E21" s="153">
        <f>'Cost Assumptions'!O44+Development!B32/'Cost Assumptions'!O45+'Cost Assumptions'!O47</f>
        <v>10.416666666666668</v>
      </c>
      <c r="F21" s="142">
        <f>(E21*('Cost Assumptions'!$O$43+'Cost Assumptions'!$O$24)+'Cost Assumptions'!$O$42*Development!B$32)/1000+'Cost Assumptions'!$O$41</f>
        <v>9145.8333333333339</v>
      </c>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row>
    <row r="22" spans="1:78" ht="15" x14ac:dyDescent="0.25">
      <c r="A22" s="135" t="s">
        <v>245</v>
      </c>
      <c r="B22" s="135">
        <f>MAX(0,SUM(C28:G28)-B18)</f>
        <v>23</v>
      </c>
      <c r="C22" s="153">
        <f>IF(P25="Deviated",M24,M23)</f>
        <v>53</v>
      </c>
      <c r="D22" s="142">
        <f>IF(P25="Deviated",N24,N23)</f>
        <v>52440</v>
      </c>
      <c r="E22" s="153">
        <f>'Cost Assumptions'!O44+IF(P25="Deviated",B32,B33)/'Cost Assumptions'!O45</f>
        <v>8.4166666666666679</v>
      </c>
      <c r="F22" s="142">
        <f>(E22*('Cost Assumptions'!$O$43+'Cost Assumptions'!$O$24)+'Cost Assumptions'!$O$42*Development!B$33)/1000+'Cost Assumptions'!$O$41</f>
        <v>7410.8333333333339</v>
      </c>
      <c r="G22" s="93"/>
      <c r="H22" s="93"/>
      <c r="I22" s="93"/>
      <c r="J22" s="93"/>
      <c r="K22" s="93"/>
      <c r="L22" s="93"/>
      <c r="M22" s="135" t="s">
        <v>723</v>
      </c>
      <c r="N22" s="135" t="s">
        <v>724</v>
      </c>
      <c r="O22" s="135" t="s">
        <v>722</v>
      </c>
      <c r="P22" s="135" t="s">
        <v>13</v>
      </c>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row>
    <row r="23" spans="1:78" ht="15" x14ac:dyDescent="0.25">
      <c r="A23" s="135" t="s">
        <v>246</v>
      </c>
      <c r="B23" s="135">
        <f>B22+B18</f>
        <v>26</v>
      </c>
      <c r="C23" s="135"/>
      <c r="D23" s="142"/>
      <c r="E23" s="135"/>
      <c r="F23" s="142"/>
      <c r="G23" s="93"/>
      <c r="H23" s="93"/>
      <c r="I23" s="93"/>
      <c r="J23" s="93"/>
      <c r="K23" s="145" t="s">
        <v>720</v>
      </c>
      <c r="L23" s="147"/>
      <c r="M23" s="142">
        <f>'Cost Assumptions'!O37+Development!B33/'Cost Assumptions'!O38*Exploration!C15</f>
        <v>41.46153846153846</v>
      </c>
      <c r="N23" s="142">
        <f>(M23*('Cost Assumptions'!O36+'Cost Assumptions'!O24)+'Cost Assumptions'!O35*Development!B33)/1000+'Cost Assumptions'!O34</f>
        <v>42193.846153846149</v>
      </c>
      <c r="O23" s="142">
        <f>'Cost Assumptions'!O72*Development!B34</f>
        <v>18000</v>
      </c>
      <c r="P23" s="142">
        <f>O23+N23</f>
        <v>60193.846153846149</v>
      </c>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row>
    <row r="24" spans="1:78" ht="15" x14ac:dyDescent="0.25">
      <c r="A24" s="168"/>
      <c r="B24" s="168"/>
      <c r="C24" s="168"/>
      <c r="D24" s="168"/>
      <c r="E24" s="168"/>
      <c r="F24" s="168"/>
      <c r="G24" s="93"/>
      <c r="H24" s="93"/>
      <c r="I24" s="93"/>
      <c r="J24" s="93"/>
      <c r="K24" s="145" t="s">
        <v>721</v>
      </c>
      <c r="L24" s="147"/>
      <c r="M24" s="142">
        <f>'Cost Assumptions'!O37+Development!B32/'Cost Assumptions'!O38*Exploration!C15</f>
        <v>53</v>
      </c>
      <c r="N24" s="142">
        <f>(M24*('Cost Assumptions'!O36+'Cost Assumptions'!O24)+'Cost Assumptions'!O35*Development!B32)/1000+'Cost Assumptions'!O34</f>
        <v>52440</v>
      </c>
      <c r="O24" s="142"/>
      <c r="P24" s="142">
        <f>N24</f>
        <v>52440</v>
      </c>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row>
    <row r="25" spans="1:78" ht="15" x14ac:dyDescent="0.25">
      <c r="A25" s="168"/>
      <c r="B25" s="168"/>
      <c r="C25" s="168"/>
      <c r="D25" s="168"/>
      <c r="E25" s="168"/>
      <c r="F25" s="168"/>
      <c r="G25" s="93"/>
      <c r="H25" s="93"/>
      <c r="I25" s="93"/>
      <c r="J25" s="93"/>
      <c r="K25" s="145" t="s">
        <v>725</v>
      </c>
      <c r="L25" s="147"/>
      <c r="M25" s="135"/>
      <c r="N25" s="135"/>
      <c r="O25" s="135"/>
      <c r="P25" s="169" t="s">
        <v>918</v>
      </c>
      <c r="Q25" s="169"/>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row>
    <row r="26" spans="1:78" ht="15" x14ac:dyDescent="0.25">
      <c r="A26" s="135" t="s">
        <v>676</v>
      </c>
      <c r="B26" s="135">
        <f>MIN(5,VLOOKUP(B15,drill_centres,2))</f>
        <v>3</v>
      </c>
      <c r="C26" s="168" t="s">
        <v>169</v>
      </c>
      <c r="D26" s="168"/>
      <c r="E26" s="168"/>
      <c r="F26" s="168"/>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row>
    <row r="27" spans="1:78" ht="15" x14ac:dyDescent="0.25">
      <c r="A27" s="135" t="s">
        <v>677</v>
      </c>
      <c r="B27" s="135">
        <f>IF(OR(Input!B14=Fixed_Platform),1,0)</f>
        <v>0</v>
      </c>
      <c r="C27" s="135">
        <f>MAX(0,MIN(B15,IF(B27=0,0,ROUNDUP((B15-B18)/B26,0))))</f>
        <v>0</v>
      </c>
      <c r="D27" s="170"/>
      <c r="E27" s="170"/>
      <c r="F27" s="170"/>
      <c r="G27" s="93"/>
      <c r="H27" s="93"/>
      <c r="I27" s="93"/>
      <c r="J27" s="93"/>
      <c r="K27" s="93"/>
      <c r="L27" s="93" t="s">
        <v>919</v>
      </c>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row>
    <row r="28" spans="1:78" ht="15" x14ac:dyDescent="0.25">
      <c r="A28" s="135" t="s">
        <v>678</v>
      </c>
      <c r="B28" s="135">
        <f>IF(B27=B26,IF(B18&gt;0,1,0),B26-B27)</f>
        <v>3</v>
      </c>
      <c r="C28" s="135">
        <f>IF($B$28=0,0,MAX(0,MIN($B$15-$C$27,ROUNDUP(($B$15-$C$27)/$B$28,0))))</f>
        <v>9</v>
      </c>
      <c r="D28" s="135">
        <f>IF($B$28=0,0,MAX(0,MIN($B$15-$C$27-SUM(C28:$C28),ROUNDUP(($B$15-$C$27)/$B$28,0))))</f>
        <v>9</v>
      </c>
      <c r="E28" s="135">
        <f>IF($B$28=0,0,MAX(0,MIN($B$15-$C$27-SUM($C28:D28),ROUNDUP(($B$15-$C$27)/$B$28,0))))</f>
        <v>8</v>
      </c>
      <c r="F28" s="135">
        <f>IF($B$28=0,0,MAX(0,MIN($B$15-$C$27-SUM($C28:E28),ROUNDUP(($B$15-$C$27)/$B$28,0))))</f>
        <v>0</v>
      </c>
      <c r="G28" s="135">
        <f>IF($B$28=0,0,MAX(0,MIN($B$15-$C$27-SUM($C28:F28),ROUNDUP(($B$15-$C$27)/$B$28,0))))</f>
        <v>0</v>
      </c>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row>
    <row r="29" spans="1:78" ht="15" x14ac:dyDescent="0.25">
      <c r="A29" s="135" t="s">
        <v>242</v>
      </c>
      <c r="B29" s="135"/>
      <c r="C29" s="135">
        <f>IF(B26-B27=0,B18,IF($B$28=0,0,ROUNDUP($B$18/$B$28,0)))</f>
        <v>1</v>
      </c>
      <c r="D29" s="135">
        <f>IF($B$28=0,0,MAX(0,MIN($B$18-SUM(C29:$C29),ROUNDUP($B$18/$B$28,0))))</f>
        <v>1</v>
      </c>
      <c r="E29" s="135">
        <f>IF($B$28=0,0,MAX(0,MIN($B$18-SUM($C29:D29),ROUNDUP($B$18/$B$28,0))))</f>
        <v>1</v>
      </c>
      <c r="F29" s="135">
        <f>IF($B$28=0,0,MAX(0,MIN($B$18-SUM($C29:E29),ROUNDUP($B$18/$B$28,0))))</f>
        <v>0</v>
      </c>
      <c r="G29" s="135">
        <f>IF($B$28=0,0,MAX(0,MIN($B$18-SUM($C29:F29),ROUNDUP($B$18/$B$28,0))))</f>
        <v>0</v>
      </c>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row>
    <row r="30" spans="1:78" ht="15" x14ac:dyDescent="0.25">
      <c r="A30" s="134" t="s">
        <v>247</v>
      </c>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row>
    <row r="31" spans="1:78" ht="15" x14ac:dyDescent="0.25">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row>
    <row r="32" spans="1:78" ht="15" x14ac:dyDescent="0.25">
      <c r="A32" s="135" t="s">
        <v>726</v>
      </c>
      <c r="B32" s="142">
        <f>INDEX('Sched &amp; Prod Assumptions'!B48:B50,MATCH(Input!B26,'Sched &amp; Prod Assumptions'!A48:A50,0),1)*(Thresholds!E3-Input!B13)</f>
        <v>3250</v>
      </c>
      <c r="C32" s="135" t="s">
        <v>248</v>
      </c>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row>
    <row r="33" spans="1:78" ht="15" x14ac:dyDescent="0.25">
      <c r="A33" s="135" t="s">
        <v>727</v>
      </c>
      <c r="B33" s="142">
        <f>Thresholds!E3-Input!B13</f>
        <v>2500</v>
      </c>
      <c r="C33" s="135" t="s">
        <v>248</v>
      </c>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row>
    <row r="34" spans="1:78" ht="15" x14ac:dyDescent="0.25">
      <c r="A34" s="135" t="s">
        <v>249</v>
      </c>
      <c r="B34" s="142">
        <f>INDEX('Sched &amp; Prod Assumptions'!B75:B77,MATCH(Input!B26,'Sched &amp; Prod Assumptions'!A55:A57,0),1)</f>
        <v>6</v>
      </c>
      <c r="C34" s="135" t="s">
        <v>250</v>
      </c>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row>
    <row r="35" spans="1:78" ht="15" x14ac:dyDescent="0.25">
      <c r="A35" s="135" t="s">
        <v>728</v>
      </c>
      <c r="B35" s="142">
        <v>10</v>
      </c>
      <c r="C35" s="135" t="s">
        <v>250</v>
      </c>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row>
    <row r="36" spans="1:78" ht="15" x14ac:dyDescent="0.25">
      <c r="A36" s="135" t="s">
        <v>251</v>
      </c>
      <c r="B36" s="142">
        <f>Input!B16</f>
        <v>250</v>
      </c>
      <c r="C36" s="135" t="s">
        <v>250</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row>
    <row r="37" spans="1:78" ht="15" x14ac:dyDescent="0.25">
      <c r="A37" s="93"/>
      <c r="B37" s="93"/>
      <c r="C37" s="93"/>
      <c r="D37" s="93"/>
      <c r="E37" s="93" t="s">
        <v>753</v>
      </c>
      <c r="F37" s="93"/>
      <c r="G37" s="171">
        <f>IF(Input!B11="Gas",'Sched &amp; Prod Assumptions'!B23,'Sched &amp; Prod Assumptions'!B22)</f>
        <v>0.5</v>
      </c>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row>
    <row r="38" spans="1:78" ht="15" x14ac:dyDescent="0.25">
      <c r="A38" s="134" t="s">
        <v>252</v>
      </c>
      <c r="B38" s="93"/>
      <c r="C38" s="167"/>
      <c r="D38" s="167"/>
      <c r="E38" s="167"/>
      <c r="F38" s="167"/>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row>
    <row r="39" spans="1:78" ht="15" x14ac:dyDescent="0.25">
      <c r="A39" s="93"/>
      <c r="B39" s="140" t="s">
        <v>683</v>
      </c>
      <c r="C39" s="140" t="s">
        <v>253</v>
      </c>
      <c r="D39" s="140" t="s">
        <v>239</v>
      </c>
      <c r="E39" s="140" t="s">
        <v>79</v>
      </c>
      <c r="F39" s="140" t="s">
        <v>201</v>
      </c>
      <c r="G39" s="140" t="s">
        <v>254</v>
      </c>
      <c r="H39" s="140" t="s">
        <v>255</v>
      </c>
      <c r="I39" s="140" t="s">
        <v>256</v>
      </c>
      <c r="J39" s="140" t="s">
        <v>257</v>
      </c>
      <c r="K39" s="140" t="s">
        <v>258</v>
      </c>
      <c r="L39" s="140" t="s">
        <v>259</v>
      </c>
      <c r="M39" s="140" t="s">
        <v>688</v>
      </c>
      <c r="N39" s="140" t="s">
        <v>689</v>
      </c>
      <c r="O39" s="140" t="s">
        <v>42</v>
      </c>
      <c r="P39" s="140" t="s">
        <v>42</v>
      </c>
      <c r="Q39" s="140" t="s">
        <v>42</v>
      </c>
      <c r="R39" s="140" t="s">
        <v>42</v>
      </c>
      <c r="S39" s="140" t="s">
        <v>42</v>
      </c>
      <c r="T39" s="140" t="s">
        <v>42</v>
      </c>
      <c r="U39" s="140" t="s">
        <v>42</v>
      </c>
      <c r="V39" s="93" t="s">
        <v>13</v>
      </c>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row>
    <row r="40" spans="1:78" ht="15" x14ac:dyDescent="0.25">
      <c r="A40" s="135"/>
      <c r="B40" s="135"/>
      <c r="C40" s="135"/>
      <c r="D40" s="135"/>
      <c r="E40" s="135"/>
      <c r="F40" s="135"/>
      <c r="G40" s="156" t="s">
        <v>260</v>
      </c>
      <c r="H40" s="135"/>
      <c r="I40" s="135"/>
      <c r="J40" s="135"/>
      <c r="K40" s="135"/>
      <c r="L40" s="135"/>
      <c r="M40" s="135"/>
      <c r="N40" s="135"/>
      <c r="O40" s="135"/>
      <c r="P40" s="135"/>
      <c r="Q40" s="135"/>
      <c r="R40" s="135"/>
      <c r="S40" s="135"/>
      <c r="T40" s="135"/>
      <c r="U40" s="135"/>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row>
    <row r="41" spans="1:78" ht="15" x14ac:dyDescent="0.25">
      <c r="A41" s="135" t="s">
        <v>261</v>
      </c>
      <c r="B41" s="142">
        <f>B21</f>
        <v>0</v>
      </c>
      <c r="C41" s="142">
        <f>B21*E21</f>
        <v>0</v>
      </c>
      <c r="D41" s="142">
        <f>B21*F21</f>
        <v>0</v>
      </c>
      <c r="E41" s="172">
        <f>H75</f>
        <v>43408</v>
      </c>
      <c r="F41" s="172">
        <f t="shared" ref="F41:F46" si="0">E41+C41</f>
        <v>43408</v>
      </c>
      <c r="G41" s="151">
        <f>ROUNDDOWN(MAX(0,IF(F41&lt;$F$75,1,IF(C41=0,0,($F$75-E41)/(F41-E41))))*B21,0)</f>
        <v>0</v>
      </c>
      <c r="H41" s="151">
        <f t="shared" ref="H41:H46" si="1">YEAR(E41)</f>
        <v>2018</v>
      </c>
      <c r="I41" s="151">
        <f t="shared" ref="I41:N42" si="2">H41+1</f>
        <v>2019</v>
      </c>
      <c r="J41" s="151">
        <f t="shared" si="2"/>
        <v>2020</v>
      </c>
      <c r="K41" s="151">
        <f t="shared" si="2"/>
        <v>2021</v>
      </c>
      <c r="L41" s="151">
        <f t="shared" si="2"/>
        <v>2022</v>
      </c>
      <c r="M41" s="151">
        <f t="shared" si="2"/>
        <v>2023</v>
      </c>
      <c r="N41" s="151">
        <f t="shared" si="2"/>
        <v>2024</v>
      </c>
      <c r="O41" s="142">
        <f t="shared" ref="O41:O52" si="3">IF(YEAR($E41)&gt;H41,0,IF(YEAR($E41)&lt;H41,IF(YEAR($F41)=H41,($F41-DATE(H41,1,1))/$C41*$D41,IF(YEAR($F41)&lt;H41,0,(DATE(H41+1,1,1)-DATE(H41,1,1))/$C41*$D41)),IF(YEAR($E41)=H41,IF(YEAR($F41)=H41,$D41,(DATE(H41+1,1,1)-$E41)/$C41*$D41))))</f>
        <v>0</v>
      </c>
      <c r="P41" s="142">
        <f t="shared" ref="P41:P52" si="4">IF(YEAR($E41)&gt;I41,0,IF(YEAR($E41)&lt;I41,IF(YEAR($F41)=I41,($F41-DATE(I41,1,1))/$C41*$D41,IF(YEAR($F41)&lt;I41,0,(DATE(I41+1,1,1)-DATE(I41,1,1))/$C41*$D41)),IF(YEAR($E41)=I41,IF(YEAR($F41)=I41,$D41,(DATE(I41+1,1,1)-$E41)/$C41*$D41))))</f>
        <v>0</v>
      </c>
      <c r="Q41" s="142">
        <f t="shared" ref="Q41:Q52" si="5">IF(YEAR($E41)&gt;J41,0,IF(YEAR($E41)&lt;J41,IF(YEAR($F41)=J41,($F41-DATE(J41,1,1))/$C41*$D41,IF(YEAR($F41)&lt;J41,0,(DATE(J41+1,1,1)-DATE(J41,1,1))/$C41*$D41)),IF(YEAR($E41)=J41,IF(YEAR($F41)=J41,$D41,(DATE(J41+1,1,1)-$E41)/$C41*$D41))))</f>
        <v>0</v>
      </c>
      <c r="R41" s="142">
        <f t="shared" ref="R41:R52" si="6">IF(YEAR($E41)&gt;K41,0,IF(YEAR($E41)&lt;K41,IF(YEAR($F41)=K41,($F41-DATE(K41,1,1))/$C41*$D41,IF(YEAR($F41)&lt;K41,0,(DATE(K41+1,1,1)-DATE(K41,1,1))/$C41*$D41)),IF(YEAR($E41)=K41,IF(YEAR($F41)=K41,$D41,(DATE(K41+1,1,1)-$E41)/$C41*$D41))))</f>
        <v>0</v>
      </c>
      <c r="S41" s="142">
        <f t="shared" ref="S41:S52" si="7">IF(YEAR($E41)&gt;L41,0,IF(YEAR($E41)&lt;L41,IF(YEAR($F41)=L41,($F41-DATE(L41,1,1))/$C41*$D41,IF(YEAR($F41)&lt;L41,0,(DATE(L41+1,1,1)-DATE(L41,1,1))/$C41*$D41)),IF(YEAR($E41)=L41,IF(YEAR($F41)=L41,$D41,(DATE(L41+1,1,1)-$E41)/$C41*$D41))))</f>
        <v>0</v>
      </c>
      <c r="T41" s="142">
        <f t="shared" ref="T41:T52" si="8">IF(YEAR($E41)&gt;M41,0,IF(YEAR($E41)&lt;M41,IF(YEAR($F41)=M41,($F41-DATE(M41,1,1))/$C41*$D41,IF(YEAR($F41)&lt;M41,0,(DATE(M41+1,1,1)-DATE(M41,1,1))/$C41*$D41)),IF(YEAR($E41)=M41,IF(YEAR($F41)=M41,$D41,(DATE(M41+1,1,1)-$E41)/$C41*$D41))))</f>
        <v>0</v>
      </c>
      <c r="U41" s="142">
        <f t="shared" ref="U41:U52" si="9">IF(YEAR($E41)&gt;N41,0,IF(YEAR($E41)&lt;N41,IF(YEAR($F41)=N41,($F41-DATE(N41,1,1))/$C41*$D41,IF(YEAR($F41)&lt;N41,0,(DATE(N41+1,1,1)-DATE(N41,1,1))/$C41*$D41)),IF(YEAR($E41)=N41,IF(YEAR($F41)=N41,$D41,(DATE(N41+1,1,1)-$E41)/$C41*$D41))))</f>
        <v>0</v>
      </c>
      <c r="V41" s="173">
        <f>SUM(O41:U41)</f>
        <v>0</v>
      </c>
      <c r="W41" s="173"/>
      <c r="X41" s="173"/>
      <c r="Y41" s="173"/>
      <c r="Z41" s="17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row>
    <row r="42" spans="1:78" ht="15" x14ac:dyDescent="0.25">
      <c r="A42" s="135" t="s">
        <v>241</v>
      </c>
      <c r="B42" s="142">
        <f>B17</f>
        <v>0</v>
      </c>
      <c r="C42" s="142">
        <f>B17*E17</f>
        <v>0</v>
      </c>
      <c r="D42" s="142">
        <f>B17*F17</f>
        <v>0</v>
      </c>
      <c r="E42" s="172">
        <f>F41</f>
        <v>43408</v>
      </c>
      <c r="F42" s="172">
        <f t="shared" si="0"/>
        <v>43408</v>
      </c>
      <c r="G42" s="151">
        <f>ROUNDDOWN(MAX(0,IF(F42&lt;$F$75,1,IF(C42=0,0,($F$75-E42)/(F42-E42))))*B17,0)</f>
        <v>0</v>
      </c>
      <c r="H42" s="151">
        <f t="shared" si="1"/>
        <v>2018</v>
      </c>
      <c r="I42" s="151">
        <f t="shared" si="2"/>
        <v>2019</v>
      </c>
      <c r="J42" s="151">
        <f t="shared" si="2"/>
        <v>2020</v>
      </c>
      <c r="K42" s="151">
        <f t="shared" si="2"/>
        <v>2021</v>
      </c>
      <c r="L42" s="151">
        <f t="shared" si="2"/>
        <v>2022</v>
      </c>
      <c r="M42" s="151">
        <f t="shared" si="2"/>
        <v>2023</v>
      </c>
      <c r="N42" s="151">
        <f t="shared" si="2"/>
        <v>2024</v>
      </c>
      <c r="O42" s="142">
        <f t="shared" si="3"/>
        <v>0</v>
      </c>
      <c r="P42" s="142">
        <f t="shared" si="4"/>
        <v>0</v>
      </c>
      <c r="Q42" s="142">
        <f t="shared" si="5"/>
        <v>0</v>
      </c>
      <c r="R42" s="142">
        <f t="shared" si="6"/>
        <v>0</v>
      </c>
      <c r="S42" s="142">
        <f t="shared" si="7"/>
        <v>0</v>
      </c>
      <c r="T42" s="142">
        <f t="shared" si="8"/>
        <v>0</v>
      </c>
      <c r="U42" s="142">
        <f t="shared" si="9"/>
        <v>0</v>
      </c>
      <c r="V42" s="173">
        <f>SUM(O42:U42)</f>
        <v>0</v>
      </c>
      <c r="W42" s="173"/>
      <c r="X42" s="173"/>
      <c r="Y42" s="173"/>
      <c r="Z42" s="17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row>
    <row r="43" spans="1:78" ht="15" x14ac:dyDescent="0.25">
      <c r="A43" s="135" t="s">
        <v>262</v>
      </c>
      <c r="B43" s="142">
        <f>B20</f>
        <v>0</v>
      </c>
      <c r="C43" s="142">
        <f>(C20+E20)*B43</f>
        <v>0</v>
      </c>
      <c r="D43" s="142">
        <f>(D20+F20)*B43</f>
        <v>0</v>
      </c>
      <c r="E43" s="172">
        <f>F42</f>
        <v>43408</v>
      </c>
      <c r="F43" s="172">
        <f t="shared" si="0"/>
        <v>43408</v>
      </c>
      <c r="G43" s="151">
        <f>ROUNDDOWN(MAX(0,IF(F43&lt;$F$75,1,IF(C43=0,0,($F$75-E43)/(F43-E43))))*B20,0)</f>
        <v>0</v>
      </c>
      <c r="H43" s="151">
        <f t="shared" si="1"/>
        <v>2018</v>
      </c>
      <c r="I43" s="151">
        <f t="shared" ref="I43:N43" si="10">H43+1</f>
        <v>2019</v>
      </c>
      <c r="J43" s="151">
        <f t="shared" si="10"/>
        <v>2020</v>
      </c>
      <c r="K43" s="151">
        <f t="shared" si="10"/>
        <v>2021</v>
      </c>
      <c r="L43" s="151">
        <f t="shared" si="10"/>
        <v>2022</v>
      </c>
      <c r="M43" s="151">
        <f t="shared" si="10"/>
        <v>2023</v>
      </c>
      <c r="N43" s="151">
        <f t="shared" si="10"/>
        <v>2024</v>
      </c>
      <c r="O43" s="142">
        <f t="shared" si="3"/>
        <v>0</v>
      </c>
      <c r="P43" s="142">
        <f t="shared" si="4"/>
        <v>0</v>
      </c>
      <c r="Q43" s="142">
        <f t="shared" si="5"/>
        <v>0</v>
      </c>
      <c r="R43" s="142">
        <f t="shared" si="6"/>
        <v>0</v>
      </c>
      <c r="S43" s="142">
        <f t="shared" si="7"/>
        <v>0</v>
      </c>
      <c r="T43" s="142">
        <f t="shared" si="8"/>
        <v>0</v>
      </c>
      <c r="U43" s="142">
        <f t="shared" si="9"/>
        <v>0</v>
      </c>
      <c r="V43" s="173">
        <f>SUM(O43:U43)</f>
        <v>0</v>
      </c>
      <c r="W43" s="173"/>
      <c r="X43" s="173"/>
      <c r="Y43" s="173"/>
      <c r="Z43" s="17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row>
    <row r="44" spans="1:78" ht="15" x14ac:dyDescent="0.25">
      <c r="A44" s="135" t="s">
        <v>263</v>
      </c>
      <c r="B44" s="142">
        <f>B21</f>
        <v>0</v>
      </c>
      <c r="C44" s="142">
        <f>B21*C21</f>
        <v>0</v>
      </c>
      <c r="D44" s="142">
        <f>B21*D21</f>
        <v>0</v>
      </c>
      <c r="E44" s="172">
        <f>MIN(MAX(E74,F74-C44),F74-C44)</f>
        <v>43378</v>
      </c>
      <c r="F44" s="172">
        <f t="shared" si="0"/>
        <v>43378</v>
      </c>
      <c r="G44" s="151">
        <f>ROUNDDOWN(MAX(0,IF(F44&lt;$F$75,1,IF(C44=0,0,($F$75-E44)/(F44-E44))))*B21,0)</f>
        <v>0</v>
      </c>
      <c r="H44" s="151">
        <f t="shared" si="1"/>
        <v>2018</v>
      </c>
      <c r="I44" s="151">
        <f t="shared" ref="I44:N46" si="11">H44+1</f>
        <v>2019</v>
      </c>
      <c r="J44" s="151">
        <f t="shared" si="11"/>
        <v>2020</v>
      </c>
      <c r="K44" s="151">
        <f t="shared" si="11"/>
        <v>2021</v>
      </c>
      <c r="L44" s="151">
        <f t="shared" si="11"/>
        <v>2022</v>
      </c>
      <c r="M44" s="151">
        <f t="shared" si="11"/>
        <v>2023</v>
      </c>
      <c r="N44" s="151">
        <f t="shared" si="11"/>
        <v>2024</v>
      </c>
      <c r="O44" s="142">
        <f t="shared" si="3"/>
        <v>0</v>
      </c>
      <c r="P44" s="142">
        <f t="shared" si="4"/>
        <v>0</v>
      </c>
      <c r="Q44" s="142">
        <f t="shared" si="5"/>
        <v>0</v>
      </c>
      <c r="R44" s="142">
        <f t="shared" si="6"/>
        <v>0</v>
      </c>
      <c r="S44" s="142">
        <f t="shared" si="7"/>
        <v>0</v>
      </c>
      <c r="T44" s="142">
        <f t="shared" si="8"/>
        <v>0</v>
      </c>
      <c r="U44" s="142">
        <f t="shared" si="9"/>
        <v>0</v>
      </c>
      <c r="V44" s="173">
        <f>SUM(O44:U44)</f>
        <v>0</v>
      </c>
      <c r="W44" s="173"/>
      <c r="X44" s="173"/>
      <c r="Y44" s="173"/>
      <c r="Z44" s="17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row>
    <row r="45" spans="1:78" ht="15" x14ac:dyDescent="0.25">
      <c r="A45" s="135" t="s">
        <v>679</v>
      </c>
      <c r="B45" s="142">
        <f>C29</f>
        <v>1</v>
      </c>
      <c r="C45" s="142">
        <f>B45*E$18</f>
        <v>11.166666666666668</v>
      </c>
      <c r="D45" s="142">
        <f>B45*F$18</f>
        <v>8868.3333333333339</v>
      </c>
      <c r="E45" s="172">
        <f>MAX($B$8,$B$57-C45-$G$37*C46)</f>
        <v>43151.166666666672</v>
      </c>
      <c r="F45" s="172">
        <f t="shared" si="0"/>
        <v>43162.333333333336</v>
      </c>
      <c r="G45" s="151">
        <f t="shared" ref="G45:G52" si="12">ROUNDDOWN(MAX(0,IF(F45&lt;$F$75,1,IF(C45=0,0,($F$75-E45)/(F45-E45))))*B45,0)</f>
        <v>1</v>
      </c>
      <c r="H45" s="151">
        <f t="shared" si="1"/>
        <v>2018</v>
      </c>
      <c r="I45" s="151">
        <f t="shared" si="11"/>
        <v>2019</v>
      </c>
      <c r="J45" s="151">
        <f t="shared" si="11"/>
        <v>2020</v>
      </c>
      <c r="K45" s="151">
        <f t="shared" si="11"/>
        <v>2021</v>
      </c>
      <c r="L45" s="151">
        <f t="shared" si="11"/>
        <v>2022</v>
      </c>
      <c r="M45" s="151">
        <f t="shared" si="11"/>
        <v>2023</v>
      </c>
      <c r="N45" s="151">
        <f t="shared" si="11"/>
        <v>2024</v>
      </c>
      <c r="O45" s="142">
        <f t="shared" si="3"/>
        <v>8868.3333333333339</v>
      </c>
      <c r="P45" s="142">
        <f t="shared" si="4"/>
        <v>0</v>
      </c>
      <c r="Q45" s="142">
        <f t="shared" si="5"/>
        <v>0</v>
      </c>
      <c r="R45" s="142">
        <f t="shared" si="6"/>
        <v>0</v>
      </c>
      <c r="S45" s="142">
        <f t="shared" si="7"/>
        <v>0</v>
      </c>
      <c r="T45" s="142">
        <f t="shared" si="8"/>
        <v>0</v>
      </c>
      <c r="U45" s="142">
        <f t="shared" si="9"/>
        <v>0</v>
      </c>
      <c r="V45" s="173"/>
      <c r="W45" s="173"/>
      <c r="X45" s="173"/>
      <c r="Y45" s="173"/>
      <c r="Z45" s="17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row>
    <row r="46" spans="1:78" ht="15" x14ac:dyDescent="0.25">
      <c r="A46" s="135" t="s">
        <v>245</v>
      </c>
      <c r="B46" s="142">
        <f>C28-C29</f>
        <v>8</v>
      </c>
      <c r="C46" s="142">
        <f>B46*(C$22+E$22)</f>
        <v>491.33333333333337</v>
      </c>
      <c r="D46" s="142">
        <f>B46*(D$22+F$22)</f>
        <v>478806.66666666669</v>
      </c>
      <c r="E46" s="172">
        <f>F45</f>
        <v>43162.333333333336</v>
      </c>
      <c r="F46" s="172">
        <f t="shared" si="0"/>
        <v>43653.666666666672</v>
      </c>
      <c r="G46" s="151">
        <f t="shared" si="12"/>
        <v>3</v>
      </c>
      <c r="H46" s="151">
        <f t="shared" si="1"/>
        <v>2018</v>
      </c>
      <c r="I46" s="151">
        <f t="shared" si="11"/>
        <v>2019</v>
      </c>
      <c r="J46" s="151">
        <f t="shared" si="11"/>
        <v>2020</v>
      </c>
      <c r="K46" s="151">
        <f t="shared" si="11"/>
        <v>2021</v>
      </c>
      <c r="L46" s="151">
        <f t="shared" si="11"/>
        <v>2022</v>
      </c>
      <c r="M46" s="151">
        <f t="shared" si="11"/>
        <v>2023</v>
      </c>
      <c r="N46" s="151">
        <f t="shared" si="11"/>
        <v>2024</v>
      </c>
      <c r="O46" s="142">
        <f t="shared" si="3"/>
        <v>295924.60877430788</v>
      </c>
      <c r="P46" s="142">
        <f t="shared" si="4"/>
        <v>182882.05789236113</v>
      </c>
      <c r="Q46" s="142">
        <f t="shared" si="5"/>
        <v>0</v>
      </c>
      <c r="R46" s="142">
        <f t="shared" si="6"/>
        <v>0</v>
      </c>
      <c r="S46" s="142">
        <f t="shared" si="7"/>
        <v>0</v>
      </c>
      <c r="T46" s="142">
        <f t="shared" si="8"/>
        <v>0</v>
      </c>
      <c r="U46" s="142">
        <f t="shared" si="9"/>
        <v>0</v>
      </c>
      <c r="V46" s="173"/>
      <c r="W46" s="173"/>
      <c r="X46" s="173"/>
      <c r="Y46" s="173"/>
      <c r="Z46" s="17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row>
    <row r="47" spans="1:78" ht="15" x14ac:dyDescent="0.25">
      <c r="A47" s="135" t="s">
        <v>680</v>
      </c>
      <c r="B47" s="142">
        <f>D29</f>
        <v>1</v>
      </c>
      <c r="C47" s="142">
        <f>B47*E$18</f>
        <v>11.166666666666668</v>
      </c>
      <c r="D47" s="142">
        <f>B47*F$18</f>
        <v>8868.3333333333339</v>
      </c>
      <c r="E47" s="172">
        <f>MAX($B$8,$B$57-C47-$G$37*C48)</f>
        <v>43151.166666666672</v>
      </c>
      <c r="F47" s="172">
        <f t="shared" ref="F47:F52" si="13">E47+C47</f>
        <v>43162.333333333336</v>
      </c>
      <c r="G47" s="151">
        <f t="shared" si="12"/>
        <v>1</v>
      </c>
      <c r="H47" s="151">
        <f t="shared" ref="H47:H52" si="14">YEAR(E47)</f>
        <v>2018</v>
      </c>
      <c r="I47" s="151">
        <f t="shared" ref="I47:I52" si="15">H47+1</f>
        <v>2019</v>
      </c>
      <c r="J47" s="151">
        <f t="shared" ref="J47:J52" si="16">I47+1</f>
        <v>2020</v>
      </c>
      <c r="K47" s="151">
        <f t="shared" ref="K47:K52" si="17">J47+1</f>
        <v>2021</v>
      </c>
      <c r="L47" s="151">
        <f t="shared" ref="L47:N52" si="18">K47+1</f>
        <v>2022</v>
      </c>
      <c r="M47" s="151">
        <f t="shared" si="18"/>
        <v>2023</v>
      </c>
      <c r="N47" s="151">
        <f t="shared" si="18"/>
        <v>2024</v>
      </c>
      <c r="O47" s="142">
        <f t="shared" si="3"/>
        <v>8868.3333333333339</v>
      </c>
      <c r="P47" s="142">
        <f t="shared" si="4"/>
        <v>0</v>
      </c>
      <c r="Q47" s="142">
        <f t="shared" si="5"/>
        <v>0</v>
      </c>
      <c r="R47" s="142">
        <f t="shared" si="6"/>
        <v>0</v>
      </c>
      <c r="S47" s="142">
        <f t="shared" si="7"/>
        <v>0</v>
      </c>
      <c r="T47" s="142">
        <f t="shared" si="8"/>
        <v>0</v>
      </c>
      <c r="U47" s="142">
        <f t="shared" si="9"/>
        <v>0</v>
      </c>
      <c r="V47" s="173"/>
      <c r="W47" s="173"/>
      <c r="X47" s="173"/>
      <c r="Y47" s="173"/>
      <c r="Z47" s="17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row>
    <row r="48" spans="1:78" ht="15" x14ac:dyDescent="0.25">
      <c r="A48" s="135" t="s">
        <v>245</v>
      </c>
      <c r="B48" s="142">
        <f>D28-D29</f>
        <v>8</v>
      </c>
      <c r="C48" s="142">
        <f>B48*(C$22+E$22)</f>
        <v>491.33333333333337</v>
      </c>
      <c r="D48" s="142">
        <f>B48*(D$22+F$22)</f>
        <v>478806.66666666669</v>
      </c>
      <c r="E48" s="172">
        <f>F47</f>
        <v>43162.333333333336</v>
      </c>
      <c r="F48" s="172">
        <f t="shared" si="13"/>
        <v>43653.666666666672</v>
      </c>
      <c r="G48" s="151">
        <f t="shared" si="12"/>
        <v>3</v>
      </c>
      <c r="H48" s="151">
        <f t="shared" si="14"/>
        <v>2018</v>
      </c>
      <c r="I48" s="151">
        <f t="shared" si="15"/>
        <v>2019</v>
      </c>
      <c r="J48" s="151">
        <f t="shared" si="16"/>
        <v>2020</v>
      </c>
      <c r="K48" s="151">
        <f t="shared" si="17"/>
        <v>2021</v>
      </c>
      <c r="L48" s="151">
        <f t="shared" si="18"/>
        <v>2022</v>
      </c>
      <c r="M48" s="151">
        <f t="shared" si="18"/>
        <v>2023</v>
      </c>
      <c r="N48" s="151">
        <f t="shared" si="18"/>
        <v>2024</v>
      </c>
      <c r="O48" s="142">
        <f t="shared" si="3"/>
        <v>295924.60877430788</v>
      </c>
      <c r="P48" s="142">
        <f t="shared" si="4"/>
        <v>182882.05789236113</v>
      </c>
      <c r="Q48" s="142">
        <f t="shared" si="5"/>
        <v>0</v>
      </c>
      <c r="R48" s="142">
        <f t="shared" si="6"/>
        <v>0</v>
      </c>
      <c r="S48" s="142">
        <f t="shared" si="7"/>
        <v>0</v>
      </c>
      <c r="T48" s="142">
        <f t="shared" si="8"/>
        <v>0</v>
      </c>
      <c r="U48" s="142">
        <f t="shared" si="9"/>
        <v>0</v>
      </c>
      <c r="V48" s="173"/>
      <c r="W48" s="173"/>
      <c r="X48" s="173"/>
      <c r="Y48" s="173"/>
      <c r="Z48" s="17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row>
    <row r="49" spans="1:78" ht="15" x14ac:dyDescent="0.25">
      <c r="A49" s="135" t="s">
        <v>681</v>
      </c>
      <c r="B49" s="142">
        <f>E29</f>
        <v>1</v>
      </c>
      <c r="C49" s="142">
        <f>B49*E$18</f>
        <v>11.166666666666668</v>
      </c>
      <c r="D49" s="142">
        <f>B49*F$18</f>
        <v>8868.3333333333339</v>
      </c>
      <c r="E49" s="172">
        <f>MAX($B$8,$B$57-C49-$G$37*C50)</f>
        <v>43181.875</v>
      </c>
      <c r="F49" s="172">
        <f t="shared" si="13"/>
        <v>43193.041666666664</v>
      </c>
      <c r="G49" s="151">
        <f t="shared" si="12"/>
        <v>1</v>
      </c>
      <c r="H49" s="151">
        <f t="shared" si="14"/>
        <v>2018</v>
      </c>
      <c r="I49" s="151">
        <f t="shared" si="15"/>
        <v>2019</v>
      </c>
      <c r="J49" s="151">
        <f t="shared" si="16"/>
        <v>2020</v>
      </c>
      <c r="K49" s="151">
        <f t="shared" si="17"/>
        <v>2021</v>
      </c>
      <c r="L49" s="151">
        <f t="shared" si="18"/>
        <v>2022</v>
      </c>
      <c r="M49" s="151">
        <f t="shared" si="18"/>
        <v>2023</v>
      </c>
      <c r="N49" s="151">
        <f t="shared" si="18"/>
        <v>2024</v>
      </c>
      <c r="O49" s="142">
        <f t="shared" si="3"/>
        <v>8868.3333333333339</v>
      </c>
      <c r="P49" s="142">
        <f t="shared" si="4"/>
        <v>0</v>
      </c>
      <c r="Q49" s="142">
        <f t="shared" si="5"/>
        <v>0</v>
      </c>
      <c r="R49" s="142">
        <f t="shared" si="6"/>
        <v>0</v>
      </c>
      <c r="S49" s="142">
        <f t="shared" si="7"/>
        <v>0</v>
      </c>
      <c r="T49" s="142">
        <f t="shared" si="8"/>
        <v>0</v>
      </c>
      <c r="U49" s="142">
        <f t="shared" si="9"/>
        <v>0</v>
      </c>
      <c r="V49" s="173"/>
      <c r="W49" s="173"/>
      <c r="X49" s="173"/>
      <c r="Y49" s="173"/>
      <c r="Z49" s="17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row>
    <row r="50" spans="1:78" ht="15" x14ac:dyDescent="0.25">
      <c r="A50" s="135" t="s">
        <v>245</v>
      </c>
      <c r="B50" s="142">
        <f>E28-E29</f>
        <v>7</v>
      </c>
      <c r="C50" s="142">
        <f>B50*(C$22+E$22)</f>
        <v>429.91666666666669</v>
      </c>
      <c r="D50" s="142">
        <f>B50*(D$22+F$22)</f>
        <v>418955.83333333337</v>
      </c>
      <c r="E50" s="172">
        <f>F49</f>
        <v>43193.041666666664</v>
      </c>
      <c r="F50" s="172">
        <f t="shared" si="13"/>
        <v>43622.958333333328</v>
      </c>
      <c r="G50" s="151">
        <f t="shared" si="12"/>
        <v>3</v>
      </c>
      <c r="H50" s="151">
        <f t="shared" si="14"/>
        <v>2018</v>
      </c>
      <c r="I50" s="151">
        <f t="shared" si="15"/>
        <v>2019</v>
      </c>
      <c r="J50" s="151">
        <f t="shared" si="16"/>
        <v>2020</v>
      </c>
      <c r="K50" s="151">
        <f t="shared" si="17"/>
        <v>2021</v>
      </c>
      <c r="L50" s="151">
        <f t="shared" si="18"/>
        <v>2022</v>
      </c>
      <c r="M50" s="151">
        <f t="shared" si="18"/>
        <v>2023</v>
      </c>
      <c r="N50" s="151">
        <f t="shared" si="18"/>
        <v>2024</v>
      </c>
      <c r="O50" s="142">
        <f t="shared" si="3"/>
        <v>265999.19210764597</v>
      </c>
      <c r="P50" s="142">
        <f t="shared" si="4"/>
        <v>152956.64122568502</v>
      </c>
      <c r="Q50" s="142">
        <f t="shared" si="5"/>
        <v>0</v>
      </c>
      <c r="R50" s="142">
        <f t="shared" si="6"/>
        <v>0</v>
      </c>
      <c r="S50" s="142">
        <f t="shared" si="7"/>
        <v>0</v>
      </c>
      <c r="T50" s="142">
        <f t="shared" si="8"/>
        <v>0</v>
      </c>
      <c r="U50" s="142">
        <f t="shared" si="9"/>
        <v>0</v>
      </c>
      <c r="V50" s="173"/>
      <c r="W50" s="173"/>
      <c r="X50" s="173"/>
      <c r="Y50" s="173"/>
      <c r="Z50" s="17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row>
    <row r="51" spans="1:78" ht="15" x14ac:dyDescent="0.25">
      <c r="A51" s="135" t="s">
        <v>682</v>
      </c>
      <c r="B51" s="142">
        <f>F29</f>
        <v>0</v>
      </c>
      <c r="C51" s="142">
        <f>B51*E$18</f>
        <v>0</v>
      </c>
      <c r="D51" s="142">
        <f>B51*F$18</f>
        <v>0</v>
      </c>
      <c r="E51" s="172">
        <f>MAX($B$8,$B$57-C51-$G$37*C52)</f>
        <v>43408</v>
      </c>
      <c r="F51" s="172">
        <f t="shared" si="13"/>
        <v>43408</v>
      </c>
      <c r="G51" s="151">
        <f t="shared" si="12"/>
        <v>0</v>
      </c>
      <c r="H51" s="151">
        <f t="shared" si="14"/>
        <v>2018</v>
      </c>
      <c r="I51" s="151">
        <f t="shared" si="15"/>
        <v>2019</v>
      </c>
      <c r="J51" s="151">
        <f t="shared" si="16"/>
        <v>2020</v>
      </c>
      <c r="K51" s="151">
        <f t="shared" si="17"/>
        <v>2021</v>
      </c>
      <c r="L51" s="151">
        <f t="shared" si="18"/>
        <v>2022</v>
      </c>
      <c r="M51" s="151">
        <f t="shared" si="18"/>
        <v>2023</v>
      </c>
      <c r="N51" s="151">
        <f t="shared" si="18"/>
        <v>2024</v>
      </c>
      <c r="O51" s="142">
        <f t="shared" si="3"/>
        <v>0</v>
      </c>
      <c r="P51" s="142">
        <f t="shared" si="4"/>
        <v>0</v>
      </c>
      <c r="Q51" s="142">
        <f t="shared" si="5"/>
        <v>0</v>
      </c>
      <c r="R51" s="142">
        <f t="shared" si="6"/>
        <v>0</v>
      </c>
      <c r="S51" s="142">
        <f t="shared" si="7"/>
        <v>0</v>
      </c>
      <c r="T51" s="142">
        <f t="shared" si="8"/>
        <v>0</v>
      </c>
      <c r="U51" s="142">
        <f t="shared" si="9"/>
        <v>0</v>
      </c>
      <c r="V51" s="173"/>
      <c r="W51" s="173"/>
      <c r="X51" s="173"/>
      <c r="Y51" s="173"/>
      <c r="Z51" s="17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row>
    <row r="52" spans="1:78" ht="15" x14ac:dyDescent="0.25">
      <c r="A52" s="135" t="s">
        <v>245</v>
      </c>
      <c r="B52" s="142">
        <f>F28-F29</f>
        <v>0</v>
      </c>
      <c r="C52" s="142">
        <f>B52*(C$22+E$22)</f>
        <v>0</v>
      </c>
      <c r="D52" s="142">
        <f>B52*(D$22+F$22)</f>
        <v>0</v>
      </c>
      <c r="E52" s="172">
        <f>F51</f>
        <v>43408</v>
      </c>
      <c r="F52" s="172">
        <f t="shared" si="13"/>
        <v>43408</v>
      </c>
      <c r="G52" s="151">
        <f t="shared" si="12"/>
        <v>0</v>
      </c>
      <c r="H52" s="151">
        <f t="shared" si="14"/>
        <v>2018</v>
      </c>
      <c r="I52" s="151">
        <f t="shared" si="15"/>
        <v>2019</v>
      </c>
      <c r="J52" s="151">
        <f t="shared" si="16"/>
        <v>2020</v>
      </c>
      <c r="K52" s="151">
        <f t="shared" si="17"/>
        <v>2021</v>
      </c>
      <c r="L52" s="151">
        <f t="shared" si="18"/>
        <v>2022</v>
      </c>
      <c r="M52" s="151">
        <f t="shared" si="18"/>
        <v>2023</v>
      </c>
      <c r="N52" s="151">
        <f t="shared" si="18"/>
        <v>2024</v>
      </c>
      <c r="O52" s="142">
        <f t="shared" si="3"/>
        <v>0</v>
      </c>
      <c r="P52" s="142">
        <f t="shared" si="4"/>
        <v>0</v>
      </c>
      <c r="Q52" s="142">
        <f t="shared" si="5"/>
        <v>0</v>
      </c>
      <c r="R52" s="142">
        <f t="shared" si="6"/>
        <v>0</v>
      </c>
      <c r="S52" s="142">
        <f t="shared" si="7"/>
        <v>0</v>
      </c>
      <c r="T52" s="142">
        <f t="shared" si="8"/>
        <v>0</v>
      </c>
      <c r="U52" s="142">
        <f t="shared" si="9"/>
        <v>0</v>
      </c>
      <c r="V52" s="173"/>
      <c r="W52" s="173"/>
      <c r="X52" s="173"/>
      <c r="Y52" s="173"/>
      <c r="Z52" s="17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row>
    <row r="53" spans="1:78" ht="15" x14ac:dyDescent="0.25">
      <c r="A53" s="135" t="s">
        <v>690</v>
      </c>
      <c r="B53" s="142">
        <f>G29</f>
        <v>0</v>
      </c>
      <c r="C53" s="142">
        <f>B53*E$18</f>
        <v>0</v>
      </c>
      <c r="D53" s="142">
        <f>B53*F$18</f>
        <v>0</v>
      </c>
      <c r="E53" s="172">
        <f>MAX($B$8,$B$57-C53-$G$37*C54)</f>
        <v>43408</v>
      </c>
      <c r="F53" s="172">
        <f>E53+C53</f>
        <v>43408</v>
      </c>
      <c r="G53" s="151">
        <f>ROUNDDOWN(MAX(0,IF(F53&lt;$F$75,1,IF(C53=0,0,($F$75-E53)/(F53-E53))))*B53,0)</f>
        <v>0</v>
      </c>
      <c r="H53" s="151">
        <f>YEAR(E53)</f>
        <v>2018</v>
      </c>
      <c r="I53" s="151">
        <f t="shared" ref="I53:N54" si="19">H53+1</f>
        <v>2019</v>
      </c>
      <c r="J53" s="151">
        <f t="shared" si="19"/>
        <v>2020</v>
      </c>
      <c r="K53" s="151">
        <f t="shared" si="19"/>
        <v>2021</v>
      </c>
      <c r="L53" s="151">
        <f t="shared" si="19"/>
        <v>2022</v>
      </c>
      <c r="M53" s="151">
        <f t="shared" si="19"/>
        <v>2023</v>
      </c>
      <c r="N53" s="151">
        <f t="shared" si="19"/>
        <v>2024</v>
      </c>
      <c r="O53" s="142">
        <f t="shared" ref="O53:U54" si="20">IF(YEAR($E53)&gt;H53,0,IF(YEAR($E53)&lt;H53,IF(YEAR($F53)=H53,($F53-DATE(H53,1,1))/$C53*$D53,IF(YEAR($F53)&lt;H53,0,(DATE(H53+1,1,1)-DATE(H53,1,1))/$C53*$D53)),IF(YEAR($E53)=H53,IF(YEAR($F53)=H53,$D53,(DATE(H53+1,1,1)-$E53)/$C53*$D53))))</f>
        <v>0</v>
      </c>
      <c r="P53" s="142">
        <f t="shared" si="20"/>
        <v>0</v>
      </c>
      <c r="Q53" s="142">
        <f t="shared" si="20"/>
        <v>0</v>
      </c>
      <c r="R53" s="142">
        <f t="shared" si="20"/>
        <v>0</v>
      </c>
      <c r="S53" s="142">
        <f t="shared" si="20"/>
        <v>0</v>
      </c>
      <c r="T53" s="142">
        <f t="shared" si="20"/>
        <v>0</v>
      </c>
      <c r="U53" s="142">
        <f t="shared" si="20"/>
        <v>0</v>
      </c>
      <c r="V53" s="173"/>
      <c r="W53" s="173"/>
      <c r="X53" s="173"/>
      <c r="Y53" s="173"/>
      <c r="Z53" s="17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row>
    <row r="54" spans="1:78" ht="15" x14ac:dyDescent="0.25">
      <c r="A54" s="135" t="s">
        <v>245</v>
      </c>
      <c r="B54" s="142">
        <f>G28</f>
        <v>0</v>
      </c>
      <c r="C54" s="142">
        <f>B54*(C$22+E$22)</f>
        <v>0</v>
      </c>
      <c r="D54" s="142">
        <f>B54*(D$22+F$22)</f>
        <v>0</v>
      </c>
      <c r="E54" s="172">
        <f>F53</f>
        <v>43408</v>
      </c>
      <c r="F54" s="172">
        <f>E54+C54</f>
        <v>43408</v>
      </c>
      <c r="G54" s="151">
        <f>ROUNDDOWN(MAX(0,IF(F54&lt;$F$75,1,IF(C54=0,0,($F$75-E54)/(F54-E54))))*B54,0)</f>
        <v>0</v>
      </c>
      <c r="H54" s="151">
        <f>YEAR(E54)</f>
        <v>2018</v>
      </c>
      <c r="I54" s="151">
        <f t="shared" si="19"/>
        <v>2019</v>
      </c>
      <c r="J54" s="151">
        <f t="shared" si="19"/>
        <v>2020</v>
      </c>
      <c r="K54" s="151">
        <f t="shared" si="19"/>
        <v>2021</v>
      </c>
      <c r="L54" s="151">
        <f t="shared" si="19"/>
        <v>2022</v>
      </c>
      <c r="M54" s="151">
        <f t="shared" si="19"/>
        <v>2023</v>
      </c>
      <c r="N54" s="151">
        <f t="shared" si="19"/>
        <v>2024</v>
      </c>
      <c r="O54" s="142">
        <f t="shared" si="20"/>
        <v>0</v>
      </c>
      <c r="P54" s="142">
        <f t="shared" si="20"/>
        <v>0</v>
      </c>
      <c r="Q54" s="142">
        <f t="shared" si="20"/>
        <v>0</v>
      </c>
      <c r="R54" s="142">
        <f t="shared" si="20"/>
        <v>0</v>
      </c>
      <c r="S54" s="142">
        <f t="shared" si="20"/>
        <v>0</v>
      </c>
      <c r="T54" s="142">
        <f t="shared" si="20"/>
        <v>0</v>
      </c>
      <c r="U54" s="142">
        <f t="shared" si="20"/>
        <v>0</v>
      </c>
      <c r="V54" s="173"/>
      <c r="W54" s="173"/>
      <c r="X54" s="173"/>
      <c r="Y54" s="173"/>
      <c r="Z54" s="17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row>
    <row r="55" spans="1:78" ht="15" x14ac:dyDescent="0.25">
      <c r="A55" s="135" t="s">
        <v>13</v>
      </c>
      <c r="B55" s="142"/>
      <c r="C55" s="142">
        <f>SUM(C40:C54)</f>
        <v>1446.0833333333335</v>
      </c>
      <c r="D55" s="142">
        <f>SUM(D40:D54)</f>
        <v>1403174.1666666667</v>
      </c>
      <c r="E55" s="135"/>
      <c r="F55" s="135"/>
      <c r="G55" s="153">
        <f>SUM(G40:G54)</f>
        <v>12</v>
      </c>
      <c r="H55" s="174"/>
      <c r="I55" s="174"/>
      <c r="J55" s="174"/>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row>
    <row r="56" spans="1:78" ht="15" x14ac:dyDescent="0.25">
      <c r="A56" s="93"/>
      <c r="B56" s="93"/>
      <c r="C56" s="175"/>
      <c r="D56" s="93"/>
      <c r="E56" s="93"/>
      <c r="F56" s="93"/>
      <c r="G56" s="93"/>
      <c r="H56" s="174"/>
      <c r="I56" s="174"/>
      <c r="J56" s="93"/>
      <c r="K56" s="93"/>
      <c r="L56" s="174"/>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row>
    <row r="57" spans="1:78" ht="15" x14ac:dyDescent="0.25">
      <c r="A57" s="176" t="s">
        <v>264</v>
      </c>
      <c r="B57" s="177">
        <f>F42</f>
        <v>43408</v>
      </c>
      <c r="C57" s="175"/>
      <c r="D57" s="93"/>
      <c r="E57" s="93"/>
      <c r="F57" s="93"/>
      <c r="G57" s="93"/>
      <c r="H57" s="174"/>
      <c r="I57" s="174"/>
      <c r="J57" s="93"/>
      <c r="K57" s="93"/>
      <c r="L57" s="93"/>
      <c r="M57" s="93"/>
      <c r="N57" s="93"/>
      <c r="O57" s="93" t="s">
        <v>877</v>
      </c>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row>
    <row r="58" spans="1:78" ht="15" x14ac:dyDescent="0.25">
      <c r="A58" s="176" t="s">
        <v>265</v>
      </c>
      <c r="B58" s="178">
        <f>G55</f>
        <v>12</v>
      </c>
      <c r="C58" s="175"/>
      <c r="D58" s="93"/>
      <c r="E58" s="93"/>
      <c r="F58" s="93"/>
      <c r="G58" s="93"/>
      <c r="H58" s="174"/>
      <c r="I58" s="174"/>
      <c r="J58" s="93"/>
      <c r="K58" s="93"/>
      <c r="L58" s="93"/>
      <c r="M58" s="93"/>
      <c r="N58" s="135" t="s">
        <v>457</v>
      </c>
      <c r="O58" s="135">
        <v>80</v>
      </c>
      <c r="P58" s="135">
        <v>160</v>
      </c>
      <c r="Q58" s="135">
        <v>1000</v>
      </c>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row>
    <row r="59" spans="1:78" ht="15" x14ac:dyDescent="0.25">
      <c r="A59" s="176" t="s">
        <v>266</v>
      </c>
      <c r="B59" s="177">
        <f>MAX(F41:F54)</f>
        <v>43653.666666666672</v>
      </c>
      <c r="C59" s="175"/>
      <c r="D59" s="93"/>
      <c r="E59" s="93"/>
      <c r="F59" s="93"/>
      <c r="G59" s="93"/>
      <c r="H59" s="179" t="s">
        <v>714</v>
      </c>
      <c r="I59" s="147"/>
      <c r="J59" s="142">
        <f>IF(Input!B14=Subsea,0,IF(Input!B14=Fixed_Platform,'Cost Assumptions'!O54,IF(Input!B14=Jack_up,'Cost Assumptions'!O58,IF(Input!B14=FPSU,'Cost Assumptions'!O77,IF(Input!B14=Tethered___Semi,'Cost Assumptions'!O64+'Cost Assumptions'!O65*IF(Input!B11="Oil",Input!B12,Production!B10),IF(Input!B14=Lists!O38,'Cost Assumptions'!O61,0))))))</f>
        <v>490000</v>
      </c>
      <c r="K59" s="93"/>
      <c r="L59" s="93"/>
      <c r="M59" s="93"/>
      <c r="N59" s="135">
        <v>0</v>
      </c>
      <c r="O59" s="151">
        <v>16</v>
      </c>
      <c r="P59" s="151">
        <v>18</v>
      </c>
      <c r="Q59" s="151">
        <v>18</v>
      </c>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row>
    <row r="60" spans="1:78" ht="15" x14ac:dyDescent="0.25">
      <c r="A60" s="93"/>
      <c r="B60" s="93"/>
      <c r="C60" s="175"/>
      <c r="D60" s="93"/>
      <c r="E60" s="93"/>
      <c r="F60" s="93"/>
      <c r="G60" s="93"/>
      <c r="H60" s="145" t="s">
        <v>715</v>
      </c>
      <c r="I60" s="147"/>
      <c r="J60" s="142">
        <f>IF(Input!B14=Subsea,0,IF(Input!B14=Fixed_Platform,'Cost Assumptions'!O55,IF(Input!B14=Jack_up,0,IF(Input!B14=FPSU,'Cost Assumptions'!O78,IF(Input!B14=Tethered___Semi,'Cost Assumptions'!O66,IF(Input!B14=Lists!O38,'Cost Assumptions'!O62,0))))))</f>
        <v>22</v>
      </c>
      <c r="K60" s="93"/>
      <c r="L60" s="93"/>
      <c r="M60" s="165" t="s">
        <v>876</v>
      </c>
      <c r="N60" s="151">
        <v>200</v>
      </c>
      <c r="O60" s="151">
        <v>16</v>
      </c>
      <c r="P60" s="151">
        <v>18</v>
      </c>
      <c r="Q60" s="151">
        <v>18</v>
      </c>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row>
    <row r="61" spans="1:78" ht="15" x14ac:dyDescent="0.25">
      <c r="A61" s="180" t="s">
        <v>267</v>
      </c>
      <c r="B61" s="156" t="s">
        <v>268</v>
      </c>
      <c r="C61" s="156" t="s">
        <v>269</v>
      </c>
      <c r="D61" s="93"/>
      <c r="E61" s="93"/>
      <c r="F61" s="93"/>
      <c r="G61" s="93"/>
      <c r="H61" s="145" t="s">
        <v>712</v>
      </c>
      <c r="I61" s="147"/>
      <c r="J61" s="142">
        <f>IF(Input!B14=Subsea,0,IF(Input!B14=Fixed_Platform,'Cost Assumptions'!O56,IF(Input!B14=Jack_up,'Cost Assumptions'!O59,IF(Input!B14=FPSU,'Cost Assumptions'!O79,IF(Input!B14=Tethered___Semi,'Cost Assumptions'!O67,0)))))</f>
        <v>330000</v>
      </c>
      <c r="K61" s="93"/>
      <c r="L61" s="93"/>
      <c r="M61" s="93"/>
      <c r="N61" s="151">
        <v>400</v>
      </c>
      <c r="O61" s="151">
        <v>18</v>
      </c>
      <c r="P61" s="151">
        <v>20</v>
      </c>
      <c r="Q61" s="151">
        <v>20</v>
      </c>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row>
    <row r="62" spans="1:78" ht="15" x14ac:dyDescent="0.25">
      <c r="A62" s="135" t="s">
        <v>270</v>
      </c>
      <c r="B62" s="151">
        <f>'Sched &amp; Prod Assumptions'!B94</f>
        <v>650</v>
      </c>
      <c r="C62" s="151">
        <f>'Sched &amp; Prod Assumptions'!E94</f>
        <v>20</v>
      </c>
      <c r="D62" s="93"/>
      <c r="E62" s="93"/>
      <c r="F62" s="93"/>
      <c r="G62" s="93"/>
      <c r="H62" s="145" t="s">
        <v>713</v>
      </c>
      <c r="I62" s="147"/>
      <c r="J62" s="142">
        <f>IF(Input!B14=Subsea,0,IF(Input!B14=Fixed_Platform,'Cost Assumptions'!O57,IF(Input!B14=Jack_up,'Cost Assumptions'!O60,IF(Input!B14=FPSU,'Cost Assumptions'!O80,IF(Input!B14=Tethered___Semi,'Cost Assumptions'!O68,IF(Input!B14=Lists!O38,'Cost Assumptions'!O63,0))))))</f>
        <v>1800</v>
      </c>
      <c r="K62" s="93"/>
      <c r="L62" s="93"/>
      <c r="M62" s="93"/>
      <c r="N62" s="151">
        <v>500</v>
      </c>
      <c r="O62" s="151">
        <v>24</v>
      </c>
      <c r="P62" s="151">
        <v>24</v>
      </c>
      <c r="Q62" s="151">
        <v>24</v>
      </c>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row>
    <row r="63" spans="1:78" ht="15" x14ac:dyDescent="0.25">
      <c r="A63" s="135" t="s">
        <v>271</v>
      </c>
      <c r="B63" s="151">
        <f>'Sched &amp; Prod Assumptions'!B95+Input!B13*'Sched &amp; Prod Assumptions'!C95</f>
        <v>2250</v>
      </c>
      <c r="C63" s="151">
        <f>'Sched &amp; Prod Assumptions'!E95</f>
        <v>30</v>
      </c>
      <c r="D63" s="93"/>
      <c r="E63" s="93"/>
      <c r="F63" s="93"/>
      <c r="G63" s="93"/>
      <c r="H63" s="145" t="s">
        <v>875</v>
      </c>
      <c r="I63" s="147"/>
      <c r="J63" s="135">
        <f>IF(Input!B11="Oil",'Cost Assumptions'!O81,0)</f>
        <v>270</v>
      </c>
      <c r="K63" s="93"/>
      <c r="L63" s="93"/>
      <c r="M63" s="93"/>
      <c r="N63" s="151">
        <v>800</v>
      </c>
      <c r="O63" s="151">
        <v>24</v>
      </c>
      <c r="P63" s="151">
        <v>30</v>
      </c>
      <c r="Q63" s="151">
        <v>30</v>
      </c>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row>
    <row r="64" spans="1:78" ht="15" x14ac:dyDescent="0.25">
      <c r="A64" s="135" t="s">
        <v>733</v>
      </c>
      <c r="B64" s="151">
        <f>'Sched &amp; Prod Assumptions'!B96</f>
        <v>650</v>
      </c>
      <c r="C64" s="151">
        <f>'Sched &amp; Prod Assumptions'!E96</f>
        <v>30</v>
      </c>
      <c r="D64" s="93"/>
      <c r="E64" s="93"/>
      <c r="F64" s="93"/>
      <c r="G64" s="93"/>
      <c r="H64" s="145" t="s">
        <v>843</v>
      </c>
      <c r="I64" s="147"/>
      <c r="J64" s="142">
        <f>B28*'Cost Assumptions'!O73+('Cost Assumptions'!O74+'Cost Assumptions'!O71)*Development!B23</f>
        <v>296400</v>
      </c>
      <c r="K64" s="93"/>
      <c r="L64" s="93"/>
      <c r="M64" s="93"/>
      <c r="N64" s="151">
        <v>10000</v>
      </c>
      <c r="O64" s="151"/>
      <c r="P64" s="151"/>
      <c r="Q64" s="151"/>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row>
    <row r="65" spans="1:78" ht="15" x14ac:dyDescent="0.25">
      <c r="A65" s="135" t="s">
        <v>735</v>
      </c>
      <c r="B65" s="151">
        <f>'Sched &amp; Prod Assumptions'!B97</f>
        <v>650</v>
      </c>
      <c r="C65" s="151">
        <f>'Sched &amp; Prod Assumptions'!E97</f>
        <v>50</v>
      </c>
      <c r="D65" s="93"/>
      <c r="E65" s="93"/>
      <c r="F65" s="93"/>
      <c r="G65" s="93"/>
      <c r="H65" s="145" t="s">
        <v>719</v>
      </c>
      <c r="I65" s="147"/>
      <c r="J65" s="142">
        <f>(IF(P25="Deviated",0,B22)+(B23-B22))*B34*'Cost Assumptions'!O72</f>
        <v>54000</v>
      </c>
      <c r="K65" s="93"/>
      <c r="L65" s="93"/>
      <c r="M65" s="93"/>
      <c r="N65" s="173"/>
      <c r="O65" s="173"/>
      <c r="P65" s="173"/>
      <c r="Q65" s="17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row>
    <row r="66" spans="1:78" ht="15" x14ac:dyDescent="0.25">
      <c r="A66" s="135" t="s">
        <v>272</v>
      </c>
      <c r="B66" s="151">
        <f>'Sched &amp; Prod Assumptions'!B98</f>
        <v>180</v>
      </c>
      <c r="C66" s="151">
        <f>'Sched &amp; Prod Assumptions'!E98</f>
        <v>20</v>
      </c>
      <c r="D66" s="93"/>
      <c r="E66" s="93"/>
      <c r="F66" s="93"/>
      <c r="G66" s="93"/>
      <c r="H66" s="145" t="s">
        <v>716</v>
      </c>
      <c r="I66" s="147"/>
      <c r="J66" s="142">
        <f>MAX(0,B26-1)*B35*IF(Input!B30=Sweet,'Cost Assumptions'!O95,'Cost Assumptions'!O97)+MAX(0,B26-1)*IF(Input!B30=Sweet,'Cost Assumptions'!O94,'Cost Assumptions'!O96)</f>
        <v>150000</v>
      </c>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row>
    <row r="67" spans="1:78" ht="15" x14ac:dyDescent="0.25">
      <c r="A67" s="135" t="s">
        <v>273</v>
      </c>
      <c r="B67" s="151">
        <f>'Sched &amp; Prod Assumptions'!B99+'Sched &amp; Prod Assumptions'!C99*Production!B10</f>
        <v>416.43835616438355</v>
      </c>
      <c r="C67" s="151">
        <f>'Sched &amp; Prod Assumptions'!E99</f>
        <v>60</v>
      </c>
      <c r="D67" s="93"/>
      <c r="E67" s="93"/>
      <c r="F67" s="93"/>
      <c r="G67" s="93"/>
      <c r="H67" s="145" t="s">
        <v>881</v>
      </c>
      <c r="I67" s="147"/>
      <c r="J67" s="181">
        <f>VLOOKUP(K68,N59:Q64,IF(Input!B16&lt;Development!O58,2,IF(Input!B16&lt;Development!P58,3,4)))</f>
        <v>18</v>
      </c>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row>
    <row r="68" spans="1:78" ht="15" x14ac:dyDescent="0.25">
      <c r="A68" s="135" t="s">
        <v>744</v>
      </c>
      <c r="B68" s="151">
        <f>'Sched &amp; Prod Assumptions'!B100+'Sched &amp; Prod Assumptions'!C100*Production!B10</f>
        <v>416.43835616438355</v>
      </c>
      <c r="C68" s="151">
        <f>'Sched &amp; Prod Assumptions'!E100</f>
        <v>0</v>
      </c>
      <c r="D68" s="93"/>
      <c r="E68" s="93"/>
      <c r="F68" s="93"/>
      <c r="G68" s="93"/>
      <c r="H68" s="145" t="s">
        <v>845</v>
      </c>
      <c r="I68" s="147"/>
      <c r="J68" s="182">
        <f>IF('Cost Assumptions'!O6="Shallow Water",1,Input!B17)</f>
        <v>0.3</v>
      </c>
      <c r="K68" s="153">
        <f>IF(Input!B11="Oil",MAX(Production!K31:K70),Production!B10)</f>
        <v>273.96986301369861</v>
      </c>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row>
    <row r="69" spans="1:78" ht="15" x14ac:dyDescent="0.25">
      <c r="A69" s="183" t="s">
        <v>274</v>
      </c>
      <c r="B69" s="151">
        <f>'Sched &amp; Prod Assumptions'!B101+'Sched &amp; Prod Assumptions'!C101*B23</f>
        <v>280</v>
      </c>
      <c r="C69" s="151">
        <f>'Sched &amp; Prod Assumptions'!E101+'Sched &amp; Prod Assumptions'!F101*B23</f>
        <v>130</v>
      </c>
      <c r="D69" s="93"/>
      <c r="E69" s="93"/>
      <c r="F69" s="93"/>
      <c r="G69" s="93"/>
      <c r="H69" s="145" t="s">
        <v>847</v>
      </c>
      <c r="I69" s="147"/>
      <c r="J69" s="142">
        <f>IF(Input!B14=Subsea,IF(Input!B30=Sweet,'Cost Assumptions'!O94+'Cost Assumptions'!O95*B36,'Cost Assumptions'!O96+'Cost Assumptions'!O97*B36),IF(Input!B14=Lists!$O$38,IF(Input!B30=Sweet,'Cost Assumptions'!O90+'Cost Assumptions'!O91*B36,'Cost Assumptions'!O92+'Cost Assumptions'!O93*B36),IF(Input!B15=Lists!Q36,0,'Cost Assumptions'!O87+'Cost Assumptions'!O88*B36*J67)))*J68</f>
        <v>210750</v>
      </c>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row>
    <row r="70" spans="1:78" ht="15" x14ac:dyDescent="0.25">
      <c r="A70" s="183" t="s">
        <v>275</v>
      </c>
      <c r="B70" s="151">
        <f>'Sched &amp; Prod Assumptions'!B102+'Sched &amp; Prod Assumptions'!C102*B36</f>
        <v>175</v>
      </c>
      <c r="C70" s="151">
        <f>'Sched &amp; Prod Assumptions'!E102+'Sched &amp; Prod Assumptions'!F102*B36</f>
        <v>145</v>
      </c>
      <c r="D70" s="93"/>
      <c r="E70" s="93"/>
      <c r="F70" s="93"/>
      <c r="G70" s="93"/>
      <c r="H70" s="145" t="s">
        <v>848</v>
      </c>
      <c r="I70" s="147"/>
      <c r="J70" s="142">
        <f>IF(Input!B14=Subsea,IF(Input!B30=Sweet,'Cost Assumptions'!P94+'Cost Assumptions'!P95*B36,'Cost Assumptions'!P96+'Cost Assumptions'!P97*B36),IF(Input!B14=Lists!O38,IF(Input!B30=Sweet,'Cost Assumptions'!P90+'Cost Assumptions'!P91*B36,'Cost Assumptions'!P92+'Cost Assumptions'!P93*B36),IF(Input!B15=Lists!Q36,0,'Cost Assumptions'!P87+'Cost Assumptions'!P88*B36*J67)))*(1-J68)</f>
        <v>342300</v>
      </c>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row>
    <row r="71" spans="1:78" ht="15" x14ac:dyDescent="0.25">
      <c r="A71" s="134" t="s">
        <v>276</v>
      </c>
      <c r="B71" s="93"/>
      <c r="C71" s="93"/>
      <c r="D71" s="93"/>
      <c r="E71" s="184"/>
      <c r="F71" s="93"/>
      <c r="G71" s="93"/>
      <c r="H71" s="174"/>
      <c r="I71" s="93"/>
      <c r="J71" s="93"/>
      <c r="K71" s="93"/>
      <c r="L71" s="93"/>
      <c r="M71" s="93"/>
      <c r="N71" s="93"/>
      <c r="O71" s="93"/>
      <c r="P71" s="93"/>
      <c r="Q71" s="93"/>
      <c r="R71" s="93"/>
      <c r="S71" s="93"/>
      <c r="T71" s="93"/>
      <c r="U71" s="93"/>
      <c r="V71" s="93"/>
      <c r="W71" s="93"/>
      <c r="X71" s="93"/>
      <c r="Y71" s="93"/>
      <c r="Z71" s="93"/>
      <c r="AA71" s="93"/>
      <c r="AB71" s="93"/>
      <c r="AC71" s="93" t="s">
        <v>882</v>
      </c>
      <c r="AD71" s="93" t="s">
        <v>883</v>
      </c>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row>
    <row r="72" spans="1:78" ht="15" x14ac:dyDescent="0.25">
      <c r="A72" s="93"/>
      <c r="B72" s="93"/>
      <c r="C72" s="93"/>
      <c r="D72" s="584" t="s">
        <v>277</v>
      </c>
      <c r="E72" s="585"/>
      <c r="F72" s="586"/>
      <c r="G72" s="584" t="s">
        <v>278</v>
      </c>
      <c r="H72" s="586"/>
      <c r="I72" s="140" t="s">
        <v>279</v>
      </c>
      <c r="J72" s="93"/>
      <c r="K72" s="93"/>
      <c r="L72" s="93"/>
      <c r="M72" s="93"/>
      <c r="N72" s="185">
        <v>0.25</v>
      </c>
      <c r="O72" s="185">
        <v>0.35</v>
      </c>
      <c r="P72" s="185">
        <v>0.4</v>
      </c>
      <c r="Q72" s="93"/>
      <c r="R72" s="93"/>
      <c r="S72" s="93"/>
      <c r="T72" s="93"/>
      <c r="U72" s="93"/>
      <c r="V72" s="93"/>
      <c r="W72" s="93"/>
      <c r="X72" s="93"/>
      <c r="Y72" s="93"/>
      <c r="Z72" s="93"/>
      <c r="AA72" s="93"/>
      <c r="AB72" s="93"/>
      <c r="AC72" s="93">
        <v>364</v>
      </c>
      <c r="AD72" s="174">
        <f>AB77/AA77</f>
        <v>0.91793313069908811</v>
      </c>
      <c r="AE72" s="174"/>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row>
    <row r="73" spans="1:78" ht="15" x14ac:dyDescent="0.25">
      <c r="A73" s="134" t="s">
        <v>280</v>
      </c>
      <c r="B73" s="93"/>
      <c r="C73" s="93"/>
      <c r="D73" s="156" t="s">
        <v>268</v>
      </c>
      <c r="E73" s="156" t="s">
        <v>79</v>
      </c>
      <c r="F73" s="156" t="s">
        <v>201</v>
      </c>
      <c r="G73" s="156" t="s">
        <v>268</v>
      </c>
      <c r="H73" s="156" t="s">
        <v>201</v>
      </c>
      <c r="I73" s="149" t="s">
        <v>281</v>
      </c>
      <c r="J73" s="93"/>
      <c r="K73" s="156" t="s">
        <v>282</v>
      </c>
      <c r="L73" s="156" t="s">
        <v>283</v>
      </c>
      <c r="M73" s="156" t="s">
        <v>201</v>
      </c>
      <c r="N73" s="156">
        <v>1</v>
      </c>
      <c r="O73" s="156">
        <v>2</v>
      </c>
      <c r="P73" s="156">
        <v>3</v>
      </c>
      <c r="Q73" s="93"/>
      <c r="R73" s="156" t="s">
        <v>255</v>
      </c>
      <c r="S73" s="156" t="s">
        <v>256</v>
      </c>
      <c r="T73" s="156" t="s">
        <v>257</v>
      </c>
      <c r="U73" s="156" t="s">
        <v>258</v>
      </c>
      <c r="V73" s="156" t="s">
        <v>42</v>
      </c>
      <c r="W73" s="156" t="s">
        <v>42</v>
      </c>
      <c r="X73" s="156" t="s">
        <v>42</v>
      </c>
      <c r="Y73" s="156" t="s">
        <v>42</v>
      </c>
      <c r="Z73" s="156" t="s">
        <v>13</v>
      </c>
      <c r="AA73" s="93"/>
      <c r="AB73" s="93"/>
      <c r="AC73" s="93"/>
      <c r="AD73" s="93">
        <f>$AC$72+$AD$72*AA75</f>
        <v>1168.1094224924013</v>
      </c>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row>
    <row r="74" spans="1:78" ht="15" x14ac:dyDescent="0.25">
      <c r="A74" s="135" t="s">
        <v>284</v>
      </c>
      <c r="B74" s="142">
        <f>J59+J60*IF(Input!B11="Oil",Input!B13,Production!B10)</f>
        <v>534000</v>
      </c>
      <c r="C74" s="135" t="s">
        <v>2</v>
      </c>
      <c r="D74" s="151">
        <f>IF(Input!B14=Subsea,0,IF(Input!B14=Fixed_Platform,Development!B63,IF(Input!B14=Jack_up,Development!B62,IF(OR(Input!B14=FPSU,Input!B14=Rented_FPSU),Development!B64,Development!B65))))*(1+'Sched &amp; Prod Assumptions'!$B$103)</f>
        <v>780</v>
      </c>
      <c r="E74" s="150">
        <f>B8</f>
        <v>42598</v>
      </c>
      <c r="F74" s="150">
        <f>I78+B8</f>
        <v>43378</v>
      </c>
      <c r="G74" s="151">
        <f>IF(Input!B14=Subsea,0,IF(Input!B14=Fixed_Platform,Development!C63,IF(Input!B14=Jack_up,Development!C62,IF(OR(Input!B14=FPSU,Input!B14=Rented_FPSU),Development!C64,Development!C65))))</f>
        <v>30</v>
      </c>
      <c r="H74" s="172">
        <f>G74+F74</f>
        <v>43408</v>
      </c>
      <c r="I74" s="151">
        <f>D74</f>
        <v>780</v>
      </c>
      <c r="J74" s="93"/>
      <c r="K74" s="150">
        <f>E74+D74/3</f>
        <v>42858</v>
      </c>
      <c r="L74" s="150">
        <f>K74+D74/3</f>
        <v>43118</v>
      </c>
      <c r="M74" s="172">
        <f>E74+D74</f>
        <v>43378</v>
      </c>
      <c r="N74" s="142">
        <f t="shared" ref="N74:P77" si="21">N$72*$B74</f>
        <v>133500</v>
      </c>
      <c r="O74" s="142">
        <f t="shared" si="21"/>
        <v>186900</v>
      </c>
      <c r="P74" s="142">
        <f t="shared" si="21"/>
        <v>213600</v>
      </c>
      <c r="Q74" s="93"/>
      <c r="R74" s="135">
        <f>YEAR(E74)</f>
        <v>2016</v>
      </c>
      <c r="S74" s="135">
        <f t="shared" ref="S74:U77" si="22">R74+1</f>
        <v>2017</v>
      </c>
      <c r="T74" s="135">
        <f t="shared" si="22"/>
        <v>2018</v>
      </c>
      <c r="U74" s="135">
        <f t="shared" si="22"/>
        <v>2019</v>
      </c>
      <c r="V74" s="142">
        <f t="shared" ref="V74:Y77" si="23">IF(AND(YEAR($E74)=R74,YEAR($K74)=R74),$N74,IF(OR(YEAR($K74)&lt;R74,YEAR($E74)&gt;R74),0,IF(YEAR($E74)&lt;R74,($K74-DATE(R74-1,12,31)),(DATE(R74,12,31)-$E74))/($K74-$E74)*$N74))+IF(AND(YEAR($K74)=R74,YEAR($L74)=R74),$O74,IF(OR(YEAR($L74)&lt;R74,YEAR($K74)&gt;R74),0,IF(YEAR($K74)&lt;R74,($L74-DATE(R74-1,12,31)),(DATE(R74,12,31)-$K74))/($L74-$K74)*$O74))+IF(AND(YEAR($L74)=R74,YEAR($M74)=R74),$P74,IF(OR(YEAR($M74)&lt;R74,YEAR($L74)&gt;R74),0,IF(YEAR($L74)&lt;R74,($M74-DATE(R74-1,12,31)),(DATE(R74,12,31)-$L74))/($M74-$L74)*$P74))</f>
        <v>70344.230769230766</v>
      </c>
      <c r="W74" s="142">
        <f t="shared" si="23"/>
        <v>237116.53846153847</v>
      </c>
      <c r="X74" s="142">
        <f t="shared" si="23"/>
        <v>226539.23076923078</v>
      </c>
      <c r="Y74" s="142">
        <f t="shared" si="23"/>
        <v>0</v>
      </c>
      <c r="Z74" s="142">
        <f>SUM(V74:Y74)</f>
        <v>534000</v>
      </c>
      <c r="AA74" s="93"/>
      <c r="AB74" s="93"/>
      <c r="AC74" s="93"/>
      <c r="AD74" s="93">
        <f>$AC$72+$AD$72*AA76</f>
        <v>866.10942249240122</v>
      </c>
      <c r="AE74" s="93"/>
      <c r="AF74" s="93"/>
      <c r="AG74" s="93"/>
      <c r="AH74" s="93"/>
      <c r="AI74" s="93"/>
      <c r="AJ74" s="93"/>
      <c r="AK74" s="93"/>
      <c r="AL74" s="93"/>
      <c r="AM74" s="175"/>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row>
    <row r="75" spans="1:78" ht="15" x14ac:dyDescent="0.25">
      <c r="A75" s="135" t="s">
        <v>285</v>
      </c>
      <c r="B75" s="142">
        <f>J61+J62*Production!B10+IF(Input!B30=Sour,'Cost Assumptions'!O69+'Cost Assumptions'!O70*Production!$B$10)+J63*M15</f>
        <v>747942.50547945197</v>
      </c>
      <c r="C75" s="135" t="s">
        <v>2</v>
      </c>
      <c r="D75" s="151">
        <f>IF(Input!B14=Subsea,0,IF(Input!B14=Fixed_Platform,Development!B67,Development!B68))*(1+'Sched &amp; Prod Assumptions'!$B$103)</f>
        <v>499.72602739726022</v>
      </c>
      <c r="E75" s="150">
        <f>F75-D75</f>
        <v>42908.273972602743</v>
      </c>
      <c r="F75" s="150">
        <f>H74</f>
        <v>43408</v>
      </c>
      <c r="G75" s="151">
        <f>IF(Input!B14=Subsea,0,IF(Input!B14=Fixed_Platform,Development!C67,Development!C68))</f>
        <v>0</v>
      </c>
      <c r="H75" s="172">
        <f>G75+F75</f>
        <v>43408</v>
      </c>
      <c r="I75" s="151">
        <f>MAX(0,D75-G74)</f>
        <v>469.72602739726022</v>
      </c>
      <c r="J75" s="93"/>
      <c r="K75" s="150">
        <f>E75+D75/3</f>
        <v>43074.849315068495</v>
      </c>
      <c r="L75" s="150">
        <f>K75+D75/3</f>
        <v>43241.424657534248</v>
      </c>
      <c r="M75" s="172">
        <f>E75+D75</f>
        <v>43408</v>
      </c>
      <c r="N75" s="142">
        <f t="shared" si="21"/>
        <v>186985.62636986299</v>
      </c>
      <c r="O75" s="142">
        <f t="shared" si="21"/>
        <v>261779.87691780817</v>
      </c>
      <c r="P75" s="142">
        <f t="shared" si="21"/>
        <v>299177.00219178078</v>
      </c>
      <c r="Q75" s="93"/>
      <c r="R75" s="135">
        <f>YEAR(E75)</f>
        <v>2017</v>
      </c>
      <c r="S75" s="135">
        <f t="shared" si="22"/>
        <v>2018</v>
      </c>
      <c r="T75" s="135">
        <f t="shared" si="22"/>
        <v>2019</v>
      </c>
      <c r="U75" s="135">
        <f t="shared" si="22"/>
        <v>2020</v>
      </c>
      <c r="V75" s="142">
        <f t="shared" si="23"/>
        <v>226510.94331238413</v>
      </c>
      <c r="W75" s="142">
        <f t="shared" si="23"/>
        <v>521431.56216706778</v>
      </c>
      <c r="X75" s="142">
        <f t="shared" si="23"/>
        <v>0</v>
      </c>
      <c r="Y75" s="142">
        <f t="shared" si="23"/>
        <v>0</v>
      </c>
      <c r="Z75" s="142">
        <f>SUM(V75:Y75)</f>
        <v>747942.50547945197</v>
      </c>
      <c r="AA75" s="93">
        <v>876</v>
      </c>
      <c r="AB75" s="93">
        <v>1169</v>
      </c>
      <c r="AC75" s="93"/>
      <c r="AD75" s="93"/>
      <c r="AE75" s="93"/>
      <c r="AF75" s="93"/>
      <c r="AG75" s="93"/>
      <c r="AH75" s="93"/>
      <c r="AI75" s="93"/>
      <c r="AJ75" s="93"/>
      <c r="AK75" s="93"/>
      <c r="AL75" s="93"/>
      <c r="AM75" s="175"/>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row>
    <row r="76" spans="1:78" ht="15" x14ac:dyDescent="0.25">
      <c r="A76" s="135" t="s">
        <v>286</v>
      </c>
      <c r="B76" s="142">
        <f>SUM(J64:J66)</f>
        <v>500400</v>
      </c>
      <c r="C76" s="135" t="s">
        <v>2</v>
      </c>
      <c r="D76" s="151">
        <f>B69</f>
        <v>280</v>
      </c>
      <c r="E76" s="150">
        <f>F76-D76</f>
        <v>42942</v>
      </c>
      <c r="F76" s="150">
        <f>H76-G76</f>
        <v>43222</v>
      </c>
      <c r="G76" s="151">
        <f>C69*(1+'Sched &amp; Prod Assumptions'!B103)</f>
        <v>156</v>
      </c>
      <c r="H76" s="172">
        <f>F74</f>
        <v>43378</v>
      </c>
      <c r="I76" s="151">
        <f>G76+D76</f>
        <v>436</v>
      </c>
      <c r="J76" s="93"/>
      <c r="K76" s="150">
        <f>E76+D76/3</f>
        <v>43035.333333333336</v>
      </c>
      <c r="L76" s="150">
        <f>K76+D76/3</f>
        <v>43128.666666666672</v>
      </c>
      <c r="M76" s="172">
        <f>E76+D76</f>
        <v>43222</v>
      </c>
      <c r="N76" s="142">
        <f t="shared" si="21"/>
        <v>125100</v>
      </c>
      <c r="O76" s="142">
        <f t="shared" si="21"/>
        <v>175140</v>
      </c>
      <c r="P76" s="142">
        <f t="shared" si="21"/>
        <v>200160</v>
      </c>
      <c r="Q76" s="93"/>
      <c r="R76" s="135">
        <f>YEAR(E76)</f>
        <v>2017</v>
      </c>
      <c r="S76" s="135">
        <f t="shared" si="22"/>
        <v>2018</v>
      </c>
      <c r="T76" s="135">
        <f t="shared" si="22"/>
        <v>2019</v>
      </c>
      <c r="U76" s="135">
        <f t="shared" si="22"/>
        <v>2020</v>
      </c>
      <c r="V76" s="142">
        <f t="shared" si="23"/>
        <v>246446.99999999232</v>
      </c>
      <c r="W76" s="142">
        <f t="shared" si="23"/>
        <v>253953.00000000771</v>
      </c>
      <c r="X76" s="142">
        <f t="shared" si="23"/>
        <v>0</v>
      </c>
      <c r="Y76" s="142">
        <f t="shared" si="23"/>
        <v>0</v>
      </c>
      <c r="Z76" s="142">
        <f>SUM(V76:Y76)</f>
        <v>500400</v>
      </c>
      <c r="AA76" s="93">
        <v>547</v>
      </c>
      <c r="AB76" s="93">
        <v>867</v>
      </c>
      <c r="AC76" s="93">
        <f>(AA75-AA76)/(AB75-AB76)</f>
        <v>1.0894039735099337</v>
      </c>
      <c r="AD76" s="93">
        <f>AB76-AA76*AD72</f>
        <v>364.89057750759878</v>
      </c>
      <c r="AE76" s="93"/>
      <c r="AF76" s="93"/>
      <c r="AG76" s="93"/>
      <c r="AH76" s="93"/>
      <c r="AI76" s="93"/>
      <c r="AJ76" s="93"/>
      <c r="AK76" s="93"/>
      <c r="AL76" s="93"/>
      <c r="AM76" s="175"/>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row>
    <row r="77" spans="1:78" ht="15" x14ac:dyDescent="0.25">
      <c r="A77" s="135" t="s">
        <v>717</v>
      </c>
      <c r="B77" s="142">
        <f>J69+J70</f>
        <v>553050</v>
      </c>
      <c r="C77" s="135" t="s">
        <v>2</v>
      </c>
      <c r="D77" s="151">
        <f>B70</f>
        <v>175</v>
      </c>
      <c r="E77" s="150">
        <f>F77-D77</f>
        <v>43058</v>
      </c>
      <c r="F77" s="150">
        <f>H77-G77</f>
        <v>43233</v>
      </c>
      <c r="G77" s="151">
        <f>C70</f>
        <v>145</v>
      </c>
      <c r="H77" s="172">
        <f>IF(Input!B14=Lists!A27,Development!F74,Development!F74)</f>
        <v>43378</v>
      </c>
      <c r="I77" s="151">
        <f>G77+D77</f>
        <v>320</v>
      </c>
      <c r="J77" s="93"/>
      <c r="K77" s="150">
        <f>E77+D77/3</f>
        <v>43116.333333333336</v>
      </c>
      <c r="L77" s="150">
        <f>K77+D77/3</f>
        <v>43174.666666666672</v>
      </c>
      <c r="M77" s="172">
        <f>E77+D77</f>
        <v>43233</v>
      </c>
      <c r="N77" s="142">
        <f t="shared" si="21"/>
        <v>138262.5</v>
      </c>
      <c r="O77" s="142">
        <f t="shared" si="21"/>
        <v>193567.5</v>
      </c>
      <c r="P77" s="142">
        <f t="shared" si="21"/>
        <v>221220</v>
      </c>
      <c r="Q77" s="93"/>
      <c r="R77" s="135">
        <f>YEAR(E77)</f>
        <v>2017</v>
      </c>
      <c r="S77" s="135">
        <f t="shared" si="22"/>
        <v>2018</v>
      </c>
      <c r="T77" s="135">
        <f t="shared" si="22"/>
        <v>2019</v>
      </c>
      <c r="U77" s="135">
        <f t="shared" si="22"/>
        <v>2020</v>
      </c>
      <c r="V77" s="142">
        <f t="shared" si="23"/>
        <v>99548.999999995867</v>
      </c>
      <c r="W77" s="142">
        <f t="shared" si="23"/>
        <v>453501.00000000413</v>
      </c>
      <c r="X77" s="142">
        <f t="shared" si="23"/>
        <v>0</v>
      </c>
      <c r="Y77" s="142">
        <f t="shared" si="23"/>
        <v>0</v>
      </c>
      <c r="Z77" s="142">
        <f>SUM(V77:Y77)</f>
        <v>553050</v>
      </c>
      <c r="AA77" s="93">
        <f>AA75-AA76</f>
        <v>329</v>
      </c>
      <c r="AB77" s="93">
        <f>AB75-AB76</f>
        <v>302</v>
      </c>
      <c r="AC77" s="93"/>
      <c r="AD77" s="93"/>
      <c r="AE77" s="93"/>
      <c r="AF77" s="93"/>
      <c r="AG77" s="93"/>
      <c r="AH77" s="93"/>
      <c r="AI77" s="93"/>
      <c r="AJ77" s="93"/>
      <c r="AK77" s="93"/>
      <c r="AL77" s="93"/>
      <c r="AM77" s="175"/>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row>
    <row r="78" spans="1:78" ht="15" x14ac:dyDescent="0.25">
      <c r="A78" s="135" t="s">
        <v>287</v>
      </c>
      <c r="B78" s="142">
        <f>SUM(B74:B77)*'Cost Assumptions'!O99</f>
        <v>256893.17560273974</v>
      </c>
      <c r="C78" s="135" t="s">
        <v>2</v>
      </c>
      <c r="D78" s="93"/>
      <c r="E78" s="93"/>
      <c r="F78" s="93"/>
      <c r="G78" s="93"/>
      <c r="H78" s="135" t="s">
        <v>288</v>
      </c>
      <c r="I78" s="151">
        <f>MAX(I74:I77,)</f>
        <v>780</v>
      </c>
      <c r="J78" s="93"/>
      <c r="K78" s="165"/>
      <c r="L78" s="93"/>
      <c r="M78" s="165"/>
      <c r="N78" s="93"/>
      <c r="O78" s="93"/>
      <c r="P78" s="93"/>
      <c r="Q78" s="93"/>
      <c r="R78" s="93"/>
      <c r="S78" s="93"/>
      <c r="T78" s="93"/>
      <c r="U78" s="93"/>
      <c r="V78" s="93"/>
      <c r="W78" s="93"/>
      <c r="X78" s="93"/>
      <c r="Y78" s="93"/>
      <c r="Z78" s="93"/>
      <c r="AA78" s="93"/>
      <c r="AB78" s="93"/>
      <c r="AC78" s="93"/>
      <c r="AD78" s="93"/>
      <c r="AE78" s="93"/>
      <c r="AF78" s="175"/>
      <c r="AG78" s="175"/>
      <c r="AH78" s="175"/>
      <c r="AI78" s="175"/>
      <c r="AJ78" s="175"/>
      <c r="AK78" s="175"/>
      <c r="AL78" s="175"/>
      <c r="AM78" s="175"/>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row>
    <row r="79" spans="1:78" ht="15" x14ac:dyDescent="0.25">
      <c r="A79" s="160" t="s">
        <v>729</v>
      </c>
      <c r="B79" s="186">
        <f>IF(AND(Input!B11="Oil",Input!B14=FPSU),IF(Input!B12&lt;150,1,2)*'Cost Assumptions'!O82,0)</f>
        <v>200000</v>
      </c>
      <c r="C79" s="135" t="s">
        <v>2</v>
      </c>
      <c r="D79" s="93"/>
      <c r="E79" s="93"/>
      <c r="F79" s="93"/>
      <c r="G79" s="93"/>
      <c r="H79" s="93"/>
      <c r="I79" s="93"/>
      <c r="J79" s="93"/>
      <c r="K79" s="165"/>
      <c r="L79" s="93"/>
      <c r="M79" s="165"/>
      <c r="N79" s="93"/>
      <c r="O79" s="93"/>
      <c r="P79" s="93"/>
      <c r="Q79" s="93"/>
      <c r="R79" s="93"/>
      <c r="S79" s="93"/>
      <c r="T79" s="93"/>
      <c r="U79" s="93"/>
      <c r="V79" s="93"/>
      <c r="W79" s="93"/>
      <c r="X79" s="93"/>
      <c r="Y79" s="93"/>
      <c r="Z79" s="93"/>
      <c r="AA79" s="93"/>
      <c r="AB79" s="93"/>
      <c r="AC79" s="93"/>
      <c r="AD79" s="93"/>
      <c r="AE79" s="93"/>
      <c r="AF79" s="175"/>
      <c r="AG79" s="175"/>
      <c r="AH79" s="175"/>
      <c r="AI79" s="175"/>
      <c r="AJ79" s="175"/>
      <c r="AK79" s="175"/>
      <c r="AL79" s="175"/>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row>
    <row r="80" spans="1:78" ht="15" x14ac:dyDescent="0.25">
      <c r="A80" s="135" t="s">
        <v>13</v>
      </c>
      <c r="B80" s="142">
        <f>SUM(B74:B78)</f>
        <v>2592285.6810821919</v>
      </c>
      <c r="C80" s="135" t="s">
        <v>2</v>
      </c>
      <c r="D80" s="93"/>
      <c r="E80" s="187"/>
      <c r="F80" s="93"/>
      <c r="G80" s="93"/>
      <c r="H80" s="165"/>
      <c r="I80" s="165"/>
      <c r="J80" s="165"/>
      <c r="K80" s="165"/>
      <c r="L80" s="165"/>
      <c r="M80" s="165"/>
      <c r="N80" s="165"/>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row>
    <row r="81" spans="1:78" ht="15" x14ac:dyDescent="0.25">
      <c r="A81" s="188"/>
      <c r="B81" s="93"/>
      <c r="C81" s="93"/>
      <c r="D81" s="93"/>
      <c r="E81" s="93"/>
      <c r="F81" s="93"/>
      <c r="G81" s="93"/>
      <c r="H81" s="165"/>
      <c r="I81" s="165"/>
      <c r="J81" s="165"/>
      <c r="K81" s="165"/>
      <c r="L81" s="165"/>
      <c r="M81" s="165"/>
      <c r="N81" s="165"/>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row>
    <row r="82" spans="1:78" ht="15" x14ac:dyDescent="0.25">
      <c r="A82" s="93"/>
      <c r="B82" s="93"/>
      <c r="C82" s="93"/>
      <c r="D82" s="93"/>
      <c r="E82" s="93"/>
      <c r="F82" s="93"/>
      <c r="G82" s="93"/>
      <c r="H82" s="165"/>
      <c r="I82" s="165"/>
      <c r="J82" s="165"/>
      <c r="K82" s="165"/>
      <c r="L82" s="165"/>
      <c r="M82" s="165"/>
      <c r="N82" s="165"/>
      <c r="O82" s="165"/>
      <c r="P82" s="165"/>
      <c r="Q82" s="165"/>
      <c r="R82" s="165"/>
      <c r="S82" s="165"/>
      <c r="T82" s="165"/>
      <c r="U82" s="165"/>
      <c r="V82" s="93"/>
      <c r="W82" s="93"/>
      <c r="X82" s="93"/>
      <c r="Y82" s="93"/>
      <c r="Z82" s="134" t="s">
        <v>289</v>
      </c>
      <c r="AA82" s="93"/>
      <c r="AB82" s="93"/>
      <c r="AC82" s="93"/>
      <c r="AD82" s="93"/>
      <c r="AE82" s="93"/>
      <c r="AF82" s="93"/>
      <c r="AG82" s="93"/>
      <c r="AH82" s="93"/>
      <c r="AI82" s="93"/>
      <c r="AJ82" s="134" t="s">
        <v>290</v>
      </c>
      <c r="AK82" s="93"/>
      <c r="AL82" s="93"/>
      <c r="AM82" s="93"/>
      <c r="AN82" s="93"/>
      <c r="AO82" s="93"/>
      <c r="AP82" s="93"/>
      <c r="AQ82" s="93"/>
      <c r="AR82" s="93"/>
      <c r="AS82" s="93"/>
      <c r="AT82" s="93"/>
      <c r="AU82" s="134" t="s">
        <v>291</v>
      </c>
      <c r="AV82" s="93"/>
      <c r="AW82" s="93"/>
      <c r="AX82" s="93"/>
      <c r="AY82" s="93"/>
      <c r="AZ82" s="93"/>
      <c r="BA82" s="93"/>
      <c r="BB82" s="93"/>
      <c r="BC82" s="93"/>
      <c r="BD82" s="93"/>
      <c r="BE82" s="93"/>
      <c r="BF82" s="134" t="s">
        <v>292</v>
      </c>
      <c r="BG82" s="93"/>
      <c r="BH82" s="93"/>
      <c r="BI82" s="93"/>
      <c r="BJ82" s="93"/>
      <c r="BK82" s="134" t="s">
        <v>293</v>
      </c>
      <c r="BL82" s="134"/>
      <c r="BM82" s="134"/>
      <c r="BN82" s="134" t="s">
        <v>294</v>
      </c>
      <c r="BO82" s="134"/>
      <c r="BP82" s="134"/>
      <c r="BQ82" s="93"/>
      <c r="BR82" s="93"/>
      <c r="BS82" s="93"/>
      <c r="BT82" s="93"/>
      <c r="BU82" s="93"/>
      <c r="BV82" s="93"/>
      <c r="BW82" s="93"/>
      <c r="BX82" s="93"/>
      <c r="BY82" s="93"/>
      <c r="BZ82" s="93"/>
    </row>
    <row r="83" spans="1:78" ht="15" x14ac:dyDescent="0.25">
      <c r="A83" s="93"/>
      <c r="B83" s="134" t="s">
        <v>295</v>
      </c>
      <c r="C83" s="93"/>
      <c r="D83" s="93"/>
      <c r="E83" s="93"/>
      <c r="F83" s="93"/>
      <c r="G83" s="93"/>
      <c r="H83" s="93"/>
      <c r="I83" s="165"/>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row>
    <row r="84" spans="1:78" ht="15" x14ac:dyDescent="0.25">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135" t="s">
        <v>296</v>
      </c>
      <c r="AA84" s="135">
        <f>IF(Overrides!C38=Lists!A36,0,1)</f>
        <v>0</v>
      </c>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row>
    <row r="85" spans="1:78" ht="15" x14ac:dyDescent="0.25">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135" t="s">
        <v>297</v>
      </c>
      <c r="AA85" s="486">
        <f>(DATE(INDEX(A91:A130,MATCH(1,AA91:AA130,0),1),12,31)-B8+1)/(DATE(YEAR(B8)+1,1,1)-DATE(YEAR(B8),1,1))</f>
        <v>0.37704918032786883</v>
      </c>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row>
    <row r="86" spans="1:78" ht="15" x14ac:dyDescent="0.25">
      <c r="A86" s="93"/>
      <c r="B86" s="93"/>
      <c r="C86" s="135">
        <v>1</v>
      </c>
      <c r="D86" s="135">
        <v>2</v>
      </c>
      <c r="E86" s="135">
        <v>3</v>
      </c>
      <c r="F86" s="135">
        <v>4</v>
      </c>
      <c r="G86" s="135">
        <v>5</v>
      </c>
      <c r="H86" s="135">
        <v>6</v>
      </c>
      <c r="I86" s="135">
        <v>7</v>
      </c>
      <c r="J86" s="135">
        <v>8</v>
      </c>
      <c r="K86" s="135">
        <v>9</v>
      </c>
      <c r="L86" s="135">
        <v>10</v>
      </c>
      <c r="M86" s="135">
        <v>11</v>
      </c>
      <c r="N86" s="135">
        <v>12</v>
      </c>
      <c r="O86" s="135">
        <v>13</v>
      </c>
      <c r="P86" s="135">
        <v>14</v>
      </c>
      <c r="Q86" s="135"/>
      <c r="R86" s="135">
        <v>1</v>
      </c>
      <c r="S86" s="135">
        <v>2</v>
      </c>
      <c r="T86" s="135">
        <v>3</v>
      </c>
      <c r="U86" s="135">
        <v>4</v>
      </c>
      <c r="V86" s="135">
        <v>5</v>
      </c>
      <c r="W86" s="135">
        <v>6</v>
      </c>
      <c r="X86" s="135">
        <f>7</f>
        <v>7</v>
      </c>
      <c r="Y86" s="93"/>
      <c r="Z86" s="93"/>
      <c r="AA86" s="135" t="s">
        <v>298</v>
      </c>
      <c r="AB86" s="189">
        <f>1-AA85</f>
        <v>0.62295081967213117</v>
      </c>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row>
    <row r="87" spans="1:78" ht="60" x14ac:dyDescent="0.25">
      <c r="A87" s="93"/>
      <c r="B87" s="93"/>
      <c r="C87" s="190" t="s">
        <v>261</v>
      </c>
      <c r="D87" s="190" t="s">
        <v>241</v>
      </c>
      <c r="E87" s="190" t="s">
        <v>262</v>
      </c>
      <c r="F87" s="190" t="s">
        <v>263</v>
      </c>
      <c r="G87" s="190" t="s">
        <v>684</v>
      </c>
      <c r="H87" s="190" t="s">
        <v>245</v>
      </c>
      <c r="I87" s="190" t="s">
        <v>685</v>
      </c>
      <c r="J87" s="190" t="s">
        <v>245</v>
      </c>
      <c r="K87" s="190" t="s">
        <v>686</v>
      </c>
      <c r="L87" s="190" t="s">
        <v>245</v>
      </c>
      <c r="M87" s="190" t="s">
        <v>687</v>
      </c>
      <c r="N87" s="190" t="s">
        <v>245</v>
      </c>
      <c r="O87" s="190" t="s">
        <v>693</v>
      </c>
      <c r="P87" s="190" t="s">
        <v>245</v>
      </c>
      <c r="Q87" s="190" t="s">
        <v>169</v>
      </c>
      <c r="R87" s="190" t="s">
        <v>299</v>
      </c>
      <c r="S87" s="190" t="s">
        <v>163</v>
      </c>
      <c r="T87" s="190" t="s">
        <v>300</v>
      </c>
      <c r="U87" s="190" t="s">
        <v>275</v>
      </c>
      <c r="V87" s="190" t="s">
        <v>301</v>
      </c>
      <c r="W87" s="190" t="s">
        <v>729</v>
      </c>
      <c r="X87" s="190" t="s">
        <v>167</v>
      </c>
      <c r="Y87" s="190" t="s">
        <v>13</v>
      </c>
      <c r="Z87" s="93"/>
      <c r="AA87" s="190" t="s">
        <v>302</v>
      </c>
      <c r="AB87" s="156" t="s">
        <v>169</v>
      </c>
      <c r="AC87" s="191" t="s">
        <v>299</v>
      </c>
      <c r="AD87" s="191" t="s">
        <v>163</v>
      </c>
      <c r="AE87" s="191" t="s">
        <v>300</v>
      </c>
      <c r="AF87" s="191" t="s">
        <v>275</v>
      </c>
      <c r="AG87" s="191" t="s">
        <v>301</v>
      </c>
      <c r="AH87" s="190" t="s">
        <v>729</v>
      </c>
      <c r="AI87" s="191" t="s">
        <v>167</v>
      </c>
      <c r="AJ87" s="93"/>
      <c r="AK87" s="156" t="s">
        <v>303</v>
      </c>
      <c r="AL87" s="156" t="s">
        <v>169</v>
      </c>
      <c r="AM87" s="191" t="s">
        <v>299</v>
      </c>
      <c r="AN87" s="191" t="s">
        <v>163</v>
      </c>
      <c r="AO87" s="191" t="s">
        <v>300</v>
      </c>
      <c r="AP87" s="191" t="s">
        <v>275</v>
      </c>
      <c r="AQ87" s="191" t="s">
        <v>301</v>
      </c>
      <c r="AR87" s="190" t="s">
        <v>729</v>
      </c>
      <c r="AS87" s="191" t="s">
        <v>167</v>
      </c>
      <c r="AT87" s="156" t="s">
        <v>13</v>
      </c>
      <c r="AU87" s="160"/>
      <c r="AV87" s="192" t="s">
        <v>303</v>
      </c>
      <c r="AW87" s="156" t="s">
        <v>169</v>
      </c>
      <c r="AX87" s="190" t="s">
        <v>299</v>
      </c>
      <c r="AY87" s="190" t="s">
        <v>163</v>
      </c>
      <c r="AZ87" s="190" t="s">
        <v>300</v>
      </c>
      <c r="BA87" s="190" t="s">
        <v>275</v>
      </c>
      <c r="BB87" s="190" t="s">
        <v>301</v>
      </c>
      <c r="BC87" s="190" t="s">
        <v>729</v>
      </c>
      <c r="BD87" s="190" t="s">
        <v>167</v>
      </c>
      <c r="BE87" s="156" t="s">
        <v>13</v>
      </c>
      <c r="BF87" s="93"/>
      <c r="BG87" s="190" t="s">
        <v>304</v>
      </c>
      <c r="BH87" s="190" t="s">
        <v>305</v>
      </c>
      <c r="BI87" s="190" t="s">
        <v>306</v>
      </c>
      <c r="BJ87" s="93"/>
      <c r="BK87" s="93"/>
      <c r="BL87" s="193" t="s">
        <v>307</v>
      </c>
      <c r="BM87" s="194"/>
      <c r="BN87" s="93"/>
      <c r="BO87" s="156" t="s">
        <v>303</v>
      </c>
      <c r="BP87" s="140" t="s">
        <v>169</v>
      </c>
      <c r="BQ87" s="195" t="s">
        <v>299</v>
      </c>
      <c r="BR87" s="195" t="s">
        <v>163</v>
      </c>
      <c r="BS87" s="195" t="s">
        <v>300</v>
      </c>
      <c r="BT87" s="195" t="s">
        <v>275</v>
      </c>
      <c r="BU87" s="195" t="s">
        <v>301</v>
      </c>
      <c r="BV87" s="195" t="s">
        <v>729</v>
      </c>
      <c r="BW87" s="195" t="s">
        <v>167</v>
      </c>
      <c r="BX87" s="156" t="s">
        <v>13</v>
      </c>
      <c r="BY87" s="93"/>
      <c r="BZ87" s="190" t="s">
        <v>308</v>
      </c>
    </row>
    <row r="88" spans="1:78" x14ac:dyDescent="0.3">
      <c r="A88" s="93"/>
      <c r="B88" s="190" t="s">
        <v>303</v>
      </c>
      <c r="C88" s="196"/>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197"/>
      <c r="AL88" s="197"/>
      <c r="AM88" s="197"/>
      <c r="AN88" s="197"/>
      <c r="AO88" s="197"/>
      <c r="AP88" s="197"/>
      <c r="AQ88" s="197"/>
      <c r="AR88" s="197"/>
      <c r="AS88" s="197"/>
      <c r="AT88" s="93"/>
      <c r="AU88" s="93"/>
      <c r="AV88" s="93"/>
      <c r="AW88" s="93"/>
      <c r="AX88" s="93"/>
      <c r="AY88" s="93"/>
      <c r="AZ88" s="93"/>
      <c r="BA88" s="93"/>
      <c r="BB88" s="93"/>
      <c r="BC88" s="93"/>
      <c r="BD88" s="93"/>
      <c r="BE88" s="93"/>
      <c r="BF88" s="93"/>
      <c r="BG88" s="93"/>
      <c r="BH88" s="93"/>
      <c r="BI88" s="93"/>
      <c r="BJ88" s="93"/>
      <c r="BK88" s="135" t="s">
        <v>309</v>
      </c>
      <c r="BL88" s="198">
        <v>0.01</v>
      </c>
      <c r="BM88" s="199"/>
      <c r="BN88" s="135" t="s">
        <v>126</v>
      </c>
      <c r="BO88" s="148">
        <f>Exploration!C8</f>
        <v>0.26249999999999996</v>
      </c>
      <c r="BP88" s="148">
        <f>Exploration!C9</f>
        <v>0.26249999999999996</v>
      </c>
      <c r="BQ88" s="148">
        <f t="shared" ref="BQ88:BV88" si="24">BP88</f>
        <v>0.26249999999999996</v>
      </c>
      <c r="BR88" s="148">
        <f t="shared" si="24"/>
        <v>0.26249999999999996</v>
      </c>
      <c r="BS88" s="148">
        <f t="shared" si="24"/>
        <v>0.26249999999999996</v>
      </c>
      <c r="BT88" s="148">
        <f t="shared" si="24"/>
        <v>0.26249999999999996</v>
      </c>
      <c r="BU88" s="148">
        <f t="shared" si="24"/>
        <v>0.26249999999999996</v>
      </c>
      <c r="BV88" s="148">
        <f t="shared" si="24"/>
        <v>0.26249999999999996</v>
      </c>
      <c r="BW88" s="148">
        <f>BU88</f>
        <v>0.26249999999999996</v>
      </c>
      <c r="BX88" s="93"/>
      <c r="BY88" s="93"/>
      <c r="BZ88" s="93"/>
    </row>
    <row r="89" spans="1:78" x14ac:dyDescent="0.3">
      <c r="A89" s="93"/>
      <c r="B89" s="93"/>
      <c r="C89" s="93"/>
      <c r="D89" s="93"/>
      <c r="E89" s="93"/>
      <c r="F89" s="93"/>
      <c r="G89" s="93"/>
      <c r="H89" s="93"/>
      <c r="I89" s="93"/>
      <c r="J89" s="93"/>
      <c r="K89" s="93"/>
      <c r="L89" s="93"/>
      <c r="M89" s="93"/>
      <c r="N89" s="93"/>
      <c r="O89" s="93"/>
      <c r="P89" s="93"/>
      <c r="Q89" s="93"/>
      <c r="R89" s="93"/>
      <c r="S89" s="200"/>
      <c r="T89" s="93"/>
      <c r="U89" s="93"/>
      <c r="V89" s="93"/>
      <c r="W89" s="93"/>
      <c r="X89" s="93"/>
      <c r="Y89" s="93"/>
      <c r="Z89" s="93"/>
      <c r="AA89" s="187"/>
      <c r="AB89" s="93"/>
      <c r="AC89" s="93"/>
      <c r="AD89" s="93"/>
      <c r="AE89" s="93"/>
      <c r="AF89" s="93"/>
      <c r="AG89" s="93"/>
      <c r="AH89" s="93"/>
      <c r="AI89" s="93"/>
      <c r="AJ89" s="93"/>
      <c r="AK89" s="197"/>
      <c r="AL89" s="197"/>
      <c r="AM89" s="93"/>
      <c r="AN89" s="93"/>
      <c r="AO89" s="93"/>
      <c r="AP89" s="93"/>
      <c r="AQ89" s="93"/>
      <c r="AR89" s="93"/>
      <c r="AS89" s="93"/>
      <c r="AT89" s="93"/>
      <c r="AU89" s="93"/>
      <c r="AV89" s="197"/>
      <c r="AW89" s="197"/>
      <c r="AX89" s="93"/>
      <c r="AY89" s="93"/>
      <c r="AZ89" s="93"/>
      <c r="BA89" s="93"/>
      <c r="BB89" s="93"/>
      <c r="BC89" s="93"/>
      <c r="BD89" s="93"/>
      <c r="BE89" s="93"/>
      <c r="BF89" s="93"/>
      <c r="BG89" s="93"/>
      <c r="BH89" s="93"/>
      <c r="BI89" s="93"/>
      <c r="BJ89" s="93"/>
      <c r="BK89" s="93"/>
      <c r="BL89" s="93"/>
      <c r="BM89" s="93"/>
      <c r="BN89" s="93"/>
      <c r="BO89" s="197"/>
      <c r="BP89" s="197"/>
      <c r="BQ89" s="93"/>
      <c r="BR89" s="93"/>
      <c r="BS89" s="93"/>
      <c r="BT89" s="93"/>
      <c r="BU89" s="93"/>
      <c r="BV89" s="93"/>
      <c r="BW89" s="93"/>
      <c r="BX89" s="93"/>
      <c r="BY89" s="93"/>
      <c r="BZ89" s="93"/>
    </row>
    <row r="90" spans="1:78" x14ac:dyDescent="0.3">
      <c r="A90" s="156" t="s">
        <v>13</v>
      </c>
      <c r="B90" s="152">
        <f>SUM(B91:B130)</f>
        <v>10.9</v>
      </c>
      <c r="C90" s="152">
        <f t="shared" ref="C90:H90" si="25">SUM(C91:C130)</f>
        <v>0</v>
      </c>
      <c r="D90" s="152">
        <f t="shared" si="25"/>
        <v>0</v>
      </c>
      <c r="E90" s="152">
        <f t="shared" si="25"/>
        <v>0</v>
      </c>
      <c r="F90" s="152">
        <f t="shared" si="25"/>
        <v>0</v>
      </c>
      <c r="G90" s="152">
        <f t="shared" si="25"/>
        <v>8.8683333333333341</v>
      </c>
      <c r="H90" s="152">
        <f t="shared" si="25"/>
        <v>478.806666666669</v>
      </c>
      <c r="I90" s="152">
        <f t="shared" ref="I90:N90" si="26">SUM(I91:I130)</f>
        <v>8.8683333333333341</v>
      </c>
      <c r="J90" s="152">
        <f t="shared" si="26"/>
        <v>478.806666666669</v>
      </c>
      <c r="K90" s="152">
        <f t="shared" si="26"/>
        <v>8.8683333333333341</v>
      </c>
      <c r="L90" s="152">
        <f t="shared" si="26"/>
        <v>418.95583333333099</v>
      </c>
      <c r="M90" s="152">
        <f t="shared" si="26"/>
        <v>0</v>
      </c>
      <c r="N90" s="152">
        <f t="shared" si="26"/>
        <v>0</v>
      </c>
      <c r="O90" s="152">
        <f t="shared" ref="O90:W90" si="27">SUM(O91:O130)</f>
        <v>0</v>
      </c>
      <c r="P90" s="152">
        <f t="shared" si="27"/>
        <v>0</v>
      </c>
      <c r="Q90" s="152">
        <f t="shared" si="27"/>
        <v>1403.174166666669</v>
      </c>
      <c r="R90" s="152">
        <f t="shared" si="27"/>
        <v>534</v>
      </c>
      <c r="S90" s="152">
        <f t="shared" si="27"/>
        <v>747.94250547945194</v>
      </c>
      <c r="T90" s="152">
        <f t="shared" si="27"/>
        <v>500.40000000000003</v>
      </c>
      <c r="U90" s="152">
        <f t="shared" si="27"/>
        <v>553.04999999999995</v>
      </c>
      <c r="V90" s="152">
        <f t="shared" si="27"/>
        <v>256.89317560273975</v>
      </c>
      <c r="W90" s="152">
        <f t="shared" si="27"/>
        <v>200</v>
      </c>
      <c r="X90" s="152">
        <f>SUM(X91:X130)</f>
        <v>518.45713621643836</v>
      </c>
      <c r="Y90" s="152">
        <f>SUM(Y91:Y130)</f>
        <v>4724.8169839652992</v>
      </c>
      <c r="Z90" s="200"/>
      <c r="AA90" s="93"/>
      <c r="AB90" s="183">
        <f t="shared" ref="AB90:AI90" si="28">SUM(AB91:AB130)</f>
        <v>0</v>
      </c>
      <c r="AC90" s="183">
        <f t="shared" si="28"/>
        <v>0</v>
      </c>
      <c r="AD90" s="183">
        <f t="shared" si="28"/>
        <v>0</v>
      </c>
      <c r="AE90" s="183">
        <f t="shared" si="28"/>
        <v>0</v>
      </c>
      <c r="AF90" s="183">
        <f t="shared" si="28"/>
        <v>0</v>
      </c>
      <c r="AG90" s="183">
        <f t="shared" si="28"/>
        <v>0</v>
      </c>
      <c r="AH90" s="183">
        <f t="shared" si="28"/>
        <v>0</v>
      </c>
      <c r="AI90" s="183">
        <f t="shared" si="28"/>
        <v>0</v>
      </c>
      <c r="AJ90" s="93"/>
      <c r="AK90" s="152">
        <f t="shared" ref="AK90:AT90" si="29">SUM(AK91:AK130)</f>
        <v>11.67512284375</v>
      </c>
      <c r="AL90" s="152">
        <f t="shared" si="29"/>
        <v>1642.2907718845772</v>
      </c>
      <c r="AM90" s="152">
        <f t="shared" si="29"/>
        <v>608.63852262184491</v>
      </c>
      <c r="AN90" s="152">
        <f t="shared" si="29"/>
        <v>860.9770922668481</v>
      </c>
      <c r="AO90" s="152">
        <f t="shared" si="29"/>
        <v>573.33978247767413</v>
      </c>
      <c r="AP90" s="152">
        <f t="shared" si="29"/>
        <v>638.55268103801291</v>
      </c>
      <c r="AQ90" s="152">
        <f t="shared" si="29"/>
        <v>294.96588862448181</v>
      </c>
      <c r="AR90" s="152">
        <f t="shared" si="29"/>
        <v>231.93868364257804</v>
      </c>
      <c r="AS90" s="152">
        <f t="shared" si="29"/>
        <v>595.29479340577245</v>
      </c>
      <c r="AT90" s="152">
        <f t="shared" si="29"/>
        <v>5457.67333880554</v>
      </c>
      <c r="AU90" s="93"/>
      <c r="AV90" s="152">
        <f t="shared" ref="AV90:BE90" si="30">SUM(AV91:AV130)</f>
        <v>11.67512284375</v>
      </c>
      <c r="AW90" s="152">
        <f t="shared" si="30"/>
        <v>1642.2907718845772</v>
      </c>
      <c r="AX90" s="152">
        <f t="shared" si="30"/>
        <v>608.63852262184491</v>
      </c>
      <c r="AY90" s="152">
        <f t="shared" si="30"/>
        <v>860.9770922668481</v>
      </c>
      <c r="AZ90" s="152">
        <f t="shared" si="30"/>
        <v>573.33978247767413</v>
      </c>
      <c r="BA90" s="152">
        <f t="shared" si="30"/>
        <v>638.55268103801291</v>
      </c>
      <c r="BB90" s="152">
        <f t="shared" si="30"/>
        <v>294.96588862448181</v>
      </c>
      <c r="BC90" s="152">
        <f>SUM(BC91:BC130)</f>
        <v>231.93868364257804</v>
      </c>
      <c r="BD90" s="152">
        <f t="shared" si="30"/>
        <v>595.29479340577245</v>
      </c>
      <c r="BE90" s="152">
        <f t="shared" si="30"/>
        <v>5457.67333880554</v>
      </c>
      <c r="BF90" s="93"/>
      <c r="BG90" s="152">
        <f>SUM(BG91:BG130)</f>
        <v>1852.2932843845733</v>
      </c>
      <c r="BH90" s="152">
        <f>SUM(BH91:BH130)</f>
        <v>3815.3825669209618</v>
      </c>
      <c r="BI90" s="152">
        <f>SUM(BI91:BI130)</f>
        <v>0</v>
      </c>
      <c r="BJ90" s="157"/>
      <c r="BK90" s="157"/>
      <c r="BL90" s="152">
        <f>SUM(BL91:BL130)</f>
        <v>5512.2500721935949</v>
      </c>
      <c r="BM90" s="201"/>
      <c r="BN90" s="157"/>
      <c r="BO90" s="152">
        <f t="shared" ref="BO90:BX90" si="31">SUM(BO91:BO130)</f>
        <v>3.0647197464843741</v>
      </c>
      <c r="BP90" s="152">
        <f t="shared" si="31"/>
        <v>431.10132761970146</v>
      </c>
      <c r="BQ90" s="152">
        <f t="shared" si="31"/>
        <v>159.7676121882343</v>
      </c>
      <c r="BR90" s="152">
        <f t="shared" si="31"/>
        <v>226.0064867200476</v>
      </c>
      <c r="BS90" s="152">
        <f t="shared" si="31"/>
        <v>150.50169290038946</v>
      </c>
      <c r="BT90" s="152">
        <f t="shared" si="31"/>
        <v>167.62007877247834</v>
      </c>
      <c r="BU90" s="152">
        <f t="shared" si="31"/>
        <v>77.428545763926465</v>
      </c>
      <c r="BV90" s="152">
        <f t="shared" si="31"/>
        <v>60.883904456176722</v>
      </c>
      <c r="BW90" s="152">
        <f t="shared" si="31"/>
        <v>156.26488326901523</v>
      </c>
      <c r="BX90" s="152">
        <f t="shared" si="31"/>
        <v>1432.6392514364538</v>
      </c>
      <c r="BY90" s="157"/>
      <c r="BZ90" s="152">
        <f>SUM(BZ91:BZ130)</f>
        <v>3803.7074440772121</v>
      </c>
    </row>
    <row r="91" spans="1:78" x14ac:dyDescent="0.3">
      <c r="A91" s="140">
        <f>'Success Cash Flow'!A10</f>
        <v>2012</v>
      </c>
      <c r="B91" s="159">
        <f t="shared" ref="B91:B130" si="32">IF(A91=$D$10,$F$10,IF(A91=$E$10,$G$10,0))/1000</f>
        <v>0</v>
      </c>
      <c r="C91" s="159">
        <f t="shared" ref="C91:P100" si="33">IF($A91=INDEX($H$41:$N$54,C$86,1),INDEX($O$41:$Y$54,C$86,1),IF($A91=INDEX($H$41:$N$54,C$86,2),INDEX($O$41:$Y$54,C$86,2),IF($A91=INDEX($H$41:$N$54,C$86,3),INDEX($O$41:$Y$54,C$86,3),IF($A91=INDEX($H$41:$N$54,C$86,4),INDEX($O$41:$Y$54,C$86,4),IF($A91=INDEX($H$41:$N$54,C$86,5),INDEX($O$41:$Y$54,C$86,5),IF($A91=INDEX($H$41:$N$54,C$86,6),INDEX($O$41:$Y$54,C$86,6),IF($A91=INDEX($H$41:$N$54,C$86,7),INDEX($O$41:$Y$54,C$86,7),0)))))))/1000</f>
        <v>0</v>
      </c>
      <c r="D91" s="159">
        <f t="shared" si="33"/>
        <v>0</v>
      </c>
      <c r="E91" s="159">
        <f t="shared" si="33"/>
        <v>0</v>
      </c>
      <c r="F91" s="159">
        <f t="shared" si="33"/>
        <v>0</v>
      </c>
      <c r="G91" s="159">
        <f t="shared" si="33"/>
        <v>0</v>
      </c>
      <c r="H91" s="159">
        <f t="shared" si="33"/>
        <v>0</v>
      </c>
      <c r="I91" s="159">
        <f t="shared" si="33"/>
        <v>0</v>
      </c>
      <c r="J91" s="159">
        <f t="shared" si="33"/>
        <v>0</v>
      </c>
      <c r="K91" s="159">
        <f t="shared" si="33"/>
        <v>0</v>
      </c>
      <c r="L91" s="159">
        <f t="shared" si="33"/>
        <v>0</v>
      </c>
      <c r="M91" s="159">
        <f t="shared" si="33"/>
        <v>0</v>
      </c>
      <c r="N91" s="159">
        <f t="shared" si="33"/>
        <v>0</v>
      </c>
      <c r="O91" s="159">
        <f t="shared" si="33"/>
        <v>0</v>
      </c>
      <c r="P91" s="159">
        <f t="shared" si="33"/>
        <v>0</v>
      </c>
      <c r="Q91" s="159">
        <f>SUM(C91:P91)</f>
        <v>0</v>
      </c>
      <c r="R91" s="159">
        <f t="shared" ref="R91:U110" si="34">IF($A91=INDEX($R$74:$U$77,R$86,1),INDEX($V$74:$Y$77,R$86,1),IF($A91=INDEX($R$74:$U$77,R$86,2),INDEX($V$74:$Y$77,R$86,2),IF($A91=INDEX($R$74:$U$77,R$86,3),INDEX($V$74:$Y$77,R$86,3),IF($A91=INDEX($R$74:$U$77,R$86,4),INDEX($V$74:$Y$77,R$86,4),0))))/1000</f>
        <v>0</v>
      </c>
      <c r="S91" s="159">
        <f t="shared" si="34"/>
        <v>0</v>
      </c>
      <c r="T91" s="159">
        <f t="shared" si="34"/>
        <v>0</v>
      </c>
      <c r="U91" s="159">
        <f t="shared" si="34"/>
        <v>0</v>
      </c>
      <c r="V91" s="159">
        <f>'Cost Assumptions'!$O$99*SUM(Development!R91:U91)</f>
        <v>0</v>
      </c>
      <c r="W91" s="161">
        <f>IF(A91=YEAR($B$57),$B$79/1000,0)</f>
        <v>0</v>
      </c>
      <c r="X91" s="159">
        <f>'Cost Assumptions'!$O$100*SUM(Development!R91:V91)</f>
        <v>0</v>
      </c>
      <c r="Y91" s="159">
        <f t="shared" ref="Y91:Y130" si="35">SUM(Q91:X91)+B91</f>
        <v>0</v>
      </c>
      <c r="Z91" s="174"/>
      <c r="AA91" s="202">
        <f t="shared" ref="AA91:AA130" si="36">IF(A91=YEAR($B$8),1,IF(A91&gt;YEAR($B$8),1+AA90,0))</f>
        <v>0</v>
      </c>
      <c r="AB91" s="483">
        <f>IF(OR($AA91=0,$AA91&gt;40),0,INDEX(Overrides!C$47:C$87,$AA91+1,1)*$AA$85+INDEX(Overrides!C$47:C$87,$AA91,1)*$AB$86)</f>
        <v>0</v>
      </c>
      <c r="AC91" s="483">
        <f>IF(OR($AA91=0,$AA91&gt;40),0,INDEX(Overrides!D$47:D$87,$AA91+1,1)*$AA$85+INDEX(Overrides!D$47:D$87,$AA91,1)*$AB$86)</f>
        <v>0</v>
      </c>
      <c r="AD91" s="483">
        <f>IF(OR($AA91=0,$AA91&gt;40),0,INDEX(Overrides!E$47:E$87,$AA91+1,1)*$AA$85+INDEX(Overrides!E$47:E$87,$AA91,1)*$AB$86)</f>
        <v>0</v>
      </c>
      <c r="AE91" s="483">
        <f>IF(OR($AA91=0,$AA91&gt;40),0,INDEX(Overrides!F$47:F$87,$AA91+1,1)*$AA$85+INDEX(Overrides!F$47:F$87,$AA91,1)*$AB$86)</f>
        <v>0</v>
      </c>
      <c r="AF91" s="483">
        <f>IF(OR($AA91=0,$AA91&gt;40),0,INDEX(Overrides!G$47:G$87,$AA91+1,1)*$AA$85+INDEX(Overrides!G$47:G$87,$AA91,1)*$AB$86)</f>
        <v>0</v>
      </c>
      <c r="AG91" s="483">
        <f>IF(OR($AA91=0,$AA91&gt;40),0,INDEX(Overrides!H$47:H$87,$AA91+1,1)*$AA$85+INDEX(Overrides!H$47:H$87,$AA91,1)*$AB$86)</f>
        <v>0</v>
      </c>
      <c r="AH91" s="483">
        <f>IF(OR($AA91=0,$AA91&gt;40),0,INDEX(Overrides!I$47:I$87,$AA91+1,1)*$AA$85+INDEX(Overrides!I$47:I$87,$AA91,1)*$AB$86)</f>
        <v>0</v>
      </c>
      <c r="AI91" s="483">
        <f>IF(OR($AA91=0,$AA91&gt;40),0,INDEX(Overrides!J$47:J$87,$AA91+1,1)*$AA$85+INDEX(Overrides!J$47:J$87,$AA91,1)*$AB$86)</f>
        <v>0</v>
      </c>
      <c r="AJ91" s="93"/>
      <c r="AK91" s="159">
        <f>B91*'Selected Economics'!$I11*'Sensitivity Ranges'!$F$43</f>
        <v>0</v>
      </c>
      <c r="AL91" s="159">
        <f>IF($AA$84=1,AB91,Q91)*'Selected Economics'!$I11*'Sensitivity Ranges'!$F$43</f>
        <v>0</v>
      </c>
      <c r="AM91" s="159">
        <f>IF($AA$84=1,AC91,R91)*'Selected Economics'!$I11*'Sensitivity Ranges'!$F$43</f>
        <v>0</v>
      </c>
      <c r="AN91" s="159">
        <f>IF($AA$84=1,AD91,S91)*'Selected Economics'!$I11*'Sensitivity Ranges'!$F$43</f>
        <v>0</v>
      </c>
      <c r="AO91" s="159">
        <f>IF($AA$84=1,AE91,T91)*'Selected Economics'!$I11*'Sensitivity Ranges'!$F$43</f>
        <v>0</v>
      </c>
      <c r="AP91" s="159">
        <f>IF($AA$84=1,AF91,U91)*'Selected Economics'!$I11*'Sensitivity Ranges'!$F$43</f>
        <v>0</v>
      </c>
      <c r="AQ91" s="159">
        <f>IF($AA$84=1,AG91,V91)*'Selected Economics'!$I11*'Sensitivity Ranges'!$F$43</f>
        <v>0</v>
      </c>
      <c r="AR91" s="159">
        <f>IF($AA$84=1,AH91,W91)*'Selected Economics'!$I11*'Sensitivity Ranges'!$F$43</f>
        <v>0</v>
      </c>
      <c r="AS91" s="159">
        <f>IF($AA$84=1,AI91,X91)*'Selected Economics'!$I11*'Sensitivity Ranges'!$F$43</f>
        <v>0</v>
      </c>
      <c r="AT91" s="159">
        <f>SUM(AK91:AS91)</f>
        <v>0</v>
      </c>
      <c r="AU91" s="174"/>
      <c r="AV91" s="159">
        <f>AK91</f>
        <v>0</v>
      </c>
      <c r="AW91" s="159">
        <f>AL91*Abandonment!$H16</f>
        <v>0</v>
      </c>
      <c r="AX91" s="159">
        <f>AM91*Abandonment!$H16</f>
        <v>0</v>
      </c>
      <c r="AY91" s="159">
        <f>AN91*Abandonment!$H16</f>
        <v>0</v>
      </c>
      <c r="AZ91" s="159">
        <f>AO91*Abandonment!$H16</f>
        <v>0</v>
      </c>
      <c r="BA91" s="159">
        <f>AP91*Abandonment!$H16</f>
        <v>0</v>
      </c>
      <c r="BB91" s="159">
        <f>AQ91*Abandonment!$H16</f>
        <v>0</v>
      </c>
      <c r="BC91" s="159">
        <f>AR91*Abandonment!$H16</f>
        <v>0</v>
      </c>
      <c r="BD91" s="159">
        <f>AS91*Abandonment!$H16</f>
        <v>0</v>
      </c>
      <c r="BE91" s="159">
        <f>SUM(AV91:BD91)</f>
        <v>0</v>
      </c>
      <c r="BF91" s="174"/>
      <c r="BG91" s="159">
        <f>AW91+Exploration!R35</f>
        <v>0</v>
      </c>
      <c r="BH91" s="161">
        <f>AV91+(AX91+AY91+AZ91+IF(Input!$B$15="Shore",0,Development!BA91)+BB91)*(1+'Cost Assumptions'!$O$100)+BC91</f>
        <v>0</v>
      </c>
      <c r="BI91" s="159">
        <f>IF(Input!$B$15="Shore",Development!BA91,0)*(1+'Cost Assumptions'!$O$100)</f>
        <v>0</v>
      </c>
      <c r="BJ91" s="157"/>
      <c r="BK91" s="157"/>
      <c r="BL91" s="159">
        <f t="shared" ref="BL91:BL130" si="37">BE91*(1+$BL$88)</f>
        <v>0</v>
      </c>
      <c r="BM91" s="201"/>
      <c r="BN91" s="157"/>
      <c r="BO91" s="161">
        <f t="shared" ref="BO91:BO130" si="38">AV91*BO$88</f>
        <v>0</v>
      </c>
      <c r="BP91" s="161">
        <f t="shared" ref="BP91:BP130" si="39">AW91*BP$88</f>
        <v>0</v>
      </c>
      <c r="BQ91" s="161">
        <f t="shared" ref="BQ91:BQ130" si="40">AX91*BQ$88</f>
        <v>0</v>
      </c>
      <c r="BR91" s="161">
        <f t="shared" ref="BR91:BR130" si="41">AY91*BR$88</f>
        <v>0</v>
      </c>
      <c r="BS91" s="161">
        <f t="shared" ref="BS91:BS130" si="42">AZ91*BS$88</f>
        <v>0</v>
      </c>
      <c r="BT91" s="161">
        <f t="shared" ref="BT91:BT130" si="43">BA91*BT$88</f>
        <v>0</v>
      </c>
      <c r="BU91" s="161">
        <f t="shared" ref="BU91:BU130" si="44">BB91*BU$88</f>
        <v>0</v>
      </c>
      <c r="BV91" s="161">
        <f t="shared" ref="BV91:BV130" si="45">BC91*BV$88</f>
        <v>0</v>
      </c>
      <c r="BW91" s="161">
        <f t="shared" ref="BW91:BW130" si="46">BD91*BW$88</f>
        <v>0</v>
      </c>
      <c r="BX91" s="159">
        <f>SUM(BO91:BW91)</f>
        <v>0</v>
      </c>
      <c r="BY91" s="157"/>
      <c r="BZ91" s="159">
        <f>SUM(AX91:BD91)</f>
        <v>0</v>
      </c>
    </row>
    <row r="92" spans="1:78" x14ac:dyDescent="0.3">
      <c r="A92" s="141">
        <f>A91+1</f>
        <v>2013</v>
      </c>
      <c r="B92" s="161">
        <f t="shared" si="32"/>
        <v>0</v>
      </c>
      <c r="C92" s="161">
        <f t="shared" si="33"/>
        <v>0</v>
      </c>
      <c r="D92" s="161">
        <f t="shared" si="33"/>
        <v>0</v>
      </c>
      <c r="E92" s="161">
        <f t="shared" si="33"/>
        <v>0</v>
      </c>
      <c r="F92" s="161">
        <f t="shared" si="33"/>
        <v>0</v>
      </c>
      <c r="G92" s="161">
        <f t="shared" si="33"/>
        <v>0</v>
      </c>
      <c r="H92" s="161">
        <f t="shared" si="33"/>
        <v>0</v>
      </c>
      <c r="I92" s="161">
        <f t="shared" si="33"/>
        <v>0</v>
      </c>
      <c r="J92" s="161">
        <f t="shared" si="33"/>
        <v>0</v>
      </c>
      <c r="K92" s="161">
        <f t="shared" si="33"/>
        <v>0</v>
      </c>
      <c r="L92" s="161">
        <f t="shared" si="33"/>
        <v>0</v>
      </c>
      <c r="M92" s="161">
        <f t="shared" si="33"/>
        <v>0</v>
      </c>
      <c r="N92" s="161">
        <f t="shared" si="33"/>
        <v>0</v>
      </c>
      <c r="O92" s="161">
        <f t="shared" si="33"/>
        <v>0</v>
      </c>
      <c r="P92" s="161">
        <f t="shared" si="33"/>
        <v>0</v>
      </c>
      <c r="Q92" s="161">
        <f t="shared" ref="Q92:Q130" si="47">SUM(C92:P92)</f>
        <v>0</v>
      </c>
      <c r="R92" s="161">
        <f t="shared" si="34"/>
        <v>0</v>
      </c>
      <c r="S92" s="161">
        <f t="shared" si="34"/>
        <v>0</v>
      </c>
      <c r="T92" s="161">
        <f t="shared" si="34"/>
        <v>0</v>
      </c>
      <c r="U92" s="161">
        <f t="shared" si="34"/>
        <v>0</v>
      </c>
      <c r="V92" s="161">
        <f>'Cost Assumptions'!$O$99*SUM(Development!R92:U92)</f>
        <v>0</v>
      </c>
      <c r="W92" s="161">
        <f>IF(A92=YEAR($B$57),$B$79/1000,0)</f>
        <v>0</v>
      </c>
      <c r="X92" s="161">
        <f>'Cost Assumptions'!$O$100*SUM(Development!R92:V92)</f>
        <v>0</v>
      </c>
      <c r="Y92" s="161">
        <f t="shared" si="35"/>
        <v>0</v>
      </c>
      <c r="Z92" s="174"/>
      <c r="AA92" s="204">
        <f t="shared" si="36"/>
        <v>0</v>
      </c>
      <c r="AB92" s="484">
        <f>IF(OR($AA92=0,$AA92&gt;40),0,INDEX(Overrides!C$47:C$87,$AA92+1,1)*$AA$85+INDEX(Overrides!C$47:C$87,$AA92,1)*$AB$86)</f>
        <v>0</v>
      </c>
      <c r="AC92" s="484">
        <f>IF(OR($AA92=0,$AA92&gt;40),0,INDEX(Overrides!D$47:D$87,$AA92+1,1)*$AA$85+INDEX(Overrides!D$47:D$87,$AA92,1)*$AB$86)</f>
        <v>0</v>
      </c>
      <c r="AD92" s="484">
        <f>IF(OR($AA92=0,$AA92&gt;40),0,INDEX(Overrides!E$47:E$87,$AA92+1,1)*$AA$85+INDEX(Overrides!E$47:E$87,$AA92,1)*$AB$86)</f>
        <v>0</v>
      </c>
      <c r="AE92" s="484">
        <f>IF(OR($AA92=0,$AA92&gt;40),0,INDEX(Overrides!F$47:F$87,$AA92+1,1)*$AA$85+INDEX(Overrides!F$47:F$87,$AA92,1)*$AB$86)</f>
        <v>0</v>
      </c>
      <c r="AF92" s="484">
        <f>IF(OR($AA92=0,$AA92&gt;40),0,INDEX(Overrides!G$47:G$87,$AA92+1,1)*$AA$85+INDEX(Overrides!G$47:G$87,$AA92,1)*$AB$86)</f>
        <v>0</v>
      </c>
      <c r="AG92" s="484">
        <f>IF(OR($AA92=0,$AA92&gt;40),0,INDEX(Overrides!H$47:H$87,$AA92+1,1)*$AA$85+INDEX(Overrides!H$47:H$87,$AA92,1)*$AB$86)</f>
        <v>0</v>
      </c>
      <c r="AH92" s="484">
        <f>IF(OR($AA92=0,$AA92&gt;40),0,INDEX(Overrides!I$47:I$87,$AA92+1,1)*$AA$85+INDEX(Overrides!I$47:I$87,$AA92,1)*$AB$86)</f>
        <v>0</v>
      </c>
      <c r="AI92" s="484">
        <f>IF(OR($AA92=0,$AA92&gt;40),0,INDEX(Overrides!J$47:J$87,$AA92+1,1)*$AA$85+INDEX(Overrides!J$47:J$87,$AA92,1)*$AB$86)</f>
        <v>0</v>
      </c>
      <c r="AJ92" s="93"/>
      <c r="AK92" s="161">
        <f>B92*'Selected Economics'!$I12*'Sensitivity Ranges'!$F$43</f>
        <v>0</v>
      </c>
      <c r="AL92" s="161">
        <f>IF($AA$84=1,AB92,Q92)*'Selected Economics'!$I12*'Sensitivity Ranges'!$F$43</f>
        <v>0</v>
      </c>
      <c r="AM92" s="161">
        <f>IF($AA$84=1,AC92,R92)*'Selected Economics'!$I12*'Sensitivity Ranges'!$F$43</f>
        <v>0</v>
      </c>
      <c r="AN92" s="161">
        <f>IF($AA$84=1,AD92,S92)*'Selected Economics'!$I12*'Sensitivity Ranges'!$F$43</f>
        <v>0</v>
      </c>
      <c r="AO92" s="161">
        <f>IF($AA$84=1,AE92,T92)*'Selected Economics'!$I12*'Sensitivity Ranges'!$F$43</f>
        <v>0</v>
      </c>
      <c r="AP92" s="161">
        <f>IF($AA$84=1,AF92,U92)*'Selected Economics'!$I12*'Sensitivity Ranges'!$F$43</f>
        <v>0</v>
      </c>
      <c r="AQ92" s="161">
        <f>IF($AA$84=1,AG92,V92)*'Selected Economics'!$I12*'Sensitivity Ranges'!$F$43</f>
        <v>0</v>
      </c>
      <c r="AR92" s="161">
        <f>IF($AA$84=1,AH92,W92)*'Selected Economics'!$I12*'Sensitivity Ranges'!$F$43</f>
        <v>0</v>
      </c>
      <c r="AS92" s="161">
        <f>IF($AA$84=1,AI92,X92)*'Selected Economics'!$I12*'Sensitivity Ranges'!$F$43</f>
        <v>0</v>
      </c>
      <c r="AT92" s="161">
        <f t="shared" ref="AT92:AT130" si="48">SUM(AK92:AS92)</f>
        <v>0</v>
      </c>
      <c r="AU92" s="174"/>
      <c r="AV92" s="161">
        <f>AK92</f>
        <v>0</v>
      </c>
      <c r="AW92" s="161">
        <f>AL92*Abandonment!$H17</f>
        <v>0</v>
      </c>
      <c r="AX92" s="161">
        <f>AM92*Abandonment!$H17</f>
        <v>0</v>
      </c>
      <c r="AY92" s="161">
        <f>AN92*Abandonment!$H17</f>
        <v>0</v>
      </c>
      <c r="AZ92" s="161">
        <f>AO92*Abandonment!$H17</f>
        <v>0</v>
      </c>
      <c r="BA92" s="161">
        <f>AP92*Abandonment!$H17</f>
        <v>0</v>
      </c>
      <c r="BB92" s="161">
        <f>AQ92*Abandonment!$H17</f>
        <v>0</v>
      </c>
      <c r="BC92" s="161">
        <f>AR92*Abandonment!$H17</f>
        <v>0</v>
      </c>
      <c r="BD92" s="161">
        <f>AS92*Abandonment!$H17</f>
        <v>0</v>
      </c>
      <c r="BE92" s="161">
        <f t="shared" ref="BE92:BE130" si="49">SUM(AV92:BD92)</f>
        <v>0</v>
      </c>
      <c r="BF92" s="174"/>
      <c r="BG92" s="161">
        <f>AW92+Exploration!R36</f>
        <v>138.84463636363375</v>
      </c>
      <c r="BH92" s="161">
        <f>AV92+(AX92+AY92+AZ92+IF(Input!$B$15="Shore",0,Development!BA92)+BB92)*(1+'Cost Assumptions'!$O$100)+BC92</f>
        <v>0</v>
      </c>
      <c r="BI92" s="161">
        <f>IF(Input!$B$15="Shore",Development!BA92,0)*(1+'Cost Assumptions'!$O$100)</f>
        <v>0</v>
      </c>
      <c r="BJ92" s="157"/>
      <c r="BK92" s="157"/>
      <c r="BL92" s="161">
        <f t="shared" si="37"/>
        <v>0</v>
      </c>
      <c r="BM92" s="201"/>
      <c r="BN92" s="157"/>
      <c r="BO92" s="161">
        <f t="shared" si="38"/>
        <v>0</v>
      </c>
      <c r="BP92" s="161">
        <f t="shared" si="39"/>
        <v>0</v>
      </c>
      <c r="BQ92" s="161">
        <f t="shared" si="40"/>
        <v>0</v>
      </c>
      <c r="BR92" s="161">
        <f t="shared" si="41"/>
        <v>0</v>
      </c>
      <c r="BS92" s="161">
        <f t="shared" si="42"/>
        <v>0</v>
      </c>
      <c r="BT92" s="161">
        <f t="shared" si="43"/>
        <v>0</v>
      </c>
      <c r="BU92" s="161">
        <f t="shared" si="44"/>
        <v>0</v>
      </c>
      <c r="BV92" s="161">
        <f t="shared" si="45"/>
        <v>0</v>
      </c>
      <c r="BW92" s="161">
        <f t="shared" si="46"/>
        <v>0</v>
      </c>
      <c r="BX92" s="161">
        <f t="shared" ref="BX92:BX130" si="50">SUM(BO92:BW92)</f>
        <v>0</v>
      </c>
      <c r="BY92" s="157"/>
      <c r="BZ92" s="161">
        <f t="shared" ref="BZ92:BZ130" si="51">SUM(AX92:BD92)</f>
        <v>0</v>
      </c>
    </row>
    <row r="93" spans="1:78" x14ac:dyDescent="0.3">
      <c r="A93" s="141">
        <f t="shared" ref="A93:A130" si="52">A92+1</f>
        <v>2014</v>
      </c>
      <c r="B93" s="161">
        <f t="shared" si="32"/>
        <v>2.3980000000000001</v>
      </c>
      <c r="C93" s="161">
        <f t="shared" si="33"/>
        <v>0</v>
      </c>
      <c r="D93" s="161">
        <f t="shared" si="33"/>
        <v>0</v>
      </c>
      <c r="E93" s="161">
        <f t="shared" si="33"/>
        <v>0</v>
      </c>
      <c r="F93" s="161">
        <f t="shared" si="33"/>
        <v>0</v>
      </c>
      <c r="G93" s="161">
        <f t="shared" si="33"/>
        <v>0</v>
      </c>
      <c r="H93" s="161">
        <f t="shared" si="33"/>
        <v>0</v>
      </c>
      <c r="I93" s="161">
        <f t="shared" si="33"/>
        <v>0</v>
      </c>
      <c r="J93" s="161">
        <f t="shared" si="33"/>
        <v>0</v>
      </c>
      <c r="K93" s="161">
        <f t="shared" si="33"/>
        <v>0</v>
      </c>
      <c r="L93" s="161">
        <f t="shared" si="33"/>
        <v>0</v>
      </c>
      <c r="M93" s="161">
        <f t="shared" si="33"/>
        <v>0</v>
      </c>
      <c r="N93" s="161">
        <f t="shared" si="33"/>
        <v>0</v>
      </c>
      <c r="O93" s="161">
        <f t="shared" si="33"/>
        <v>0</v>
      </c>
      <c r="P93" s="161">
        <f t="shared" si="33"/>
        <v>0</v>
      </c>
      <c r="Q93" s="161">
        <f t="shared" si="47"/>
        <v>0</v>
      </c>
      <c r="R93" s="161">
        <f t="shared" si="34"/>
        <v>0</v>
      </c>
      <c r="S93" s="161">
        <f t="shared" si="34"/>
        <v>0</v>
      </c>
      <c r="T93" s="161">
        <f t="shared" si="34"/>
        <v>0</v>
      </c>
      <c r="U93" s="161">
        <f t="shared" si="34"/>
        <v>0</v>
      </c>
      <c r="V93" s="161">
        <f>'Cost Assumptions'!$O$99*SUM(Development!R93:U93)</f>
        <v>0</v>
      </c>
      <c r="W93" s="161">
        <f t="shared" ref="W93:W130" si="53">IF(A93=YEAR($B$57),$B$79/1000,0)</f>
        <v>0</v>
      </c>
      <c r="X93" s="161">
        <f>'Cost Assumptions'!$O$100*SUM(Development!R93:V93)</f>
        <v>0</v>
      </c>
      <c r="Y93" s="161">
        <f t="shared" si="35"/>
        <v>2.3980000000000001</v>
      </c>
      <c r="Z93" s="174"/>
      <c r="AA93" s="204">
        <f t="shared" si="36"/>
        <v>0</v>
      </c>
      <c r="AB93" s="484">
        <f>IF(OR($AA93=0,$AA93&gt;40),0,INDEX(Overrides!C$47:C$87,$AA93+1,1)*$AA$85+INDEX(Overrides!C$47:C$87,$AA93,1)*$AB$86)</f>
        <v>0</v>
      </c>
      <c r="AC93" s="484">
        <f>IF(OR($AA93=0,$AA93&gt;40),0,INDEX(Overrides!D$47:D$87,$AA93+1,1)*$AA$85+INDEX(Overrides!D$47:D$87,$AA93,1)*$AB$86)</f>
        <v>0</v>
      </c>
      <c r="AD93" s="484">
        <f>IF(OR($AA93=0,$AA93&gt;40),0,INDEX(Overrides!E$47:E$87,$AA93+1,1)*$AA$85+INDEX(Overrides!E$47:E$87,$AA93,1)*$AB$86)</f>
        <v>0</v>
      </c>
      <c r="AE93" s="484">
        <f>IF(OR($AA93=0,$AA93&gt;40),0,INDEX(Overrides!F$47:F$87,$AA93+1,1)*$AA$85+INDEX(Overrides!F$47:F$87,$AA93,1)*$AB$86)</f>
        <v>0</v>
      </c>
      <c r="AF93" s="484">
        <f>IF(OR($AA93=0,$AA93&gt;40),0,INDEX(Overrides!G$47:G$87,$AA93+1,1)*$AA$85+INDEX(Overrides!G$47:G$87,$AA93,1)*$AB$86)</f>
        <v>0</v>
      </c>
      <c r="AG93" s="484">
        <f>IF(OR($AA93=0,$AA93&gt;40),0,INDEX(Overrides!H$47:H$87,$AA93+1,1)*$AA$85+INDEX(Overrides!H$47:H$87,$AA93,1)*$AB$86)</f>
        <v>0</v>
      </c>
      <c r="AH93" s="484">
        <f>IF(OR($AA93=0,$AA93&gt;40),0,INDEX(Overrides!I$47:I$87,$AA93+1,1)*$AA$85+INDEX(Overrides!I$47:I$87,$AA93,1)*$AB$86)</f>
        <v>0</v>
      </c>
      <c r="AI93" s="484">
        <f>IF(OR($AA93=0,$AA93&gt;40),0,INDEX(Overrides!J$47:J$87,$AA93+1,1)*$AA$85+INDEX(Overrides!J$47:J$87,$AA93,1)*$AB$86)</f>
        <v>0</v>
      </c>
      <c r="AJ93" s="93"/>
      <c r="AK93" s="161">
        <f>B93*'Selected Economics'!$I13*'Sensitivity Ranges'!$F$43</f>
        <v>2.5193987500000001</v>
      </c>
      <c r="AL93" s="161">
        <f>IF($AA$84=1,AB93,Q93)*'Selected Economics'!$I13*'Sensitivity Ranges'!$F$43</f>
        <v>0</v>
      </c>
      <c r="AM93" s="161">
        <f>IF($AA$84=1,AC93,R93)*'Selected Economics'!$I13*'Sensitivity Ranges'!$F$43</f>
        <v>0</v>
      </c>
      <c r="AN93" s="161">
        <f>IF($AA$84=1,AD93,S93)*'Selected Economics'!$I13*'Sensitivity Ranges'!$F$43</f>
        <v>0</v>
      </c>
      <c r="AO93" s="161">
        <f>IF($AA$84=1,AE93,T93)*'Selected Economics'!$I13*'Sensitivity Ranges'!$F$43</f>
        <v>0</v>
      </c>
      <c r="AP93" s="161">
        <f>IF($AA$84=1,AF93,U93)*'Selected Economics'!$I13*'Sensitivity Ranges'!$F$43</f>
        <v>0</v>
      </c>
      <c r="AQ93" s="161">
        <f>IF($AA$84=1,AG93,V93)*'Selected Economics'!$I13*'Sensitivity Ranges'!$F$43</f>
        <v>0</v>
      </c>
      <c r="AR93" s="161">
        <f>IF($AA$84=1,AH93,W93)*'Selected Economics'!$I13*'Sensitivity Ranges'!$F$43</f>
        <v>0</v>
      </c>
      <c r="AS93" s="161">
        <f>IF($AA$84=1,AI93,X93)*'Selected Economics'!$I13*'Sensitivity Ranges'!$F$43</f>
        <v>0</v>
      </c>
      <c r="AT93" s="161">
        <f t="shared" si="48"/>
        <v>2.5193987500000001</v>
      </c>
      <c r="AU93" s="174"/>
      <c r="AV93" s="161">
        <f>AK93</f>
        <v>2.5193987500000001</v>
      </c>
      <c r="AW93" s="161">
        <f>AL93*Abandonment!$H18</f>
        <v>0</v>
      </c>
      <c r="AX93" s="161">
        <f>AM93*Abandonment!$H18</f>
        <v>0</v>
      </c>
      <c r="AY93" s="161">
        <f>AN93*Abandonment!$H18</f>
        <v>0</v>
      </c>
      <c r="AZ93" s="161">
        <f>AO93*Abandonment!$H18</f>
        <v>0</v>
      </c>
      <c r="BA93" s="161">
        <f>AP93*Abandonment!$H18</f>
        <v>0</v>
      </c>
      <c r="BB93" s="161">
        <f>AQ93*Abandonment!$H18</f>
        <v>0</v>
      </c>
      <c r="BC93" s="161">
        <f>AR93*Abandonment!$H18</f>
        <v>0</v>
      </c>
      <c r="BD93" s="161">
        <f>AS93*Abandonment!$H18</f>
        <v>0</v>
      </c>
      <c r="BE93" s="161">
        <f t="shared" si="49"/>
        <v>2.5193987500000001</v>
      </c>
      <c r="BF93" s="174"/>
      <c r="BG93" s="161">
        <f>AW93+Exploration!R37</f>
        <v>71.15787613636229</v>
      </c>
      <c r="BH93" s="161">
        <f>AV93+(AX93+AY93+AZ93+IF(Input!$B$15="Shore",0,Development!BA93)+BB93)*(1+'Cost Assumptions'!$O$100)+BC93</f>
        <v>2.5193987500000001</v>
      </c>
      <c r="BI93" s="161">
        <f>IF(Input!$B$15="Shore",Development!BA93,0)*(1+'Cost Assumptions'!$O$100)</f>
        <v>0</v>
      </c>
      <c r="BJ93" s="157"/>
      <c r="BK93" s="157"/>
      <c r="BL93" s="161">
        <f t="shared" si="37"/>
        <v>2.5445927375000004</v>
      </c>
      <c r="BM93" s="201"/>
      <c r="BN93" s="157"/>
      <c r="BO93" s="161">
        <f t="shared" si="38"/>
        <v>0.66134217187499988</v>
      </c>
      <c r="BP93" s="161">
        <f t="shared" si="39"/>
        <v>0</v>
      </c>
      <c r="BQ93" s="161">
        <f t="shared" si="40"/>
        <v>0</v>
      </c>
      <c r="BR93" s="161">
        <f t="shared" si="41"/>
        <v>0</v>
      </c>
      <c r="BS93" s="161">
        <f t="shared" si="42"/>
        <v>0</v>
      </c>
      <c r="BT93" s="161">
        <f t="shared" si="43"/>
        <v>0</v>
      </c>
      <c r="BU93" s="161">
        <f t="shared" si="44"/>
        <v>0</v>
      </c>
      <c r="BV93" s="161">
        <f t="shared" si="45"/>
        <v>0</v>
      </c>
      <c r="BW93" s="161">
        <f t="shared" si="46"/>
        <v>0</v>
      </c>
      <c r="BX93" s="161">
        <f t="shared" si="50"/>
        <v>0.66134217187499988</v>
      </c>
      <c r="BY93" s="157"/>
      <c r="BZ93" s="161">
        <f t="shared" si="51"/>
        <v>0</v>
      </c>
    </row>
    <row r="94" spans="1:78" x14ac:dyDescent="0.3">
      <c r="A94" s="141">
        <f t="shared" si="52"/>
        <v>2015</v>
      </c>
      <c r="B94" s="161">
        <f t="shared" si="32"/>
        <v>8.5020000000000007</v>
      </c>
      <c r="C94" s="161">
        <f t="shared" si="33"/>
        <v>0</v>
      </c>
      <c r="D94" s="161">
        <f t="shared" si="33"/>
        <v>0</v>
      </c>
      <c r="E94" s="161">
        <f t="shared" si="33"/>
        <v>0</v>
      </c>
      <c r="F94" s="161">
        <f t="shared" si="33"/>
        <v>0</v>
      </c>
      <c r="G94" s="161">
        <f t="shared" si="33"/>
        <v>0</v>
      </c>
      <c r="H94" s="161">
        <f t="shared" si="33"/>
        <v>0</v>
      </c>
      <c r="I94" s="161">
        <f t="shared" si="33"/>
        <v>0</v>
      </c>
      <c r="J94" s="161">
        <f t="shared" si="33"/>
        <v>0</v>
      </c>
      <c r="K94" s="161">
        <f t="shared" si="33"/>
        <v>0</v>
      </c>
      <c r="L94" s="161">
        <f t="shared" si="33"/>
        <v>0</v>
      </c>
      <c r="M94" s="161">
        <f t="shared" si="33"/>
        <v>0</v>
      </c>
      <c r="N94" s="161">
        <f t="shared" si="33"/>
        <v>0</v>
      </c>
      <c r="O94" s="161">
        <f t="shared" si="33"/>
        <v>0</v>
      </c>
      <c r="P94" s="161">
        <f t="shared" si="33"/>
        <v>0</v>
      </c>
      <c r="Q94" s="161">
        <f t="shared" si="47"/>
        <v>0</v>
      </c>
      <c r="R94" s="161">
        <f t="shared" si="34"/>
        <v>0</v>
      </c>
      <c r="S94" s="161">
        <f t="shared" si="34"/>
        <v>0</v>
      </c>
      <c r="T94" s="161">
        <f t="shared" si="34"/>
        <v>0</v>
      </c>
      <c r="U94" s="161">
        <f t="shared" si="34"/>
        <v>0</v>
      </c>
      <c r="V94" s="161">
        <f>'Cost Assumptions'!$O$99*SUM(Development!R94:U94)</f>
        <v>0</v>
      </c>
      <c r="W94" s="161">
        <f t="shared" si="53"/>
        <v>0</v>
      </c>
      <c r="X94" s="161">
        <f>'Cost Assumptions'!$O$100*SUM(Development!R94:V94)</f>
        <v>0</v>
      </c>
      <c r="Y94" s="161">
        <f t="shared" si="35"/>
        <v>8.5020000000000007</v>
      </c>
      <c r="Z94" s="174"/>
      <c r="AA94" s="204">
        <f t="shared" si="36"/>
        <v>0</v>
      </c>
      <c r="AB94" s="484">
        <f>IF(OR($AA94=0,$AA94&gt;40),0,INDEX(Overrides!C$47:C$87,$AA94+1,1)*$AA$85+INDEX(Overrides!C$47:C$87,$AA94,1)*$AB$86)</f>
        <v>0</v>
      </c>
      <c r="AC94" s="484">
        <f>IF(OR($AA94=0,$AA94&gt;40),0,INDEX(Overrides!D$47:D$87,$AA94+1,1)*$AA$85+INDEX(Overrides!D$47:D$87,$AA94,1)*$AB$86)</f>
        <v>0</v>
      </c>
      <c r="AD94" s="484">
        <f>IF(OR($AA94=0,$AA94&gt;40),0,INDEX(Overrides!E$47:E$87,$AA94+1,1)*$AA$85+INDEX(Overrides!E$47:E$87,$AA94,1)*$AB$86)</f>
        <v>0</v>
      </c>
      <c r="AE94" s="484">
        <f>IF(OR($AA94=0,$AA94&gt;40),0,INDEX(Overrides!F$47:F$87,$AA94+1,1)*$AA$85+INDEX(Overrides!F$47:F$87,$AA94,1)*$AB$86)</f>
        <v>0</v>
      </c>
      <c r="AF94" s="484">
        <f>IF(OR($AA94=0,$AA94&gt;40),0,INDEX(Overrides!G$47:G$87,$AA94+1,1)*$AA$85+INDEX(Overrides!G$47:G$87,$AA94,1)*$AB$86)</f>
        <v>0</v>
      </c>
      <c r="AG94" s="484">
        <f>IF(OR($AA94=0,$AA94&gt;40),0,INDEX(Overrides!H$47:H$87,$AA94+1,1)*$AA$85+INDEX(Overrides!H$47:H$87,$AA94,1)*$AB$86)</f>
        <v>0</v>
      </c>
      <c r="AH94" s="484">
        <f>IF(OR($AA94=0,$AA94&gt;40),0,INDEX(Overrides!I$47:I$87,$AA94+1,1)*$AA$85+INDEX(Overrides!I$47:I$87,$AA94,1)*$AB$86)</f>
        <v>0</v>
      </c>
      <c r="AI94" s="484">
        <f>IF(OR($AA94=0,$AA94&gt;40),0,INDEX(Overrides!J$47:J$87,$AA94+1,1)*$AA$85+INDEX(Overrides!J$47:J$87,$AA94,1)*$AB$86)</f>
        <v>0</v>
      </c>
      <c r="AJ94" s="93"/>
      <c r="AK94" s="161">
        <f>B94*'Selected Economics'!$I14*'Sensitivity Ranges'!$F$43</f>
        <v>9.1557240937499991</v>
      </c>
      <c r="AL94" s="161">
        <f>IF($AA$84=1,AB94,Q94)*'Selected Economics'!$I14*'Sensitivity Ranges'!$F$43</f>
        <v>0</v>
      </c>
      <c r="AM94" s="161">
        <f>IF($AA$84=1,AC94,R94)*'Selected Economics'!$I14*'Sensitivity Ranges'!$F$43</f>
        <v>0</v>
      </c>
      <c r="AN94" s="161">
        <f>IF($AA$84=1,AD94,S94)*'Selected Economics'!$I14*'Sensitivity Ranges'!$F$43</f>
        <v>0</v>
      </c>
      <c r="AO94" s="161">
        <f>IF($AA$84=1,AE94,T94)*'Selected Economics'!$I14*'Sensitivity Ranges'!$F$43</f>
        <v>0</v>
      </c>
      <c r="AP94" s="161">
        <f>IF($AA$84=1,AF94,U94)*'Selected Economics'!$I14*'Sensitivity Ranges'!$F$43</f>
        <v>0</v>
      </c>
      <c r="AQ94" s="161">
        <f>IF($AA$84=1,AG94,V94)*'Selected Economics'!$I14*'Sensitivity Ranges'!$F$43</f>
        <v>0</v>
      </c>
      <c r="AR94" s="161">
        <f>IF($AA$84=1,AH94,W94)*'Selected Economics'!$I14*'Sensitivity Ranges'!$F$43</f>
        <v>0</v>
      </c>
      <c r="AS94" s="161">
        <f>IF($AA$84=1,AI94,X94)*'Selected Economics'!$I14*'Sensitivity Ranges'!$F$43</f>
        <v>0</v>
      </c>
      <c r="AT94" s="161">
        <f t="shared" si="48"/>
        <v>9.1557240937499991</v>
      </c>
      <c r="AU94" s="174"/>
      <c r="AV94" s="161">
        <f t="shared" ref="AV94:AV130" si="54">AK94</f>
        <v>9.1557240937499991</v>
      </c>
      <c r="AW94" s="161">
        <f>AL94*Abandonment!$H19</f>
        <v>0</v>
      </c>
      <c r="AX94" s="161">
        <f>AM94*Abandonment!$H19</f>
        <v>0</v>
      </c>
      <c r="AY94" s="161">
        <f>AN94*Abandonment!$H19</f>
        <v>0</v>
      </c>
      <c r="AZ94" s="161">
        <f>AO94*Abandonment!$H19</f>
        <v>0</v>
      </c>
      <c r="BA94" s="161">
        <f>AP94*Abandonment!$H19</f>
        <v>0</v>
      </c>
      <c r="BB94" s="161">
        <f>AQ94*Abandonment!$H19</f>
        <v>0</v>
      </c>
      <c r="BC94" s="161">
        <f>AR94*Abandonment!$H19</f>
        <v>0</v>
      </c>
      <c r="BD94" s="161">
        <f>AS94*Abandonment!$H19</f>
        <v>0</v>
      </c>
      <c r="BE94" s="161">
        <f t="shared" si="49"/>
        <v>9.1557240937499991</v>
      </c>
      <c r="BF94" s="174"/>
      <c r="BG94" s="161">
        <f>AW94+Exploration!R38</f>
        <v>0</v>
      </c>
      <c r="BH94" s="161">
        <f>AV94+(AX94+AY94+AZ94+IF(Input!$B$15="Shore",0,Development!BA94)+BB94)*(1+'Cost Assumptions'!$O$100)+BC94</f>
        <v>9.1557240937499991</v>
      </c>
      <c r="BI94" s="161">
        <f>IF(Input!$B$15="Shore",Development!BA94,0)*(1+'Cost Assumptions'!$O$100)</f>
        <v>0</v>
      </c>
      <c r="BJ94" s="157"/>
      <c r="BK94" s="157"/>
      <c r="BL94" s="161">
        <f t="shared" si="37"/>
        <v>9.2472813346875</v>
      </c>
      <c r="BM94" s="201"/>
      <c r="BN94" s="157"/>
      <c r="BO94" s="161">
        <f t="shared" si="38"/>
        <v>2.4033775746093742</v>
      </c>
      <c r="BP94" s="161">
        <f t="shared" si="39"/>
        <v>0</v>
      </c>
      <c r="BQ94" s="161">
        <f t="shared" si="40"/>
        <v>0</v>
      </c>
      <c r="BR94" s="161">
        <f t="shared" si="41"/>
        <v>0</v>
      </c>
      <c r="BS94" s="161">
        <f t="shared" si="42"/>
        <v>0</v>
      </c>
      <c r="BT94" s="161">
        <f t="shared" si="43"/>
        <v>0</v>
      </c>
      <c r="BU94" s="161">
        <f t="shared" si="44"/>
        <v>0</v>
      </c>
      <c r="BV94" s="161">
        <f t="shared" si="45"/>
        <v>0</v>
      </c>
      <c r="BW94" s="161">
        <f t="shared" si="46"/>
        <v>0</v>
      </c>
      <c r="BX94" s="161">
        <f t="shared" si="50"/>
        <v>2.4033775746093742</v>
      </c>
      <c r="BY94" s="157"/>
      <c r="BZ94" s="161">
        <f t="shared" si="51"/>
        <v>0</v>
      </c>
    </row>
    <row r="95" spans="1:78" x14ac:dyDescent="0.3">
      <c r="A95" s="141">
        <f t="shared" si="52"/>
        <v>2016</v>
      </c>
      <c r="B95" s="161">
        <f t="shared" si="32"/>
        <v>0</v>
      </c>
      <c r="C95" s="161">
        <f t="shared" si="33"/>
        <v>0</v>
      </c>
      <c r="D95" s="161">
        <f t="shared" si="33"/>
        <v>0</v>
      </c>
      <c r="E95" s="161">
        <f t="shared" si="33"/>
        <v>0</v>
      </c>
      <c r="F95" s="161">
        <f t="shared" si="33"/>
        <v>0</v>
      </c>
      <c r="G95" s="161">
        <f t="shared" si="33"/>
        <v>0</v>
      </c>
      <c r="H95" s="161">
        <f t="shared" si="33"/>
        <v>0</v>
      </c>
      <c r="I95" s="161">
        <f t="shared" si="33"/>
        <v>0</v>
      </c>
      <c r="J95" s="161">
        <f t="shared" si="33"/>
        <v>0</v>
      </c>
      <c r="K95" s="161">
        <f t="shared" si="33"/>
        <v>0</v>
      </c>
      <c r="L95" s="161">
        <f t="shared" si="33"/>
        <v>0</v>
      </c>
      <c r="M95" s="161">
        <f t="shared" si="33"/>
        <v>0</v>
      </c>
      <c r="N95" s="161">
        <f t="shared" si="33"/>
        <v>0</v>
      </c>
      <c r="O95" s="161">
        <f t="shared" si="33"/>
        <v>0</v>
      </c>
      <c r="P95" s="161">
        <f t="shared" si="33"/>
        <v>0</v>
      </c>
      <c r="Q95" s="161">
        <f t="shared" si="47"/>
        <v>0</v>
      </c>
      <c r="R95" s="161">
        <f t="shared" si="34"/>
        <v>70.344230769230762</v>
      </c>
      <c r="S95" s="161">
        <f t="shared" si="34"/>
        <v>0</v>
      </c>
      <c r="T95" s="161">
        <f t="shared" si="34"/>
        <v>0</v>
      </c>
      <c r="U95" s="161">
        <f t="shared" si="34"/>
        <v>0</v>
      </c>
      <c r="V95" s="161">
        <f>'Cost Assumptions'!$O$99*SUM(Development!R95:U95)</f>
        <v>7.7378653846153842</v>
      </c>
      <c r="W95" s="161">
        <f t="shared" si="53"/>
        <v>0</v>
      </c>
      <c r="X95" s="161">
        <f>'Cost Assumptions'!$O$100*SUM(Development!R95:V95)</f>
        <v>15.616419230769232</v>
      </c>
      <c r="Y95" s="161">
        <f t="shared" si="35"/>
        <v>93.698515384615376</v>
      </c>
      <c r="Z95" s="174"/>
      <c r="AA95" s="204">
        <f t="shared" si="36"/>
        <v>1</v>
      </c>
      <c r="AB95" s="484">
        <f>IF(OR($AA95=0,$AA95&gt;40),0,INDEX(Overrides!C$47:C$87,$AA95+1,1)*$AA$85+INDEX(Overrides!C$47:C$87,$AA95,1)*$AB$86)</f>
        <v>0</v>
      </c>
      <c r="AC95" s="484">
        <f>IF(OR($AA95=0,$AA95&gt;40),0,INDEX(Overrides!D$47:D$87,$AA95+1,1)*$AA$85+INDEX(Overrides!D$47:D$87,$AA95,1)*$AB$86)</f>
        <v>0</v>
      </c>
      <c r="AD95" s="484">
        <f>IF(OR($AA95=0,$AA95&gt;40),0,INDEX(Overrides!E$47:E$87,$AA95+1,1)*$AA$85+INDEX(Overrides!E$47:E$87,$AA95,1)*$AB$86)</f>
        <v>0</v>
      </c>
      <c r="AE95" s="484">
        <f>IF(OR($AA95=0,$AA95&gt;40),0,INDEX(Overrides!F$47:F$87,$AA95+1,1)*$AA$85+INDEX(Overrides!F$47:F$87,$AA95,1)*$AB$86)</f>
        <v>0</v>
      </c>
      <c r="AF95" s="484">
        <f>IF(OR($AA95=0,$AA95&gt;40),0,INDEX(Overrides!G$47:G$87,$AA95+1,1)*$AA$85+INDEX(Overrides!G$47:G$87,$AA95,1)*$AB$86)</f>
        <v>0</v>
      </c>
      <c r="AG95" s="484">
        <f>IF(OR($AA95=0,$AA95&gt;40),0,INDEX(Overrides!H$47:H$87,$AA95+1,1)*$AA$85+INDEX(Overrides!H$47:H$87,$AA95,1)*$AB$86)</f>
        <v>0</v>
      </c>
      <c r="AH95" s="484">
        <f>IF(OR($AA95=0,$AA95&gt;40),0,INDEX(Overrides!I$47:I$87,$AA95+1,1)*$AA$85+INDEX(Overrides!I$47:I$87,$AA95,1)*$AB$86)</f>
        <v>0</v>
      </c>
      <c r="AI95" s="484">
        <f>IF(OR($AA95=0,$AA95&gt;40),0,INDEX(Overrides!J$47:J$87,$AA95+1,1)*$AA$85+INDEX(Overrides!J$47:J$87,$AA95,1)*$AB$86)</f>
        <v>0</v>
      </c>
      <c r="AJ95" s="93"/>
      <c r="AK95" s="161">
        <f>B95*'Selected Economics'!$I15*'Sensitivity Ranges'!$F$43</f>
        <v>0</v>
      </c>
      <c r="AL95" s="161">
        <f>IF($AA$84=1,AB95,Q95)*'Selected Economics'!$I15*'Sensitivity Ranges'!$F$43</f>
        <v>0</v>
      </c>
      <c r="AM95" s="161">
        <f>IF($AA$84=1,AC95,R95)*'Selected Economics'!$I15*'Sensitivity Ranges'!$F$43</f>
        <v>77.646868704176654</v>
      </c>
      <c r="AN95" s="161">
        <f>IF($AA$84=1,AD95,S95)*'Selected Economics'!$I15*'Sensitivity Ranges'!$F$43</f>
        <v>0</v>
      </c>
      <c r="AO95" s="161">
        <f>IF($AA$84=1,AE95,T95)*'Selected Economics'!$I15*'Sensitivity Ranges'!$F$43</f>
        <v>0</v>
      </c>
      <c r="AP95" s="161">
        <f>IF($AA$84=1,AF95,U95)*'Selected Economics'!$I15*'Sensitivity Ranges'!$F$43</f>
        <v>0</v>
      </c>
      <c r="AQ95" s="161">
        <f>IF($AA$84=1,AG95,V95)*'Selected Economics'!$I15*'Sensitivity Ranges'!$F$43</f>
        <v>8.5411555574594331</v>
      </c>
      <c r="AR95" s="161">
        <f>IF($AA$84=1,AH95,W95)*'Selected Economics'!$I15*'Sensitivity Ranges'!$F$43</f>
        <v>0</v>
      </c>
      <c r="AS95" s="161">
        <f>IF($AA$84=1,AI95,X95)*'Selected Economics'!$I15*'Sensitivity Ranges'!$F$43</f>
        <v>17.23760485232722</v>
      </c>
      <c r="AT95" s="161">
        <f t="shared" si="48"/>
        <v>103.42562911396331</v>
      </c>
      <c r="AU95" s="174"/>
      <c r="AV95" s="161">
        <f t="shared" si="54"/>
        <v>0</v>
      </c>
      <c r="AW95" s="161">
        <f>AL95*Abandonment!$H20</f>
        <v>0</v>
      </c>
      <c r="AX95" s="161">
        <f>AM95*Abandonment!$H20</f>
        <v>77.646868704176654</v>
      </c>
      <c r="AY95" s="161">
        <f>AN95*Abandonment!$H20</f>
        <v>0</v>
      </c>
      <c r="AZ95" s="161">
        <f>AO95*Abandonment!$H20</f>
        <v>0</v>
      </c>
      <c r="BA95" s="161">
        <f>AP95*Abandonment!$H20</f>
        <v>0</v>
      </c>
      <c r="BB95" s="161">
        <f>AQ95*Abandonment!$H20</f>
        <v>8.5411555574594331</v>
      </c>
      <c r="BC95" s="161">
        <f>AR95*Abandonment!$H20</f>
        <v>0</v>
      </c>
      <c r="BD95" s="161">
        <f>AS95*Abandonment!$H20</f>
        <v>17.23760485232722</v>
      </c>
      <c r="BE95" s="161">
        <f t="shared" si="49"/>
        <v>103.42562911396331</v>
      </c>
      <c r="BF95" s="174"/>
      <c r="BG95" s="161">
        <f>AW95+Exploration!R39</f>
        <v>0</v>
      </c>
      <c r="BH95" s="161">
        <f>AV95+(AX95+AY95+AZ95+IF(Input!$B$15="Shore",0,Development!BA95)+BB95)*(1+'Cost Assumptions'!$O$100)+BC95</f>
        <v>103.4256291139633</v>
      </c>
      <c r="BI95" s="161">
        <f>IF(Input!$B$15="Shore",Development!BA95,0)*(1+'Cost Assumptions'!$O$100)</f>
        <v>0</v>
      </c>
      <c r="BJ95" s="157"/>
      <c r="BK95" s="157"/>
      <c r="BL95" s="161">
        <f t="shared" si="37"/>
        <v>104.45988540510294</v>
      </c>
      <c r="BM95" s="201"/>
      <c r="BN95" s="157"/>
      <c r="BO95" s="161">
        <f t="shared" si="38"/>
        <v>0</v>
      </c>
      <c r="BP95" s="161">
        <f t="shared" si="39"/>
        <v>0</v>
      </c>
      <c r="BQ95" s="161">
        <f t="shared" si="40"/>
        <v>20.38230303484637</v>
      </c>
      <c r="BR95" s="161">
        <f t="shared" si="41"/>
        <v>0</v>
      </c>
      <c r="BS95" s="161">
        <f t="shared" si="42"/>
        <v>0</v>
      </c>
      <c r="BT95" s="161">
        <f t="shared" si="43"/>
        <v>0</v>
      </c>
      <c r="BU95" s="161">
        <f t="shared" si="44"/>
        <v>2.242053333833101</v>
      </c>
      <c r="BV95" s="161">
        <f t="shared" si="45"/>
        <v>0</v>
      </c>
      <c r="BW95" s="161">
        <f t="shared" si="46"/>
        <v>4.5248712737358945</v>
      </c>
      <c r="BX95" s="161">
        <f t="shared" si="50"/>
        <v>27.149227642415365</v>
      </c>
      <c r="BY95" s="161"/>
      <c r="BZ95" s="161">
        <f t="shared" si="51"/>
        <v>103.42562911396331</v>
      </c>
    </row>
    <row r="96" spans="1:78" x14ac:dyDescent="0.3">
      <c r="A96" s="141">
        <f t="shared" si="52"/>
        <v>2017</v>
      </c>
      <c r="B96" s="161">
        <f t="shared" si="32"/>
        <v>0</v>
      </c>
      <c r="C96" s="161">
        <f t="shared" si="33"/>
        <v>0</v>
      </c>
      <c r="D96" s="161">
        <f t="shared" si="33"/>
        <v>0</v>
      </c>
      <c r="E96" s="161">
        <f t="shared" si="33"/>
        <v>0</v>
      </c>
      <c r="F96" s="161">
        <f t="shared" si="33"/>
        <v>0</v>
      </c>
      <c r="G96" s="161">
        <f t="shared" si="33"/>
        <v>0</v>
      </c>
      <c r="H96" s="161">
        <f t="shared" si="33"/>
        <v>0</v>
      </c>
      <c r="I96" s="161">
        <f t="shared" si="33"/>
        <v>0</v>
      </c>
      <c r="J96" s="161">
        <f t="shared" si="33"/>
        <v>0</v>
      </c>
      <c r="K96" s="161">
        <f t="shared" si="33"/>
        <v>0</v>
      </c>
      <c r="L96" s="161">
        <f t="shared" si="33"/>
        <v>0</v>
      </c>
      <c r="M96" s="161">
        <f t="shared" si="33"/>
        <v>0</v>
      </c>
      <c r="N96" s="161">
        <f t="shared" si="33"/>
        <v>0</v>
      </c>
      <c r="O96" s="161">
        <f t="shared" si="33"/>
        <v>0</v>
      </c>
      <c r="P96" s="161">
        <f t="shared" si="33"/>
        <v>0</v>
      </c>
      <c r="Q96" s="161">
        <f t="shared" si="47"/>
        <v>0</v>
      </c>
      <c r="R96" s="161">
        <f t="shared" si="34"/>
        <v>237.11653846153848</v>
      </c>
      <c r="S96" s="161">
        <f t="shared" si="34"/>
        <v>226.51094331238414</v>
      </c>
      <c r="T96" s="161">
        <f t="shared" si="34"/>
        <v>246.44699999999233</v>
      </c>
      <c r="U96" s="161">
        <f t="shared" si="34"/>
        <v>99.548999999995871</v>
      </c>
      <c r="V96" s="161">
        <f>'Cost Assumptions'!$O$99*SUM(Development!R96:U96)</f>
        <v>89.058582995130195</v>
      </c>
      <c r="W96" s="161">
        <f t="shared" si="53"/>
        <v>0</v>
      </c>
      <c r="X96" s="161">
        <f>'Cost Assumptions'!$O$100*SUM(Development!R96:V96)</f>
        <v>179.73641295380821</v>
      </c>
      <c r="Y96" s="161">
        <f t="shared" si="35"/>
        <v>1078.4184777228493</v>
      </c>
      <c r="Z96" s="174"/>
      <c r="AA96" s="204">
        <f t="shared" si="36"/>
        <v>2</v>
      </c>
      <c r="AB96" s="484">
        <f>IF(OR($AA96=0,$AA96&gt;40),0,INDEX(Overrides!C$47:C$87,$AA96+1,1)*$AA$85+INDEX(Overrides!C$47:C$87,$AA96,1)*$AB$86)</f>
        <v>0</v>
      </c>
      <c r="AC96" s="484">
        <f>IF(OR($AA96=0,$AA96&gt;40),0,INDEX(Overrides!D$47:D$87,$AA96+1,1)*$AA$85+INDEX(Overrides!D$47:D$87,$AA96,1)*$AB$86)</f>
        <v>0</v>
      </c>
      <c r="AD96" s="484">
        <f>IF(OR($AA96=0,$AA96&gt;40),0,INDEX(Overrides!E$47:E$87,$AA96+1,1)*$AA$85+INDEX(Overrides!E$47:E$87,$AA96,1)*$AB$86)</f>
        <v>0</v>
      </c>
      <c r="AE96" s="484">
        <f>IF(OR($AA96=0,$AA96&gt;40),0,INDEX(Overrides!F$47:F$87,$AA96+1,1)*$AA$85+INDEX(Overrides!F$47:F$87,$AA96,1)*$AB$86)</f>
        <v>0</v>
      </c>
      <c r="AF96" s="484">
        <f>IF(OR($AA96=0,$AA96&gt;40),0,INDEX(Overrides!G$47:G$87,$AA96+1,1)*$AA$85+INDEX(Overrides!G$47:G$87,$AA96,1)*$AB$86)</f>
        <v>0</v>
      </c>
      <c r="AG96" s="484">
        <f>IF(OR($AA96=0,$AA96&gt;40),0,INDEX(Overrides!H$47:H$87,$AA96+1,1)*$AA$85+INDEX(Overrides!H$47:H$87,$AA96,1)*$AB$86)</f>
        <v>0</v>
      </c>
      <c r="AH96" s="484">
        <f>IF(OR($AA96=0,$AA96&gt;40),0,INDEX(Overrides!I$47:I$87,$AA96+1,1)*$AA$85+INDEX(Overrides!I$47:I$87,$AA96,1)*$AB$86)</f>
        <v>0</v>
      </c>
      <c r="AI96" s="484">
        <f>IF(OR($AA96=0,$AA96&gt;40),0,INDEX(Overrides!J$47:J$87,$AA96+1,1)*$AA$85+INDEX(Overrides!J$47:J$87,$AA96,1)*$AB$86)</f>
        <v>0</v>
      </c>
      <c r="AJ96" s="93"/>
      <c r="AK96" s="161">
        <f>B96*'Selected Economics'!$I16*'Sensitivity Ranges'!$F$43</f>
        <v>0</v>
      </c>
      <c r="AL96" s="161">
        <f>IF($AA$84=1,AB96,Q96)*'Selected Economics'!$I16*'Sensitivity Ranges'!$F$43</f>
        <v>0</v>
      </c>
      <c r="AM96" s="161">
        <f>IF($AA$84=1,AC96,R96)*'Selected Economics'!$I16*'Sensitivity Ranges'!$F$43</f>
        <v>268.27559902758031</v>
      </c>
      <c r="AN96" s="161">
        <f>IF($AA$84=1,AD96,S96)*'Selected Economics'!$I16*'Sensitivity Ranges'!$F$43</f>
        <v>256.27634157323411</v>
      </c>
      <c r="AO96" s="161">
        <f>IF($AA$84=1,AE96,T96)*'Selected Economics'!$I16*'Sensitivity Ranges'!$F$43</f>
        <v>278.83215984224711</v>
      </c>
      <c r="AP96" s="161">
        <f>IF($AA$84=1,AF96,U96)*'Selected Economics'!$I16*'Sensitivity Ranges'!$F$43</f>
        <v>112.63055618504413</v>
      </c>
      <c r="AQ96" s="161">
        <f>IF($AA$84=1,AG96,V96)*'Selected Economics'!$I16*'Sensitivity Ranges'!$F$43</f>
        <v>100.76161222909163</v>
      </c>
      <c r="AR96" s="161">
        <f>IF($AA$84=1,AH96,W96)*'Selected Economics'!$I16*'Sensitivity Ranges'!$F$43</f>
        <v>0</v>
      </c>
      <c r="AS96" s="161">
        <f>IF($AA$84=1,AI96,X96)*'Selected Economics'!$I16*'Sensitivity Ranges'!$F$43</f>
        <v>203.35525377143946</v>
      </c>
      <c r="AT96" s="161">
        <f t="shared" si="48"/>
        <v>1220.1315226286367</v>
      </c>
      <c r="AU96" s="174"/>
      <c r="AV96" s="161">
        <f t="shared" si="54"/>
        <v>0</v>
      </c>
      <c r="AW96" s="161">
        <f>AL96*Abandonment!$H21</f>
        <v>0</v>
      </c>
      <c r="AX96" s="161">
        <f>AM96*Abandonment!$H21</f>
        <v>268.27559902758031</v>
      </c>
      <c r="AY96" s="161">
        <f>AN96*Abandonment!$H21</f>
        <v>256.27634157323411</v>
      </c>
      <c r="AZ96" s="161">
        <f>AO96*Abandonment!$H21</f>
        <v>278.83215984224711</v>
      </c>
      <c r="BA96" s="161">
        <f>AP96*Abandonment!$H21</f>
        <v>112.63055618504413</v>
      </c>
      <c r="BB96" s="161">
        <f>AQ96*Abandonment!$H21</f>
        <v>100.76161222909163</v>
      </c>
      <c r="BC96" s="161">
        <f>AR96*Abandonment!$H21</f>
        <v>0</v>
      </c>
      <c r="BD96" s="161">
        <f>AS96*Abandonment!$H21</f>
        <v>203.35525377143946</v>
      </c>
      <c r="BE96" s="161">
        <f t="shared" si="49"/>
        <v>1220.1315226286367</v>
      </c>
      <c r="BF96" s="174"/>
      <c r="BG96" s="161">
        <f>AW96+Exploration!R40</f>
        <v>0</v>
      </c>
      <c r="BH96" s="161">
        <f>AV96+(AX96+AY96+AZ96+IF(Input!$B$15="Shore",0,Development!BA96)+BB96)*(1+'Cost Assumptions'!$O$100)+BC96</f>
        <v>1220.1315226286367</v>
      </c>
      <c r="BI96" s="161">
        <f>IF(Input!$B$15="Shore",Development!BA96,0)*(1+'Cost Assumptions'!$O$100)</f>
        <v>0</v>
      </c>
      <c r="BJ96" s="157"/>
      <c r="BK96" s="157"/>
      <c r="BL96" s="161">
        <f t="shared" si="37"/>
        <v>1232.3328378549231</v>
      </c>
      <c r="BM96" s="201"/>
      <c r="BN96" s="157"/>
      <c r="BO96" s="161">
        <f t="shared" si="38"/>
        <v>0</v>
      </c>
      <c r="BP96" s="161">
        <f t="shared" si="39"/>
        <v>0</v>
      </c>
      <c r="BQ96" s="161">
        <f t="shared" si="40"/>
        <v>70.422344744739817</v>
      </c>
      <c r="BR96" s="161">
        <f t="shared" si="41"/>
        <v>67.272539662973941</v>
      </c>
      <c r="BS96" s="161">
        <f t="shared" si="42"/>
        <v>73.193441958589858</v>
      </c>
      <c r="BT96" s="161">
        <f t="shared" si="43"/>
        <v>29.56552099857408</v>
      </c>
      <c r="BU96" s="161">
        <f t="shared" si="44"/>
        <v>26.449923210136546</v>
      </c>
      <c r="BV96" s="161">
        <f t="shared" si="45"/>
        <v>0</v>
      </c>
      <c r="BW96" s="161">
        <f t="shared" si="46"/>
        <v>53.380754115002851</v>
      </c>
      <c r="BX96" s="161">
        <f t="shared" si="50"/>
        <v>320.28452469001707</v>
      </c>
      <c r="BY96" s="161"/>
      <c r="BZ96" s="161">
        <f t="shared" si="51"/>
        <v>1220.1315226286367</v>
      </c>
    </row>
    <row r="97" spans="1:78" x14ac:dyDescent="0.3">
      <c r="A97" s="141">
        <f t="shared" si="52"/>
        <v>2018</v>
      </c>
      <c r="B97" s="161">
        <f t="shared" si="32"/>
        <v>0</v>
      </c>
      <c r="C97" s="161">
        <f t="shared" si="33"/>
        <v>0</v>
      </c>
      <c r="D97" s="161">
        <f t="shared" si="33"/>
        <v>0</v>
      </c>
      <c r="E97" s="161">
        <f t="shared" si="33"/>
        <v>0</v>
      </c>
      <c r="F97" s="161">
        <f t="shared" si="33"/>
        <v>0</v>
      </c>
      <c r="G97" s="161">
        <f t="shared" si="33"/>
        <v>8.8683333333333341</v>
      </c>
      <c r="H97" s="161">
        <f t="shared" si="33"/>
        <v>295.9246087743079</v>
      </c>
      <c r="I97" s="161">
        <f t="shared" si="33"/>
        <v>8.8683333333333341</v>
      </c>
      <c r="J97" s="161">
        <f t="shared" si="33"/>
        <v>295.9246087743079</v>
      </c>
      <c r="K97" s="161">
        <f t="shared" si="33"/>
        <v>8.8683333333333341</v>
      </c>
      <c r="L97" s="161">
        <f t="shared" si="33"/>
        <v>265.99919210764597</v>
      </c>
      <c r="M97" s="161">
        <f t="shared" si="33"/>
        <v>0</v>
      </c>
      <c r="N97" s="161">
        <f t="shared" si="33"/>
        <v>0</v>
      </c>
      <c r="O97" s="161">
        <f t="shared" si="33"/>
        <v>0</v>
      </c>
      <c r="P97" s="161">
        <f t="shared" si="33"/>
        <v>0</v>
      </c>
      <c r="Q97" s="161">
        <f t="shared" si="47"/>
        <v>884.45340965626178</v>
      </c>
      <c r="R97" s="161">
        <f t="shared" si="34"/>
        <v>226.53923076923078</v>
      </c>
      <c r="S97" s="161">
        <f t="shared" si="34"/>
        <v>521.4315621670678</v>
      </c>
      <c r="T97" s="161">
        <f t="shared" si="34"/>
        <v>253.95300000000771</v>
      </c>
      <c r="U97" s="161">
        <f t="shared" si="34"/>
        <v>453.50100000000413</v>
      </c>
      <c r="V97" s="161">
        <f>'Cost Assumptions'!$O$99*SUM(Development!R97:U97)</f>
        <v>160.09672722299416</v>
      </c>
      <c r="W97" s="161">
        <f t="shared" si="53"/>
        <v>200</v>
      </c>
      <c r="X97" s="161">
        <f>'Cost Assumptions'!$O$100*SUM(Development!R97:V97)</f>
        <v>323.10430403186092</v>
      </c>
      <c r="Y97" s="161">
        <f t="shared" si="35"/>
        <v>3023.0792338474271</v>
      </c>
      <c r="Z97" s="174"/>
      <c r="AA97" s="204">
        <f t="shared" si="36"/>
        <v>3</v>
      </c>
      <c r="AB97" s="484">
        <f>IF(OR($AA97=0,$AA97&gt;40),0,INDEX(Overrides!C$47:C$87,$AA97+1,1)*$AA$85+INDEX(Overrides!C$47:C$87,$AA97,1)*$AB$86)</f>
        <v>0</v>
      </c>
      <c r="AC97" s="484">
        <f>IF(OR($AA97=0,$AA97&gt;40),0,INDEX(Overrides!D$47:D$87,$AA97+1,1)*$AA$85+INDEX(Overrides!D$47:D$87,$AA97,1)*$AB$86)</f>
        <v>0</v>
      </c>
      <c r="AD97" s="484">
        <f>IF(OR($AA97=0,$AA97&gt;40),0,INDEX(Overrides!E$47:E$87,$AA97+1,1)*$AA$85+INDEX(Overrides!E$47:E$87,$AA97,1)*$AB$86)</f>
        <v>0</v>
      </c>
      <c r="AE97" s="484">
        <f>IF(OR($AA97=0,$AA97&gt;40),0,INDEX(Overrides!F$47:F$87,$AA97+1,1)*$AA$85+INDEX(Overrides!F$47:F$87,$AA97,1)*$AB$86)</f>
        <v>0</v>
      </c>
      <c r="AF97" s="484">
        <f>IF(OR($AA97=0,$AA97&gt;40),0,INDEX(Overrides!G$47:G$87,$AA97+1,1)*$AA$85+INDEX(Overrides!G$47:G$87,$AA97,1)*$AB$86)</f>
        <v>0</v>
      </c>
      <c r="AG97" s="484">
        <f>IF(OR($AA97=0,$AA97&gt;40),0,INDEX(Overrides!H$47:H$87,$AA97+1,1)*$AA$85+INDEX(Overrides!H$47:H$87,$AA97,1)*$AB$86)</f>
        <v>0</v>
      </c>
      <c r="AH97" s="484">
        <f>IF(OR($AA97=0,$AA97&gt;40),0,INDEX(Overrides!I$47:I$87,$AA97+1,1)*$AA$85+INDEX(Overrides!I$47:I$87,$AA97,1)*$AB$86)</f>
        <v>0</v>
      </c>
      <c r="AI97" s="484">
        <f>IF(OR($AA97=0,$AA97&gt;40),0,INDEX(Overrides!J$47:J$87,$AA97+1,1)*$AA$85+INDEX(Overrides!J$47:J$87,$AA97,1)*$AB$86)</f>
        <v>0</v>
      </c>
      <c r="AJ97" s="93"/>
      <c r="AK97" s="161">
        <f>B97*'Selected Economics'!$I17*'Sensitivity Ranges'!$F$43</f>
        <v>0</v>
      </c>
      <c r="AL97" s="161">
        <f>IF($AA$84=1,AB97,Q97)*'Selected Economics'!$I17*'Sensitivity Ranges'!$F$43</f>
        <v>1025.6947978943158</v>
      </c>
      <c r="AM97" s="161">
        <f>IF($AA$84=1,AC97,R97)*'Selected Economics'!$I17*'Sensitivity Ranges'!$F$43</f>
        <v>262.716054890088</v>
      </c>
      <c r="AN97" s="161">
        <f>IF($AA$84=1,AD97,S97)*'Selected Economics'!$I17*'Sensitivity Ranges'!$F$43</f>
        <v>604.70075069361405</v>
      </c>
      <c r="AO97" s="161">
        <f>IF($AA$84=1,AE97,T97)*'Selected Economics'!$I17*'Sensitivity Ranges'!$F$43</f>
        <v>294.50762263542703</v>
      </c>
      <c r="AP97" s="161">
        <f>IF($AA$84=1,AF97,U97)*'Selected Economics'!$I17*'Sensitivity Ranges'!$F$43</f>
        <v>525.92212485296875</v>
      </c>
      <c r="AQ97" s="161">
        <f>IF($AA$84=1,AG97,V97)*'Selected Economics'!$I17*'Sensitivity Ranges'!$F$43</f>
        <v>185.66312083793076</v>
      </c>
      <c r="AR97" s="161">
        <f>IF($AA$84=1,AH97,W97)*'Selected Economics'!$I17*'Sensitivity Ranges'!$F$43</f>
        <v>231.93868364257804</v>
      </c>
      <c r="AS97" s="161">
        <f>IF($AA$84=1,AI97,X97)*'Selected Economics'!$I17*'Sensitivity Ranges'!$F$43</f>
        <v>374.70193478200571</v>
      </c>
      <c r="AT97" s="161">
        <f t="shared" si="48"/>
        <v>3505.8450902289278</v>
      </c>
      <c r="AU97" s="174"/>
      <c r="AV97" s="161">
        <f t="shared" si="54"/>
        <v>0</v>
      </c>
      <c r="AW97" s="161">
        <f>AL97*Abandonment!$H22</f>
        <v>1025.6947978943158</v>
      </c>
      <c r="AX97" s="161">
        <f>AM97*Abandonment!$H22</f>
        <v>262.716054890088</v>
      </c>
      <c r="AY97" s="161">
        <f>AN97*Abandonment!$H22</f>
        <v>604.70075069361405</v>
      </c>
      <c r="AZ97" s="161">
        <f>AO97*Abandonment!$H22</f>
        <v>294.50762263542703</v>
      </c>
      <c r="BA97" s="161">
        <f>AP97*Abandonment!$H22</f>
        <v>525.92212485296875</v>
      </c>
      <c r="BB97" s="161">
        <f>AQ97*Abandonment!$H22</f>
        <v>185.66312083793076</v>
      </c>
      <c r="BC97" s="161">
        <f>AR97*Abandonment!$H22</f>
        <v>231.93868364257804</v>
      </c>
      <c r="BD97" s="161">
        <f>AS97*Abandonment!$H22</f>
        <v>374.70193478200571</v>
      </c>
      <c r="BE97" s="161">
        <f t="shared" si="49"/>
        <v>3505.8450902289278</v>
      </c>
      <c r="BF97" s="174"/>
      <c r="BG97" s="161">
        <f>AW97+Exploration!R41</f>
        <v>1025.6947978943158</v>
      </c>
      <c r="BH97" s="161">
        <f>AV97+(AX97+AY97+AZ97+IF(Input!$B$15="Shore",0,Development!BA97)+BB97)*(1+'Cost Assumptions'!$O$100)+BC97</f>
        <v>2480.150292334612</v>
      </c>
      <c r="BI97" s="161">
        <f>IF(Input!$B$15="Shore",Development!BA97,0)*(1+'Cost Assumptions'!$O$100)</f>
        <v>0</v>
      </c>
      <c r="BJ97" s="157"/>
      <c r="BK97" s="157"/>
      <c r="BL97" s="161">
        <f t="shared" si="37"/>
        <v>3540.903541131217</v>
      </c>
      <c r="BM97" s="201"/>
      <c r="BN97" s="157"/>
      <c r="BO97" s="161">
        <f t="shared" si="38"/>
        <v>0</v>
      </c>
      <c r="BP97" s="161">
        <f t="shared" si="39"/>
        <v>269.24488444725785</v>
      </c>
      <c r="BQ97" s="161">
        <f t="shared" si="40"/>
        <v>68.962964408648091</v>
      </c>
      <c r="BR97" s="161">
        <f t="shared" si="41"/>
        <v>158.73394705707366</v>
      </c>
      <c r="BS97" s="161">
        <f t="shared" si="42"/>
        <v>77.308250941799585</v>
      </c>
      <c r="BT97" s="161">
        <f t="shared" si="43"/>
        <v>138.05455777390426</v>
      </c>
      <c r="BU97" s="161">
        <f t="shared" si="44"/>
        <v>48.73656921995682</v>
      </c>
      <c r="BV97" s="161">
        <f t="shared" si="45"/>
        <v>60.883904456176722</v>
      </c>
      <c r="BW97" s="161">
        <f t="shared" si="46"/>
        <v>98.359257880276488</v>
      </c>
      <c r="BX97" s="161">
        <f t="shared" si="50"/>
        <v>920.28433618509337</v>
      </c>
      <c r="BY97" s="161"/>
      <c r="BZ97" s="161">
        <f t="shared" si="51"/>
        <v>2480.150292334612</v>
      </c>
    </row>
    <row r="98" spans="1:78" x14ac:dyDescent="0.3">
      <c r="A98" s="141">
        <f t="shared" si="52"/>
        <v>2019</v>
      </c>
      <c r="B98" s="161">
        <f t="shared" si="32"/>
        <v>0</v>
      </c>
      <c r="C98" s="161">
        <f t="shared" si="33"/>
        <v>0</v>
      </c>
      <c r="D98" s="161">
        <f t="shared" si="33"/>
        <v>0</v>
      </c>
      <c r="E98" s="161">
        <f t="shared" si="33"/>
        <v>0</v>
      </c>
      <c r="F98" s="161">
        <f t="shared" si="33"/>
        <v>0</v>
      </c>
      <c r="G98" s="161">
        <f t="shared" si="33"/>
        <v>0</v>
      </c>
      <c r="H98" s="161">
        <f t="shared" si="33"/>
        <v>182.88205789236113</v>
      </c>
      <c r="I98" s="161">
        <f t="shared" si="33"/>
        <v>0</v>
      </c>
      <c r="J98" s="161">
        <f t="shared" si="33"/>
        <v>182.88205789236113</v>
      </c>
      <c r="K98" s="161">
        <f t="shared" si="33"/>
        <v>0</v>
      </c>
      <c r="L98" s="161">
        <f t="shared" si="33"/>
        <v>152.95664122568502</v>
      </c>
      <c r="M98" s="161">
        <f t="shared" si="33"/>
        <v>0</v>
      </c>
      <c r="N98" s="161">
        <f t="shared" si="33"/>
        <v>0</v>
      </c>
      <c r="O98" s="161">
        <f t="shared" si="33"/>
        <v>0</v>
      </c>
      <c r="P98" s="161">
        <f t="shared" si="33"/>
        <v>0</v>
      </c>
      <c r="Q98" s="161">
        <f t="shared" si="47"/>
        <v>518.72075701040728</v>
      </c>
      <c r="R98" s="161">
        <f t="shared" si="34"/>
        <v>0</v>
      </c>
      <c r="S98" s="161">
        <f t="shared" si="34"/>
        <v>0</v>
      </c>
      <c r="T98" s="161">
        <f t="shared" si="34"/>
        <v>0</v>
      </c>
      <c r="U98" s="161">
        <f t="shared" si="34"/>
        <v>0</v>
      </c>
      <c r="V98" s="161">
        <f>'Cost Assumptions'!$O$99*SUM(Development!R98:U98)</f>
        <v>0</v>
      </c>
      <c r="W98" s="161">
        <f t="shared" si="53"/>
        <v>0</v>
      </c>
      <c r="X98" s="161">
        <f>'Cost Assumptions'!$O$100*SUM(Development!R98:V98)</f>
        <v>0</v>
      </c>
      <c r="Y98" s="161">
        <f t="shared" si="35"/>
        <v>518.72075701040728</v>
      </c>
      <c r="Z98" s="174"/>
      <c r="AA98" s="204">
        <f t="shared" si="36"/>
        <v>4</v>
      </c>
      <c r="AB98" s="484">
        <f>IF(OR($AA98=0,$AA98&gt;40),0,INDEX(Overrides!C$47:C$87,$AA98+1,1)*$AA$85+INDEX(Overrides!C$47:C$87,$AA98,1)*$AB$86)</f>
        <v>0</v>
      </c>
      <c r="AC98" s="484">
        <f>IF(OR($AA98=0,$AA98&gt;40),0,INDEX(Overrides!D$47:D$87,$AA98+1,1)*$AA$85+INDEX(Overrides!D$47:D$87,$AA98,1)*$AB$86)</f>
        <v>0</v>
      </c>
      <c r="AD98" s="484">
        <f>IF(OR($AA98=0,$AA98&gt;40),0,INDEX(Overrides!E$47:E$87,$AA98+1,1)*$AA$85+INDEX(Overrides!E$47:E$87,$AA98,1)*$AB$86)</f>
        <v>0</v>
      </c>
      <c r="AE98" s="484">
        <f>IF(OR($AA98=0,$AA98&gt;40),0,INDEX(Overrides!F$47:F$87,$AA98+1,1)*$AA$85+INDEX(Overrides!F$47:F$87,$AA98,1)*$AB$86)</f>
        <v>0</v>
      </c>
      <c r="AF98" s="484">
        <f>IF(OR($AA98=0,$AA98&gt;40),0,INDEX(Overrides!G$47:G$87,$AA98+1,1)*$AA$85+INDEX(Overrides!G$47:G$87,$AA98,1)*$AB$86)</f>
        <v>0</v>
      </c>
      <c r="AG98" s="484">
        <f>IF(OR($AA98=0,$AA98&gt;40),0,INDEX(Overrides!H$47:H$87,$AA98+1,1)*$AA$85+INDEX(Overrides!H$47:H$87,$AA98,1)*$AB$86)</f>
        <v>0</v>
      </c>
      <c r="AH98" s="484">
        <f>IF(OR($AA98=0,$AA98&gt;40),0,INDEX(Overrides!I$47:I$87,$AA98+1,1)*$AA$85+INDEX(Overrides!I$47:I$87,$AA98,1)*$AB$86)</f>
        <v>0</v>
      </c>
      <c r="AI98" s="484">
        <f>IF(OR($AA98=0,$AA98&gt;40),0,INDEX(Overrides!J$47:J$87,$AA98+1,1)*$AA$85+INDEX(Overrides!J$47:J$87,$AA98,1)*$AB$86)</f>
        <v>0</v>
      </c>
      <c r="AJ98" s="93"/>
      <c r="AK98" s="161">
        <f>B98*'Selected Economics'!$I18*'Sensitivity Ranges'!$F$43</f>
        <v>0</v>
      </c>
      <c r="AL98" s="161">
        <f>IF($AA$84=1,AB98,Q98)*'Selected Economics'!$I18*'Sensitivity Ranges'!$F$43</f>
        <v>616.59597399026154</v>
      </c>
      <c r="AM98" s="161">
        <f>IF($AA$84=1,AC98,R98)*'Selected Economics'!$I18*'Sensitivity Ranges'!$F$43</f>
        <v>0</v>
      </c>
      <c r="AN98" s="161">
        <f>IF($AA$84=1,AD98,S98)*'Selected Economics'!$I18*'Sensitivity Ranges'!$F$43</f>
        <v>0</v>
      </c>
      <c r="AO98" s="161">
        <f>IF($AA$84=1,AE98,T98)*'Selected Economics'!$I18*'Sensitivity Ranges'!$F$43</f>
        <v>0</v>
      </c>
      <c r="AP98" s="161">
        <f>IF($AA$84=1,AF98,U98)*'Selected Economics'!$I18*'Sensitivity Ranges'!$F$43</f>
        <v>0</v>
      </c>
      <c r="AQ98" s="161">
        <f>IF($AA$84=1,AG98,V98)*'Selected Economics'!$I18*'Sensitivity Ranges'!$F$43</f>
        <v>0</v>
      </c>
      <c r="AR98" s="161">
        <f>IF($AA$84=1,AH98,W98)*'Selected Economics'!$I18*'Sensitivity Ranges'!$F$43</f>
        <v>0</v>
      </c>
      <c r="AS98" s="161">
        <f>IF($AA$84=1,AI98,X98)*'Selected Economics'!$I18*'Sensitivity Ranges'!$F$43</f>
        <v>0</v>
      </c>
      <c r="AT98" s="161">
        <f t="shared" si="48"/>
        <v>616.59597399026154</v>
      </c>
      <c r="AU98" s="174"/>
      <c r="AV98" s="161">
        <f t="shared" si="54"/>
        <v>0</v>
      </c>
      <c r="AW98" s="161">
        <f>AL98*Abandonment!$H23</f>
        <v>616.59597399026154</v>
      </c>
      <c r="AX98" s="161">
        <f>AM98*Abandonment!$H23</f>
        <v>0</v>
      </c>
      <c r="AY98" s="161">
        <f>AN98*Abandonment!$H23</f>
        <v>0</v>
      </c>
      <c r="AZ98" s="161">
        <f>AO98*Abandonment!$H23</f>
        <v>0</v>
      </c>
      <c r="BA98" s="161">
        <f>AP98*Abandonment!$H23</f>
        <v>0</v>
      </c>
      <c r="BB98" s="161">
        <f>AQ98*Abandonment!$H23</f>
        <v>0</v>
      </c>
      <c r="BC98" s="161">
        <f>AR98*Abandonment!$H23</f>
        <v>0</v>
      </c>
      <c r="BD98" s="161">
        <f>AS98*Abandonment!$H23</f>
        <v>0</v>
      </c>
      <c r="BE98" s="161">
        <f t="shared" si="49"/>
        <v>616.59597399026154</v>
      </c>
      <c r="BF98" s="174"/>
      <c r="BG98" s="161">
        <f>AW98+Exploration!R42</f>
        <v>616.59597399026154</v>
      </c>
      <c r="BH98" s="161">
        <f>AV98+(AX98+AY98+AZ98+IF(Input!$B$15="Shore",0,Development!BA98)+BB98)*(1+'Cost Assumptions'!$O$100)+BC98</f>
        <v>0</v>
      </c>
      <c r="BI98" s="161">
        <f>IF(Input!$B$15="Shore",Development!BA98,0)*(1+'Cost Assumptions'!$O$100)</f>
        <v>0</v>
      </c>
      <c r="BJ98" s="157"/>
      <c r="BK98" s="157"/>
      <c r="BL98" s="161">
        <f t="shared" si="37"/>
        <v>622.76193373016417</v>
      </c>
      <c r="BM98" s="201"/>
      <c r="BN98" s="157"/>
      <c r="BO98" s="161">
        <f t="shared" si="38"/>
        <v>0</v>
      </c>
      <c r="BP98" s="161">
        <f t="shared" si="39"/>
        <v>161.85644317244362</v>
      </c>
      <c r="BQ98" s="161">
        <f t="shared" si="40"/>
        <v>0</v>
      </c>
      <c r="BR98" s="161">
        <f t="shared" si="41"/>
        <v>0</v>
      </c>
      <c r="BS98" s="161">
        <f t="shared" si="42"/>
        <v>0</v>
      </c>
      <c r="BT98" s="161">
        <f t="shared" si="43"/>
        <v>0</v>
      </c>
      <c r="BU98" s="161">
        <f t="shared" si="44"/>
        <v>0</v>
      </c>
      <c r="BV98" s="161">
        <f t="shared" si="45"/>
        <v>0</v>
      </c>
      <c r="BW98" s="161">
        <f t="shared" si="46"/>
        <v>0</v>
      </c>
      <c r="BX98" s="161">
        <f t="shared" si="50"/>
        <v>161.85644317244362</v>
      </c>
      <c r="BY98" s="161"/>
      <c r="BZ98" s="161">
        <f t="shared" si="51"/>
        <v>0</v>
      </c>
    </row>
    <row r="99" spans="1:78" x14ac:dyDescent="0.3">
      <c r="A99" s="141">
        <f t="shared" si="52"/>
        <v>2020</v>
      </c>
      <c r="B99" s="161">
        <f t="shared" si="32"/>
        <v>0</v>
      </c>
      <c r="C99" s="161">
        <f t="shared" si="33"/>
        <v>0</v>
      </c>
      <c r="D99" s="161">
        <f t="shared" si="33"/>
        <v>0</v>
      </c>
      <c r="E99" s="161">
        <f t="shared" si="33"/>
        <v>0</v>
      </c>
      <c r="F99" s="161">
        <f t="shared" si="33"/>
        <v>0</v>
      </c>
      <c r="G99" s="161">
        <f t="shared" si="33"/>
        <v>0</v>
      </c>
      <c r="H99" s="161">
        <f t="shared" si="33"/>
        <v>0</v>
      </c>
      <c r="I99" s="161">
        <f t="shared" si="33"/>
        <v>0</v>
      </c>
      <c r="J99" s="161">
        <f t="shared" si="33"/>
        <v>0</v>
      </c>
      <c r="K99" s="161">
        <f t="shared" si="33"/>
        <v>0</v>
      </c>
      <c r="L99" s="161">
        <f t="shared" si="33"/>
        <v>0</v>
      </c>
      <c r="M99" s="161">
        <f t="shared" si="33"/>
        <v>0</v>
      </c>
      <c r="N99" s="161">
        <f t="shared" si="33"/>
        <v>0</v>
      </c>
      <c r="O99" s="161">
        <f t="shared" si="33"/>
        <v>0</v>
      </c>
      <c r="P99" s="161">
        <f t="shared" si="33"/>
        <v>0</v>
      </c>
      <c r="Q99" s="161">
        <f t="shared" si="47"/>
        <v>0</v>
      </c>
      <c r="R99" s="161">
        <f t="shared" si="34"/>
        <v>0</v>
      </c>
      <c r="S99" s="161">
        <f t="shared" si="34"/>
        <v>0</v>
      </c>
      <c r="T99" s="161">
        <f t="shared" si="34"/>
        <v>0</v>
      </c>
      <c r="U99" s="161">
        <f t="shared" si="34"/>
        <v>0</v>
      </c>
      <c r="V99" s="161">
        <f>'Cost Assumptions'!$O$99*SUM(Development!R99:U99)</f>
        <v>0</v>
      </c>
      <c r="W99" s="161">
        <f t="shared" si="53"/>
        <v>0</v>
      </c>
      <c r="X99" s="161">
        <f>'Cost Assumptions'!$O$100*SUM(Development!R99:V99)</f>
        <v>0</v>
      </c>
      <c r="Y99" s="161">
        <f t="shared" si="35"/>
        <v>0</v>
      </c>
      <c r="Z99" s="174"/>
      <c r="AA99" s="204">
        <f t="shared" si="36"/>
        <v>5</v>
      </c>
      <c r="AB99" s="484">
        <f>IF(OR($AA99=0,$AA99&gt;40),0,INDEX(Overrides!C$47:C$87,$AA99+1,1)*$AA$85+INDEX(Overrides!C$47:C$87,$AA99,1)*$AB$86)</f>
        <v>0</v>
      </c>
      <c r="AC99" s="484">
        <f>IF(OR($AA99=0,$AA99&gt;40),0,INDEX(Overrides!D$47:D$87,$AA99+1,1)*$AA$85+INDEX(Overrides!D$47:D$87,$AA99,1)*$AB$86)</f>
        <v>0</v>
      </c>
      <c r="AD99" s="484">
        <f>IF(OR($AA99=0,$AA99&gt;40),0,INDEX(Overrides!E$47:E$87,$AA99+1,1)*$AA$85+INDEX(Overrides!E$47:E$87,$AA99,1)*$AB$86)</f>
        <v>0</v>
      </c>
      <c r="AE99" s="484">
        <f>IF(OR($AA99=0,$AA99&gt;40),0,INDEX(Overrides!F$47:F$87,$AA99+1,1)*$AA$85+INDEX(Overrides!F$47:F$87,$AA99,1)*$AB$86)</f>
        <v>0</v>
      </c>
      <c r="AF99" s="484">
        <f>IF(OR($AA99=0,$AA99&gt;40),0,INDEX(Overrides!G$47:G$87,$AA99+1,1)*$AA$85+INDEX(Overrides!G$47:G$87,$AA99,1)*$AB$86)</f>
        <v>0</v>
      </c>
      <c r="AG99" s="484">
        <f>IF(OR($AA99=0,$AA99&gt;40),0,INDEX(Overrides!H$47:H$87,$AA99+1,1)*$AA$85+INDEX(Overrides!H$47:H$87,$AA99,1)*$AB$86)</f>
        <v>0</v>
      </c>
      <c r="AH99" s="484">
        <f>IF(OR($AA99=0,$AA99&gt;40),0,INDEX(Overrides!I$47:I$87,$AA99+1,1)*$AA$85+INDEX(Overrides!I$47:I$87,$AA99,1)*$AB$86)</f>
        <v>0</v>
      </c>
      <c r="AI99" s="484">
        <f>IF(OR($AA99=0,$AA99&gt;40),0,INDEX(Overrides!J$47:J$87,$AA99+1,1)*$AA$85+INDEX(Overrides!J$47:J$87,$AA99,1)*$AB$86)</f>
        <v>0</v>
      </c>
      <c r="AJ99" s="93"/>
      <c r="AK99" s="161">
        <f>B99*'Selected Economics'!$I19*'Sensitivity Ranges'!$F$43</f>
        <v>0</v>
      </c>
      <c r="AL99" s="161">
        <f>IF($AA$84=1,AB99,Q99)*'Selected Economics'!$I19*'Sensitivity Ranges'!$F$43</f>
        <v>0</v>
      </c>
      <c r="AM99" s="161">
        <f>IF($AA$84=1,AC99,R99)*'Selected Economics'!$I19*'Sensitivity Ranges'!$F$43</f>
        <v>0</v>
      </c>
      <c r="AN99" s="161">
        <f>IF($AA$84=1,AD99,S99)*'Selected Economics'!$I19*'Sensitivity Ranges'!$F$43</f>
        <v>0</v>
      </c>
      <c r="AO99" s="161">
        <f>IF($AA$84=1,AE99,T99)*'Selected Economics'!$I19*'Sensitivity Ranges'!$F$43</f>
        <v>0</v>
      </c>
      <c r="AP99" s="161">
        <f>IF($AA$84=1,AF99,U99)*'Selected Economics'!$I19*'Sensitivity Ranges'!$F$43</f>
        <v>0</v>
      </c>
      <c r="AQ99" s="161">
        <f>IF($AA$84=1,AG99,V99)*'Selected Economics'!$I19*'Sensitivity Ranges'!$F$43</f>
        <v>0</v>
      </c>
      <c r="AR99" s="161">
        <f>IF($AA$84=1,AH99,W99)*'Selected Economics'!$I19*'Sensitivity Ranges'!$F$43</f>
        <v>0</v>
      </c>
      <c r="AS99" s="161">
        <f>IF($AA$84=1,AI99,X99)*'Selected Economics'!$I19*'Sensitivity Ranges'!$F$43</f>
        <v>0</v>
      </c>
      <c r="AT99" s="161">
        <f t="shared" si="48"/>
        <v>0</v>
      </c>
      <c r="AU99" s="174"/>
      <c r="AV99" s="161">
        <f t="shared" si="54"/>
        <v>0</v>
      </c>
      <c r="AW99" s="161">
        <f>AL99*Abandonment!$H24</f>
        <v>0</v>
      </c>
      <c r="AX99" s="161">
        <f>AM99*Abandonment!$H24</f>
        <v>0</v>
      </c>
      <c r="AY99" s="161">
        <f>AN99*Abandonment!$H24</f>
        <v>0</v>
      </c>
      <c r="AZ99" s="161">
        <f>AO99*Abandonment!$H24</f>
        <v>0</v>
      </c>
      <c r="BA99" s="161">
        <f>AP99*Abandonment!$H24</f>
        <v>0</v>
      </c>
      <c r="BB99" s="161">
        <f>AQ99*Abandonment!$H24</f>
        <v>0</v>
      </c>
      <c r="BC99" s="161">
        <f>AR99*Abandonment!$H24</f>
        <v>0</v>
      </c>
      <c r="BD99" s="161">
        <f>AS99*Abandonment!$H24</f>
        <v>0</v>
      </c>
      <c r="BE99" s="161">
        <f t="shared" si="49"/>
        <v>0</v>
      </c>
      <c r="BF99" s="174"/>
      <c r="BG99" s="161">
        <f>AW99+Exploration!R43</f>
        <v>0</v>
      </c>
      <c r="BH99" s="161">
        <f>AV99+(AX99+AY99+AZ99+IF(Input!$B$15="Shore",0,Development!BA99)+BB99)*(1+'Cost Assumptions'!$O$100)+BC99</f>
        <v>0</v>
      </c>
      <c r="BI99" s="161">
        <f>IF(Input!$B$15="Shore",Development!BA99,0)*(1+'Cost Assumptions'!$O$100)</f>
        <v>0</v>
      </c>
      <c r="BJ99" s="157"/>
      <c r="BK99" s="157"/>
      <c r="BL99" s="161">
        <f t="shared" si="37"/>
        <v>0</v>
      </c>
      <c r="BM99" s="201"/>
      <c r="BN99" s="157"/>
      <c r="BO99" s="161">
        <f t="shared" si="38"/>
        <v>0</v>
      </c>
      <c r="BP99" s="161">
        <f t="shared" si="39"/>
        <v>0</v>
      </c>
      <c r="BQ99" s="161">
        <f t="shared" si="40"/>
        <v>0</v>
      </c>
      <c r="BR99" s="161">
        <f t="shared" si="41"/>
        <v>0</v>
      </c>
      <c r="BS99" s="161">
        <f t="shared" si="42"/>
        <v>0</v>
      </c>
      <c r="BT99" s="161">
        <f t="shared" si="43"/>
        <v>0</v>
      </c>
      <c r="BU99" s="161">
        <f t="shared" si="44"/>
        <v>0</v>
      </c>
      <c r="BV99" s="161">
        <f t="shared" si="45"/>
        <v>0</v>
      </c>
      <c r="BW99" s="161">
        <f t="shared" si="46"/>
        <v>0</v>
      </c>
      <c r="BX99" s="161">
        <f t="shared" si="50"/>
        <v>0</v>
      </c>
      <c r="BY99" s="161"/>
      <c r="BZ99" s="161">
        <f t="shared" si="51"/>
        <v>0</v>
      </c>
    </row>
    <row r="100" spans="1:78" x14ac:dyDescent="0.3">
      <c r="A100" s="141">
        <f t="shared" si="52"/>
        <v>2021</v>
      </c>
      <c r="B100" s="161">
        <f t="shared" si="32"/>
        <v>0</v>
      </c>
      <c r="C100" s="161">
        <f t="shared" si="33"/>
        <v>0</v>
      </c>
      <c r="D100" s="161">
        <f t="shared" si="33"/>
        <v>0</v>
      </c>
      <c r="E100" s="161">
        <f t="shared" si="33"/>
        <v>0</v>
      </c>
      <c r="F100" s="161">
        <f t="shared" si="33"/>
        <v>0</v>
      </c>
      <c r="G100" s="161">
        <f t="shared" si="33"/>
        <v>0</v>
      </c>
      <c r="H100" s="161">
        <f t="shared" si="33"/>
        <v>0</v>
      </c>
      <c r="I100" s="161">
        <f t="shared" si="33"/>
        <v>0</v>
      </c>
      <c r="J100" s="161">
        <f t="shared" si="33"/>
        <v>0</v>
      </c>
      <c r="K100" s="161">
        <f t="shared" si="33"/>
        <v>0</v>
      </c>
      <c r="L100" s="161">
        <f t="shared" si="33"/>
        <v>0</v>
      </c>
      <c r="M100" s="161">
        <f t="shared" si="33"/>
        <v>0</v>
      </c>
      <c r="N100" s="161">
        <f t="shared" si="33"/>
        <v>0</v>
      </c>
      <c r="O100" s="161">
        <f t="shared" si="33"/>
        <v>0</v>
      </c>
      <c r="P100" s="161">
        <f t="shared" si="33"/>
        <v>0</v>
      </c>
      <c r="Q100" s="161">
        <f t="shared" si="47"/>
        <v>0</v>
      </c>
      <c r="R100" s="161">
        <f t="shared" si="34"/>
        <v>0</v>
      </c>
      <c r="S100" s="161">
        <f t="shared" si="34"/>
        <v>0</v>
      </c>
      <c r="T100" s="161">
        <f t="shared" si="34"/>
        <v>0</v>
      </c>
      <c r="U100" s="161">
        <f t="shared" si="34"/>
        <v>0</v>
      </c>
      <c r="V100" s="161">
        <f>'Cost Assumptions'!$O$99*SUM(Development!R100:U100)</f>
        <v>0</v>
      </c>
      <c r="W100" s="161">
        <f t="shared" si="53"/>
        <v>0</v>
      </c>
      <c r="X100" s="161">
        <f>'Cost Assumptions'!$O$100*SUM(Development!R100:V100)</f>
        <v>0</v>
      </c>
      <c r="Y100" s="161">
        <f t="shared" si="35"/>
        <v>0</v>
      </c>
      <c r="Z100" s="174"/>
      <c r="AA100" s="204">
        <f t="shared" si="36"/>
        <v>6</v>
      </c>
      <c r="AB100" s="484">
        <f>IF(OR($AA100=0,$AA100&gt;40),0,INDEX(Overrides!C$47:C$87,$AA100+1,1)*$AA$85+INDEX(Overrides!C$47:C$87,$AA100,1)*$AB$86)</f>
        <v>0</v>
      </c>
      <c r="AC100" s="484">
        <f>IF(OR($AA100=0,$AA100&gt;40),0,INDEX(Overrides!D$47:D$87,$AA100+1,1)*$AA$85+INDEX(Overrides!D$47:D$87,$AA100,1)*$AB$86)</f>
        <v>0</v>
      </c>
      <c r="AD100" s="484">
        <f>IF(OR($AA100=0,$AA100&gt;40),0,INDEX(Overrides!E$47:E$87,$AA100+1,1)*$AA$85+INDEX(Overrides!E$47:E$87,$AA100,1)*$AB$86)</f>
        <v>0</v>
      </c>
      <c r="AE100" s="484">
        <f>IF(OR($AA100=0,$AA100&gt;40),0,INDEX(Overrides!F$47:F$87,$AA100+1,1)*$AA$85+INDEX(Overrides!F$47:F$87,$AA100,1)*$AB$86)</f>
        <v>0</v>
      </c>
      <c r="AF100" s="484">
        <f>IF(OR($AA100=0,$AA100&gt;40),0,INDEX(Overrides!G$47:G$87,$AA100+1,1)*$AA$85+INDEX(Overrides!G$47:G$87,$AA100,1)*$AB$86)</f>
        <v>0</v>
      </c>
      <c r="AG100" s="484">
        <f>IF(OR($AA100=0,$AA100&gt;40),0,INDEX(Overrides!H$47:H$87,$AA100+1,1)*$AA$85+INDEX(Overrides!H$47:H$87,$AA100,1)*$AB$86)</f>
        <v>0</v>
      </c>
      <c r="AH100" s="484">
        <f>IF(OR($AA100=0,$AA100&gt;40),0,INDEX(Overrides!I$47:I$87,$AA100+1,1)*$AA$85+INDEX(Overrides!I$47:I$87,$AA100,1)*$AB$86)</f>
        <v>0</v>
      </c>
      <c r="AI100" s="484">
        <f>IF(OR($AA100=0,$AA100&gt;40),0,INDEX(Overrides!J$47:J$87,$AA100+1,1)*$AA$85+INDEX(Overrides!J$47:J$87,$AA100,1)*$AB$86)</f>
        <v>0</v>
      </c>
      <c r="AJ100" s="93"/>
      <c r="AK100" s="161">
        <f>B100*'Selected Economics'!$I20*'Sensitivity Ranges'!$F$43</f>
        <v>0</v>
      </c>
      <c r="AL100" s="161">
        <f>IF($AA$84=1,AB100,Q100)*'Selected Economics'!$I20*'Sensitivity Ranges'!$F$43</f>
        <v>0</v>
      </c>
      <c r="AM100" s="161">
        <f>IF($AA$84=1,AC100,R100)*'Selected Economics'!$I20*'Sensitivity Ranges'!$F$43</f>
        <v>0</v>
      </c>
      <c r="AN100" s="161">
        <f>IF($AA$84=1,AD100,S100)*'Selected Economics'!$I20*'Sensitivity Ranges'!$F$43</f>
        <v>0</v>
      </c>
      <c r="AO100" s="161">
        <f>IF($AA$84=1,AE100,T100)*'Selected Economics'!$I20*'Sensitivity Ranges'!$F$43</f>
        <v>0</v>
      </c>
      <c r="AP100" s="161">
        <f>IF($AA$84=1,AF100,U100)*'Selected Economics'!$I20*'Sensitivity Ranges'!$F$43</f>
        <v>0</v>
      </c>
      <c r="AQ100" s="161">
        <f>IF($AA$84=1,AG100,V100)*'Selected Economics'!$I20*'Sensitivity Ranges'!$F$43</f>
        <v>0</v>
      </c>
      <c r="AR100" s="161">
        <f>IF($AA$84=1,AH100,W100)*'Selected Economics'!$I20*'Sensitivity Ranges'!$F$43</f>
        <v>0</v>
      </c>
      <c r="AS100" s="161">
        <f>IF($AA$84=1,AI100,X100)*'Selected Economics'!$I20*'Sensitivity Ranges'!$F$43</f>
        <v>0</v>
      </c>
      <c r="AT100" s="161">
        <f t="shared" si="48"/>
        <v>0</v>
      </c>
      <c r="AU100" s="174"/>
      <c r="AV100" s="161">
        <f t="shared" si="54"/>
        <v>0</v>
      </c>
      <c r="AW100" s="161">
        <f>AL100*Abandonment!$H25</f>
        <v>0</v>
      </c>
      <c r="AX100" s="161">
        <f>AM100*Abandonment!$H25</f>
        <v>0</v>
      </c>
      <c r="AY100" s="161">
        <f>AN100*Abandonment!$H25</f>
        <v>0</v>
      </c>
      <c r="AZ100" s="161">
        <f>AO100*Abandonment!$H25</f>
        <v>0</v>
      </c>
      <c r="BA100" s="161">
        <f>AP100*Abandonment!$H25</f>
        <v>0</v>
      </c>
      <c r="BB100" s="161">
        <f>AQ100*Abandonment!$H25</f>
        <v>0</v>
      </c>
      <c r="BC100" s="161">
        <f>AR100*Abandonment!$H25</f>
        <v>0</v>
      </c>
      <c r="BD100" s="161">
        <f>AS100*Abandonment!$H25</f>
        <v>0</v>
      </c>
      <c r="BE100" s="161">
        <f t="shared" si="49"/>
        <v>0</v>
      </c>
      <c r="BF100" s="174"/>
      <c r="BG100" s="161">
        <f>AW100+Exploration!R44</f>
        <v>0</v>
      </c>
      <c r="BH100" s="161">
        <f>AV100+(AX100+AY100+AZ100+IF(Input!$B$15="Shore",0,Development!BA100)+BB100)*(1+'Cost Assumptions'!$O$100)+BC100</f>
        <v>0</v>
      </c>
      <c r="BI100" s="161">
        <f>IF(Input!$B$15="Shore",Development!BA100,0)*(1+'Cost Assumptions'!$O$100)</f>
        <v>0</v>
      </c>
      <c r="BJ100" s="157"/>
      <c r="BK100" s="157"/>
      <c r="BL100" s="161">
        <f t="shared" si="37"/>
        <v>0</v>
      </c>
      <c r="BM100" s="201"/>
      <c r="BN100" s="157"/>
      <c r="BO100" s="161">
        <f t="shared" si="38"/>
        <v>0</v>
      </c>
      <c r="BP100" s="161">
        <f t="shared" si="39"/>
        <v>0</v>
      </c>
      <c r="BQ100" s="161">
        <f t="shared" si="40"/>
        <v>0</v>
      </c>
      <c r="BR100" s="161">
        <f t="shared" si="41"/>
        <v>0</v>
      </c>
      <c r="BS100" s="161">
        <f t="shared" si="42"/>
        <v>0</v>
      </c>
      <c r="BT100" s="161">
        <f t="shared" si="43"/>
        <v>0</v>
      </c>
      <c r="BU100" s="161">
        <f t="shared" si="44"/>
        <v>0</v>
      </c>
      <c r="BV100" s="161">
        <f t="shared" si="45"/>
        <v>0</v>
      </c>
      <c r="BW100" s="161">
        <f t="shared" si="46"/>
        <v>0</v>
      </c>
      <c r="BX100" s="161">
        <f t="shared" si="50"/>
        <v>0</v>
      </c>
      <c r="BY100" s="161"/>
      <c r="BZ100" s="161">
        <f t="shared" si="51"/>
        <v>0</v>
      </c>
    </row>
    <row r="101" spans="1:78" x14ac:dyDescent="0.3">
      <c r="A101" s="141">
        <f>A100+1</f>
        <v>2022</v>
      </c>
      <c r="B101" s="161">
        <f t="shared" si="32"/>
        <v>0</v>
      </c>
      <c r="C101" s="161">
        <f t="shared" ref="C101:P110" si="55">IF($A101=INDEX($H$41:$N$54,C$86,1),INDEX($O$41:$Y$54,C$86,1),IF($A101=INDEX($H$41:$N$54,C$86,2),INDEX($O$41:$Y$54,C$86,2),IF($A101=INDEX($H$41:$N$54,C$86,3),INDEX($O$41:$Y$54,C$86,3),IF($A101=INDEX($H$41:$N$54,C$86,4),INDEX($O$41:$Y$54,C$86,4),IF($A101=INDEX($H$41:$N$54,C$86,5),INDEX($O$41:$Y$54,C$86,5),IF($A101=INDEX($H$41:$N$54,C$86,6),INDEX($O$41:$Y$54,C$86,6),IF($A101=INDEX($H$41:$N$54,C$86,7),INDEX($O$41:$Y$54,C$86,7),0)))))))/1000</f>
        <v>0</v>
      </c>
      <c r="D101" s="161">
        <f t="shared" si="55"/>
        <v>0</v>
      </c>
      <c r="E101" s="161">
        <f t="shared" si="55"/>
        <v>0</v>
      </c>
      <c r="F101" s="161">
        <f t="shared" si="55"/>
        <v>0</v>
      </c>
      <c r="G101" s="161">
        <f t="shared" si="55"/>
        <v>0</v>
      </c>
      <c r="H101" s="161">
        <f t="shared" si="55"/>
        <v>0</v>
      </c>
      <c r="I101" s="161">
        <f t="shared" si="55"/>
        <v>0</v>
      </c>
      <c r="J101" s="161">
        <f t="shared" si="55"/>
        <v>0</v>
      </c>
      <c r="K101" s="161">
        <f t="shared" si="55"/>
        <v>0</v>
      </c>
      <c r="L101" s="161">
        <f t="shared" si="55"/>
        <v>0</v>
      </c>
      <c r="M101" s="161">
        <f t="shared" si="55"/>
        <v>0</v>
      </c>
      <c r="N101" s="161">
        <f t="shared" si="55"/>
        <v>0</v>
      </c>
      <c r="O101" s="161">
        <f t="shared" si="55"/>
        <v>0</v>
      </c>
      <c r="P101" s="161">
        <f t="shared" si="55"/>
        <v>0</v>
      </c>
      <c r="Q101" s="161">
        <f t="shared" si="47"/>
        <v>0</v>
      </c>
      <c r="R101" s="161">
        <f t="shared" si="34"/>
        <v>0</v>
      </c>
      <c r="S101" s="161">
        <f t="shared" si="34"/>
        <v>0</v>
      </c>
      <c r="T101" s="161">
        <f t="shared" si="34"/>
        <v>0</v>
      </c>
      <c r="U101" s="161">
        <f t="shared" si="34"/>
        <v>0</v>
      </c>
      <c r="V101" s="161">
        <f>'Cost Assumptions'!$O$99*SUM(Development!R101:U101)</f>
        <v>0</v>
      </c>
      <c r="W101" s="161">
        <f t="shared" si="53"/>
        <v>0</v>
      </c>
      <c r="X101" s="161">
        <f>'Cost Assumptions'!$O$100*SUM(Development!R101:V101)</f>
        <v>0</v>
      </c>
      <c r="Y101" s="161">
        <f t="shared" si="35"/>
        <v>0</v>
      </c>
      <c r="Z101" s="174"/>
      <c r="AA101" s="204">
        <f t="shared" si="36"/>
        <v>7</v>
      </c>
      <c r="AB101" s="484">
        <f>IF(OR($AA101=0,$AA101&gt;40),0,INDEX(Overrides!C$47:C$87,$AA101+1,1)*$AA$85+INDEX(Overrides!C$47:C$87,$AA101,1)*$AB$86)</f>
        <v>0</v>
      </c>
      <c r="AC101" s="484">
        <f>IF(OR($AA101=0,$AA101&gt;40),0,INDEX(Overrides!D$47:D$87,$AA101+1,1)*$AA$85+INDEX(Overrides!D$47:D$87,$AA101,1)*$AB$86)</f>
        <v>0</v>
      </c>
      <c r="AD101" s="484">
        <f>IF(OR($AA101=0,$AA101&gt;40),0,INDEX(Overrides!E$47:E$87,$AA101+1,1)*$AA$85+INDEX(Overrides!E$47:E$87,$AA101,1)*$AB$86)</f>
        <v>0</v>
      </c>
      <c r="AE101" s="484">
        <f>IF(OR($AA101=0,$AA101&gt;40),0,INDEX(Overrides!F$47:F$87,$AA101+1,1)*$AA$85+INDEX(Overrides!F$47:F$87,$AA101,1)*$AB$86)</f>
        <v>0</v>
      </c>
      <c r="AF101" s="484">
        <f>IF(OR($AA101=0,$AA101&gt;40),0,INDEX(Overrides!G$47:G$87,$AA101+1,1)*$AA$85+INDEX(Overrides!G$47:G$87,$AA101,1)*$AB$86)</f>
        <v>0</v>
      </c>
      <c r="AG101" s="484">
        <f>IF(OR($AA101=0,$AA101&gt;40),0,INDEX(Overrides!H$47:H$87,$AA101+1,1)*$AA$85+INDEX(Overrides!H$47:H$87,$AA101,1)*$AB$86)</f>
        <v>0</v>
      </c>
      <c r="AH101" s="484">
        <f>IF(OR($AA101=0,$AA101&gt;40),0,INDEX(Overrides!I$47:I$87,$AA101+1,1)*$AA$85+INDEX(Overrides!I$47:I$87,$AA101,1)*$AB$86)</f>
        <v>0</v>
      </c>
      <c r="AI101" s="484">
        <f>IF(OR($AA101=0,$AA101&gt;40),0,INDEX(Overrides!J$47:J$87,$AA101+1,1)*$AA$85+INDEX(Overrides!J$47:J$87,$AA101,1)*$AB$86)</f>
        <v>0</v>
      </c>
      <c r="AJ101" s="93"/>
      <c r="AK101" s="161">
        <f>B101*'Selected Economics'!$I21*'Sensitivity Ranges'!$F$43</f>
        <v>0</v>
      </c>
      <c r="AL101" s="161">
        <f>IF($AA$84=1,AB101,Q101)*'Selected Economics'!$I21*'Sensitivity Ranges'!$F$43</f>
        <v>0</v>
      </c>
      <c r="AM101" s="161">
        <f>IF($AA$84=1,AC101,R101)*'Selected Economics'!$I21*'Sensitivity Ranges'!$F$43</f>
        <v>0</v>
      </c>
      <c r="AN101" s="161">
        <f>IF($AA$84=1,AD101,S101)*'Selected Economics'!$I21*'Sensitivity Ranges'!$F$43</f>
        <v>0</v>
      </c>
      <c r="AO101" s="161">
        <f>IF($AA$84=1,AE101,T101)*'Selected Economics'!$I21*'Sensitivity Ranges'!$F$43</f>
        <v>0</v>
      </c>
      <c r="AP101" s="161">
        <f>IF($AA$84=1,AF101,U101)*'Selected Economics'!$I21*'Sensitivity Ranges'!$F$43</f>
        <v>0</v>
      </c>
      <c r="AQ101" s="161">
        <f>IF($AA$84=1,AG101,V101)*'Selected Economics'!$I21*'Sensitivity Ranges'!$F$43</f>
        <v>0</v>
      </c>
      <c r="AR101" s="161">
        <f>IF($AA$84=1,AH101,W101)*'Selected Economics'!$I21*'Sensitivity Ranges'!$F$43</f>
        <v>0</v>
      </c>
      <c r="AS101" s="161">
        <f>IF($AA$84=1,AI101,X101)*'Selected Economics'!$I21*'Sensitivity Ranges'!$F$43</f>
        <v>0</v>
      </c>
      <c r="AT101" s="161">
        <f t="shared" si="48"/>
        <v>0</v>
      </c>
      <c r="AU101" s="174"/>
      <c r="AV101" s="161">
        <f t="shared" si="54"/>
        <v>0</v>
      </c>
      <c r="AW101" s="161">
        <f>AL101*Abandonment!$H26</f>
        <v>0</v>
      </c>
      <c r="AX101" s="161">
        <f>AM101*Abandonment!$H26</f>
        <v>0</v>
      </c>
      <c r="AY101" s="161">
        <f>AN101*Abandonment!$H26</f>
        <v>0</v>
      </c>
      <c r="AZ101" s="161">
        <f>AO101*Abandonment!$H26</f>
        <v>0</v>
      </c>
      <c r="BA101" s="161">
        <f>AP101*Abandonment!$H26</f>
        <v>0</v>
      </c>
      <c r="BB101" s="161">
        <f>AQ101*Abandonment!$H26</f>
        <v>0</v>
      </c>
      <c r="BC101" s="161">
        <f>AR101*Abandonment!$H26</f>
        <v>0</v>
      </c>
      <c r="BD101" s="161">
        <f>AS101*Abandonment!$H26</f>
        <v>0</v>
      </c>
      <c r="BE101" s="161">
        <f t="shared" si="49"/>
        <v>0</v>
      </c>
      <c r="BF101" s="174"/>
      <c r="BG101" s="161">
        <f>AW101+Exploration!R45</f>
        <v>0</v>
      </c>
      <c r="BH101" s="161">
        <f>AV101+(AX101+AY101+AZ101+IF(Input!$B$15="Shore",0,Development!BA101)+BB101)*(1+'Cost Assumptions'!$O$100)+BC101</f>
        <v>0</v>
      </c>
      <c r="BI101" s="161">
        <f>IF(Input!$B$15="Shore",Development!BA101,0)*(1+'Cost Assumptions'!$O$100)</f>
        <v>0</v>
      </c>
      <c r="BJ101" s="157"/>
      <c r="BK101" s="157"/>
      <c r="BL101" s="161">
        <f t="shared" si="37"/>
        <v>0</v>
      </c>
      <c r="BM101" s="201"/>
      <c r="BN101" s="157"/>
      <c r="BO101" s="161">
        <f t="shared" si="38"/>
        <v>0</v>
      </c>
      <c r="BP101" s="161">
        <f t="shared" si="39"/>
        <v>0</v>
      </c>
      <c r="BQ101" s="161">
        <f t="shared" si="40"/>
        <v>0</v>
      </c>
      <c r="BR101" s="161">
        <f t="shared" si="41"/>
        <v>0</v>
      </c>
      <c r="BS101" s="161">
        <f t="shared" si="42"/>
        <v>0</v>
      </c>
      <c r="BT101" s="161">
        <f t="shared" si="43"/>
        <v>0</v>
      </c>
      <c r="BU101" s="161">
        <f t="shared" si="44"/>
        <v>0</v>
      </c>
      <c r="BV101" s="161">
        <f t="shared" si="45"/>
        <v>0</v>
      </c>
      <c r="BW101" s="161">
        <f t="shared" si="46"/>
        <v>0</v>
      </c>
      <c r="BX101" s="161">
        <f t="shared" si="50"/>
        <v>0</v>
      </c>
      <c r="BY101" s="161"/>
      <c r="BZ101" s="161">
        <f t="shared" si="51"/>
        <v>0</v>
      </c>
    </row>
    <row r="102" spans="1:78" x14ac:dyDescent="0.3">
      <c r="A102" s="141">
        <f t="shared" si="52"/>
        <v>2023</v>
      </c>
      <c r="B102" s="161">
        <f t="shared" si="32"/>
        <v>0</v>
      </c>
      <c r="C102" s="161">
        <f t="shared" si="55"/>
        <v>0</v>
      </c>
      <c r="D102" s="161">
        <f t="shared" si="55"/>
        <v>0</v>
      </c>
      <c r="E102" s="161">
        <f t="shared" si="55"/>
        <v>0</v>
      </c>
      <c r="F102" s="161">
        <f t="shared" si="55"/>
        <v>0</v>
      </c>
      <c r="G102" s="161">
        <f t="shared" si="55"/>
        <v>0</v>
      </c>
      <c r="H102" s="161">
        <f t="shared" si="55"/>
        <v>0</v>
      </c>
      <c r="I102" s="161">
        <f t="shared" si="55"/>
        <v>0</v>
      </c>
      <c r="J102" s="161">
        <f t="shared" si="55"/>
        <v>0</v>
      </c>
      <c r="K102" s="161">
        <f t="shared" si="55"/>
        <v>0</v>
      </c>
      <c r="L102" s="161">
        <f t="shared" si="55"/>
        <v>0</v>
      </c>
      <c r="M102" s="161">
        <f t="shared" si="55"/>
        <v>0</v>
      </c>
      <c r="N102" s="161">
        <f t="shared" si="55"/>
        <v>0</v>
      </c>
      <c r="O102" s="161">
        <f t="shared" si="55"/>
        <v>0</v>
      </c>
      <c r="P102" s="161">
        <f t="shared" si="55"/>
        <v>0</v>
      </c>
      <c r="Q102" s="161">
        <f t="shared" si="47"/>
        <v>0</v>
      </c>
      <c r="R102" s="161">
        <f t="shared" si="34"/>
        <v>0</v>
      </c>
      <c r="S102" s="161">
        <f t="shared" si="34"/>
        <v>0</v>
      </c>
      <c r="T102" s="161">
        <f t="shared" si="34"/>
        <v>0</v>
      </c>
      <c r="U102" s="161">
        <f t="shared" si="34"/>
        <v>0</v>
      </c>
      <c r="V102" s="161">
        <f>'Cost Assumptions'!$O$99*SUM(Development!R102:U102)</f>
        <v>0</v>
      </c>
      <c r="W102" s="161">
        <f t="shared" si="53"/>
        <v>0</v>
      </c>
      <c r="X102" s="161">
        <f>'Cost Assumptions'!$O$100*SUM(Development!R102:V102)</f>
        <v>0</v>
      </c>
      <c r="Y102" s="161">
        <f t="shared" si="35"/>
        <v>0</v>
      </c>
      <c r="Z102" s="174"/>
      <c r="AA102" s="204">
        <f t="shared" si="36"/>
        <v>8</v>
      </c>
      <c r="AB102" s="484">
        <f>IF(OR($AA102=0,$AA102&gt;40),0,INDEX(Overrides!C$47:C$87,$AA102+1,1)*$AA$85+INDEX(Overrides!C$47:C$87,$AA102,1)*$AB$86)</f>
        <v>0</v>
      </c>
      <c r="AC102" s="484">
        <f>IF(OR($AA102=0,$AA102&gt;40),0,INDEX(Overrides!D$47:D$87,$AA102+1,1)*$AA$85+INDEX(Overrides!D$47:D$87,$AA102,1)*$AB$86)</f>
        <v>0</v>
      </c>
      <c r="AD102" s="484">
        <f>IF(OR($AA102=0,$AA102&gt;40),0,INDEX(Overrides!E$47:E$87,$AA102+1,1)*$AA$85+INDEX(Overrides!E$47:E$87,$AA102,1)*$AB$86)</f>
        <v>0</v>
      </c>
      <c r="AE102" s="484">
        <f>IF(OR($AA102=0,$AA102&gt;40),0,INDEX(Overrides!F$47:F$87,$AA102+1,1)*$AA$85+INDEX(Overrides!F$47:F$87,$AA102,1)*$AB$86)</f>
        <v>0</v>
      </c>
      <c r="AF102" s="484">
        <f>IF(OR($AA102=0,$AA102&gt;40),0,INDEX(Overrides!G$47:G$87,$AA102+1,1)*$AA$85+INDEX(Overrides!G$47:G$87,$AA102,1)*$AB$86)</f>
        <v>0</v>
      </c>
      <c r="AG102" s="484">
        <f>IF(OR($AA102=0,$AA102&gt;40),0,INDEX(Overrides!H$47:H$87,$AA102+1,1)*$AA$85+INDEX(Overrides!H$47:H$87,$AA102,1)*$AB$86)</f>
        <v>0</v>
      </c>
      <c r="AH102" s="484">
        <f>IF(OR($AA102=0,$AA102&gt;40),0,INDEX(Overrides!I$47:I$87,$AA102+1,1)*$AA$85+INDEX(Overrides!I$47:I$87,$AA102,1)*$AB$86)</f>
        <v>0</v>
      </c>
      <c r="AI102" s="484">
        <f>IF(OR($AA102=0,$AA102&gt;40),0,INDEX(Overrides!J$47:J$87,$AA102+1,1)*$AA$85+INDEX(Overrides!J$47:J$87,$AA102,1)*$AB$86)</f>
        <v>0</v>
      </c>
      <c r="AJ102" s="93"/>
      <c r="AK102" s="161">
        <f>B102*'Selected Economics'!$I22*'Sensitivity Ranges'!$F$43</f>
        <v>0</v>
      </c>
      <c r="AL102" s="161">
        <f>IF($AA$84=1,AB102,Q102)*'Selected Economics'!$I22*'Sensitivity Ranges'!$F$43</f>
        <v>0</v>
      </c>
      <c r="AM102" s="161">
        <f>IF($AA$84=1,AC102,R102)*'Selected Economics'!$I22*'Sensitivity Ranges'!$F$43</f>
        <v>0</v>
      </c>
      <c r="AN102" s="161">
        <f>IF($AA$84=1,AD102,S102)*'Selected Economics'!$I22*'Sensitivity Ranges'!$F$43</f>
        <v>0</v>
      </c>
      <c r="AO102" s="161">
        <f>IF($AA$84=1,AE102,T102)*'Selected Economics'!$I22*'Sensitivity Ranges'!$F$43</f>
        <v>0</v>
      </c>
      <c r="AP102" s="161">
        <f>IF($AA$84=1,AF102,U102)*'Selected Economics'!$I22*'Sensitivity Ranges'!$F$43</f>
        <v>0</v>
      </c>
      <c r="AQ102" s="161">
        <f>IF($AA$84=1,AG102,V102)*'Selected Economics'!$I22*'Sensitivity Ranges'!$F$43</f>
        <v>0</v>
      </c>
      <c r="AR102" s="161">
        <f>IF($AA$84=1,AH102,W102)*'Selected Economics'!$I22*'Sensitivity Ranges'!$F$43</f>
        <v>0</v>
      </c>
      <c r="AS102" s="161">
        <f>IF($AA$84=1,AI102,X102)*'Selected Economics'!$I22*'Sensitivity Ranges'!$F$43</f>
        <v>0</v>
      </c>
      <c r="AT102" s="161">
        <f t="shared" si="48"/>
        <v>0</v>
      </c>
      <c r="AU102" s="174"/>
      <c r="AV102" s="161">
        <f t="shared" si="54"/>
        <v>0</v>
      </c>
      <c r="AW102" s="161">
        <f>AL102*Abandonment!$H27</f>
        <v>0</v>
      </c>
      <c r="AX102" s="161">
        <f>AM102*Abandonment!$H27</f>
        <v>0</v>
      </c>
      <c r="AY102" s="161">
        <f>AN102*Abandonment!$H27</f>
        <v>0</v>
      </c>
      <c r="AZ102" s="161">
        <f>AO102*Abandonment!$H27</f>
        <v>0</v>
      </c>
      <c r="BA102" s="161">
        <f>AP102*Abandonment!$H27</f>
        <v>0</v>
      </c>
      <c r="BB102" s="161">
        <f>AQ102*Abandonment!$H27</f>
        <v>0</v>
      </c>
      <c r="BC102" s="161">
        <f>AR102*Abandonment!$H27</f>
        <v>0</v>
      </c>
      <c r="BD102" s="161">
        <f>AS102*Abandonment!$H27</f>
        <v>0</v>
      </c>
      <c r="BE102" s="161">
        <f t="shared" si="49"/>
        <v>0</v>
      </c>
      <c r="BF102" s="174"/>
      <c r="BG102" s="161">
        <f>AW102+Exploration!R46</f>
        <v>0</v>
      </c>
      <c r="BH102" s="161">
        <f>AV102+(AX102+AY102+AZ102+IF(Input!$B$15="Shore",0,Development!BA102)+BB102)*(1+'Cost Assumptions'!$O$100)+BC102</f>
        <v>0</v>
      </c>
      <c r="BI102" s="161">
        <f>IF(Input!$B$15="Shore",Development!BA102,0)*(1+'Cost Assumptions'!$O$100)</f>
        <v>0</v>
      </c>
      <c r="BJ102" s="157"/>
      <c r="BK102" s="157"/>
      <c r="BL102" s="161">
        <f t="shared" si="37"/>
        <v>0</v>
      </c>
      <c r="BM102" s="201"/>
      <c r="BN102" s="157"/>
      <c r="BO102" s="161">
        <f t="shared" si="38"/>
        <v>0</v>
      </c>
      <c r="BP102" s="161">
        <f t="shared" si="39"/>
        <v>0</v>
      </c>
      <c r="BQ102" s="161">
        <f t="shared" si="40"/>
        <v>0</v>
      </c>
      <c r="BR102" s="161">
        <f t="shared" si="41"/>
        <v>0</v>
      </c>
      <c r="BS102" s="161">
        <f t="shared" si="42"/>
        <v>0</v>
      </c>
      <c r="BT102" s="161">
        <f t="shared" si="43"/>
        <v>0</v>
      </c>
      <c r="BU102" s="161">
        <f t="shared" si="44"/>
        <v>0</v>
      </c>
      <c r="BV102" s="161">
        <f t="shared" si="45"/>
        <v>0</v>
      </c>
      <c r="BW102" s="161">
        <f t="shared" si="46"/>
        <v>0</v>
      </c>
      <c r="BX102" s="161">
        <f t="shared" si="50"/>
        <v>0</v>
      </c>
      <c r="BY102" s="161"/>
      <c r="BZ102" s="161">
        <f t="shared" si="51"/>
        <v>0</v>
      </c>
    </row>
    <row r="103" spans="1:78" x14ac:dyDescent="0.3">
      <c r="A103" s="141">
        <f t="shared" si="52"/>
        <v>2024</v>
      </c>
      <c r="B103" s="161">
        <f t="shared" si="32"/>
        <v>0</v>
      </c>
      <c r="C103" s="161">
        <f t="shared" si="55"/>
        <v>0</v>
      </c>
      <c r="D103" s="161">
        <f t="shared" si="55"/>
        <v>0</v>
      </c>
      <c r="E103" s="161">
        <f t="shared" si="55"/>
        <v>0</v>
      </c>
      <c r="F103" s="161">
        <f t="shared" si="55"/>
        <v>0</v>
      </c>
      <c r="G103" s="161">
        <f t="shared" si="55"/>
        <v>0</v>
      </c>
      <c r="H103" s="161">
        <f t="shared" si="55"/>
        <v>0</v>
      </c>
      <c r="I103" s="161">
        <f t="shared" si="55"/>
        <v>0</v>
      </c>
      <c r="J103" s="161">
        <f t="shared" si="55"/>
        <v>0</v>
      </c>
      <c r="K103" s="161">
        <f t="shared" si="55"/>
        <v>0</v>
      </c>
      <c r="L103" s="161">
        <f t="shared" si="55"/>
        <v>0</v>
      </c>
      <c r="M103" s="161">
        <f t="shared" si="55"/>
        <v>0</v>
      </c>
      <c r="N103" s="161">
        <f t="shared" si="55"/>
        <v>0</v>
      </c>
      <c r="O103" s="161">
        <f t="shared" si="55"/>
        <v>0</v>
      </c>
      <c r="P103" s="161">
        <f t="shared" si="55"/>
        <v>0</v>
      </c>
      <c r="Q103" s="161">
        <f t="shared" si="47"/>
        <v>0</v>
      </c>
      <c r="R103" s="161">
        <f t="shared" si="34"/>
        <v>0</v>
      </c>
      <c r="S103" s="161">
        <f t="shared" si="34"/>
        <v>0</v>
      </c>
      <c r="T103" s="161">
        <f t="shared" si="34"/>
        <v>0</v>
      </c>
      <c r="U103" s="161">
        <f t="shared" si="34"/>
        <v>0</v>
      </c>
      <c r="V103" s="161">
        <f>'Cost Assumptions'!$O$99*SUM(Development!R103:U103)</f>
        <v>0</v>
      </c>
      <c r="W103" s="161">
        <f t="shared" si="53"/>
        <v>0</v>
      </c>
      <c r="X103" s="161">
        <f>'Cost Assumptions'!$O$100*SUM(Development!R103:V103)</f>
        <v>0</v>
      </c>
      <c r="Y103" s="161">
        <f t="shared" si="35"/>
        <v>0</v>
      </c>
      <c r="Z103" s="174"/>
      <c r="AA103" s="204">
        <f t="shared" si="36"/>
        <v>9</v>
      </c>
      <c r="AB103" s="484">
        <f>IF(OR($AA103=0,$AA103&gt;40),0,INDEX(Overrides!C$47:C$87,$AA103+1,1)*$AA$85+INDEX(Overrides!C$47:C$87,$AA103,1)*$AB$86)</f>
        <v>0</v>
      </c>
      <c r="AC103" s="484">
        <f>IF(OR($AA103=0,$AA103&gt;40),0,INDEX(Overrides!D$47:D$87,$AA103+1,1)*$AA$85+INDEX(Overrides!D$47:D$87,$AA103,1)*$AB$86)</f>
        <v>0</v>
      </c>
      <c r="AD103" s="484">
        <f>IF(OR($AA103=0,$AA103&gt;40),0,INDEX(Overrides!E$47:E$87,$AA103+1,1)*$AA$85+INDEX(Overrides!E$47:E$87,$AA103,1)*$AB$86)</f>
        <v>0</v>
      </c>
      <c r="AE103" s="484">
        <f>IF(OR($AA103=0,$AA103&gt;40),0,INDEX(Overrides!F$47:F$87,$AA103+1,1)*$AA$85+INDEX(Overrides!F$47:F$87,$AA103,1)*$AB$86)</f>
        <v>0</v>
      </c>
      <c r="AF103" s="484">
        <f>IF(OR($AA103=0,$AA103&gt;40),0,INDEX(Overrides!G$47:G$87,$AA103+1,1)*$AA$85+INDEX(Overrides!G$47:G$87,$AA103,1)*$AB$86)</f>
        <v>0</v>
      </c>
      <c r="AG103" s="484">
        <f>IF(OR($AA103=0,$AA103&gt;40),0,INDEX(Overrides!H$47:H$87,$AA103+1,1)*$AA$85+INDEX(Overrides!H$47:H$87,$AA103,1)*$AB$86)</f>
        <v>0</v>
      </c>
      <c r="AH103" s="484">
        <f>IF(OR($AA103=0,$AA103&gt;40),0,INDEX(Overrides!I$47:I$87,$AA103+1,1)*$AA$85+INDEX(Overrides!I$47:I$87,$AA103,1)*$AB$86)</f>
        <v>0</v>
      </c>
      <c r="AI103" s="484">
        <f>IF(OR($AA103=0,$AA103&gt;40),0,INDEX(Overrides!J$47:J$87,$AA103+1,1)*$AA$85+INDEX(Overrides!J$47:J$87,$AA103,1)*$AB$86)</f>
        <v>0</v>
      </c>
      <c r="AJ103" s="93"/>
      <c r="AK103" s="161">
        <f>B103*'Selected Economics'!$I23*'Sensitivity Ranges'!$F$43</f>
        <v>0</v>
      </c>
      <c r="AL103" s="161">
        <f>IF($AA$84=1,AB103,Q103)*'Selected Economics'!$I23*'Sensitivity Ranges'!$F$43</f>
        <v>0</v>
      </c>
      <c r="AM103" s="161">
        <f>IF($AA$84=1,AC103,R103)*'Selected Economics'!$I23*'Sensitivity Ranges'!$F$43</f>
        <v>0</v>
      </c>
      <c r="AN103" s="161">
        <f>IF($AA$84=1,AD103,S103)*'Selected Economics'!$I23*'Sensitivity Ranges'!$F$43</f>
        <v>0</v>
      </c>
      <c r="AO103" s="161">
        <f>IF($AA$84=1,AE103,T103)*'Selected Economics'!$I23*'Sensitivity Ranges'!$F$43</f>
        <v>0</v>
      </c>
      <c r="AP103" s="161">
        <f>IF($AA$84=1,AF103,U103)*'Selected Economics'!$I23*'Sensitivity Ranges'!$F$43</f>
        <v>0</v>
      </c>
      <c r="AQ103" s="161">
        <f>IF($AA$84=1,AG103,V103)*'Selected Economics'!$I23*'Sensitivity Ranges'!$F$43</f>
        <v>0</v>
      </c>
      <c r="AR103" s="161">
        <f>IF($AA$84=1,AH103,W103)*'Selected Economics'!$I23*'Sensitivity Ranges'!$F$43</f>
        <v>0</v>
      </c>
      <c r="AS103" s="161">
        <f>IF($AA$84=1,AI103,X103)*'Selected Economics'!$I23*'Sensitivity Ranges'!$F$43</f>
        <v>0</v>
      </c>
      <c r="AT103" s="161">
        <f t="shared" si="48"/>
        <v>0</v>
      </c>
      <c r="AU103" s="174"/>
      <c r="AV103" s="161">
        <f t="shared" si="54"/>
        <v>0</v>
      </c>
      <c r="AW103" s="161">
        <f>AL103*Abandonment!$H28</f>
        <v>0</v>
      </c>
      <c r="AX103" s="161">
        <f>AM103*Abandonment!$H28</f>
        <v>0</v>
      </c>
      <c r="AY103" s="161">
        <f>AN103*Abandonment!$H28</f>
        <v>0</v>
      </c>
      <c r="AZ103" s="161">
        <f>AO103*Abandonment!$H28</f>
        <v>0</v>
      </c>
      <c r="BA103" s="161">
        <f>AP103*Abandonment!$H28</f>
        <v>0</v>
      </c>
      <c r="BB103" s="161">
        <f>AQ103*Abandonment!$H28</f>
        <v>0</v>
      </c>
      <c r="BC103" s="161">
        <f>AR103*Abandonment!$H28</f>
        <v>0</v>
      </c>
      <c r="BD103" s="161">
        <f>AS103*Abandonment!$H28</f>
        <v>0</v>
      </c>
      <c r="BE103" s="161">
        <f t="shared" si="49"/>
        <v>0</v>
      </c>
      <c r="BF103" s="174"/>
      <c r="BG103" s="161">
        <f>AW103+Exploration!R47</f>
        <v>0</v>
      </c>
      <c r="BH103" s="161">
        <f>AV103+(AX103+AY103+AZ103+IF(Input!$B$15="Shore",0,Development!BA103)+BB103)*(1+'Cost Assumptions'!$O$100)+BC103</f>
        <v>0</v>
      </c>
      <c r="BI103" s="161">
        <f>IF(Input!$B$15="Shore",Development!BA103,0)*(1+'Cost Assumptions'!$O$100)</f>
        <v>0</v>
      </c>
      <c r="BJ103" s="157"/>
      <c r="BK103" s="157"/>
      <c r="BL103" s="161">
        <f t="shared" si="37"/>
        <v>0</v>
      </c>
      <c r="BM103" s="201"/>
      <c r="BN103" s="157"/>
      <c r="BO103" s="161">
        <f t="shared" si="38"/>
        <v>0</v>
      </c>
      <c r="BP103" s="161">
        <f t="shared" si="39"/>
        <v>0</v>
      </c>
      <c r="BQ103" s="161">
        <f t="shared" si="40"/>
        <v>0</v>
      </c>
      <c r="BR103" s="161">
        <f t="shared" si="41"/>
        <v>0</v>
      </c>
      <c r="BS103" s="161">
        <f t="shared" si="42"/>
        <v>0</v>
      </c>
      <c r="BT103" s="161">
        <f t="shared" si="43"/>
        <v>0</v>
      </c>
      <c r="BU103" s="161">
        <f t="shared" si="44"/>
        <v>0</v>
      </c>
      <c r="BV103" s="161">
        <f t="shared" si="45"/>
        <v>0</v>
      </c>
      <c r="BW103" s="161">
        <f t="shared" si="46"/>
        <v>0</v>
      </c>
      <c r="BX103" s="161">
        <f t="shared" si="50"/>
        <v>0</v>
      </c>
      <c r="BY103" s="161"/>
      <c r="BZ103" s="161">
        <f t="shared" si="51"/>
        <v>0</v>
      </c>
    </row>
    <row r="104" spans="1:78" x14ac:dyDescent="0.3">
      <c r="A104" s="141">
        <f t="shared" si="52"/>
        <v>2025</v>
      </c>
      <c r="B104" s="161">
        <f t="shared" si="32"/>
        <v>0</v>
      </c>
      <c r="C104" s="161">
        <f t="shared" si="55"/>
        <v>0</v>
      </c>
      <c r="D104" s="161">
        <f t="shared" si="55"/>
        <v>0</v>
      </c>
      <c r="E104" s="161">
        <f t="shared" si="55"/>
        <v>0</v>
      </c>
      <c r="F104" s="161">
        <f t="shared" si="55"/>
        <v>0</v>
      </c>
      <c r="G104" s="161">
        <f t="shared" si="55"/>
        <v>0</v>
      </c>
      <c r="H104" s="161">
        <f t="shared" si="55"/>
        <v>0</v>
      </c>
      <c r="I104" s="161">
        <f t="shared" si="55"/>
        <v>0</v>
      </c>
      <c r="J104" s="161">
        <f t="shared" si="55"/>
        <v>0</v>
      </c>
      <c r="K104" s="161">
        <f t="shared" si="55"/>
        <v>0</v>
      </c>
      <c r="L104" s="161">
        <f t="shared" si="55"/>
        <v>0</v>
      </c>
      <c r="M104" s="161">
        <f t="shared" si="55"/>
        <v>0</v>
      </c>
      <c r="N104" s="161">
        <f t="shared" si="55"/>
        <v>0</v>
      </c>
      <c r="O104" s="161">
        <f t="shared" si="55"/>
        <v>0</v>
      </c>
      <c r="P104" s="161">
        <f t="shared" si="55"/>
        <v>0</v>
      </c>
      <c r="Q104" s="161">
        <f t="shared" si="47"/>
        <v>0</v>
      </c>
      <c r="R104" s="161">
        <f t="shared" si="34"/>
        <v>0</v>
      </c>
      <c r="S104" s="161">
        <f t="shared" si="34"/>
        <v>0</v>
      </c>
      <c r="T104" s="161">
        <f t="shared" si="34"/>
        <v>0</v>
      </c>
      <c r="U104" s="161">
        <f t="shared" si="34"/>
        <v>0</v>
      </c>
      <c r="V104" s="161">
        <f>'Cost Assumptions'!$O$99*SUM(Development!R104:U104)</f>
        <v>0</v>
      </c>
      <c r="W104" s="161">
        <f t="shared" si="53"/>
        <v>0</v>
      </c>
      <c r="X104" s="161">
        <f>'Cost Assumptions'!$O$100*SUM(Development!R104:V104)</f>
        <v>0</v>
      </c>
      <c r="Y104" s="161">
        <f t="shared" si="35"/>
        <v>0</v>
      </c>
      <c r="Z104" s="174"/>
      <c r="AA104" s="204">
        <f t="shared" si="36"/>
        <v>10</v>
      </c>
      <c r="AB104" s="484">
        <f>IF(OR($AA104=0,$AA104&gt;40),0,INDEX(Overrides!C$47:C$87,$AA104+1,1)*$AA$85+INDEX(Overrides!C$47:C$87,$AA104,1)*$AB$86)</f>
        <v>0</v>
      </c>
      <c r="AC104" s="484">
        <f>IF(OR($AA104=0,$AA104&gt;40),0,INDEX(Overrides!D$47:D$87,$AA104+1,1)*$AA$85+INDEX(Overrides!D$47:D$87,$AA104,1)*$AB$86)</f>
        <v>0</v>
      </c>
      <c r="AD104" s="484">
        <f>IF(OR($AA104=0,$AA104&gt;40),0,INDEX(Overrides!E$47:E$87,$AA104+1,1)*$AA$85+INDEX(Overrides!E$47:E$87,$AA104,1)*$AB$86)</f>
        <v>0</v>
      </c>
      <c r="AE104" s="484">
        <f>IF(OR($AA104=0,$AA104&gt;40),0,INDEX(Overrides!F$47:F$87,$AA104+1,1)*$AA$85+INDEX(Overrides!F$47:F$87,$AA104,1)*$AB$86)</f>
        <v>0</v>
      </c>
      <c r="AF104" s="484">
        <f>IF(OR($AA104=0,$AA104&gt;40),0,INDEX(Overrides!G$47:G$87,$AA104+1,1)*$AA$85+INDEX(Overrides!G$47:G$87,$AA104,1)*$AB$86)</f>
        <v>0</v>
      </c>
      <c r="AG104" s="484">
        <f>IF(OR($AA104=0,$AA104&gt;40),0,INDEX(Overrides!H$47:H$87,$AA104+1,1)*$AA$85+INDEX(Overrides!H$47:H$87,$AA104,1)*$AB$86)</f>
        <v>0</v>
      </c>
      <c r="AH104" s="484">
        <f>IF(OR($AA104=0,$AA104&gt;40),0,INDEX(Overrides!I$47:I$87,$AA104+1,1)*$AA$85+INDEX(Overrides!I$47:I$87,$AA104,1)*$AB$86)</f>
        <v>0</v>
      </c>
      <c r="AI104" s="484">
        <f>IF(OR($AA104=0,$AA104&gt;40),0,INDEX(Overrides!J$47:J$87,$AA104+1,1)*$AA$85+INDEX(Overrides!J$47:J$87,$AA104,1)*$AB$86)</f>
        <v>0</v>
      </c>
      <c r="AJ104" s="93"/>
      <c r="AK104" s="161">
        <f>B104*'Selected Economics'!$I24*'Sensitivity Ranges'!$F$43</f>
        <v>0</v>
      </c>
      <c r="AL104" s="161">
        <f>IF($AA$84=1,AB104,Q104)*'Selected Economics'!$I24*'Sensitivity Ranges'!$F$43</f>
        <v>0</v>
      </c>
      <c r="AM104" s="161">
        <f>IF($AA$84=1,AC104,R104)*'Selected Economics'!$I24*'Sensitivity Ranges'!$F$43</f>
        <v>0</v>
      </c>
      <c r="AN104" s="161">
        <f>IF($AA$84=1,AD104,S104)*'Selected Economics'!$I24*'Sensitivity Ranges'!$F$43</f>
        <v>0</v>
      </c>
      <c r="AO104" s="161">
        <f>IF($AA$84=1,AE104,T104)*'Selected Economics'!$I24*'Sensitivity Ranges'!$F$43</f>
        <v>0</v>
      </c>
      <c r="AP104" s="161">
        <f>IF($AA$84=1,AF104,U104)*'Selected Economics'!$I24*'Sensitivity Ranges'!$F$43</f>
        <v>0</v>
      </c>
      <c r="AQ104" s="161">
        <f>IF($AA$84=1,AG104,V104)*'Selected Economics'!$I24*'Sensitivity Ranges'!$F$43</f>
        <v>0</v>
      </c>
      <c r="AR104" s="161">
        <f>IF($AA$84=1,AH104,W104)*'Selected Economics'!$I24*'Sensitivity Ranges'!$F$43</f>
        <v>0</v>
      </c>
      <c r="AS104" s="161">
        <f>IF($AA$84=1,AI104,X104)*'Selected Economics'!$I24*'Sensitivity Ranges'!$F$43</f>
        <v>0</v>
      </c>
      <c r="AT104" s="161">
        <f t="shared" si="48"/>
        <v>0</v>
      </c>
      <c r="AU104" s="174"/>
      <c r="AV104" s="161">
        <f t="shared" si="54"/>
        <v>0</v>
      </c>
      <c r="AW104" s="161">
        <f>AL104*Abandonment!$H29</f>
        <v>0</v>
      </c>
      <c r="AX104" s="161">
        <f>AM104*Abandonment!$H29</f>
        <v>0</v>
      </c>
      <c r="AY104" s="161">
        <f>AN104*Abandonment!$H29</f>
        <v>0</v>
      </c>
      <c r="AZ104" s="161">
        <f>AO104*Abandonment!$H29</f>
        <v>0</v>
      </c>
      <c r="BA104" s="161">
        <f>AP104*Abandonment!$H29</f>
        <v>0</v>
      </c>
      <c r="BB104" s="161">
        <f>AQ104*Abandonment!$H29</f>
        <v>0</v>
      </c>
      <c r="BC104" s="161">
        <f>AR104*Abandonment!$H29</f>
        <v>0</v>
      </c>
      <c r="BD104" s="161">
        <f>AS104*Abandonment!$H29</f>
        <v>0</v>
      </c>
      <c r="BE104" s="161">
        <f t="shared" si="49"/>
        <v>0</v>
      </c>
      <c r="BF104" s="174"/>
      <c r="BG104" s="161">
        <f>AW104+Exploration!R48</f>
        <v>0</v>
      </c>
      <c r="BH104" s="161">
        <f>AV104+(AX104+AY104+AZ104+IF(Input!$B$15="Shore",0,Development!BA104)+BB104)*(1+'Cost Assumptions'!$O$100)+BC104</f>
        <v>0</v>
      </c>
      <c r="BI104" s="161">
        <f>IF(Input!$B$15="Shore",Development!BA104,0)*(1+'Cost Assumptions'!$O$100)</f>
        <v>0</v>
      </c>
      <c r="BJ104" s="157"/>
      <c r="BK104" s="157"/>
      <c r="BL104" s="161">
        <f t="shared" si="37"/>
        <v>0</v>
      </c>
      <c r="BM104" s="201"/>
      <c r="BN104" s="157"/>
      <c r="BO104" s="161">
        <f t="shared" si="38"/>
        <v>0</v>
      </c>
      <c r="BP104" s="161">
        <f t="shared" si="39"/>
        <v>0</v>
      </c>
      <c r="BQ104" s="161">
        <f t="shared" si="40"/>
        <v>0</v>
      </c>
      <c r="BR104" s="161">
        <f t="shared" si="41"/>
        <v>0</v>
      </c>
      <c r="BS104" s="161">
        <f t="shared" si="42"/>
        <v>0</v>
      </c>
      <c r="BT104" s="161">
        <f t="shared" si="43"/>
        <v>0</v>
      </c>
      <c r="BU104" s="161">
        <f t="shared" si="44"/>
        <v>0</v>
      </c>
      <c r="BV104" s="161">
        <f t="shared" si="45"/>
        <v>0</v>
      </c>
      <c r="BW104" s="161">
        <f t="shared" si="46"/>
        <v>0</v>
      </c>
      <c r="BX104" s="161">
        <f t="shared" si="50"/>
        <v>0</v>
      </c>
      <c r="BY104" s="161"/>
      <c r="BZ104" s="161">
        <f t="shared" si="51"/>
        <v>0</v>
      </c>
    </row>
    <row r="105" spans="1:78" x14ac:dyDescent="0.3">
      <c r="A105" s="141">
        <f t="shared" si="52"/>
        <v>2026</v>
      </c>
      <c r="B105" s="161">
        <f t="shared" si="32"/>
        <v>0</v>
      </c>
      <c r="C105" s="161">
        <f t="shared" si="55"/>
        <v>0</v>
      </c>
      <c r="D105" s="161">
        <f t="shared" si="55"/>
        <v>0</v>
      </c>
      <c r="E105" s="161">
        <f t="shared" si="55"/>
        <v>0</v>
      </c>
      <c r="F105" s="161">
        <f t="shared" si="55"/>
        <v>0</v>
      </c>
      <c r="G105" s="161">
        <f t="shared" si="55"/>
        <v>0</v>
      </c>
      <c r="H105" s="161">
        <f t="shared" si="55"/>
        <v>0</v>
      </c>
      <c r="I105" s="161">
        <f t="shared" si="55"/>
        <v>0</v>
      </c>
      <c r="J105" s="161">
        <f t="shared" si="55"/>
        <v>0</v>
      </c>
      <c r="K105" s="161">
        <f t="shared" si="55"/>
        <v>0</v>
      </c>
      <c r="L105" s="161">
        <f t="shared" si="55"/>
        <v>0</v>
      </c>
      <c r="M105" s="161">
        <f t="shared" si="55"/>
        <v>0</v>
      </c>
      <c r="N105" s="161">
        <f t="shared" si="55"/>
        <v>0</v>
      </c>
      <c r="O105" s="161">
        <f t="shared" si="55"/>
        <v>0</v>
      </c>
      <c r="P105" s="161">
        <f t="shared" si="55"/>
        <v>0</v>
      </c>
      <c r="Q105" s="161">
        <f t="shared" si="47"/>
        <v>0</v>
      </c>
      <c r="R105" s="161">
        <f t="shared" si="34"/>
        <v>0</v>
      </c>
      <c r="S105" s="161">
        <f t="shared" si="34"/>
        <v>0</v>
      </c>
      <c r="T105" s="161">
        <f t="shared" si="34"/>
        <v>0</v>
      </c>
      <c r="U105" s="161">
        <f t="shared" si="34"/>
        <v>0</v>
      </c>
      <c r="V105" s="161">
        <f>'Cost Assumptions'!$O$99*SUM(Development!R105:U105)</f>
        <v>0</v>
      </c>
      <c r="W105" s="161">
        <f t="shared" si="53"/>
        <v>0</v>
      </c>
      <c r="X105" s="161">
        <f>'Cost Assumptions'!$O$100*SUM(Development!R105:V105)</f>
        <v>0</v>
      </c>
      <c r="Y105" s="161">
        <f t="shared" si="35"/>
        <v>0</v>
      </c>
      <c r="Z105" s="174"/>
      <c r="AA105" s="204">
        <f t="shared" si="36"/>
        <v>11</v>
      </c>
      <c r="AB105" s="484">
        <f>IF(OR($AA105=0,$AA105&gt;40),0,INDEX(Overrides!C$47:C$87,$AA105+1,1)*$AA$85+INDEX(Overrides!C$47:C$87,$AA105,1)*$AB$86)</f>
        <v>0</v>
      </c>
      <c r="AC105" s="484">
        <f>IF(OR($AA105=0,$AA105&gt;40),0,INDEX(Overrides!D$47:D$87,$AA105+1,1)*$AA$85+INDEX(Overrides!D$47:D$87,$AA105,1)*$AB$86)</f>
        <v>0</v>
      </c>
      <c r="AD105" s="484">
        <f>IF(OR($AA105=0,$AA105&gt;40),0,INDEX(Overrides!E$47:E$87,$AA105+1,1)*$AA$85+INDEX(Overrides!E$47:E$87,$AA105,1)*$AB$86)</f>
        <v>0</v>
      </c>
      <c r="AE105" s="484">
        <f>IF(OR($AA105=0,$AA105&gt;40),0,INDEX(Overrides!F$47:F$87,$AA105+1,1)*$AA$85+INDEX(Overrides!F$47:F$87,$AA105,1)*$AB$86)</f>
        <v>0</v>
      </c>
      <c r="AF105" s="484">
        <f>IF(OR($AA105=0,$AA105&gt;40),0,INDEX(Overrides!G$47:G$87,$AA105+1,1)*$AA$85+INDEX(Overrides!G$47:G$87,$AA105,1)*$AB$86)</f>
        <v>0</v>
      </c>
      <c r="AG105" s="484">
        <f>IF(OR($AA105=0,$AA105&gt;40),0,INDEX(Overrides!H$47:H$87,$AA105+1,1)*$AA$85+INDEX(Overrides!H$47:H$87,$AA105,1)*$AB$86)</f>
        <v>0</v>
      </c>
      <c r="AH105" s="484">
        <f>IF(OR($AA105=0,$AA105&gt;40),0,INDEX(Overrides!I$47:I$87,$AA105+1,1)*$AA$85+INDEX(Overrides!I$47:I$87,$AA105,1)*$AB$86)</f>
        <v>0</v>
      </c>
      <c r="AI105" s="484">
        <f>IF(OR($AA105=0,$AA105&gt;40),0,INDEX(Overrides!J$47:J$87,$AA105+1,1)*$AA$85+INDEX(Overrides!J$47:J$87,$AA105,1)*$AB$86)</f>
        <v>0</v>
      </c>
      <c r="AJ105" s="93"/>
      <c r="AK105" s="161">
        <f>B105*'Selected Economics'!$I25*'Sensitivity Ranges'!$F$43</f>
        <v>0</v>
      </c>
      <c r="AL105" s="161">
        <f>IF($AA$84=1,AB105,Q105)*'Selected Economics'!$I25*'Sensitivity Ranges'!$F$43</f>
        <v>0</v>
      </c>
      <c r="AM105" s="161">
        <f>IF($AA$84=1,AC105,R105)*'Selected Economics'!$I25*'Sensitivity Ranges'!$F$43</f>
        <v>0</v>
      </c>
      <c r="AN105" s="161">
        <f>IF($AA$84=1,AD105,S105)*'Selected Economics'!$I25*'Sensitivity Ranges'!$F$43</f>
        <v>0</v>
      </c>
      <c r="AO105" s="161">
        <f>IF($AA$84=1,AE105,T105)*'Selected Economics'!$I25*'Sensitivity Ranges'!$F$43</f>
        <v>0</v>
      </c>
      <c r="AP105" s="161">
        <f>IF($AA$84=1,AF105,U105)*'Selected Economics'!$I25*'Sensitivity Ranges'!$F$43</f>
        <v>0</v>
      </c>
      <c r="AQ105" s="161">
        <f>IF($AA$84=1,AG105,V105)*'Selected Economics'!$I25*'Sensitivity Ranges'!$F$43</f>
        <v>0</v>
      </c>
      <c r="AR105" s="161">
        <f>IF($AA$84=1,AH105,W105)*'Selected Economics'!$I25*'Sensitivity Ranges'!$F$43</f>
        <v>0</v>
      </c>
      <c r="AS105" s="161">
        <f>IF($AA$84=1,AI105,X105)*'Selected Economics'!$I25*'Sensitivity Ranges'!$F$43</f>
        <v>0</v>
      </c>
      <c r="AT105" s="161">
        <f t="shared" si="48"/>
        <v>0</v>
      </c>
      <c r="AU105" s="174"/>
      <c r="AV105" s="161">
        <f t="shared" si="54"/>
        <v>0</v>
      </c>
      <c r="AW105" s="161">
        <f>AL105*Abandonment!$H30</f>
        <v>0</v>
      </c>
      <c r="AX105" s="161">
        <f>AM105*Abandonment!$H30</f>
        <v>0</v>
      </c>
      <c r="AY105" s="161">
        <f>AN105*Abandonment!$H30</f>
        <v>0</v>
      </c>
      <c r="AZ105" s="161">
        <f>AO105*Abandonment!$H30</f>
        <v>0</v>
      </c>
      <c r="BA105" s="161">
        <f>AP105*Abandonment!$H30</f>
        <v>0</v>
      </c>
      <c r="BB105" s="161">
        <f>AQ105*Abandonment!$H30</f>
        <v>0</v>
      </c>
      <c r="BC105" s="161">
        <f>AR105*Abandonment!$H30</f>
        <v>0</v>
      </c>
      <c r="BD105" s="161">
        <f>AS105*Abandonment!$H30</f>
        <v>0</v>
      </c>
      <c r="BE105" s="161">
        <f t="shared" si="49"/>
        <v>0</v>
      </c>
      <c r="BF105" s="174"/>
      <c r="BG105" s="161">
        <f>AW105+Exploration!R49</f>
        <v>0</v>
      </c>
      <c r="BH105" s="161">
        <f>AV105+(AX105+AY105+AZ105+IF(Input!$B$15="Shore",0,Development!BA105)+BB105)*(1+'Cost Assumptions'!$O$100)+BC105</f>
        <v>0</v>
      </c>
      <c r="BI105" s="161">
        <f>IF(Input!$B$15="Shore",Development!BA105,0)*(1+'Cost Assumptions'!$O$100)</f>
        <v>0</v>
      </c>
      <c r="BJ105" s="157"/>
      <c r="BK105" s="157"/>
      <c r="BL105" s="161">
        <f t="shared" si="37"/>
        <v>0</v>
      </c>
      <c r="BM105" s="201"/>
      <c r="BN105" s="157"/>
      <c r="BO105" s="161">
        <f t="shared" si="38"/>
        <v>0</v>
      </c>
      <c r="BP105" s="161">
        <f t="shared" si="39"/>
        <v>0</v>
      </c>
      <c r="BQ105" s="161">
        <f t="shared" si="40"/>
        <v>0</v>
      </c>
      <c r="BR105" s="161">
        <f t="shared" si="41"/>
        <v>0</v>
      </c>
      <c r="BS105" s="161">
        <f t="shared" si="42"/>
        <v>0</v>
      </c>
      <c r="BT105" s="161">
        <f t="shared" si="43"/>
        <v>0</v>
      </c>
      <c r="BU105" s="161">
        <f t="shared" si="44"/>
        <v>0</v>
      </c>
      <c r="BV105" s="161">
        <f t="shared" si="45"/>
        <v>0</v>
      </c>
      <c r="BW105" s="161">
        <f t="shared" si="46"/>
        <v>0</v>
      </c>
      <c r="BX105" s="161">
        <f t="shared" si="50"/>
        <v>0</v>
      </c>
      <c r="BY105" s="161"/>
      <c r="BZ105" s="161">
        <f t="shared" si="51"/>
        <v>0</v>
      </c>
    </row>
    <row r="106" spans="1:78" x14ac:dyDescent="0.3">
      <c r="A106" s="141">
        <f t="shared" si="52"/>
        <v>2027</v>
      </c>
      <c r="B106" s="161">
        <f t="shared" si="32"/>
        <v>0</v>
      </c>
      <c r="C106" s="161">
        <f t="shared" si="55"/>
        <v>0</v>
      </c>
      <c r="D106" s="161">
        <f t="shared" si="55"/>
        <v>0</v>
      </c>
      <c r="E106" s="161">
        <f t="shared" si="55"/>
        <v>0</v>
      </c>
      <c r="F106" s="161">
        <f t="shared" si="55"/>
        <v>0</v>
      </c>
      <c r="G106" s="161">
        <f t="shared" si="55"/>
        <v>0</v>
      </c>
      <c r="H106" s="161">
        <f t="shared" si="55"/>
        <v>0</v>
      </c>
      <c r="I106" s="161">
        <f t="shared" si="55"/>
        <v>0</v>
      </c>
      <c r="J106" s="161">
        <f t="shared" si="55"/>
        <v>0</v>
      </c>
      <c r="K106" s="161">
        <f t="shared" si="55"/>
        <v>0</v>
      </c>
      <c r="L106" s="161">
        <f t="shared" si="55"/>
        <v>0</v>
      </c>
      <c r="M106" s="161">
        <f t="shared" si="55"/>
        <v>0</v>
      </c>
      <c r="N106" s="161">
        <f t="shared" si="55"/>
        <v>0</v>
      </c>
      <c r="O106" s="161">
        <f t="shared" si="55"/>
        <v>0</v>
      </c>
      <c r="P106" s="161">
        <f t="shared" si="55"/>
        <v>0</v>
      </c>
      <c r="Q106" s="161">
        <f t="shared" si="47"/>
        <v>0</v>
      </c>
      <c r="R106" s="161">
        <f t="shared" si="34"/>
        <v>0</v>
      </c>
      <c r="S106" s="161">
        <f t="shared" si="34"/>
        <v>0</v>
      </c>
      <c r="T106" s="161">
        <f t="shared" si="34"/>
        <v>0</v>
      </c>
      <c r="U106" s="161">
        <f t="shared" si="34"/>
        <v>0</v>
      </c>
      <c r="V106" s="161">
        <f>'Cost Assumptions'!$O$99*SUM(Development!R106:U106)</f>
        <v>0</v>
      </c>
      <c r="W106" s="161">
        <f t="shared" si="53"/>
        <v>0</v>
      </c>
      <c r="X106" s="161">
        <f>'Cost Assumptions'!$O$100*SUM(Development!R106:V106)</f>
        <v>0</v>
      </c>
      <c r="Y106" s="161">
        <f t="shared" si="35"/>
        <v>0</v>
      </c>
      <c r="Z106" s="174"/>
      <c r="AA106" s="204">
        <f t="shared" si="36"/>
        <v>12</v>
      </c>
      <c r="AB106" s="484">
        <f>IF(OR($AA106=0,$AA106&gt;40),0,INDEX(Overrides!C$47:C$87,$AA106+1,1)*$AA$85+INDEX(Overrides!C$47:C$87,$AA106,1)*$AB$86)</f>
        <v>0</v>
      </c>
      <c r="AC106" s="484">
        <f>IF(OR($AA106=0,$AA106&gt;40),0,INDEX(Overrides!D$47:D$87,$AA106+1,1)*$AA$85+INDEX(Overrides!D$47:D$87,$AA106,1)*$AB$86)</f>
        <v>0</v>
      </c>
      <c r="AD106" s="484">
        <f>IF(OR($AA106=0,$AA106&gt;40),0,INDEX(Overrides!E$47:E$87,$AA106+1,1)*$AA$85+INDEX(Overrides!E$47:E$87,$AA106,1)*$AB$86)</f>
        <v>0</v>
      </c>
      <c r="AE106" s="484">
        <f>IF(OR($AA106=0,$AA106&gt;40),0,INDEX(Overrides!F$47:F$87,$AA106+1,1)*$AA$85+INDEX(Overrides!F$47:F$87,$AA106,1)*$AB$86)</f>
        <v>0</v>
      </c>
      <c r="AF106" s="484">
        <f>IF(OR($AA106=0,$AA106&gt;40),0,INDEX(Overrides!G$47:G$87,$AA106+1,1)*$AA$85+INDEX(Overrides!G$47:G$87,$AA106,1)*$AB$86)</f>
        <v>0</v>
      </c>
      <c r="AG106" s="484">
        <f>IF(OR($AA106=0,$AA106&gt;40),0,INDEX(Overrides!H$47:H$87,$AA106+1,1)*$AA$85+INDEX(Overrides!H$47:H$87,$AA106,1)*$AB$86)</f>
        <v>0</v>
      </c>
      <c r="AH106" s="484">
        <f>IF(OR($AA106=0,$AA106&gt;40),0,INDEX(Overrides!I$47:I$87,$AA106+1,1)*$AA$85+INDEX(Overrides!I$47:I$87,$AA106,1)*$AB$86)</f>
        <v>0</v>
      </c>
      <c r="AI106" s="484">
        <f>IF(OR($AA106=0,$AA106&gt;40),0,INDEX(Overrides!J$47:J$87,$AA106+1,1)*$AA$85+INDEX(Overrides!J$47:J$87,$AA106,1)*$AB$86)</f>
        <v>0</v>
      </c>
      <c r="AJ106" s="93"/>
      <c r="AK106" s="161">
        <f>B106*'Selected Economics'!$I26*'Sensitivity Ranges'!$F$43</f>
        <v>0</v>
      </c>
      <c r="AL106" s="161">
        <f>IF($AA$84=1,AB106,Q106)*'Selected Economics'!$I26*'Sensitivity Ranges'!$F$43</f>
        <v>0</v>
      </c>
      <c r="AM106" s="161">
        <f>IF($AA$84=1,AC106,R106)*'Selected Economics'!$I26*'Sensitivity Ranges'!$F$43</f>
        <v>0</v>
      </c>
      <c r="AN106" s="161">
        <f>IF($AA$84=1,AD106,S106)*'Selected Economics'!$I26*'Sensitivity Ranges'!$F$43</f>
        <v>0</v>
      </c>
      <c r="AO106" s="161">
        <f>IF($AA$84=1,AE106,T106)*'Selected Economics'!$I26*'Sensitivity Ranges'!$F$43</f>
        <v>0</v>
      </c>
      <c r="AP106" s="161">
        <f>IF($AA$84=1,AF106,U106)*'Selected Economics'!$I26*'Sensitivity Ranges'!$F$43</f>
        <v>0</v>
      </c>
      <c r="AQ106" s="161">
        <f>IF($AA$84=1,AG106,V106)*'Selected Economics'!$I26*'Sensitivity Ranges'!$F$43</f>
        <v>0</v>
      </c>
      <c r="AR106" s="161">
        <f>IF($AA$84=1,AH106,W106)*'Selected Economics'!$I26*'Sensitivity Ranges'!$F$43</f>
        <v>0</v>
      </c>
      <c r="AS106" s="161">
        <f>IF($AA$84=1,AI106,X106)*'Selected Economics'!$I26*'Sensitivity Ranges'!$F$43</f>
        <v>0</v>
      </c>
      <c r="AT106" s="161">
        <f t="shared" si="48"/>
        <v>0</v>
      </c>
      <c r="AU106" s="174"/>
      <c r="AV106" s="161">
        <f t="shared" si="54"/>
        <v>0</v>
      </c>
      <c r="AW106" s="161">
        <f>AL106*Abandonment!$H31</f>
        <v>0</v>
      </c>
      <c r="AX106" s="161">
        <f>AM106*Abandonment!$H31</f>
        <v>0</v>
      </c>
      <c r="AY106" s="161">
        <f>AN106*Abandonment!$H31</f>
        <v>0</v>
      </c>
      <c r="AZ106" s="161">
        <f>AO106*Abandonment!$H31</f>
        <v>0</v>
      </c>
      <c r="BA106" s="161">
        <f>AP106*Abandonment!$H31</f>
        <v>0</v>
      </c>
      <c r="BB106" s="161">
        <f>AQ106*Abandonment!$H31</f>
        <v>0</v>
      </c>
      <c r="BC106" s="161">
        <f>AR106*Abandonment!$H31</f>
        <v>0</v>
      </c>
      <c r="BD106" s="161">
        <f>AS106*Abandonment!$H31</f>
        <v>0</v>
      </c>
      <c r="BE106" s="161">
        <f t="shared" si="49"/>
        <v>0</v>
      </c>
      <c r="BF106" s="174"/>
      <c r="BG106" s="161">
        <f>AW106+Exploration!R50</f>
        <v>0</v>
      </c>
      <c r="BH106" s="161">
        <f>AV106+(AX106+AY106+AZ106+IF(Input!$B$15="Shore",0,Development!BA106)+BB106)*(1+'Cost Assumptions'!$O$100)+BC106</f>
        <v>0</v>
      </c>
      <c r="BI106" s="161">
        <f>IF(Input!$B$15="Shore",Development!BA106,0)*(1+'Cost Assumptions'!$O$100)</f>
        <v>0</v>
      </c>
      <c r="BJ106" s="157"/>
      <c r="BK106" s="157"/>
      <c r="BL106" s="161">
        <f t="shared" si="37"/>
        <v>0</v>
      </c>
      <c r="BM106" s="201"/>
      <c r="BN106" s="157"/>
      <c r="BO106" s="161">
        <f t="shared" si="38"/>
        <v>0</v>
      </c>
      <c r="BP106" s="161">
        <f t="shared" si="39"/>
        <v>0</v>
      </c>
      <c r="BQ106" s="161">
        <f t="shared" si="40"/>
        <v>0</v>
      </c>
      <c r="BR106" s="161">
        <f t="shared" si="41"/>
        <v>0</v>
      </c>
      <c r="BS106" s="161">
        <f t="shared" si="42"/>
        <v>0</v>
      </c>
      <c r="BT106" s="161">
        <f t="shared" si="43"/>
        <v>0</v>
      </c>
      <c r="BU106" s="161">
        <f t="shared" si="44"/>
        <v>0</v>
      </c>
      <c r="BV106" s="161">
        <f t="shared" si="45"/>
        <v>0</v>
      </c>
      <c r="BW106" s="161">
        <f t="shared" si="46"/>
        <v>0</v>
      </c>
      <c r="BX106" s="161">
        <f t="shared" si="50"/>
        <v>0</v>
      </c>
      <c r="BY106" s="161"/>
      <c r="BZ106" s="161">
        <f t="shared" si="51"/>
        <v>0</v>
      </c>
    </row>
    <row r="107" spans="1:78" x14ac:dyDescent="0.3">
      <c r="A107" s="141">
        <f t="shared" si="52"/>
        <v>2028</v>
      </c>
      <c r="B107" s="161">
        <f t="shared" si="32"/>
        <v>0</v>
      </c>
      <c r="C107" s="161">
        <f t="shared" si="55"/>
        <v>0</v>
      </c>
      <c r="D107" s="161">
        <f t="shared" si="55"/>
        <v>0</v>
      </c>
      <c r="E107" s="161">
        <f t="shared" si="55"/>
        <v>0</v>
      </c>
      <c r="F107" s="161">
        <f t="shared" si="55"/>
        <v>0</v>
      </c>
      <c r="G107" s="161">
        <f t="shared" si="55"/>
        <v>0</v>
      </c>
      <c r="H107" s="161">
        <f t="shared" si="55"/>
        <v>0</v>
      </c>
      <c r="I107" s="161">
        <f t="shared" si="55"/>
        <v>0</v>
      </c>
      <c r="J107" s="161">
        <f t="shared" si="55"/>
        <v>0</v>
      </c>
      <c r="K107" s="161">
        <f t="shared" si="55"/>
        <v>0</v>
      </c>
      <c r="L107" s="161">
        <f t="shared" si="55"/>
        <v>0</v>
      </c>
      <c r="M107" s="161">
        <f t="shared" si="55"/>
        <v>0</v>
      </c>
      <c r="N107" s="161">
        <f t="shared" si="55"/>
        <v>0</v>
      </c>
      <c r="O107" s="161">
        <f t="shared" si="55"/>
        <v>0</v>
      </c>
      <c r="P107" s="161">
        <f t="shared" si="55"/>
        <v>0</v>
      </c>
      <c r="Q107" s="161">
        <f t="shared" si="47"/>
        <v>0</v>
      </c>
      <c r="R107" s="161">
        <f t="shared" si="34"/>
        <v>0</v>
      </c>
      <c r="S107" s="161">
        <f t="shared" si="34"/>
        <v>0</v>
      </c>
      <c r="T107" s="161">
        <f t="shared" si="34"/>
        <v>0</v>
      </c>
      <c r="U107" s="161">
        <f t="shared" si="34"/>
        <v>0</v>
      </c>
      <c r="V107" s="161">
        <f>'Cost Assumptions'!$O$99*SUM(Development!R107:U107)</f>
        <v>0</v>
      </c>
      <c r="W107" s="161">
        <f t="shared" si="53"/>
        <v>0</v>
      </c>
      <c r="X107" s="161">
        <f>'Cost Assumptions'!$O$100*SUM(Development!R107:V107)</f>
        <v>0</v>
      </c>
      <c r="Y107" s="161">
        <f t="shared" si="35"/>
        <v>0</v>
      </c>
      <c r="Z107" s="174"/>
      <c r="AA107" s="204">
        <f t="shared" si="36"/>
        <v>13</v>
      </c>
      <c r="AB107" s="484">
        <f>IF(OR($AA107=0,$AA107&gt;40),0,INDEX(Overrides!C$47:C$87,$AA107+1,1)*$AA$85+INDEX(Overrides!C$47:C$87,$AA107,1)*$AB$86)</f>
        <v>0</v>
      </c>
      <c r="AC107" s="484">
        <f>IF(OR($AA107=0,$AA107&gt;40),0,INDEX(Overrides!D$47:D$87,$AA107+1,1)*$AA$85+INDEX(Overrides!D$47:D$87,$AA107,1)*$AB$86)</f>
        <v>0</v>
      </c>
      <c r="AD107" s="484">
        <f>IF(OR($AA107=0,$AA107&gt;40),0,INDEX(Overrides!E$47:E$87,$AA107+1,1)*$AA$85+INDEX(Overrides!E$47:E$87,$AA107,1)*$AB$86)</f>
        <v>0</v>
      </c>
      <c r="AE107" s="484">
        <f>IF(OR($AA107=0,$AA107&gt;40),0,INDEX(Overrides!F$47:F$87,$AA107+1,1)*$AA$85+INDEX(Overrides!F$47:F$87,$AA107,1)*$AB$86)</f>
        <v>0</v>
      </c>
      <c r="AF107" s="484">
        <f>IF(OR($AA107=0,$AA107&gt;40),0,INDEX(Overrides!G$47:G$87,$AA107+1,1)*$AA$85+INDEX(Overrides!G$47:G$87,$AA107,1)*$AB$86)</f>
        <v>0</v>
      </c>
      <c r="AG107" s="484">
        <f>IF(OR($AA107=0,$AA107&gt;40),0,INDEX(Overrides!H$47:H$87,$AA107+1,1)*$AA$85+INDEX(Overrides!H$47:H$87,$AA107,1)*$AB$86)</f>
        <v>0</v>
      </c>
      <c r="AH107" s="484">
        <f>IF(OR($AA107=0,$AA107&gt;40),0,INDEX(Overrides!I$47:I$87,$AA107+1,1)*$AA$85+INDEX(Overrides!I$47:I$87,$AA107,1)*$AB$86)</f>
        <v>0</v>
      </c>
      <c r="AI107" s="484">
        <f>IF(OR($AA107=0,$AA107&gt;40),0,INDEX(Overrides!J$47:J$87,$AA107+1,1)*$AA$85+INDEX(Overrides!J$47:J$87,$AA107,1)*$AB$86)</f>
        <v>0</v>
      </c>
      <c r="AJ107" s="93"/>
      <c r="AK107" s="161">
        <f>B107*'Selected Economics'!$I27*'Sensitivity Ranges'!$F$43</f>
        <v>0</v>
      </c>
      <c r="AL107" s="161">
        <f>IF($AA$84=1,AB107,Q107)*'Selected Economics'!$I27*'Sensitivity Ranges'!$F$43</f>
        <v>0</v>
      </c>
      <c r="AM107" s="161">
        <f>IF($AA$84=1,AC107,R107)*'Selected Economics'!$I27*'Sensitivity Ranges'!$F$43</f>
        <v>0</v>
      </c>
      <c r="AN107" s="161">
        <f>IF($AA$84=1,AD107,S107)*'Selected Economics'!$I27*'Sensitivity Ranges'!$F$43</f>
        <v>0</v>
      </c>
      <c r="AO107" s="161">
        <f>IF($AA$84=1,AE107,T107)*'Selected Economics'!$I27*'Sensitivity Ranges'!$F$43</f>
        <v>0</v>
      </c>
      <c r="AP107" s="161">
        <f>IF($AA$84=1,AF107,U107)*'Selected Economics'!$I27*'Sensitivity Ranges'!$F$43</f>
        <v>0</v>
      </c>
      <c r="AQ107" s="161">
        <f>IF($AA$84=1,AG107,V107)*'Selected Economics'!$I27*'Sensitivity Ranges'!$F$43</f>
        <v>0</v>
      </c>
      <c r="AR107" s="161">
        <f>IF($AA$84=1,AH107,W107)*'Selected Economics'!$I27*'Sensitivity Ranges'!$F$43</f>
        <v>0</v>
      </c>
      <c r="AS107" s="161">
        <f>IF($AA$84=1,AI107,X107)*'Selected Economics'!$I27*'Sensitivity Ranges'!$F$43</f>
        <v>0</v>
      </c>
      <c r="AT107" s="161">
        <f t="shared" si="48"/>
        <v>0</v>
      </c>
      <c r="AU107" s="174"/>
      <c r="AV107" s="161">
        <f t="shared" si="54"/>
        <v>0</v>
      </c>
      <c r="AW107" s="161">
        <f>AL107*Abandonment!$H32</f>
        <v>0</v>
      </c>
      <c r="AX107" s="161">
        <f>AM107*Abandonment!$H32</f>
        <v>0</v>
      </c>
      <c r="AY107" s="161">
        <f>AN107*Abandonment!$H32</f>
        <v>0</v>
      </c>
      <c r="AZ107" s="161">
        <f>AO107*Abandonment!$H32</f>
        <v>0</v>
      </c>
      <c r="BA107" s="161">
        <f>AP107*Abandonment!$H32</f>
        <v>0</v>
      </c>
      <c r="BB107" s="161">
        <f>AQ107*Abandonment!$H32</f>
        <v>0</v>
      </c>
      <c r="BC107" s="161">
        <f>AR107*Abandonment!$H32</f>
        <v>0</v>
      </c>
      <c r="BD107" s="161">
        <f>AS107*Abandonment!$H32</f>
        <v>0</v>
      </c>
      <c r="BE107" s="161">
        <f t="shared" si="49"/>
        <v>0</v>
      </c>
      <c r="BF107" s="174"/>
      <c r="BG107" s="161">
        <f>AW107+Exploration!R51</f>
        <v>0</v>
      </c>
      <c r="BH107" s="161">
        <f>AV107+(AX107+AY107+AZ107+IF(Input!$B$15="Shore",0,Development!BA107)+BB107)*(1+'Cost Assumptions'!$O$100)+BC107</f>
        <v>0</v>
      </c>
      <c r="BI107" s="161">
        <f>IF(Input!$B$15="Shore",Development!BA107,0)*(1+'Cost Assumptions'!$O$100)</f>
        <v>0</v>
      </c>
      <c r="BJ107" s="157"/>
      <c r="BK107" s="157"/>
      <c r="BL107" s="161">
        <f t="shared" si="37"/>
        <v>0</v>
      </c>
      <c r="BM107" s="201"/>
      <c r="BN107" s="157"/>
      <c r="BO107" s="161">
        <f t="shared" si="38"/>
        <v>0</v>
      </c>
      <c r="BP107" s="161">
        <f t="shared" si="39"/>
        <v>0</v>
      </c>
      <c r="BQ107" s="161">
        <f t="shared" si="40"/>
        <v>0</v>
      </c>
      <c r="BR107" s="161">
        <f t="shared" si="41"/>
        <v>0</v>
      </c>
      <c r="BS107" s="161">
        <f t="shared" si="42"/>
        <v>0</v>
      </c>
      <c r="BT107" s="161">
        <f t="shared" si="43"/>
        <v>0</v>
      </c>
      <c r="BU107" s="161">
        <f t="shared" si="44"/>
        <v>0</v>
      </c>
      <c r="BV107" s="161">
        <f t="shared" si="45"/>
        <v>0</v>
      </c>
      <c r="BW107" s="161">
        <f t="shared" si="46"/>
        <v>0</v>
      </c>
      <c r="BX107" s="161">
        <f t="shared" si="50"/>
        <v>0</v>
      </c>
      <c r="BY107" s="161"/>
      <c r="BZ107" s="161">
        <f t="shared" si="51"/>
        <v>0</v>
      </c>
    </row>
    <row r="108" spans="1:78" x14ac:dyDescent="0.3">
      <c r="A108" s="141">
        <f t="shared" si="52"/>
        <v>2029</v>
      </c>
      <c r="B108" s="161">
        <f t="shared" si="32"/>
        <v>0</v>
      </c>
      <c r="C108" s="161">
        <f t="shared" si="55"/>
        <v>0</v>
      </c>
      <c r="D108" s="161">
        <f t="shared" si="55"/>
        <v>0</v>
      </c>
      <c r="E108" s="161">
        <f t="shared" si="55"/>
        <v>0</v>
      </c>
      <c r="F108" s="161">
        <f t="shared" si="55"/>
        <v>0</v>
      </c>
      <c r="G108" s="161">
        <f t="shared" si="55"/>
        <v>0</v>
      </c>
      <c r="H108" s="161">
        <f t="shared" si="55"/>
        <v>0</v>
      </c>
      <c r="I108" s="161">
        <f t="shared" si="55"/>
        <v>0</v>
      </c>
      <c r="J108" s="161">
        <f t="shared" si="55"/>
        <v>0</v>
      </c>
      <c r="K108" s="161">
        <f t="shared" si="55"/>
        <v>0</v>
      </c>
      <c r="L108" s="161">
        <f t="shared" si="55"/>
        <v>0</v>
      </c>
      <c r="M108" s="161">
        <f t="shared" si="55"/>
        <v>0</v>
      </c>
      <c r="N108" s="161">
        <f t="shared" si="55"/>
        <v>0</v>
      </c>
      <c r="O108" s="161">
        <f t="shared" si="55"/>
        <v>0</v>
      </c>
      <c r="P108" s="161">
        <f t="shared" si="55"/>
        <v>0</v>
      </c>
      <c r="Q108" s="161">
        <f t="shared" si="47"/>
        <v>0</v>
      </c>
      <c r="R108" s="161">
        <f t="shared" si="34"/>
        <v>0</v>
      </c>
      <c r="S108" s="161">
        <f t="shared" si="34"/>
        <v>0</v>
      </c>
      <c r="T108" s="161">
        <f t="shared" si="34"/>
        <v>0</v>
      </c>
      <c r="U108" s="161">
        <f t="shared" si="34"/>
        <v>0</v>
      </c>
      <c r="V108" s="161">
        <f>'Cost Assumptions'!$O$99*SUM(Development!R108:U108)</f>
        <v>0</v>
      </c>
      <c r="W108" s="161">
        <f t="shared" si="53"/>
        <v>0</v>
      </c>
      <c r="X108" s="161">
        <f>'Cost Assumptions'!$O$100*SUM(Development!R108:V108)</f>
        <v>0</v>
      </c>
      <c r="Y108" s="161">
        <f t="shared" si="35"/>
        <v>0</v>
      </c>
      <c r="Z108" s="174"/>
      <c r="AA108" s="204">
        <f t="shared" si="36"/>
        <v>14</v>
      </c>
      <c r="AB108" s="484">
        <f>IF(OR($AA108=0,$AA108&gt;40),0,INDEX(Overrides!C$47:C$87,$AA108+1,1)*$AA$85+INDEX(Overrides!C$47:C$87,$AA108,1)*$AB$86)</f>
        <v>0</v>
      </c>
      <c r="AC108" s="484">
        <f>IF(OR($AA108=0,$AA108&gt;40),0,INDEX(Overrides!D$47:D$87,$AA108+1,1)*$AA$85+INDEX(Overrides!D$47:D$87,$AA108,1)*$AB$86)</f>
        <v>0</v>
      </c>
      <c r="AD108" s="484">
        <f>IF(OR($AA108=0,$AA108&gt;40),0,INDEX(Overrides!E$47:E$87,$AA108+1,1)*$AA$85+INDEX(Overrides!E$47:E$87,$AA108,1)*$AB$86)</f>
        <v>0</v>
      </c>
      <c r="AE108" s="484">
        <f>IF(OR($AA108=0,$AA108&gt;40),0,INDEX(Overrides!F$47:F$87,$AA108+1,1)*$AA$85+INDEX(Overrides!F$47:F$87,$AA108,1)*$AB$86)</f>
        <v>0</v>
      </c>
      <c r="AF108" s="484">
        <f>IF(OR($AA108=0,$AA108&gt;40),0,INDEX(Overrides!G$47:G$87,$AA108+1,1)*$AA$85+INDEX(Overrides!G$47:G$87,$AA108,1)*$AB$86)</f>
        <v>0</v>
      </c>
      <c r="AG108" s="484">
        <f>IF(OR($AA108=0,$AA108&gt;40),0,INDEX(Overrides!H$47:H$87,$AA108+1,1)*$AA$85+INDEX(Overrides!H$47:H$87,$AA108,1)*$AB$86)</f>
        <v>0</v>
      </c>
      <c r="AH108" s="484">
        <f>IF(OR($AA108=0,$AA108&gt;40),0,INDEX(Overrides!I$47:I$87,$AA108+1,1)*$AA$85+INDEX(Overrides!I$47:I$87,$AA108,1)*$AB$86)</f>
        <v>0</v>
      </c>
      <c r="AI108" s="484">
        <f>IF(OR($AA108=0,$AA108&gt;40),0,INDEX(Overrides!J$47:J$87,$AA108+1,1)*$AA$85+INDEX(Overrides!J$47:J$87,$AA108,1)*$AB$86)</f>
        <v>0</v>
      </c>
      <c r="AJ108" s="93"/>
      <c r="AK108" s="161">
        <f>B108*'Selected Economics'!$I28*'Sensitivity Ranges'!$F$43</f>
        <v>0</v>
      </c>
      <c r="AL108" s="161">
        <f>IF($AA$84=1,AB108,Q108)*'Selected Economics'!$I28*'Sensitivity Ranges'!$F$43</f>
        <v>0</v>
      </c>
      <c r="AM108" s="161">
        <f>IF($AA$84=1,AC108,R108)*'Selected Economics'!$I28*'Sensitivity Ranges'!$F$43</f>
        <v>0</v>
      </c>
      <c r="AN108" s="161">
        <f>IF($AA$84=1,AD108,S108)*'Selected Economics'!$I28*'Sensitivity Ranges'!$F$43</f>
        <v>0</v>
      </c>
      <c r="AO108" s="161">
        <f>IF($AA$84=1,AE108,T108)*'Selected Economics'!$I28*'Sensitivity Ranges'!$F$43</f>
        <v>0</v>
      </c>
      <c r="AP108" s="161">
        <f>IF($AA$84=1,AF108,U108)*'Selected Economics'!$I28*'Sensitivity Ranges'!$F$43</f>
        <v>0</v>
      </c>
      <c r="AQ108" s="161">
        <f>IF($AA$84=1,AG108,V108)*'Selected Economics'!$I28*'Sensitivity Ranges'!$F$43</f>
        <v>0</v>
      </c>
      <c r="AR108" s="161">
        <f>IF($AA$84=1,AH108,W108)*'Selected Economics'!$I28*'Sensitivity Ranges'!$F$43</f>
        <v>0</v>
      </c>
      <c r="AS108" s="161">
        <f>IF($AA$84=1,AI108,X108)*'Selected Economics'!$I28*'Sensitivity Ranges'!$F$43</f>
        <v>0</v>
      </c>
      <c r="AT108" s="161">
        <f t="shared" si="48"/>
        <v>0</v>
      </c>
      <c r="AU108" s="174"/>
      <c r="AV108" s="161">
        <f t="shared" si="54"/>
        <v>0</v>
      </c>
      <c r="AW108" s="161">
        <f>AL108*Abandonment!$H33</f>
        <v>0</v>
      </c>
      <c r="AX108" s="161">
        <f>AM108*Abandonment!$H33</f>
        <v>0</v>
      </c>
      <c r="AY108" s="161">
        <f>AN108*Abandonment!$H33</f>
        <v>0</v>
      </c>
      <c r="AZ108" s="161">
        <f>AO108*Abandonment!$H33</f>
        <v>0</v>
      </c>
      <c r="BA108" s="161">
        <f>AP108*Abandonment!$H33</f>
        <v>0</v>
      </c>
      <c r="BB108" s="161">
        <f>AQ108*Abandonment!$H33</f>
        <v>0</v>
      </c>
      <c r="BC108" s="161">
        <f>AR108*Abandonment!$H33</f>
        <v>0</v>
      </c>
      <c r="BD108" s="161">
        <f>AS108*Abandonment!$H33</f>
        <v>0</v>
      </c>
      <c r="BE108" s="161">
        <f t="shared" si="49"/>
        <v>0</v>
      </c>
      <c r="BF108" s="174"/>
      <c r="BG108" s="161">
        <f>AW108+Exploration!R52</f>
        <v>0</v>
      </c>
      <c r="BH108" s="161">
        <f>AV108+(AX108+AY108+AZ108+IF(Input!$B$15="Shore",0,Development!BA108)+BB108)*(1+'Cost Assumptions'!$O$100)+BC108</f>
        <v>0</v>
      </c>
      <c r="BI108" s="161">
        <f>IF(Input!$B$15="Shore",Development!BA108,0)*(1+'Cost Assumptions'!$O$100)</f>
        <v>0</v>
      </c>
      <c r="BJ108" s="157"/>
      <c r="BK108" s="157"/>
      <c r="BL108" s="161">
        <f t="shared" si="37"/>
        <v>0</v>
      </c>
      <c r="BM108" s="201"/>
      <c r="BN108" s="157"/>
      <c r="BO108" s="161">
        <f t="shared" si="38"/>
        <v>0</v>
      </c>
      <c r="BP108" s="161">
        <f t="shared" si="39"/>
        <v>0</v>
      </c>
      <c r="BQ108" s="161">
        <f t="shared" si="40"/>
        <v>0</v>
      </c>
      <c r="BR108" s="161">
        <f t="shared" si="41"/>
        <v>0</v>
      </c>
      <c r="BS108" s="161">
        <f t="shared" si="42"/>
        <v>0</v>
      </c>
      <c r="BT108" s="161">
        <f t="shared" si="43"/>
        <v>0</v>
      </c>
      <c r="BU108" s="161">
        <f t="shared" si="44"/>
        <v>0</v>
      </c>
      <c r="BV108" s="161">
        <f t="shared" si="45"/>
        <v>0</v>
      </c>
      <c r="BW108" s="161">
        <f t="shared" si="46"/>
        <v>0</v>
      </c>
      <c r="BX108" s="161">
        <f t="shared" si="50"/>
        <v>0</v>
      </c>
      <c r="BY108" s="161"/>
      <c r="BZ108" s="161">
        <f t="shared" si="51"/>
        <v>0</v>
      </c>
    </row>
    <row r="109" spans="1:78" x14ac:dyDescent="0.3">
      <c r="A109" s="141">
        <f t="shared" si="52"/>
        <v>2030</v>
      </c>
      <c r="B109" s="161">
        <f t="shared" si="32"/>
        <v>0</v>
      </c>
      <c r="C109" s="161">
        <f t="shared" si="55"/>
        <v>0</v>
      </c>
      <c r="D109" s="161">
        <f t="shared" si="55"/>
        <v>0</v>
      </c>
      <c r="E109" s="161">
        <f t="shared" si="55"/>
        <v>0</v>
      </c>
      <c r="F109" s="161">
        <f t="shared" si="55"/>
        <v>0</v>
      </c>
      <c r="G109" s="161">
        <f t="shared" si="55"/>
        <v>0</v>
      </c>
      <c r="H109" s="161">
        <f t="shared" si="55"/>
        <v>0</v>
      </c>
      <c r="I109" s="161">
        <f t="shared" si="55"/>
        <v>0</v>
      </c>
      <c r="J109" s="161">
        <f t="shared" si="55"/>
        <v>0</v>
      </c>
      <c r="K109" s="161">
        <f t="shared" si="55"/>
        <v>0</v>
      </c>
      <c r="L109" s="161">
        <f t="shared" si="55"/>
        <v>0</v>
      </c>
      <c r="M109" s="161">
        <f t="shared" si="55"/>
        <v>0</v>
      </c>
      <c r="N109" s="161">
        <f t="shared" si="55"/>
        <v>0</v>
      </c>
      <c r="O109" s="161">
        <f t="shared" si="55"/>
        <v>0</v>
      </c>
      <c r="P109" s="161">
        <f t="shared" si="55"/>
        <v>0</v>
      </c>
      <c r="Q109" s="161">
        <f t="shared" si="47"/>
        <v>0</v>
      </c>
      <c r="R109" s="161">
        <f t="shared" si="34"/>
        <v>0</v>
      </c>
      <c r="S109" s="161">
        <f t="shared" si="34"/>
        <v>0</v>
      </c>
      <c r="T109" s="161">
        <f t="shared" si="34"/>
        <v>0</v>
      </c>
      <c r="U109" s="161">
        <f t="shared" si="34"/>
        <v>0</v>
      </c>
      <c r="V109" s="161">
        <f>'Cost Assumptions'!$O$99*SUM(Development!R109:U109)</f>
        <v>0</v>
      </c>
      <c r="W109" s="161">
        <f t="shared" si="53"/>
        <v>0</v>
      </c>
      <c r="X109" s="161">
        <f>'Cost Assumptions'!$O$100*SUM(Development!R109:V109)</f>
        <v>0</v>
      </c>
      <c r="Y109" s="161">
        <f t="shared" si="35"/>
        <v>0</v>
      </c>
      <c r="Z109" s="174"/>
      <c r="AA109" s="204">
        <f t="shared" si="36"/>
        <v>15</v>
      </c>
      <c r="AB109" s="484">
        <f>IF(OR($AA109=0,$AA109&gt;40),0,INDEX(Overrides!C$47:C$87,$AA109+1,1)*$AA$85+INDEX(Overrides!C$47:C$87,$AA109,1)*$AB$86)</f>
        <v>0</v>
      </c>
      <c r="AC109" s="484">
        <f>IF(OR($AA109=0,$AA109&gt;40),0,INDEX(Overrides!D$47:D$87,$AA109+1,1)*$AA$85+INDEX(Overrides!D$47:D$87,$AA109,1)*$AB$86)</f>
        <v>0</v>
      </c>
      <c r="AD109" s="484">
        <f>IF(OR($AA109=0,$AA109&gt;40),0,INDEX(Overrides!E$47:E$87,$AA109+1,1)*$AA$85+INDEX(Overrides!E$47:E$87,$AA109,1)*$AB$86)</f>
        <v>0</v>
      </c>
      <c r="AE109" s="484">
        <f>IF(OR($AA109=0,$AA109&gt;40),0,INDEX(Overrides!F$47:F$87,$AA109+1,1)*$AA$85+INDEX(Overrides!F$47:F$87,$AA109,1)*$AB$86)</f>
        <v>0</v>
      </c>
      <c r="AF109" s="484">
        <f>IF(OR($AA109=0,$AA109&gt;40),0,INDEX(Overrides!G$47:G$87,$AA109+1,1)*$AA$85+INDEX(Overrides!G$47:G$87,$AA109,1)*$AB$86)</f>
        <v>0</v>
      </c>
      <c r="AG109" s="484">
        <f>IF(OR($AA109=0,$AA109&gt;40),0,INDEX(Overrides!H$47:H$87,$AA109+1,1)*$AA$85+INDEX(Overrides!H$47:H$87,$AA109,1)*$AB$86)</f>
        <v>0</v>
      </c>
      <c r="AH109" s="484">
        <f>IF(OR($AA109=0,$AA109&gt;40),0,INDEX(Overrides!I$47:I$87,$AA109+1,1)*$AA$85+INDEX(Overrides!I$47:I$87,$AA109,1)*$AB$86)</f>
        <v>0</v>
      </c>
      <c r="AI109" s="484">
        <f>IF(OR($AA109=0,$AA109&gt;40),0,INDEX(Overrides!J$47:J$87,$AA109+1,1)*$AA$85+INDEX(Overrides!J$47:J$87,$AA109,1)*$AB$86)</f>
        <v>0</v>
      </c>
      <c r="AJ109" s="93"/>
      <c r="AK109" s="161">
        <f>B109*'Selected Economics'!$I29*'Sensitivity Ranges'!$F$43</f>
        <v>0</v>
      </c>
      <c r="AL109" s="161">
        <f>IF($AA$84=1,AB109,Q109)*'Selected Economics'!$I29*'Sensitivity Ranges'!$F$43</f>
        <v>0</v>
      </c>
      <c r="AM109" s="161">
        <f>IF($AA$84=1,AC109,R109)*'Selected Economics'!$I29*'Sensitivity Ranges'!$F$43</f>
        <v>0</v>
      </c>
      <c r="AN109" s="161">
        <f>IF($AA$84=1,AD109,S109)*'Selected Economics'!$I29*'Sensitivity Ranges'!$F$43</f>
        <v>0</v>
      </c>
      <c r="AO109" s="161">
        <f>IF($AA$84=1,AE109,T109)*'Selected Economics'!$I29*'Sensitivity Ranges'!$F$43</f>
        <v>0</v>
      </c>
      <c r="AP109" s="161">
        <f>IF($AA$84=1,AF109,U109)*'Selected Economics'!$I29*'Sensitivity Ranges'!$F$43</f>
        <v>0</v>
      </c>
      <c r="AQ109" s="161">
        <f>IF($AA$84=1,AG109,V109)*'Selected Economics'!$I29*'Sensitivity Ranges'!$F$43</f>
        <v>0</v>
      </c>
      <c r="AR109" s="161">
        <f>IF($AA$84=1,AH109,W109)*'Selected Economics'!$I29*'Sensitivity Ranges'!$F$43</f>
        <v>0</v>
      </c>
      <c r="AS109" s="161">
        <f>IF($AA$84=1,AI109,X109)*'Selected Economics'!$I29*'Sensitivity Ranges'!$F$43</f>
        <v>0</v>
      </c>
      <c r="AT109" s="161">
        <f t="shared" si="48"/>
        <v>0</v>
      </c>
      <c r="AU109" s="174"/>
      <c r="AV109" s="161">
        <f t="shared" si="54"/>
        <v>0</v>
      </c>
      <c r="AW109" s="161">
        <f>AL109*Abandonment!$H34</f>
        <v>0</v>
      </c>
      <c r="AX109" s="161">
        <f>AM109*Abandonment!$H34</f>
        <v>0</v>
      </c>
      <c r="AY109" s="161">
        <f>AN109*Abandonment!$H34</f>
        <v>0</v>
      </c>
      <c r="AZ109" s="161">
        <f>AO109*Abandonment!$H34</f>
        <v>0</v>
      </c>
      <c r="BA109" s="161">
        <f>AP109*Abandonment!$H34</f>
        <v>0</v>
      </c>
      <c r="BB109" s="161">
        <f>AQ109*Abandonment!$H34</f>
        <v>0</v>
      </c>
      <c r="BC109" s="161">
        <f>AR109*Abandonment!$H34</f>
        <v>0</v>
      </c>
      <c r="BD109" s="161">
        <f>AS109*Abandonment!$H34</f>
        <v>0</v>
      </c>
      <c r="BE109" s="161">
        <f t="shared" si="49"/>
        <v>0</v>
      </c>
      <c r="BF109" s="174"/>
      <c r="BG109" s="161">
        <f>AW109+Exploration!R53</f>
        <v>0</v>
      </c>
      <c r="BH109" s="161">
        <f>AV109+(AX109+AY109+AZ109+IF(Input!$B$15="Shore",0,Development!BA109)+BB109)*(1+'Cost Assumptions'!$O$100)+BC109</f>
        <v>0</v>
      </c>
      <c r="BI109" s="161">
        <f>IF(Input!$B$15="Shore",Development!BA109,0)*(1+'Cost Assumptions'!$O$100)</f>
        <v>0</v>
      </c>
      <c r="BJ109" s="157"/>
      <c r="BK109" s="157"/>
      <c r="BL109" s="161">
        <f t="shared" si="37"/>
        <v>0</v>
      </c>
      <c r="BM109" s="201"/>
      <c r="BN109" s="157"/>
      <c r="BO109" s="161">
        <f t="shared" si="38"/>
        <v>0</v>
      </c>
      <c r="BP109" s="161">
        <f t="shared" si="39"/>
        <v>0</v>
      </c>
      <c r="BQ109" s="161">
        <f t="shared" si="40"/>
        <v>0</v>
      </c>
      <c r="BR109" s="161">
        <f t="shared" si="41"/>
        <v>0</v>
      </c>
      <c r="BS109" s="161">
        <f t="shared" si="42"/>
        <v>0</v>
      </c>
      <c r="BT109" s="161">
        <f t="shared" si="43"/>
        <v>0</v>
      </c>
      <c r="BU109" s="161">
        <f t="shared" si="44"/>
        <v>0</v>
      </c>
      <c r="BV109" s="161">
        <f t="shared" si="45"/>
        <v>0</v>
      </c>
      <c r="BW109" s="161">
        <f t="shared" si="46"/>
        <v>0</v>
      </c>
      <c r="BX109" s="161">
        <f t="shared" si="50"/>
        <v>0</v>
      </c>
      <c r="BY109" s="161"/>
      <c r="BZ109" s="161">
        <f t="shared" si="51"/>
        <v>0</v>
      </c>
    </row>
    <row r="110" spans="1:78" x14ac:dyDescent="0.3">
      <c r="A110" s="141">
        <f t="shared" si="52"/>
        <v>2031</v>
      </c>
      <c r="B110" s="161">
        <f t="shared" si="32"/>
        <v>0</v>
      </c>
      <c r="C110" s="161">
        <f t="shared" si="55"/>
        <v>0</v>
      </c>
      <c r="D110" s="161">
        <f t="shared" si="55"/>
        <v>0</v>
      </c>
      <c r="E110" s="161">
        <f t="shared" si="55"/>
        <v>0</v>
      </c>
      <c r="F110" s="161">
        <f t="shared" si="55"/>
        <v>0</v>
      </c>
      <c r="G110" s="161">
        <f t="shared" si="55"/>
        <v>0</v>
      </c>
      <c r="H110" s="161">
        <f t="shared" si="55"/>
        <v>0</v>
      </c>
      <c r="I110" s="161">
        <f t="shared" si="55"/>
        <v>0</v>
      </c>
      <c r="J110" s="161">
        <f t="shared" si="55"/>
        <v>0</v>
      </c>
      <c r="K110" s="161">
        <f t="shared" si="55"/>
        <v>0</v>
      </c>
      <c r="L110" s="161">
        <f t="shared" si="55"/>
        <v>0</v>
      </c>
      <c r="M110" s="161">
        <f t="shared" si="55"/>
        <v>0</v>
      </c>
      <c r="N110" s="161">
        <f t="shared" si="55"/>
        <v>0</v>
      </c>
      <c r="O110" s="161">
        <f t="shared" si="55"/>
        <v>0</v>
      </c>
      <c r="P110" s="161">
        <f t="shared" si="55"/>
        <v>0</v>
      </c>
      <c r="Q110" s="161">
        <f t="shared" si="47"/>
        <v>0</v>
      </c>
      <c r="R110" s="161">
        <f t="shared" si="34"/>
        <v>0</v>
      </c>
      <c r="S110" s="161">
        <f t="shared" si="34"/>
        <v>0</v>
      </c>
      <c r="T110" s="161">
        <f t="shared" si="34"/>
        <v>0</v>
      </c>
      <c r="U110" s="161">
        <f t="shared" si="34"/>
        <v>0</v>
      </c>
      <c r="V110" s="161">
        <f>'Cost Assumptions'!$O$99*SUM(Development!R110:U110)</f>
        <v>0</v>
      </c>
      <c r="W110" s="161">
        <f t="shared" si="53"/>
        <v>0</v>
      </c>
      <c r="X110" s="161">
        <f>'Cost Assumptions'!$O$100*SUM(Development!R110:V110)</f>
        <v>0</v>
      </c>
      <c r="Y110" s="161">
        <f t="shared" si="35"/>
        <v>0</v>
      </c>
      <c r="Z110" s="174"/>
      <c r="AA110" s="204">
        <f t="shared" si="36"/>
        <v>16</v>
      </c>
      <c r="AB110" s="484">
        <f>IF(OR($AA110=0,$AA110&gt;40),0,INDEX(Overrides!C$47:C$87,$AA110+1,1)*$AA$85+INDEX(Overrides!C$47:C$87,$AA110,1)*$AB$86)</f>
        <v>0</v>
      </c>
      <c r="AC110" s="484">
        <f>IF(OR($AA110=0,$AA110&gt;40),0,INDEX(Overrides!D$47:D$87,$AA110+1,1)*$AA$85+INDEX(Overrides!D$47:D$87,$AA110,1)*$AB$86)</f>
        <v>0</v>
      </c>
      <c r="AD110" s="484">
        <f>IF(OR($AA110=0,$AA110&gt;40),0,INDEX(Overrides!E$47:E$87,$AA110+1,1)*$AA$85+INDEX(Overrides!E$47:E$87,$AA110,1)*$AB$86)</f>
        <v>0</v>
      </c>
      <c r="AE110" s="484">
        <f>IF(OR($AA110=0,$AA110&gt;40),0,INDEX(Overrides!F$47:F$87,$AA110+1,1)*$AA$85+INDEX(Overrides!F$47:F$87,$AA110,1)*$AB$86)</f>
        <v>0</v>
      </c>
      <c r="AF110" s="484">
        <f>IF(OR($AA110=0,$AA110&gt;40),0,INDEX(Overrides!G$47:G$87,$AA110+1,1)*$AA$85+INDEX(Overrides!G$47:G$87,$AA110,1)*$AB$86)</f>
        <v>0</v>
      </c>
      <c r="AG110" s="484">
        <f>IF(OR($AA110=0,$AA110&gt;40),0,INDEX(Overrides!H$47:H$87,$AA110+1,1)*$AA$85+INDEX(Overrides!H$47:H$87,$AA110,1)*$AB$86)</f>
        <v>0</v>
      </c>
      <c r="AH110" s="484">
        <f>IF(OR($AA110=0,$AA110&gt;40),0,INDEX(Overrides!I$47:I$87,$AA110+1,1)*$AA$85+INDEX(Overrides!I$47:I$87,$AA110,1)*$AB$86)</f>
        <v>0</v>
      </c>
      <c r="AI110" s="484">
        <f>IF(OR($AA110=0,$AA110&gt;40),0,INDEX(Overrides!J$47:J$87,$AA110+1,1)*$AA$85+INDEX(Overrides!J$47:J$87,$AA110,1)*$AB$86)</f>
        <v>0</v>
      </c>
      <c r="AJ110" s="93"/>
      <c r="AK110" s="161">
        <f>B110*'Selected Economics'!$I30*'Sensitivity Ranges'!$F$43</f>
        <v>0</v>
      </c>
      <c r="AL110" s="161">
        <f>IF($AA$84=1,AB110,Q110)*'Selected Economics'!$I30*'Sensitivity Ranges'!$F$43</f>
        <v>0</v>
      </c>
      <c r="AM110" s="161">
        <f>IF($AA$84=1,AC110,R110)*'Selected Economics'!$I30*'Sensitivity Ranges'!$F$43</f>
        <v>0</v>
      </c>
      <c r="AN110" s="161">
        <f>IF($AA$84=1,AD110,S110)*'Selected Economics'!$I30*'Sensitivity Ranges'!$F$43</f>
        <v>0</v>
      </c>
      <c r="AO110" s="161">
        <f>IF($AA$84=1,AE110,T110)*'Selected Economics'!$I30*'Sensitivity Ranges'!$F$43</f>
        <v>0</v>
      </c>
      <c r="AP110" s="161">
        <f>IF($AA$84=1,AF110,U110)*'Selected Economics'!$I30*'Sensitivity Ranges'!$F$43</f>
        <v>0</v>
      </c>
      <c r="AQ110" s="161">
        <f>IF($AA$84=1,AG110,V110)*'Selected Economics'!$I30*'Sensitivity Ranges'!$F$43</f>
        <v>0</v>
      </c>
      <c r="AR110" s="161">
        <f>IF($AA$84=1,AH110,W110)*'Selected Economics'!$I30*'Sensitivity Ranges'!$F$43</f>
        <v>0</v>
      </c>
      <c r="AS110" s="161">
        <f>IF($AA$84=1,AI110,X110)*'Selected Economics'!$I30*'Sensitivity Ranges'!$F$43</f>
        <v>0</v>
      </c>
      <c r="AT110" s="161">
        <f t="shared" si="48"/>
        <v>0</v>
      </c>
      <c r="AU110" s="174"/>
      <c r="AV110" s="161">
        <f t="shared" si="54"/>
        <v>0</v>
      </c>
      <c r="AW110" s="161">
        <f>AL110*Abandonment!$H35</f>
        <v>0</v>
      </c>
      <c r="AX110" s="161">
        <f>AM110*Abandonment!$H35</f>
        <v>0</v>
      </c>
      <c r="AY110" s="161">
        <f>AN110*Abandonment!$H35</f>
        <v>0</v>
      </c>
      <c r="AZ110" s="161">
        <f>AO110*Abandonment!$H35</f>
        <v>0</v>
      </c>
      <c r="BA110" s="161">
        <f>AP110*Abandonment!$H35</f>
        <v>0</v>
      </c>
      <c r="BB110" s="161">
        <f>AQ110*Abandonment!$H35</f>
        <v>0</v>
      </c>
      <c r="BC110" s="161">
        <f>AR110*Abandonment!$H35</f>
        <v>0</v>
      </c>
      <c r="BD110" s="161">
        <f>AS110*Abandonment!$H35</f>
        <v>0</v>
      </c>
      <c r="BE110" s="161">
        <f t="shared" si="49"/>
        <v>0</v>
      </c>
      <c r="BF110" s="174"/>
      <c r="BG110" s="161">
        <f>AW110+Exploration!R54</f>
        <v>0</v>
      </c>
      <c r="BH110" s="161">
        <f>AV110+(AX110+AY110+AZ110+IF(Input!$B$15="Shore",0,Development!BA110)+BB110)*(1+'Cost Assumptions'!$O$100)+BC110</f>
        <v>0</v>
      </c>
      <c r="BI110" s="161">
        <f>IF(Input!$B$15="Shore",Development!BA110,0)*(1+'Cost Assumptions'!$O$100)</f>
        <v>0</v>
      </c>
      <c r="BJ110" s="157"/>
      <c r="BK110" s="157"/>
      <c r="BL110" s="161">
        <f t="shared" si="37"/>
        <v>0</v>
      </c>
      <c r="BM110" s="201"/>
      <c r="BN110" s="157"/>
      <c r="BO110" s="161">
        <f t="shared" si="38"/>
        <v>0</v>
      </c>
      <c r="BP110" s="161">
        <f t="shared" si="39"/>
        <v>0</v>
      </c>
      <c r="BQ110" s="161">
        <f t="shared" si="40"/>
        <v>0</v>
      </c>
      <c r="BR110" s="161">
        <f t="shared" si="41"/>
        <v>0</v>
      </c>
      <c r="BS110" s="161">
        <f t="shared" si="42"/>
        <v>0</v>
      </c>
      <c r="BT110" s="161">
        <f t="shared" si="43"/>
        <v>0</v>
      </c>
      <c r="BU110" s="161">
        <f t="shared" si="44"/>
        <v>0</v>
      </c>
      <c r="BV110" s="161">
        <f t="shared" si="45"/>
        <v>0</v>
      </c>
      <c r="BW110" s="161">
        <f t="shared" si="46"/>
        <v>0</v>
      </c>
      <c r="BX110" s="161">
        <f t="shared" si="50"/>
        <v>0</v>
      </c>
      <c r="BY110" s="161"/>
      <c r="BZ110" s="161">
        <f t="shared" si="51"/>
        <v>0</v>
      </c>
    </row>
    <row r="111" spans="1:78" x14ac:dyDescent="0.3">
      <c r="A111" s="141">
        <f t="shared" si="52"/>
        <v>2032</v>
      </c>
      <c r="B111" s="161">
        <f t="shared" si="32"/>
        <v>0</v>
      </c>
      <c r="C111" s="161">
        <f t="shared" ref="C111:P120" si="56">IF($A111=INDEX($H$41:$N$54,C$86,1),INDEX($O$41:$Y$54,C$86,1),IF($A111=INDEX($H$41:$N$54,C$86,2),INDEX($O$41:$Y$54,C$86,2),IF($A111=INDEX($H$41:$N$54,C$86,3),INDEX($O$41:$Y$54,C$86,3),IF($A111=INDEX($H$41:$N$54,C$86,4),INDEX($O$41:$Y$54,C$86,4),IF($A111=INDEX($H$41:$N$54,C$86,5),INDEX($O$41:$Y$54,C$86,5),IF($A111=INDEX($H$41:$N$54,C$86,6),INDEX($O$41:$Y$54,C$86,6),IF($A111=INDEX($H$41:$N$54,C$86,7),INDEX($O$41:$Y$54,C$86,7),0)))))))/1000</f>
        <v>0</v>
      </c>
      <c r="D111" s="161">
        <f t="shared" si="56"/>
        <v>0</v>
      </c>
      <c r="E111" s="161">
        <f t="shared" si="56"/>
        <v>0</v>
      </c>
      <c r="F111" s="161">
        <f t="shared" si="56"/>
        <v>0</v>
      </c>
      <c r="G111" s="161">
        <f t="shared" si="56"/>
        <v>0</v>
      </c>
      <c r="H111" s="161">
        <f t="shared" si="56"/>
        <v>0</v>
      </c>
      <c r="I111" s="161">
        <f t="shared" si="56"/>
        <v>0</v>
      </c>
      <c r="J111" s="161">
        <f t="shared" si="56"/>
        <v>0</v>
      </c>
      <c r="K111" s="161">
        <f t="shared" si="56"/>
        <v>0</v>
      </c>
      <c r="L111" s="161">
        <f t="shared" si="56"/>
        <v>0</v>
      </c>
      <c r="M111" s="161">
        <f t="shared" si="56"/>
        <v>0</v>
      </c>
      <c r="N111" s="161">
        <f t="shared" si="56"/>
        <v>0</v>
      </c>
      <c r="O111" s="161">
        <f t="shared" si="56"/>
        <v>0</v>
      </c>
      <c r="P111" s="161">
        <f t="shared" si="56"/>
        <v>0</v>
      </c>
      <c r="Q111" s="161">
        <f t="shared" si="47"/>
        <v>0</v>
      </c>
      <c r="R111" s="161">
        <f t="shared" ref="R111:U130" si="57">IF($A111=INDEX($R$74:$U$77,R$86,1),INDEX($V$74:$Y$77,R$86,1),IF($A111=INDEX($R$74:$U$77,R$86,2),INDEX($V$74:$Y$77,R$86,2),IF($A111=INDEX($R$74:$U$77,R$86,3),INDEX($V$74:$Y$77,R$86,3),IF($A111=INDEX($R$74:$U$77,R$86,4),INDEX($V$74:$Y$77,R$86,4),0))))/1000</f>
        <v>0</v>
      </c>
      <c r="S111" s="161">
        <f t="shared" si="57"/>
        <v>0</v>
      </c>
      <c r="T111" s="161">
        <f t="shared" si="57"/>
        <v>0</v>
      </c>
      <c r="U111" s="161">
        <f t="shared" si="57"/>
        <v>0</v>
      </c>
      <c r="V111" s="161">
        <f>'Cost Assumptions'!$O$99*SUM(Development!R111:U111)</f>
        <v>0</v>
      </c>
      <c r="W111" s="161">
        <f t="shared" si="53"/>
        <v>0</v>
      </c>
      <c r="X111" s="161">
        <f>'Cost Assumptions'!$O$100*SUM(Development!R111:V111)</f>
        <v>0</v>
      </c>
      <c r="Y111" s="161">
        <f t="shared" si="35"/>
        <v>0</v>
      </c>
      <c r="Z111" s="174"/>
      <c r="AA111" s="204">
        <f t="shared" si="36"/>
        <v>17</v>
      </c>
      <c r="AB111" s="484">
        <f>IF(OR($AA111=0,$AA111&gt;40),0,INDEX(Overrides!C$47:C$87,$AA111+1,1)*$AA$85+INDEX(Overrides!C$47:C$87,$AA111,1)*$AB$86)</f>
        <v>0</v>
      </c>
      <c r="AC111" s="484">
        <f>IF(OR($AA111=0,$AA111&gt;40),0,INDEX(Overrides!D$47:D$87,$AA111+1,1)*$AA$85+INDEX(Overrides!D$47:D$87,$AA111,1)*$AB$86)</f>
        <v>0</v>
      </c>
      <c r="AD111" s="484">
        <f>IF(OR($AA111=0,$AA111&gt;40),0,INDEX(Overrides!E$47:E$87,$AA111+1,1)*$AA$85+INDEX(Overrides!E$47:E$87,$AA111,1)*$AB$86)</f>
        <v>0</v>
      </c>
      <c r="AE111" s="484">
        <f>IF(OR($AA111=0,$AA111&gt;40),0,INDEX(Overrides!F$47:F$87,$AA111+1,1)*$AA$85+INDEX(Overrides!F$47:F$87,$AA111,1)*$AB$86)</f>
        <v>0</v>
      </c>
      <c r="AF111" s="484">
        <f>IF(OR($AA111=0,$AA111&gt;40),0,INDEX(Overrides!G$47:G$87,$AA111+1,1)*$AA$85+INDEX(Overrides!G$47:G$87,$AA111,1)*$AB$86)</f>
        <v>0</v>
      </c>
      <c r="AG111" s="484">
        <f>IF(OR($AA111=0,$AA111&gt;40),0,INDEX(Overrides!H$47:H$87,$AA111+1,1)*$AA$85+INDEX(Overrides!H$47:H$87,$AA111,1)*$AB$86)</f>
        <v>0</v>
      </c>
      <c r="AH111" s="484">
        <f>IF(OR($AA111=0,$AA111&gt;40),0,INDEX(Overrides!I$47:I$87,$AA111+1,1)*$AA$85+INDEX(Overrides!I$47:I$87,$AA111,1)*$AB$86)</f>
        <v>0</v>
      </c>
      <c r="AI111" s="484">
        <f>IF(OR($AA111=0,$AA111&gt;40),0,INDEX(Overrides!J$47:J$87,$AA111+1,1)*$AA$85+INDEX(Overrides!J$47:J$87,$AA111,1)*$AB$86)</f>
        <v>0</v>
      </c>
      <c r="AJ111" s="93"/>
      <c r="AK111" s="161">
        <f>B111*'Selected Economics'!$I31*'Sensitivity Ranges'!$F$43</f>
        <v>0</v>
      </c>
      <c r="AL111" s="161">
        <f>IF($AA$84=1,AB111,Q111)*'Selected Economics'!$I31*'Sensitivity Ranges'!$F$43</f>
        <v>0</v>
      </c>
      <c r="AM111" s="161">
        <f>IF($AA$84=1,AC111,R111)*'Selected Economics'!$I31*'Sensitivity Ranges'!$F$43</f>
        <v>0</v>
      </c>
      <c r="AN111" s="161">
        <f>IF($AA$84=1,AD111,S111)*'Selected Economics'!$I31*'Sensitivity Ranges'!$F$43</f>
        <v>0</v>
      </c>
      <c r="AO111" s="161">
        <f>IF($AA$84=1,AE111,T111)*'Selected Economics'!$I31*'Sensitivity Ranges'!$F$43</f>
        <v>0</v>
      </c>
      <c r="AP111" s="161">
        <f>IF($AA$84=1,AF111,U111)*'Selected Economics'!$I31*'Sensitivity Ranges'!$F$43</f>
        <v>0</v>
      </c>
      <c r="AQ111" s="161">
        <f>IF($AA$84=1,AG111,V111)*'Selected Economics'!$I31*'Sensitivity Ranges'!$F$43</f>
        <v>0</v>
      </c>
      <c r="AR111" s="161">
        <f>IF($AA$84=1,AH111,W111)*'Selected Economics'!$I31*'Sensitivity Ranges'!$F$43</f>
        <v>0</v>
      </c>
      <c r="AS111" s="161">
        <f>IF($AA$84=1,AI111,X111)*'Selected Economics'!$I31*'Sensitivity Ranges'!$F$43</f>
        <v>0</v>
      </c>
      <c r="AT111" s="161">
        <f t="shared" si="48"/>
        <v>0</v>
      </c>
      <c r="AU111" s="174"/>
      <c r="AV111" s="161">
        <f t="shared" si="54"/>
        <v>0</v>
      </c>
      <c r="AW111" s="161">
        <f>AL111*Abandonment!$H36</f>
        <v>0</v>
      </c>
      <c r="AX111" s="161">
        <f>AM111*Abandonment!$H36</f>
        <v>0</v>
      </c>
      <c r="AY111" s="161">
        <f>AN111*Abandonment!$H36</f>
        <v>0</v>
      </c>
      <c r="AZ111" s="161">
        <f>AO111*Abandonment!$H36</f>
        <v>0</v>
      </c>
      <c r="BA111" s="161">
        <f>AP111*Abandonment!$H36</f>
        <v>0</v>
      </c>
      <c r="BB111" s="161">
        <f>AQ111*Abandonment!$H36</f>
        <v>0</v>
      </c>
      <c r="BC111" s="161">
        <f>AR111*Abandonment!$H36</f>
        <v>0</v>
      </c>
      <c r="BD111" s="161">
        <f>AS111*Abandonment!$H36</f>
        <v>0</v>
      </c>
      <c r="BE111" s="161">
        <f t="shared" si="49"/>
        <v>0</v>
      </c>
      <c r="BF111" s="174"/>
      <c r="BG111" s="161">
        <f>AW111+Exploration!R55</f>
        <v>0</v>
      </c>
      <c r="BH111" s="161">
        <f>AV111+(AX111+AY111+AZ111+IF(Input!$B$15="Shore",0,Development!BA111)+BB111)*(1+'Cost Assumptions'!$O$100)+BC111</f>
        <v>0</v>
      </c>
      <c r="BI111" s="161">
        <f>IF(Input!$B$15="Shore",Development!BA111,0)*(1+'Cost Assumptions'!$O$100)</f>
        <v>0</v>
      </c>
      <c r="BJ111" s="157"/>
      <c r="BK111" s="157"/>
      <c r="BL111" s="161">
        <f t="shared" si="37"/>
        <v>0</v>
      </c>
      <c r="BM111" s="201"/>
      <c r="BN111" s="157"/>
      <c r="BO111" s="161">
        <f t="shared" si="38"/>
        <v>0</v>
      </c>
      <c r="BP111" s="161">
        <f t="shared" si="39"/>
        <v>0</v>
      </c>
      <c r="BQ111" s="161">
        <f t="shared" si="40"/>
        <v>0</v>
      </c>
      <c r="BR111" s="161">
        <f t="shared" si="41"/>
        <v>0</v>
      </c>
      <c r="BS111" s="161">
        <f t="shared" si="42"/>
        <v>0</v>
      </c>
      <c r="BT111" s="161">
        <f t="shared" si="43"/>
        <v>0</v>
      </c>
      <c r="BU111" s="161">
        <f t="shared" si="44"/>
        <v>0</v>
      </c>
      <c r="BV111" s="161">
        <f t="shared" si="45"/>
        <v>0</v>
      </c>
      <c r="BW111" s="161">
        <f t="shared" si="46"/>
        <v>0</v>
      </c>
      <c r="BX111" s="161">
        <f t="shared" si="50"/>
        <v>0</v>
      </c>
      <c r="BY111" s="161"/>
      <c r="BZ111" s="161">
        <f t="shared" si="51"/>
        <v>0</v>
      </c>
    </row>
    <row r="112" spans="1:78" x14ac:dyDescent="0.3">
      <c r="A112" s="141">
        <f t="shared" si="52"/>
        <v>2033</v>
      </c>
      <c r="B112" s="161">
        <f t="shared" si="32"/>
        <v>0</v>
      </c>
      <c r="C112" s="161">
        <f t="shared" si="56"/>
        <v>0</v>
      </c>
      <c r="D112" s="161">
        <f t="shared" si="56"/>
        <v>0</v>
      </c>
      <c r="E112" s="161">
        <f t="shared" si="56"/>
        <v>0</v>
      </c>
      <c r="F112" s="161">
        <f t="shared" si="56"/>
        <v>0</v>
      </c>
      <c r="G112" s="161">
        <f t="shared" si="56"/>
        <v>0</v>
      </c>
      <c r="H112" s="161">
        <f t="shared" si="56"/>
        <v>0</v>
      </c>
      <c r="I112" s="161">
        <f t="shared" si="56"/>
        <v>0</v>
      </c>
      <c r="J112" s="161">
        <f t="shared" si="56"/>
        <v>0</v>
      </c>
      <c r="K112" s="161">
        <f t="shared" si="56"/>
        <v>0</v>
      </c>
      <c r="L112" s="161">
        <f t="shared" si="56"/>
        <v>0</v>
      </c>
      <c r="M112" s="161">
        <f t="shared" si="56"/>
        <v>0</v>
      </c>
      <c r="N112" s="161">
        <f t="shared" si="56"/>
        <v>0</v>
      </c>
      <c r="O112" s="161">
        <f t="shared" si="56"/>
        <v>0</v>
      </c>
      <c r="P112" s="161">
        <f t="shared" si="56"/>
        <v>0</v>
      </c>
      <c r="Q112" s="161">
        <f t="shared" si="47"/>
        <v>0</v>
      </c>
      <c r="R112" s="161">
        <f t="shared" si="57"/>
        <v>0</v>
      </c>
      <c r="S112" s="161">
        <f t="shared" si="57"/>
        <v>0</v>
      </c>
      <c r="T112" s="161">
        <f t="shared" si="57"/>
        <v>0</v>
      </c>
      <c r="U112" s="161">
        <f t="shared" si="57"/>
        <v>0</v>
      </c>
      <c r="V112" s="161">
        <f>'Cost Assumptions'!$O$99*SUM(Development!R112:U112)</f>
        <v>0</v>
      </c>
      <c r="W112" s="161">
        <f t="shared" si="53"/>
        <v>0</v>
      </c>
      <c r="X112" s="161">
        <f>'Cost Assumptions'!$O$100*SUM(Development!R112:V112)</f>
        <v>0</v>
      </c>
      <c r="Y112" s="161">
        <f t="shared" si="35"/>
        <v>0</v>
      </c>
      <c r="Z112" s="174"/>
      <c r="AA112" s="204">
        <f t="shared" si="36"/>
        <v>18</v>
      </c>
      <c r="AB112" s="484">
        <f>IF(OR($AA112=0,$AA112&gt;40),0,INDEX(Overrides!C$47:C$87,$AA112+1,1)*$AA$85+INDEX(Overrides!C$47:C$87,$AA112,1)*$AB$86)</f>
        <v>0</v>
      </c>
      <c r="AC112" s="484">
        <f>IF(OR($AA112=0,$AA112&gt;40),0,INDEX(Overrides!D$47:D$87,$AA112+1,1)*$AA$85+INDEX(Overrides!D$47:D$87,$AA112,1)*$AB$86)</f>
        <v>0</v>
      </c>
      <c r="AD112" s="484">
        <f>IF(OR($AA112=0,$AA112&gt;40),0,INDEX(Overrides!E$47:E$87,$AA112+1,1)*$AA$85+INDEX(Overrides!E$47:E$87,$AA112,1)*$AB$86)</f>
        <v>0</v>
      </c>
      <c r="AE112" s="484">
        <f>IF(OR($AA112=0,$AA112&gt;40),0,INDEX(Overrides!F$47:F$87,$AA112+1,1)*$AA$85+INDEX(Overrides!F$47:F$87,$AA112,1)*$AB$86)</f>
        <v>0</v>
      </c>
      <c r="AF112" s="484">
        <f>IF(OR($AA112=0,$AA112&gt;40),0,INDEX(Overrides!G$47:G$87,$AA112+1,1)*$AA$85+INDEX(Overrides!G$47:G$87,$AA112,1)*$AB$86)</f>
        <v>0</v>
      </c>
      <c r="AG112" s="484">
        <f>IF(OR($AA112=0,$AA112&gt;40),0,INDEX(Overrides!H$47:H$87,$AA112+1,1)*$AA$85+INDEX(Overrides!H$47:H$87,$AA112,1)*$AB$86)</f>
        <v>0</v>
      </c>
      <c r="AH112" s="484">
        <f>IF(OR($AA112=0,$AA112&gt;40),0,INDEX(Overrides!I$47:I$87,$AA112+1,1)*$AA$85+INDEX(Overrides!I$47:I$87,$AA112,1)*$AB$86)</f>
        <v>0</v>
      </c>
      <c r="AI112" s="484">
        <f>IF(OR($AA112=0,$AA112&gt;40),0,INDEX(Overrides!J$47:J$87,$AA112+1,1)*$AA$85+INDEX(Overrides!J$47:J$87,$AA112,1)*$AB$86)</f>
        <v>0</v>
      </c>
      <c r="AJ112" s="93"/>
      <c r="AK112" s="161">
        <f>B112*'Selected Economics'!$I32*'Sensitivity Ranges'!$F$43</f>
        <v>0</v>
      </c>
      <c r="AL112" s="161">
        <f>IF($AA$84=1,AB112,Q112)*'Selected Economics'!$I32*'Sensitivity Ranges'!$F$43</f>
        <v>0</v>
      </c>
      <c r="AM112" s="161">
        <f>IF($AA$84=1,AC112,R112)*'Selected Economics'!$I32*'Sensitivity Ranges'!$F$43</f>
        <v>0</v>
      </c>
      <c r="AN112" s="161">
        <f>IF($AA$84=1,AD112,S112)*'Selected Economics'!$I32*'Sensitivity Ranges'!$F$43</f>
        <v>0</v>
      </c>
      <c r="AO112" s="161">
        <f>IF($AA$84=1,AE112,T112)*'Selected Economics'!$I32*'Sensitivity Ranges'!$F$43</f>
        <v>0</v>
      </c>
      <c r="AP112" s="161">
        <f>IF($AA$84=1,AF112,U112)*'Selected Economics'!$I32*'Sensitivity Ranges'!$F$43</f>
        <v>0</v>
      </c>
      <c r="AQ112" s="161">
        <f>IF($AA$84=1,AG112,V112)*'Selected Economics'!$I32*'Sensitivity Ranges'!$F$43</f>
        <v>0</v>
      </c>
      <c r="AR112" s="161">
        <f>IF($AA$84=1,AH112,W112)*'Selected Economics'!$I32*'Sensitivity Ranges'!$F$43</f>
        <v>0</v>
      </c>
      <c r="AS112" s="161">
        <f>IF($AA$84=1,AI112,X112)*'Selected Economics'!$I32*'Sensitivity Ranges'!$F$43</f>
        <v>0</v>
      </c>
      <c r="AT112" s="161">
        <f t="shared" si="48"/>
        <v>0</v>
      </c>
      <c r="AU112" s="174"/>
      <c r="AV112" s="161">
        <f t="shared" si="54"/>
        <v>0</v>
      </c>
      <c r="AW112" s="161">
        <f>AL112*Abandonment!$H37</f>
        <v>0</v>
      </c>
      <c r="AX112" s="161">
        <f>AM112*Abandonment!$H37</f>
        <v>0</v>
      </c>
      <c r="AY112" s="161">
        <f>AN112*Abandonment!$H37</f>
        <v>0</v>
      </c>
      <c r="AZ112" s="161">
        <f>AO112*Abandonment!$H37</f>
        <v>0</v>
      </c>
      <c r="BA112" s="161">
        <f>AP112*Abandonment!$H37</f>
        <v>0</v>
      </c>
      <c r="BB112" s="161">
        <f>AQ112*Abandonment!$H37</f>
        <v>0</v>
      </c>
      <c r="BC112" s="161">
        <f>AR112*Abandonment!$H37</f>
        <v>0</v>
      </c>
      <c r="BD112" s="161">
        <f>AS112*Abandonment!$H37</f>
        <v>0</v>
      </c>
      <c r="BE112" s="161">
        <f t="shared" si="49"/>
        <v>0</v>
      </c>
      <c r="BF112" s="174"/>
      <c r="BG112" s="161">
        <f>AW112+Exploration!R56</f>
        <v>0</v>
      </c>
      <c r="BH112" s="161">
        <f>AV112+(AX112+AY112+AZ112+IF(Input!$B$15="Shore",0,Development!BA112)+BB112)*(1+'Cost Assumptions'!$O$100)+BC112</f>
        <v>0</v>
      </c>
      <c r="BI112" s="161">
        <f>IF(Input!$B$15="Shore",Development!BA112,0)*(1+'Cost Assumptions'!$O$100)</f>
        <v>0</v>
      </c>
      <c r="BJ112" s="157"/>
      <c r="BK112" s="157"/>
      <c r="BL112" s="161">
        <f t="shared" si="37"/>
        <v>0</v>
      </c>
      <c r="BM112" s="201"/>
      <c r="BN112" s="157"/>
      <c r="BO112" s="161">
        <f t="shared" si="38"/>
        <v>0</v>
      </c>
      <c r="BP112" s="161">
        <f t="shared" si="39"/>
        <v>0</v>
      </c>
      <c r="BQ112" s="161">
        <f t="shared" si="40"/>
        <v>0</v>
      </c>
      <c r="BR112" s="161">
        <f t="shared" si="41"/>
        <v>0</v>
      </c>
      <c r="BS112" s="161">
        <f t="shared" si="42"/>
        <v>0</v>
      </c>
      <c r="BT112" s="161">
        <f t="shared" si="43"/>
        <v>0</v>
      </c>
      <c r="BU112" s="161">
        <f t="shared" si="44"/>
        <v>0</v>
      </c>
      <c r="BV112" s="161">
        <f t="shared" si="45"/>
        <v>0</v>
      </c>
      <c r="BW112" s="161">
        <f t="shared" si="46"/>
        <v>0</v>
      </c>
      <c r="BX112" s="161">
        <f t="shared" si="50"/>
        <v>0</v>
      </c>
      <c r="BY112" s="161"/>
      <c r="BZ112" s="161">
        <f t="shared" si="51"/>
        <v>0</v>
      </c>
    </row>
    <row r="113" spans="1:78" x14ac:dyDescent="0.3">
      <c r="A113" s="141">
        <f t="shared" si="52"/>
        <v>2034</v>
      </c>
      <c r="B113" s="161">
        <f t="shared" si="32"/>
        <v>0</v>
      </c>
      <c r="C113" s="161">
        <f t="shared" si="56"/>
        <v>0</v>
      </c>
      <c r="D113" s="161">
        <f t="shared" si="56"/>
        <v>0</v>
      </c>
      <c r="E113" s="161">
        <f t="shared" si="56"/>
        <v>0</v>
      </c>
      <c r="F113" s="161">
        <f t="shared" si="56"/>
        <v>0</v>
      </c>
      <c r="G113" s="161">
        <f t="shared" si="56"/>
        <v>0</v>
      </c>
      <c r="H113" s="161">
        <f t="shared" si="56"/>
        <v>0</v>
      </c>
      <c r="I113" s="161">
        <f t="shared" si="56"/>
        <v>0</v>
      </c>
      <c r="J113" s="161">
        <f t="shared" si="56"/>
        <v>0</v>
      </c>
      <c r="K113" s="161">
        <f t="shared" si="56"/>
        <v>0</v>
      </c>
      <c r="L113" s="161">
        <f t="shared" si="56"/>
        <v>0</v>
      </c>
      <c r="M113" s="161">
        <f t="shared" si="56"/>
        <v>0</v>
      </c>
      <c r="N113" s="161">
        <f t="shared" si="56"/>
        <v>0</v>
      </c>
      <c r="O113" s="161">
        <f t="shared" si="56"/>
        <v>0</v>
      </c>
      <c r="P113" s="161">
        <f t="shared" si="56"/>
        <v>0</v>
      </c>
      <c r="Q113" s="161">
        <f t="shared" si="47"/>
        <v>0</v>
      </c>
      <c r="R113" s="161">
        <f t="shared" si="57"/>
        <v>0</v>
      </c>
      <c r="S113" s="161">
        <f t="shared" si="57"/>
        <v>0</v>
      </c>
      <c r="T113" s="161">
        <f t="shared" si="57"/>
        <v>0</v>
      </c>
      <c r="U113" s="161">
        <f t="shared" si="57"/>
        <v>0</v>
      </c>
      <c r="V113" s="161">
        <f>'Cost Assumptions'!$O$99*SUM(Development!R113:U113)</f>
        <v>0</v>
      </c>
      <c r="W113" s="161">
        <f t="shared" si="53"/>
        <v>0</v>
      </c>
      <c r="X113" s="161">
        <f>'Cost Assumptions'!$O$100*SUM(Development!R113:V113)</f>
        <v>0</v>
      </c>
      <c r="Y113" s="161">
        <f t="shared" si="35"/>
        <v>0</v>
      </c>
      <c r="Z113" s="174"/>
      <c r="AA113" s="204">
        <f t="shared" si="36"/>
        <v>19</v>
      </c>
      <c r="AB113" s="484">
        <f>IF(OR($AA113=0,$AA113&gt;40),0,INDEX(Overrides!C$47:C$87,$AA113+1,1)*$AA$85+INDEX(Overrides!C$47:C$87,$AA113,1)*$AB$86)</f>
        <v>0</v>
      </c>
      <c r="AC113" s="484">
        <f>IF(OR($AA113=0,$AA113&gt;40),0,INDEX(Overrides!D$47:D$87,$AA113+1,1)*$AA$85+INDEX(Overrides!D$47:D$87,$AA113,1)*$AB$86)</f>
        <v>0</v>
      </c>
      <c r="AD113" s="484">
        <f>IF(OR($AA113=0,$AA113&gt;40),0,INDEX(Overrides!E$47:E$87,$AA113+1,1)*$AA$85+INDEX(Overrides!E$47:E$87,$AA113,1)*$AB$86)</f>
        <v>0</v>
      </c>
      <c r="AE113" s="484">
        <f>IF(OR($AA113=0,$AA113&gt;40),0,INDEX(Overrides!F$47:F$87,$AA113+1,1)*$AA$85+INDEX(Overrides!F$47:F$87,$AA113,1)*$AB$86)</f>
        <v>0</v>
      </c>
      <c r="AF113" s="484">
        <f>IF(OR($AA113=0,$AA113&gt;40),0,INDEX(Overrides!G$47:G$87,$AA113+1,1)*$AA$85+INDEX(Overrides!G$47:G$87,$AA113,1)*$AB$86)</f>
        <v>0</v>
      </c>
      <c r="AG113" s="484">
        <f>IF(OR($AA113=0,$AA113&gt;40),0,INDEX(Overrides!H$47:H$87,$AA113+1,1)*$AA$85+INDEX(Overrides!H$47:H$87,$AA113,1)*$AB$86)</f>
        <v>0</v>
      </c>
      <c r="AH113" s="484">
        <f>IF(OR($AA113=0,$AA113&gt;40),0,INDEX(Overrides!I$47:I$87,$AA113+1,1)*$AA$85+INDEX(Overrides!I$47:I$87,$AA113,1)*$AB$86)</f>
        <v>0</v>
      </c>
      <c r="AI113" s="484">
        <f>IF(OR($AA113=0,$AA113&gt;40),0,INDEX(Overrides!J$47:J$87,$AA113+1,1)*$AA$85+INDEX(Overrides!J$47:J$87,$AA113,1)*$AB$86)</f>
        <v>0</v>
      </c>
      <c r="AJ113" s="93"/>
      <c r="AK113" s="161">
        <f>B113*'Selected Economics'!$I33*'Sensitivity Ranges'!$F$43</f>
        <v>0</v>
      </c>
      <c r="AL113" s="161">
        <f>IF($AA$84=1,AB113,Q113)*'Selected Economics'!$I33*'Sensitivity Ranges'!$F$43</f>
        <v>0</v>
      </c>
      <c r="AM113" s="161">
        <f>IF($AA$84=1,AC113,R113)*'Selected Economics'!$I33*'Sensitivity Ranges'!$F$43</f>
        <v>0</v>
      </c>
      <c r="AN113" s="161">
        <f>IF($AA$84=1,AD113,S113)*'Selected Economics'!$I33*'Sensitivity Ranges'!$F$43</f>
        <v>0</v>
      </c>
      <c r="AO113" s="161">
        <f>IF($AA$84=1,AE113,T113)*'Selected Economics'!$I33*'Sensitivity Ranges'!$F$43</f>
        <v>0</v>
      </c>
      <c r="AP113" s="161">
        <f>IF($AA$84=1,AF113,U113)*'Selected Economics'!$I33*'Sensitivity Ranges'!$F$43</f>
        <v>0</v>
      </c>
      <c r="AQ113" s="161">
        <f>IF($AA$84=1,AG113,V113)*'Selected Economics'!$I33*'Sensitivity Ranges'!$F$43</f>
        <v>0</v>
      </c>
      <c r="AR113" s="161">
        <f>IF($AA$84=1,AH113,W113)*'Selected Economics'!$I33*'Sensitivity Ranges'!$F$43</f>
        <v>0</v>
      </c>
      <c r="AS113" s="161">
        <f>IF($AA$84=1,AI113,X113)*'Selected Economics'!$I33*'Sensitivity Ranges'!$F$43</f>
        <v>0</v>
      </c>
      <c r="AT113" s="161">
        <f t="shared" si="48"/>
        <v>0</v>
      </c>
      <c r="AU113" s="174"/>
      <c r="AV113" s="161">
        <f t="shared" si="54"/>
        <v>0</v>
      </c>
      <c r="AW113" s="161">
        <f>AL113*Abandonment!$H38</f>
        <v>0</v>
      </c>
      <c r="AX113" s="161">
        <f>AM113*Abandonment!$H38</f>
        <v>0</v>
      </c>
      <c r="AY113" s="161">
        <f>AN113*Abandonment!$H38</f>
        <v>0</v>
      </c>
      <c r="AZ113" s="161">
        <f>AO113*Abandonment!$H38</f>
        <v>0</v>
      </c>
      <c r="BA113" s="161">
        <f>AP113*Abandonment!$H38</f>
        <v>0</v>
      </c>
      <c r="BB113" s="161">
        <f>AQ113*Abandonment!$H38</f>
        <v>0</v>
      </c>
      <c r="BC113" s="161">
        <f>AR113*Abandonment!$H38</f>
        <v>0</v>
      </c>
      <c r="BD113" s="161">
        <f>AS113*Abandonment!$H38</f>
        <v>0</v>
      </c>
      <c r="BE113" s="161">
        <f t="shared" si="49"/>
        <v>0</v>
      </c>
      <c r="BF113" s="174"/>
      <c r="BG113" s="161">
        <f>AW113+Exploration!R57</f>
        <v>0</v>
      </c>
      <c r="BH113" s="161">
        <f>AV113+(AX113+AY113+AZ113+IF(Input!$B$15="Shore",0,Development!BA113)+BB113)*(1+'Cost Assumptions'!$O$100)+BC113</f>
        <v>0</v>
      </c>
      <c r="BI113" s="161">
        <f>IF(Input!$B$15="Shore",Development!BA113,0)*(1+'Cost Assumptions'!$O$100)</f>
        <v>0</v>
      </c>
      <c r="BJ113" s="157"/>
      <c r="BK113" s="157"/>
      <c r="BL113" s="161">
        <f t="shared" si="37"/>
        <v>0</v>
      </c>
      <c r="BM113" s="201"/>
      <c r="BN113" s="157"/>
      <c r="BO113" s="161">
        <f t="shared" si="38"/>
        <v>0</v>
      </c>
      <c r="BP113" s="161">
        <f t="shared" si="39"/>
        <v>0</v>
      </c>
      <c r="BQ113" s="161">
        <f t="shared" si="40"/>
        <v>0</v>
      </c>
      <c r="BR113" s="161">
        <f t="shared" si="41"/>
        <v>0</v>
      </c>
      <c r="BS113" s="161">
        <f t="shared" si="42"/>
        <v>0</v>
      </c>
      <c r="BT113" s="161">
        <f t="shared" si="43"/>
        <v>0</v>
      </c>
      <c r="BU113" s="161">
        <f t="shared" si="44"/>
        <v>0</v>
      </c>
      <c r="BV113" s="161">
        <f t="shared" si="45"/>
        <v>0</v>
      </c>
      <c r="BW113" s="161">
        <f t="shared" si="46"/>
        <v>0</v>
      </c>
      <c r="BX113" s="161">
        <f t="shared" si="50"/>
        <v>0</v>
      </c>
      <c r="BY113" s="161"/>
      <c r="BZ113" s="161">
        <f t="shared" si="51"/>
        <v>0</v>
      </c>
    </row>
    <row r="114" spans="1:78" x14ac:dyDescent="0.3">
      <c r="A114" s="141">
        <f t="shared" si="52"/>
        <v>2035</v>
      </c>
      <c r="B114" s="161">
        <f t="shared" si="32"/>
        <v>0</v>
      </c>
      <c r="C114" s="161">
        <f t="shared" si="56"/>
        <v>0</v>
      </c>
      <c r="D114" s="161">
        <f t="shared" si="56"/>
        <v>0</v>
      </c>
      <c r="E114" s="161">
        <f t="shared" si="56"/>
        <v>0</v>
      </c>
      <c r="F114" s="161">
        <f t="shared" si="56"/>
        <v>0</v>
      </c>
      <c r="G114" s="161">
        <f t="shared" si="56"/>
        <v>0</v>
      </c>
      <c r="H114" s="161">
        <f t="shared" si="56"/>
        <v>0</v>
      </c>
      <c r="I114" s="161">
        <f t="shared" si="56"/>
        <v>0</v>
      </c>
      <c r="J114" s="161">
        <f t="shared" si="56"/>
        <v>0</v>
      </c>
      <c r="K114" s="161">
        <f t="shared" si="56"/>
        <v>0</v>
      </c>
      <c r="L114" s="161">
        <f t="shared" si="56"/>
        <v>0</v>
      </c>
      <c r="M114" s="161">
        <f t="shared" si="56"/>
        <v>0</v>
      </c>
      <c r="N114" s="161">
        <f t="shared" si="56"/>
        <v>0</v>
      </c>
      <c r="O114" s="161">
        <f t="shared" si="56"/>
        <v>0</v>
      </c>
      <c r="P114" s="161">
        <f t="shared" si="56"/>
        <v>0</v>
      </c>
      <c r="Q114" s="161">
        <f t="shared" si="47"/>
        <v>0</v>
      </c>
      <c r="R114" s="161">
        <f t="shared" si="57"/>
        <v>0</v>
      </c>
      <c r="S114" s="161">
        <f t="shared" si="57"/>
        <v>0</v>
      </c>
      <c r="T114" s="161">
        <f t="shared" si="57"/>
        <v>0</v>
      </c>
      <c r="U114" s="161">
        <f t="shared" si="57"/>
        <v>0</v>
      </c>
      <c r="V114" s="161">
        <f>'Cost Assumptions'!$O$99*SUM(Development!R114:U114)</f>
        <v>0</v>
      </c>
      <c r="W114" s="161">
        <f t="shared" si="53"/>
        <v>0</v>
      </c>
      <c r="X114" s="161">
        <f>'Cost Assumptions'!$O$100*SUM(Development!R114:V114)</f>
        <v>0</v>
      </c>
      <c r="Y114" s="161">
        <f t="shared" si="35"/>
        <v>0</v>
      </c>
      <c r="Z114" s="174"/>
      <c r="AA114" s="204">
        <f t="shared" si="36"/>
        <v>20</v>
      </c>
      <c r="AB114" s="484">
        <f>IF(OR($AA114=0,$AA114&gt;40),0,INDEX(Overrides!C$47:C$87,$AA114+1,1)*$AA$85+INDEX(Overrides!C$47:C$87,$AA114,1)*$AB$86)</f>
        <v>0</v>
      </c>
      <c r="AC114" s="484">
        <f>IF(OR($AA114=0,$AA114&gt;40),0,INDEX(Overrides!D$47:D$87,$AA114+1,1)*$AA$85+INDEX(Overrides!D$47:D$87,$AA114,1)*$AB$86)</f>
        <v>0</v>
      </c>
      <c r="AD114" s="484">
        <f>IF(OR($AA114=0,$AA114&gt;40),0,INDEX(Overrides!E$47:E$87,$AA114+1,1)*$AA$85+INDEX(Overrides!E$47:E$87,$AA114,1)*$AB$86)</f>
        <v>0</v>
      </c>
      <c r="AE114" s="484">
        <f>IF(OR($AA114=0,$AA114&gt;40),0,INDEX(Overrides!F$47:F$87,$AA114+1,1)*$AA$85+INDEX(Overrides!F$47:F$87,$AA114,1)*$AB$86)</f>
        <v>0</v>
      </c>
      <c r="AF114" s="484">
        <f>IF(OR($AA114=0,$AA114&gt;40),0,INDEX(Overrides!G$47:G$87,$AA114+1,1)*$AA$85+INDEX(Overrides!G$47:G$87,$AA114,1)*$AB$86)</f>
        <v>0</v>
      </c>
      <c r="AG114" s="484">
        <f>IF(OR($AA114=0,$AA114&gt;40),0,INDEX(Overrides!H$47:H$87,$AA114+1,1)*$AA$85+INDEX(Overrides!H$47:H$87,$AA114,1)*$AB$86)</f>
        <v>0</v>
      </c>
      <c r="AH114" s="484">
        <f>IF(OR($AA114=0,$AA114&gt;40),0,INDEX(Overrides!I$47:I$87,$AA114+1,1)*$AA$85+INDEX(Overrides!I$47:I$87,$AA114,1)*$AB$86)</f>
        <v>0</v>
      </c>
      <c r="AI114" s="484">
        <f>IF(OR($AA114=0,$AA114&gt;40),0,INDEX(Overrides!J$47:J$87,$AA114+1,1)*$AA$85+INDEX(Overrides!J$47:J$87,$AA114,1)*$AB$86)</f>
        <v>0</v>
      </c>
      <c r="AJ114" s="93"/>
      <c r="AK114" s="161">
        <f>B114*'Selected Economics'!$I34*'Sensitivity Ranges'!$F$43</f>
        <v>0</v>
      </c>
      <c r="AL114" s="161">
        <f>IF($AA$84=1,AB114,Q114)*'Selected Economics'!$I34*'Sensitivity Ranges'!$F$43</f>
        <v>0</v>
      </c>
      <c r="AM114" s="161">
        <f>IF($AA$84=1,AC114,R114)*'Selected Economics'!$I34*'Sensitivity Ranges'!$F$43</f>
        <v>0</v>
      </c>
      <c r="AN114" s="161">
        <f>IF($AA$84=1,AD114,S114)*'Selected Economics'!$I34*'Sensitivity Ranges'!$F$43</f>
        <v>0</v>
      </c>
      <c r="AO114" s="161">
        <f>IF($AA$84=1,AE114,T114)*'Selected Economics'!$I34*'Sensitivity Ranges'!$F$43</f>
        <v>0</v>
      </c>
      <c r="AP114" s="161">
        <f>IF($AA$84=1,AF114,U114)*'Selected Economics'!$I34*'Sensitivity Ranges'!$F$43</f>
        <v>0</v>
      </c>
      <c r="AQ114" s="161">
        <f>IF($AA$84=1,AG114,V114)*'Selected Economics'!$I34*'Sensitivity Ranges'!$F$43</f>
        <v>0</v>
      </c>
      <c r="AR114" s="161">
        <f>IF($AA$84=1,AH114,W114)*'Selected Economics'!$I34*'Sensitivity Ranges'!$F$43</f>
        <v>0</v>
      </c>
      <c r="AS114" s="161">
        <f>IF($AA$84=1,AI114,X114)*'Selected Economics'!$I34*'Sensitivity Ranges'!$F$43</f>
        <v>0</v>
      </c>
      <c r="AT114" s="161">
        <f t="shared" si="48"/>
        <v>0</v>
      </c>
      <c r="AU114" s="174"/>
      <c r="AV114" s="161">
        <f t="shared" si="54"/>
        <v>0</v>
      </c>
      <c r="AW114" s="161">
        <f>AL114*Abandonment!$H39</f>
        <v>0</v>
      </c>
      <c r="AX114" s="161">
        <f>AM114*Abandonment!$H39</f>
        <v>0</v>
      </c>
      <c r="AY114" s="161">
        <f>AN114*Abandonment!$H39</f>
        <v>0</v>
      </c>
      <c r="AZ114" s="161">
        <f>AO114*Abandonment!$H39</f>
        <v>0</v>
      </c>
      <c r="BA114" s="161">
        <f>AP114*Abandonment!$H39</f>
        <v>0</v>
      </c>
      <c r="BB114" s="161">
        <f>AQ114*Abandonment!$H39</f>
        <v>0</v>
      </c>
      <c r="BC114" s="161">
        <f>AR114*Abandonment!$H39</f>
        <v>0</v>
      </c>
      <c r="BD114" s="161">
        <f>AS114*Abandonment!$H39</f>
        <v>0</v>
      </c>
      <c r="BE114" s="161">
        <f t="shared" si="49"/>
        <v>0</v>
      </c>
      <c r="BF114" s="174"/>
      <c r="BG114" s="161">
        <f>AW114+Exploration!R58</f>
        <v>0</v>
      </c>
      <c r="BH114" s="161">
        <f>AV114+(AX114+AY114+AZ114+IF(Input!$B$15="Shore",0,Development!BA114)+BB114)*(1+'Cost Assumptions'!$O$100)+BC114</f>
        <v>0</v>
      </c>
      <c r="BI114" s="161">
        <f>IF(Input!$B$15="Shore",Development!BA114,0)*(1+'Cost Assumptions'!$O$100)</f>
        <v>0</v>
      </c>
      <c r="BJ114" s="157"/>
      <c r="BK114" s="157"/>
      <c r="BL114" s="161">
        <f t="shared" si="37"/>
        <v>0</v>
      </c>
      <c r="BM114" s="201"/>
      <c r="BN114" s="157"/>
      <c r="BO114" s="161">
        <f t="shared" si="38"/>
        <v>0</v>
      </c>
      <c r="BP114" s="161">
        <f t="shared" si="39"/>
        <v>0</v>
      </c>
      <c r="BQ114" s="161">
        <f t="shared" si="40"/>
        <v>0</v>
      </c>
      <c r="BR114" s="161">
        <f t="shared" si="41"/>
        <v>0</v>
      </c>
      <c r="BS114" s="161">
        <f t="shared" si="42"/>
        <v>0</v>
      </c>
      <c r="BT114" s="161">
        <f t="shared" si="43"/>
        <v>0</v>
      </c>
      <c r="BU114" s="161">
        <f t="shared" si="44"/>
        <v>0</v>
      </c>
      <c r="BV114" s="161">
        <f t="shared" si="45"/>
        <v>0</v>
      </c>
      <c r="BW114" s="161">
        <f t="shared" si="46"/>
        <v>0</v>
      </c>
      <c r="BX114" s="161">
        <f t="shared" si="50"/>
        <v>0</v>
      </c>
      <c r="BY114" s="161"/>
      <c r="BZ114" s="161">
        <f t="shared" si="51"/>
        <v>0</v>
      </c>
    </row>
    <row r="115" spans="1:78" x14ac:dyDescent="0.3">
      <c r="A115" s="141">
        <f t="shared" si="52"/>
        <v>2036</v>
      </c>
      <c r="B115" s="161">
        <f t="shared" si="32"/>
        <v>0</v>
      </c>
      <c r="C115" s="161">
        <f t="shared" si="56"/>
        <v>0</v>
      </c>
      <c r="D115" s="161">
        <f t="shared" si="56"/>
        <v>0</v>
      </c>
      <c r="E115" s="161">
        <f t="shared" si="56"/>
        <v>0</v>
      </c>
      <c r="F115" s="161">
        <f t="shared" si="56"/>
        <v>0</v>
      </c>
      <c r="G115" s="161">
        <f t="shared" si="56"/>
        <v>0</v>
      </c>
      <c r="H115" s="161">
        <f t="shared" si="56"/>
        <v>0</v>
      </c>
      <c r="I115" s="161">
        <f t="shared" si="56"/>
        <v>0</v>
      </c>
      <c r="J115" s="161">
        <f t="shared" si="56"/>
        <v>0</v>
      </c>
      <c r="K115" s="161">
        <f t="shared" si="56"/>
        <v>0</v>
      </c>
      <c r="L115" s="161">
        <f t="shared" si="56"/>
        <v>0</v>
      </c>
      <c r="M115" s="161">
        <f t="shared" si="56"/>
        <v>0</v>
      </c>
      <c r="N115" s="161">
        <f t="shared" si="56"/>
        <v>0</v>
      </c>
      <c r="O115" s="161">
        <f t="shared" si="56"/>
        <v>0</v>
      </c>
      <c r="P115" s="161">
        <f t="shared" si="56"/>
        <v>0</v>
      </c>
      <c r="Q115" s="161">
        <f t="shared" si="47"/>
        <v>0</v>
      </c>
      <c r="R115" s="161">
        <f t="shared" si="57"/>
        <v>0</v>
      </c>
      <c r="S115" s="161">
        <f t="shared" si="57"/>
        <v>0</v>
      </c>
      <c r="T115" s="161">
        <f t="shared" si="57"/>
        <v>0</v>
      </c>
      <c r="U115" s="161">
        <f t="shared" si="57"/>
        <v>0</v>
      </c>
      <c r="V115" s="161">
        <f>'Cost Assumptions'!$O$99*SUM(Development!R115:U115)</f>
        <v>0</v>
      </c>
      <c r="W115" s="161">
        <f t="shared" si="53"/>
        <v>0</v>
      </c>
      <c r="X115" s="161">
        <f>'Cost Assumptions'!$O$100*SUM(Development!R115:V115)</f>
        <v>0</v>
      </c>
      <c r="Y115" s="161">
        <f t="shared" si="35"/>
        <v>0</v>
      </c>
      <c r="Z115" s="174"/>
      <c r="AA115" s="204">
        <f t="shared" si="36"/>
        <v>21</v>
      </c>
      <c r="AB115" s="484">
        <f>IF(OR($AA115=0,$AA115&gt;40),0,INDEX(Overrides!C$47:C$87,$AA115+1,1)*$AA$85+INDEX(Overrides!C$47:C$87,$AA115,1)*$AB$86)</f>
        <v>0</v>
      </c>
      <c r="AC115" s="484">
        <f>IF(OR($AA115=0,$AA115&gt;40),0,INDEX(Overrides!D$47:D$87,$AA115+1,1)*$AA$85+INDEX(Overrides!D$47:D$87,$AA115,1)*$AB$86)</f>
        <v>0</v>
      </c>
      <c r="AD115" s="484">
        <f>IF(OR($AA115=0,$AA115&gt;40),0,INDEX(Overrides!E$47:E$87,$AA115+1,1)*$AA$85+INDEX(Overrides!E$47:E$87,$AA115,1)*$AB$86)</f>
        <v>0</v>
      </c>
      <c r="AE115" s="484">
        <f>IF(OR($AA115=0,$AA115&gt;40),0,INDEX(Overrides!F$47:F$87,$AA115+1,1)*$AA$85+INDEX(Overrides!F$47:F$87,$AA115,1)*$AB$86)</f>
        <v>0</v>
      </c>
      <c r="AF115" s="484">
        <f>IF(OR($AA115=0,$AA115&gt;40),0,INDEX(Overrides!G$47:G$87,$AA115+1,1)*$AA$85+INDEX(Overrides!G$47:G$87,$AA115,1)*$AB$86)</f>
        <v>0</v>
      </c>
      <c r="AG115" s="484">
        <f>IF(OR($AA115=0,$AA115&gt;40),0,INDEX(Overrides!H$47:H$87,$AA115+1,1)*$AA$85+INDEX(Overrides!H$47:H$87,$AA115,1)*$AB$86)</f>
        <v>0</v>
      </c>
      <c r="AH115" s="484">
        <f>IF(OR($AA115=0,$AA115&gt;40),0,INDEX(Overrides!I$47:I$87,$AA115+1,1)*$AA$85+INDEX(Overrides!I$47:I$87,$AA115,1)*$AB$86)</f>
        <v>0</v>
      </c>
      <c r="AI115" s="484">
        <f>IF(OR($AA115=0,$AA115&gt;40),0,INDEX(Overrides!J$47:J$87,$AA115+1,1)*$AA$85+INDEX(Overrides!J$47:J$87,$AA115,1)*$AB$86)</f>
        <v>0</v>
      </c>
      <c r="AJ115" s="93"/>
      <c r="AK115" s="161">
        <f>B115*'Selected Economics'!$I35*'Sensitivity Ranges'!$F$43</f>
        <v>0</v>
      </c>
      <c r="AL115" s="161">
        <f>IF($AA$84=1,AB115,Q115)*'Selected Economics'!$I35*'Sensitivity Ranges'!$F$43</f>
        <v>0</v>
      </c>
      <c r="AM115" s="161">
        <f>IF($AA$84=1,AC115,R115)*'Selected Economics'!$I35*'Sensitivity Ranges'!$F$43</f>
        <v>0</v>
      </c>
      <c r="AN115" s="161">
        <f>IF($AA$84=1,AD115,S115)*'Selected Economics'!$I35*'Sensitivity Ranges'!$F$43</f>
        <v>0</v>
      </c>
      <c r="AO115" s="161">
        <f>IF($AA$84=1,AE115,T115)*'Selected Economics'!$I35*'Sensitivity Ranges'!$F$43</f>
        <v>0</v>
      </c>
      <c r="AP115" s="161">
        <f>IF($AA$84=1,AF115,U115)*'Selected Economics'!$I35*'Sensitivity Ranges'!$F$43</f>
        <v>0</v>
      </c>
      <c r="AQ115" s="161">
        <f>IF($AA$84=1,AG115,V115)*'Selected Economics'!$I35*'Sensitivity Ranges'!$F$43</f>
        <v>0</v>
      </c>
      <c r="AR115" s="161">
        <f>IF($AA$84=1,AH115,W115)*'Selected Economics'!$I35*'Sensitivity Ranges'!$F$43</f>
        <v>0</v>
      </c>
      <c r="AS115" s="161">
        <f>IF($AA$84=1,AI115,X115)*'Selected Economics'!$I35*'Sensitivity Ranges'!$F$43</f>
        <v>0</v>
      </c>
      <c r="AT115" s="161">
        <f t="shared" si="48"/>
        <v>0</v>
      </c>
      <c r="AU115" s="174"/>
      <c r="AV115" s="161">
        <f t="shared" si="54"/>
        <v>0</v>
      </c>
      <c r="AW115" s="161">
        <f>AL115*Abandonment!$H40</f>
        <v>0</v>
      </c>
      <c r="AX115" s="161">
        <f>AM115*Abandonment!$H40</f>
        <v>0</v>
      </c>
      <c r="AY115" s="161">
        <f>AN115*Abandonment!$H40</f>
        <v>0</v>
      </c>
      <c r="AZ115" s="161">
        <f>AO115*Abandonment!$H40</f>
        <v>0</v>
      </c>
      <c r="BA115" s="161">
        <f>AP115*Abandonment!$H40</f>
        <v>0</v>
      </c>
      <c r="BB115" s="161">
        <f>AQ115*Abandonment!$H40</f>
        <v>0</v>
      </c>
      <c r="BC115" s="161">
        <f>AR115*Abandonment!$H40</f>
        <v>0</v>
      </c>
      <c r="BD115" s="161">
        <f>AS115*Abandonment!$H40</f>
        <v>0</v>
      </c>
      <c r="BE115" s="161">
        <f t="shared" si="49"/>
        <v>0</v>
      </c>
      <c r="BF115" s="174"/>
      <c r="BG115" s="161">
        <f>AW115+Exploration!R59</f>
        <v>0</v>
      </c>
      <c r="BH115" s="161">
        <f>AV115+(AX115+AY115+AZ115+IF(Input!$B$15="Shore",0,Development!BA115)+BB115)*(1+'Cost Assumptions'!$O$100)+BC115</f>
        <v>0</v>
      </c>
      <c r="BI115" s="161">
        <f>IF(Input!$B$15="Shore",Development!BA115,0)*(1+'Cost Assumptions'!$O$100)</f>
        <v>0</v>
      </c>
      <c r="BJ115" s="157"/>
      <c r="BK115" s="157"/>
      <c r="BL115" s="161">
        <f t="shared" si="37"/>
        <v>0</v>
      </c>
      <c r="BM115" s="201"/>
      <c r="BN115" s="157"/>
      <c r="BO115" s="161">
        <f t="shared" si="38"/>
        <v>0</v>
      </c>
      <c r="BP115" s="161">
        <f t="shared" si="39"/>
        <v>0</v>
      </c>
      <c r="BQ115" s="161">
        <f t="shared" si="40"/>
        <v>0</v>
      </c>
      <c r="BR115" s="161">
        <f t="shared" si="41"/>
        <v>0</v>
      </c>
      <c r="BS115" s="161">
        <f t="shared" si="42"/>
        <v>0</v>
      </c>
      <c r="BT115" s="161">
        <f t="shared" si="43"/>
        <v>0</v>
      </c>
      <c r="BU115" s="161">
        <f t="shared" si="44"/>
        <v>0</v>
      </c>
      <c r="BV115" s="161">
        <f t="shared" si="45"/>
        <v>0</v>
      </c>
      <c r="BW115" s="161">
        <f t="shared" si="46"/>
        <v>0</v>
      </c>
      <c r="BX115" s="161">
        <f t="shared" si="50"/>
        <v>0</v>
      </c>
      <c r="BY115" s="161"/>
      <c r="BZ115" s="161">
        <f t="shared" si="51"/>
        <v>0</v>
      </c>
    </row>
    <row r="116" spans="1:78" x14ac:dyDescent="0.3">
      <c r="A116" s="141">
        <f t="shared" si="52"/>
        <v>2037</v>
      </c>
      <c r="B116" s="161">
        <f t="shared" si="32"/>
        <v>0</v>
      </c>
      <c r="C116" s="161">
        <f t="shared" si="56"/>
        <v>0</v>
      </c>
      <c r="D116" s="161">
        <f t="shared" si="56"/>
        <v>0</v>
      </c>
      <c r="E116" s="161">
        <f t="shared" si="56"/>
        <v>0</v>
      </c>
      <c r="F116" s="161">
        <f t="shared" si="56"/>
        <v>0</v>
      </c>
      <c r="G116" s="161">
        <f t="shared" si="56"/>
        <v>0</v>
      </c>
      <c r="H116" s="161">
        <f t="shared" si="56"/>
        <v>0</v>
      </c>
      <c r="I116" s="161">
        <f t="shared" si="56"/>
        <v>0</v>
      </c>
      <c r="J116" s="161">
        <f t="shared" si="56"/>
        <v>0</v>
      </c>
      <c r="K116" s="161">
        <f t="shared" si="56"/>
        <v>0</v>
      </c>
      <c r="L116" s="161">
        <f t="shared" si="56"/>
        <v>0</v>
      </c>
      <c r="M116" s="161">
        <f t="shared" si="56"/>
        <v>0</v>
      </c>
      <c r="N116" s="161">
        <f t="shared" si="56"/>
        <v>0</v>
      </c>
      <c r="O116" s="161">
        <f t="shared" si="56"/>
        <v>0</v>
      </c>
      <c r="P116" s="161">
        <f t="shared" si="56"/>
        <v>0</v>
      </c>
      <c r="Q116" s="161">
        <f t="shared" si="47"/>
        <v>0</v>
      </c>
      <c r="R116" s="161">
        <f t="shared" si="57"/>
        <v>0</v>
      </c>
      <c r="S116" s="161">
        <f t="shared" si="57"/>
        <v>0</v>
      </c>
      <c r="T116" s="161">
        <f t="shared" si="57"/>
        <v>0</v>
      </c>
      <c r="U116" s="161">
        <f t="shared" si="57"/>
        <v>0</v>
      </c>
      <c r="V116" s="161">
        <f>'Cost Assumptions'!$O$99*SUM(Development!R116:U116)</f>
        <v>0</v>
      </c>
      <c r="W116" s="161">
        <f t="shared" si="53"/>
        <v>0</v>
      </c>
      <c r="X116" s="161">
        <f>'Cost Assumptions'!$O$100*SUM(Development!R116:V116)</f>
        <v>0</v>
      </c>
      <c r="Y116" s="161">
        <f t="shared" si="35"/>
        <v>0</v>
      </c>
      <c r="Z116" s="174"/>
      <c r="AA116" s="204">
        <f t="shared" si="36"/>
        <v>22</v>
      </c>
      <c r="AB116" s="484">
        <f>IF(OR($AA116=0,$AA116&gt;40),0,INDEX(Overrides!C$47:C$87,$AA116+1,1)*$AA$85+INDEX(Overrides!C$47:C$87,$AA116,1)*$AB$86)</f>
        <v>0</v>
      </c>
      <c r="AC116" s="484">
        <f>IF(OR($AA116=0,$AA116&gt;40),0,INDEX(Overrides!D$47:D$87,$AA116+1,1)*$AA$85+INDEX(Overrides!D$47:D$87,$AA116,1)*$AB$86)</f>
        <v>0</v>
      </c>
      <c r="AD116" s="484">
        <f>IF(OR($AA116=0,$AA116&gt;40),0,INDEX(Overrides!E$47:E$87,$AA116+1,1)*$AA$85+INDEX(Overrides!E$47:E$87,$AA116,1)*$AB$86)</f>
        <v>0</v>
      </c>
      <c r="AE116" s="484">
        <f>IF(OR($AA116=0,$AA116&gt;40),0,INDEX(Overrides!F$47:F$87,$AA116+1,1)*$AA$85+INDEX(Overrides!F$47:F$87,$AA116,1)*$AB$86)</f>
        <v>0</v>
      </c>
      <c r="AF116" s="484">
        <f>IF(OR($AA116=0,$AA116&gt;40),0,INDEX(Overrides!G$47:G$87,$AA116+1,1)*$AA$85+INDEX(Overrides!G$47:G$87,$AA116,1)*$AB$86)</f>
        <v>0</v>
      </c>
      <c r="AG116" s="484">
        <f>IF(OR($AA116=0,$AA116&gt;40),0,INDEX(Overrides!H$47:H$87,$AA116+1,1)*$AA$85+INDEX(Overrides!H$47:H$87,$AA116,1)*$AB$86)</f>
        <v>0</v>
      </c>
      <c r="AH116" s="484">
        <f>IF(OR($AA116=0,$AA116&gt;40),0,INDEX(Overrides!I$47:I$87,$AA116+1,1)*$AA$85+INDEX(Overrides!I$47:I$87,$AA116,1)*$AB$86)</f>
        <v>0</v>
      </c>
      <c r="AI116" s="484">
        <f>IF(OR($AA116=0,$AA116&gt;40),0,INDEX(Overrides!J$47:J$87,$AA116+1,1)*$AA$85+INDEX(Overrides!J$47:J$87,$AA116,1)*$AB$86)</f>
        <v>0</v>
      </c>
      <c r="AJ116" s="93"/>
      <c r="AK116" s="161">
        <f>B116*'Selected Economics'!$I36*'Sensitivity Ranges'!$F$43</f>
        <v>0</v>
      </c>
      <c r="AL116" s="161">
        <f>IF($AA$84=1,AB116,Q116)*'Selected Economics'!$I36*'Sensitivity Ranges'!$F$43</f>
        <v>0</v>
      </c>
      <c r="AM116" s="161">
        <f>IF($AA$84=1,AC116,R116)*'Selected Economics'!$I36*'Sensitivity Ranges'!$F$43</f>
        <v>0</v>
      </c>
      <c r="AN116" s="161">
        <f>IF($AA$84=1,AD116,S116)*'Selected Economics'!$I36*'Sensitivity Ranges'!$F$43</f>
        <v>0</v>
      </c>
      <c r="AO116" s="161">
        <f>IF($AA$84=1,AE116,T116)*'Selected Economics'!$I36*'Sensitivity Ranges'!$F$43</f>
        <v>0</v>
      </c>
      <c r="AP116" s="161">
        <f>IF($AA$84=1,AF116,U116)*'Selected Economics'!$I36*'Sensitivity Ranges'!$F$43</f>
        <v>0</v>
      </c>
      <c r="AQ116" s="161">
        <f>IF($AA$84=1,AG116,V116)*'Selected Economics'!$I36*'Sensitivity Ranges'!$F$43</f>
        <v>0</v>
      </c>
      <c r="AR116" s="161">
        <f>IF($AA$84=1,AH116,W116)*'Selected Economics'!$I36*'Sensitivity Ranges'!$F$43</f>
        <v>0</v>
      </c>
      <c r="AS116" s="161">
        <f>IF($AA$84=1,AI116,X116)*'Selected Economics'!$I36*'Sensitivity Ranges'!$F$43</f>
        <v>0</v>
      </c>
      <c r="AT116" s="161">
        <f t="shared" si="48"/>
        <v>0</v>
      </c>
      <c r="AU116" s="174"/>
      <c r="AV116" s="161">
        <f t="shared" si="54"/>
        <v>0</v>
      </c>
      <c r="AW116" s="161">
        <f>AL116*Abandonment!$H41</f>
        <v>0</v>
      </c>
      <c r="AX116" s="161">
        <f>AM116*Abandonment!$H41</f>
        <v>0</v>
      </c>
      <c r="AY116" s="161">
        <f>AN116*Abandonment!$H41</f>
        <v>0</v>
      </c>
      <c r="AZ116" s="161">
        <f>AO116*Abandonment!$H41</f>
        <v>0</v>
      </c>
      <c r="BA116" s="161">
        <f>AP116*Abandonment!$H41</f>
        <v>0</v>
      </c>
      <c r="BB116" s="161">
        <f>AQ116*Abandonment!$H41</f>
        <v>0</v>
      </c>
      <c r="BC116" s="161">
        <f>AR116*Abandonment!$H41</f>
        <v>0</v>
      </c>
      <c r="BD116" s="161">
        <f>AS116*Abandonment!$H41</f>
        <v>0</v>
      </c>
      <c r="BE116" s="161">
        <f t="shared" si="49"/>
        <v>0</v>
      </c>
      <c r="BF116" s="174"/>
      <c r="BG116" s="161">
        <f>AW116+Exploration!R60</f>
        <v>0</v>
      </c>
      <c r="BH116" s="161">
        <f>AV116+(AX116+AY116+AZ116+IF(Input!$B$15="Shore",0,Development!BA116)+BB116)*(1+'Cost Assumptions'!$O$100)+BC116</f>
        <v>0</v>
      </c>
      <c r="BI116" s="161">
        <f>IF(Input!$B$15="Shore",Development!BA116,0)*(1+'Cost Assumptions'!$O$100)</f>
        <v>0</v>
      </c>
      <c r="BJ116" s="157"/>
      <c r="BK116" s="157"/>
      <c r="BL116" s="161">
        <f t="shared" si="37"/>
        <v>0</v>
      </c>
      <c r="BM116" s="201"/>
      <c r="BN116" s="157"/>
      <c r="BO116" s="161">
        <f t="shared" si="38"/>
        <v>0</v>
      </c>
      <c r="BP116" s="161">
        <f t="shared" si="39"/>
        <v>0</v>
      </c>
      <c r="BQ116" s="161">
        <f t="shared" si="40"/>
        <v>0</v>
      </c>
      <c r="BR116" s="161">
        <f t="shared" si="41"/>
        <v>0</v>
      </c>
      <c r="BS116" s="161">
        <f t="shared" si="42"/>
        <v>0</v>
      </c>
      <c r="BT116" s="161">
        <f t="shared" si="43"/>
        <v>0</v>
      </c>
      <c r="BU116" s="161">
        <f t="shared" si="44"/>
        <v>0</v>
      </c>
      <c r="BV116" s="161">
        <f t="shared" si="45"/>
        <v>0</v>
      </c>
      <c r="BW116" s="161">
        <f t="shared" si="46"/>
        <v>0</v>
      </c>
      <c r="BX116" s="161">
        <f t="shared" si="50"/>
        <v>0</v>
      </c>
      <c r="BY116" s="161"/>
      <c r="BZ116" s="161">
        <f t="shared" si="51"/>
        <v>0</v>
      </c>
    </row>
    <row r="117" spans="1:78" x14ac:dyDescent="0.3">
      <c r="A117" s="141">
        <f t="shared" si="52"/>
        <v>2038</v>
      </c>
      <c r="B117" s="161">
        <f t="shared" si="32"/>
        <v>0</v>
      </c>
      <c r="C117" s="161">
        <f t="shared" si="56"/>
        <v>0</v>
      </c>
      <c r="D117" s="161">
        <f t="shared" si="56"/>
        <v>0</v>
      </c>
      <c r="E117" s="161">
        <f t="shared" si="56"/>
        <v>0</v>
      </c>
      <c r="F117" s="161">
        <f t="shared" si="56"/>
        <v>0</v>
      </c>
      <c r="G117" s="161">
        <f t="shared" si="56"/>
        <v>0</v>
      </c>
      <c r="H117" s="161">
        <f t="shared" si="56"/>
        <v>0</v>
      </c>
      <c r="I117" s="161">
        <f t="shared" si="56"/>
        <v>0</v>
      </c>
      <c r="J117" s="161">
        <f t="shared" si="56"/>
        <v>0</v>
      </c>
      <c r="K117" s="161">
        <f t="shared" si="56"/>
        <v>0</v>
      </c>
      <c r="L117" s="161">
        <f t="shared" si="56"/>
        <v>0</v>
      </c>
      <c r="M117" s="161">
        <f t="shared" si="56"/>
        <v>0</v>
      </c>
      <c r="N117" s="161">
        <f t="shared" si="56"/>
        <v>0</v>
      </c>
      <c r="O117" s="161">
        <f t="shared" si="56"/>
        <v>0</v>
      </c>
      <c r="P117" s="161">
        <f t="shared" si="56"/>
        <v>0</v>
      </c>
      <c r="Q117" s="161">
        <f t="shared" si="47"/>
        <v>0</v>
      </c>
      <c r="R117" s="161">
        <f t="shared" si="57"/>
        <v>0</v>
      </c>
      <c r="S117" s="161">
        <f t="shared" si="57"/>
        <v>0</v>
      </c>
      <c r="T117" s="161">
        <f t="shared" si="57"/>
        <v>0</v>
      </c>
      <c r="U117" s="161">
        <f t="shared" si="57"/>
        <v>0</v>
      </c>
      <c r="V117" s="161">
        <f>'Cost Assumptions'!$O$99*SUM(Development!R117:U117)</f>
        <v>0</v>
      </c>
      <c r="W117" s="161">
        <f t="shared" si="53"/>
        <v>0</v>
      </c>
      <c r="X117" s="161">
        <f>'Cost Assumptions'!$O$100*SUM(Development!R117:V117)</f>
        <v>0</v>
      </c>
      <c r="Y117" s="161">
        <f t="shared" si="35"/>
        <v>0</v>
      </c>
      <c r="Z117" s="174"/>
      <c r="AA117" s="204">
        <f t="shared" si="36"/>
        <v>23</v>
      </c>
      <c r="AB117" s="484">
        <f>IF(OR($AA117=0,$AA117&gt;40),0,INDEX(Overrides!C$47:C$87,$AA117+1,1)*$AA$85+INDEX(Overrides!C$47:C$87,$AA117,1)*$AB$86)</f>
        <v>0</v>
      </c>
      <c r="AC117" s="484">
        <f>IF(OR($AA117=0,$AA117&gt;40),0,INDEX(Overrides!D$47:D$87,$AA117+1,1)*$AA$85+INDEX(Overrides!D$47:D$87,$AA117,1)*$AB$86)</f>
        <v>0</v>
      </c>
      <c r="AD117" s="484">
        <f>IF(OR($AA117=0,$AA117&gt;40),0,INDEX(Overrides!E$47:E$87,$AA117+1,1)*$AA$85+INDEX(Overrides!E$47:E$87,$AA117,1)*$AB$86)</f>
        <v>0</v>
      </c>
      <c r="AE117" s="484">
        <f>IF(OR($AA117=0,$AA117&gt;40),0,INDEX(Overrides!F$47:F$87,$AA117+1,1)*$AA$85+INDEX(Overrides!F$47:F$87,$AA117,1)*$AB$86)</f>
        <v>0</v>
      </c>
      <c r="AF117" s="484">
        <f>IF(OR($AA117=0,$AA117&gt;40),0,INDEX(Overrides!G$47:G$87,$AA117+1,1)*$AA$85+INDEX(Overrides!G$47:G$87,$AA117,1)*$AB$86)</f>
        <v>0</v>
      </c>
      <c r="AG117" s="484">
        <f>IF(OR($AA117=0,$AA117&gt;40),0,INDEX(Overrides!H$47:H$87,$AA117+1,1)*$AA$85+INDEX(Overrides!H$47:H$87,$AA117,1)*$AB$86)</f>
        <v>0</v>
      </c>
      <c r="AH117" s="484">
        <f>IF(OR($AA117=0,$AA117&gt;40),0,INDEX(Overrides!I$47:I$87,$AA117+1,1)*$AA$85+INDEX(Overrides!I$47:I$87,$AA117,1)*$AB$86)</f>
        <v>0</v>
      </c>
      <c r="AI117" s="484">
        <f>IF(OR($AA117=0,$AA117&gt;40),0,INDEX(Overrides!J$47:J$87,$AA117+1,1)*$AA$85+INDEX(Overrides!J$47:J$87,$AA117,1)*$AB$86)</f>
        <v>0</v>
      </c>
      <c r="AJ117" s="93"/>
      <c r="AK117" s="161">
        <f>B117*'Selected Economics'!$I37*'Sensitivity Ranges'!$F$43</f>
        <v>0</v>
      </c>
      <c r="AL117" s="161">
        <f>IF($AA$84=1,AB117,Q117)*'Selected Economics'!$I37*'Sensitivity Ranges'!$F$43</f>
        <v>0</v>
      </c>
      <c r="AM117" s="161">
        <f>IF($AA$84=1,AC117,R117)*'Selected Economics'!$I37*'Sensitivity Ranges'!$F$43</f>
        <v>0</v>
      </c>
      <c r="AN117" s="161">
        <f>IF($AA$84=1,AD117,S117)*'Selected Economics'!$I37*'Sensitivity Ranges'!$F$43</f>
        <v>0</v>
      </c>
      <c r="AO117" s="161">
        <f>IF($AA$84=1,AE117,T117)*'Selected Economics'!$I37*'Sensitivity Ranges'!$F$43</f>
        <v>0</v>
      </c>
      <c r="AP117" s="161">
        <f>IF($AA$84=1,AF117,U117)*'Selected Economics'!$I37*'Sensitivity Ranges'!$F$43</f>
        <v>0</v>
      </c>
      <c r="AQ117" s="161">
        <f>IF($AA$84=1,AG117,V117)*'Selected Economics'!$I37*'Sensitivity Ranges'!$F$43</f>
        <v>0</v>
      </c>
      <c r="AR117" s="161">
        <f>IF($AA$84=1,AH117,W117)*'Selected Economics'!$I37*'Sensitivity Ranges'!$F$43</f>
        <v>0</v>
      </c>
      <c r="AS117" s="161">
        <f>IF($AA$84=1,AI117,X117)*'Selected Economics'!$I37*'Sensitivity Ranges'!$F$43</f>
        <v>0</v>
      </c>
      <c r="AT117" s="161">
        <f t="shared" si="48"/>
        <v>0</v>
      </c>
      <c r="AU117" s="174"/>
      <c r="AV117" s="161">
        <f t="shared" si="54"/>
        <v>0</v>
      </c>
      <c r="AW117" s="161">
        <f>AL117*Abandonment!$H42</f>
        <v>0</v>
      </c>
      <c r="AX117" s="161">
        <f>AM117*Abandonment!$H42</f>
        <v>0</v>
      </c>
      <c r="AY117" s="161">
        <f>AN117*Abandonment!$H42</f>
        <v>0</v>
      </c>
      <c r="AZ117" s="161">
        <f>AO117*Abandonment!$H42</f>
        <v>0</v>
      </c>
      <c r="BA117" s="161">
        <f>AP117*Abandonment!$H42</f>
        <v>0</v>
      </c>
      <c r="BB117" s="161">
        <f>AQ117*Abandonment!$H42</f>
        <v>0</v>
      </c>
      <c r="BC117" s="161">
        <f>AR117*Abandonment!$H42</f>
        <v>0</v>
      </c>
      <c r="BD117" s="161">
        <f>AS117*Abandonment!$H42</f>
        <v>0</v>
      </c>
      <c r="BE117" s="161">
        <f t="shared" si="49"/>
        <v>0</v>
      </c>
      <c r="BF117" s="174"/>
      <c r="BG117" s="161">
        <f>AW117+Exploration!R61</f>
        <v>0</v>
      </c>
      <c r="BH117" s="161">
        <f>AV117+(AX117+AY117+AZ117+IF(Input!$B$15="Shore",0,Development!BA117)+BB117)*(1+'Cost Assumptions'!$O$100)+BC117</f>
        <v>0</v>
      </c>
      <c r="BI117" s="161">
        <f>IF(Input!$B$15="Shore",Development!BA117,0)*(1+'Cost Assumptions'!$O$100)</f>
        <v>0</v>
      </c>
      <c r="BJ117" s="157"/>
      <c r="BK117" s="157"/>
      <c r="BL117" s="161">
        <f t="shared" si="37"/>
        <v>0</v>
      </c>
      <c r="BM117" s="201"/>
      <c r="BN117" s="157"/>
      <c r="BO117" s="161">
        <f t="shared" si="38"/>
        <v>0</v>
      </c>
      <c r="BP117" s="161">
        <f t="shared" si="39"/>
        <v>0</v>
      </c>
      <c r="BQ117" s="161">
        <f t="shared" si="40"/>
        <v>0</v>
      </c>
      <c r="BR117" s="161">
        <f t="shared" si="41"/>
        <v>0</v>
      </c>
      <c r="BS117" s="161">
        <f t="shared" si="42"/>
        <v>0</v>
      </c>
      <c r="BT117" s="161">
        <f t="shared" si="43"/>
        <v>0</v>
      </c>
      <c r="BU117" s="161">
        <f t="shared" si="44"/>
        <v>0</v>
      </c>
      <c r="BV117" s="161">
        <f t="shared" si="45"/>
        <v>0</v>
      </c>
      <c r="BW117" s="161">
        <f t="shared" si="46"/>
        <v>0</v>
      </c>
      <c r="BX117" s="161">
        <f t="shared" si="50"/>
        <v>0</v>
      </c>
      <c r="BY117" s="161"/>
      <c r="BZ117" s="161">
        <f t="shared" si="51"/>
        <v>0</v>
      </c>
    </row>
    <row r="118" spans="1:78" x14ac:dyDescent="0.3">
      <c r="A118" s="141">
        <f t="shared" si="52"/>
        <v>2039</v>
      </c>
      <c r="B118" s="161">
        <f t="shared" si="32"/>
        <v>0</v>
      </c>
      <c r="C118" s="161">
        <f t="shared" si="56"/>
        <v>0</v>
      </c>
      <c r="D118" s="161">
        <f t="shared" si="56"/>
        <v>0</v>
      </c>
      <c r="E118" s="161">
        <f t="shared" si="56"/>
        <v>0</v>
      </c>
      <c r="F118" s="161">
        <f t="shared" si="56"/>
        <v>0</v>
      </c>
      <c r="G118" s="161">
        <f t="shared" si="56"/>
        <v>0</v>
      </c>
      <c r="H118" s="161">
        <f t="shared" si="56"/>
        <v>0</v>
      </c>
      <c r="I118" s="161">
        <f t="shared" si="56"/>
        <v>0</v>
      </c>
      <c r="J118" s="161">
        <f t="shared" si="56"/>
        <v>0</v>
      </c>
      <c r="K118" s="161">
        <f t="shared" si="56"/>
        <v>0</v>
      </c>
      <c r="L118" s="161">
        <f t="shared" si="56"/>
        <v>0</v>
      </c>
      <c r="M118" s="161">
        <f t="shared" si="56"/>
        <v>0</v>
      </c>
      <c r="N118" s="161">
        <f t="shared" si="56"/>
        <v>0</v>
      </c>
      <c r="O118" s="161">
        <f t="shared" si="56"/>
        <v>0</v>
      </c>
      <c r="P118" s="161">
        <f t="shared" si="56"/>
        <v>0</v>
      </c>
      <c r="Q118" s="161">
        <f t="shared" si="47"/>
        <v>0</v>
      </c>
      <c r="R118" s="161">
        <f t="shared" si="57"/>
        <v>0</v>
      </c>
      <c r="S118" s="161">
        <f t="shared" si="57"/>
        <v>0</v>
      </c>
      <c r="T118" s="161">
        <f t="shared" si="57"/>
        <v>0</v>
      </c>
      <c r="U118" s="161">
        <f t="shared" si="57"/>
        <v>0</v>
      </c>
      <c r="V118" s="161">
        <f>'Cost Assumptions'!$O$99*SUM(Development!R118:U118)</f>
        <v>0</v>
      </c>
      <c r="W118" s="161">
        <f t="shared" si="53"/>
        <v>0</v>
      </c>
      <c r="X118" s="161">
        <f>'Cost Assumptions'!$O$100*SUM(Development!R118:V118)</f>
        <v>0</v>
      </c>
      <c r="Y118" s="161">
        <f t="shared" si="35"/>
        <v>0</v>
      </c>
      <c r="Z118" s="174"/>
      <c r="AA118" s="204">
        <f t="shared" si="36"/>
        <v>24</v>
      </c>
      <c r="AB118" s="484">
        <f>IF(OR($AA118=0,$AA118&gt;40),0,INDEX(Overrides!C$47:C$87,$AA118+1,1)*$AA$85+INDEX(Overrides!C$47:C$87,$AA118,1)*$AB$86)</f>
        <v>0</v>
      </c>
      <c r="AC118" s="484">
        <f>IF(OR($AA118=0,$AA118&gt;40),0,INDEX(Overrides!D$47:D$87,$AA118+1,1)*$AA$85+INDEX(Overrides!D$47:D$87,$AA118,1)*$AB$86)</f>
        <v>0</v>
      </c>
      <c r="AD118" s="484">
        <f>IF(OR($AA118=0,$AA118&gt;40),0,INDEX(Overrides!E$47:E$87,$AA118+1,1)*$AA$85+INDEX(Overrides!E$47:E$87,$AA118,1)*$AB$86)</f>
        <v>0</v>
      </c>
      <c r="AE118" s="484">
        <f>IF(OR($AA118=0,$AA118&gt;40),0,INDEX(Overrides!F$47:F$87,$AA118+1,1)*$AA$85+INDEX(Overrides!F$47:F$87,$AA118,1)*$AB$86)</f>
        <v>0</v>
      </c>
      <c r="AF118" s="484">
        <f>IF(OR($AA118=0,$AA118&gt;40),0,INDEX(Overrides!G$47:G$87,$AA118+1,1)*$AA$85+INDEX(Overrides!G$47:G$87,$AA118,1)*$AB$86)</f>
        <v>0</v>
      </c>
      <c r="AG118" s="484">
        <f>IF(OR($AA118=0,$AA118&gt;40),0,INDEX(Overrides!H$47:H$87,$AA118+1,1)*$AA$85+INDEX(Overrides!H$47:H$87,$AA118,1)*$AB$86)</f>
        <v>0</v>
      </c>
      <c r="AH118" s="484">
        <f>IF(OR($AA118=0,$AA118&gt;40),0,INDEX(Overrides!I$47:I$87,$AA118+1,1)*$AA$85+INDEX(Overrides!I$47:I$87,$AA118,1)*$AB$86)</f>
        <v>0</v>
      </c>
      <c r="AI118" s="484">
        <f>IF(OR($AA118=0,$AA118&gt;40),0,INDEX(Overrides!J$47:J$87,$AA118+1,1)*$AA$85+INDEX(Overrides!J$47:J$87,$AA118,1)*$AB$86)</f>
        <v>0</v>
      </c>
      <c r="AJ118" s="93"/>
      <c r="AK118" s="161">
        <f>B118*'Selected Economics'!$I38*'Sensitivity Ranges'!$F$43</f>
        <v>0</v>
      </c>
      <c r="AL118" s="161">
        <f>IF($AA$84=1,AB118,Q118)*'Selected Economics'!$I38*'Sensitivity Ranges'!$F$43</f>
        <v>0</v>
      </c>
      <c r="AM118" s="161">
        <f>IF($AA$84=1,AC118,R118)*'Selected Economics'!$I38*'Sensitivity Ranges'!$F$43</f>
        <v>0</v>
      </c>
      <c r="AN118" s="161">
        <f>IF($AA$84=1,AD118,S118)*'Selected Economics'!$I38*'Sensitivity Ranges'!$F$43</f>
        <v>0</v>
      </c>
      <c r="AO118" s="161">
        <f>IF($AA$84=1,AE118,T118)*'Selected Economics'!$I38*'Sensitivity Ranges'!$F$43</f>
        <v>0</v>
      </c>
      <c r="AP118" s="161">
        <f>IF($AA$84=1,AF118,U118)*'Selected Economics'!$I38*'Sensitivity Ranges'!$F$43</f>
        <v>0</v>
      </c>
      <c r="AQ118" s="161">
        <f>IF($AA$84=1,AG118,V118)*'Selected Economics'!$I38*'Sensitivity Ranges'!$F$43</f>
        <v>0</v>
      </c>
      <c r="AR118" s="161">
        <f>IF($AA$84=1,AH118,W118)*'Selected Economics'!$I38*'Sensitivity Ranges'!$F$43</f>
        <v>0</v>
      </c>
      <c r="AS118" s="161">
        <f>IF($AA$84=1,AI118,X118)*'Selected Economics'!$I38*'Sensitivity Ranges'!$F$43</f>
        <v>0</v>
      </c>
      <c r="AT118" s="161">
        <f t="shared" si="48"/>
        <v>0</v>
      </c>
      <c r="AU118" s="174"/>
      <c r="AV118" s="161">
        <f t="shared" si="54"/>
        <v>0</v>
      </c>
      <c r="AW118" s="161">
        <f>AL118*Abandonment!$H43</f>
        <v>0</v>
      </c>
      <c r="AX118" s="161">
        <f>AM118*Abandonment!$H43</f>
        <v>0</v>
      </c>
      <c r="AY118" s="161">
        <f>AN118*Abandonment!$H43</f>
        <v>0</v>
      </c>
      <c r="AZ118" s="161">
        <f>AO118*Abandonment!$H43</f>
        <v>0</v>
      </c>
      <c r="BA118" s="161">
        <f>AP118*Abandonment!$H43</f>
        <v>0</v>
      </c>
      <c r="BB118" s="161">
        <f>AQ118*Abandonment!$H43</f>
        <v>0</v>
      </c>
      <c r="BC118" s="161">
        <f>AR118*Abandonment!$H43</f>
        <v>0</v>
      </c>
      <c r="BD118" s="161">
        <f>AS118*Abandonment!$H43</f>
        <v>0</v>
      </c>
      <c r="BE118" s="161">
        <f t="shared" si="49"/>
        <v>0</v>
      </c>
      <c r="BF118" s="174"/>
      <c r="BG118" s="161">
        <f>AW118+Exploration!R62</f>
        <v>0</v>
      </c>
      <c r="BH118" s="161">
        <f>AV118+(AX118+AY118+AZ118+IF(Input!$B$15="Shore",0,Development!BA118)+BB118)*(1+'Cost Assumptions'!$O$100)+BC118</f>
        <v>0</v>
      </c>
      <c r="BI118" s="161">
        <f>IF(Input!$B$15="Shore",Development!BA118,0)*(1+'Cost Assumptions'!$O$100)</f>
        <v>0</v>
      </c>
      <c r="BJ118" s="157"/>
      <c r="BK118" s="157"/>
      <c r="BL118" s="161">
        <f t="shared" si="37"/>
        <v>0</v>
      </c>
      <c r="BM118" s="201"/>
      <c r="BN118" s="157"/>
      <c r="BO118" s="161">
        <f t="shared" si="38"/>
        <v>0</v>
      </c>
      <c r="BP118" s="161">
        <f t="shared" si="39"/>
        <v>0</v>
      </c>
      <c r="BQ118" s="161">
        <f t="shared" si="40"/>
        <v>0</v>
      </c>
      <c r="BR118" s="161">
        <f t="shared" si="41"/>
        <v>0</v>
      </c>
      <c r="BS118" s="161">
        <f t="shared" si="42"/>
        <v>0</v>
      </c>
      <c r="BT118" s="161">
        <f t="shared" si="43"/>
        <v>0</v>
      </c>
      <c r="BU118" s="161">
        <f t="shared" si="44"/>
        <v>0</v>
      </c>
      <c r="BV118" s="161">
        <f t="shared" si="45"/>
        <v>0</v>
      </c>
      <c r="BW118" s="161">
        <f t="shared" si="46"/>
        <v>0</v>
      </c>
      <c r="BX118" s="161">
        <f t="shared" si="50"/>
        <v>0</v>
      </c>
      <c r="BY118" s="161"/>
      <c r="BZ118" s="161">
        <f t="shared" si="51"/>
        <v>0</v>
      </c>
    </row>
    <row r="119" spans="1:78" x14ac:dyDescent="0.3">
      <c r="A119" s="141">
        <f t="shared" si="52"/>
        <v>2040</v>
      </c>
      <c r="B119" s="161">
        <f t="shared" si="32"/>
        <v>0</v>
      </c>
      <c r="C119" s="161">
        <f t="shared" si="56"/>
        <v>0</v>
      </c>
      <c r="D119" s="161">
        <f t="shared" si="56"/>
        <v>0</v>
      </c>
      <c r="E119" s="161">
        <f t="shared" si="56"/>
        <v>0</v>
      </c>
      <c r="F119" s="161">
        <f t="shared" si="56"/>
        <v>0</v>
      </c>
      <c r="G119" s="161">
        <f t="shared" si="56"/>
        <v>0</v>
      </c>
      <c r="H119" s="161">
        <f t="shared" si="56"/>
        <v>0</v>
      </c>
      <c r="I119" s="161">
        <f t="shared" si="56"/>
        <v>0</v>
      </c>
      <c r="J119" s="161">
        <f t="shared" si="56"/>
        <v>0</v>
      </c>
      <c r="K119" s="161">
        <f t="shared" si="56"/>
        <v>0</v>
      </c>
      <c r="L119" s="161">
        <f t="shared" si="56"/>
        <v>0</v>
      </c>
      <c r="M119" s="161">
        <f t="shared" si="56"/>
        <v>0</v>
      </c>
      <c r="N119" s="161">
        <f t="shared" si="56"/>
        <v>0</v>
      </c>
      <c r="O119" s="161">
        <f t="shared" si="56"/>
        <v>0</v>
      </c>
      <c r="P119" s="161">
        <f t="shared" si="56"/>
        <v>0</v>
      </c>
      <c r="Q119" s="161">
        <f t="shared" si="47"/>
        <v>0</v>
      </c>
      <c r="R119" s="161">
        <f t="shared" si="57"/>
        <v>0</v>
      </c>
      <c r="S119" s="161">
        <f t="shared" si="57"/>
        <v>0</v>
      </c>
      <c r="T119" s="161">
        <f t="shared" si="57"/>
        <v>0</v>
      </c>
      <c r="U119" s="161">
        <f t="shared" si="57"/>
        <v>0</v>
      </c>
      <c r="V119" s="161">
        <f>'Cost Assumptions'!$O$99*SUM(Development!R119:U119)</f>
        <v>0</v>
      </c>
      <c r="W119" s="161">
        <f t="shared" si="53"/>
        <v>0</v>
      </c>
      <c r="X119" s="161">
        <f>'Cost Assumptions'!$O$100*SUM(Development!R119:V119)</f>
        <v>0</v>
      </c>
      <c r="Y119" s="161">
        <f t="shared" si="35"/>
        <v>0</v>
      </c>
      <c r="Z119" s="174"/>
      <c r="AA119" s="204">
        <f t="shared" si="36"/>
        <v>25</v>
      </c>
      <c r="AB119" s="484">
        <f>IF(OR($AA119=0,$AA119&gt;40),0,INDEX(Overrides!C$47:C$87,$AA119+1,1)*$AA$85+INDEX(Overrides!C$47:C$87,$AA119,1)*$AB$86)</f>
        <v>0</v>
      </c>
      <c r="AC119" s="484">
        <f>IF(OR($AA119=0,$AA119&gt;40),0,INDEX(Overrides!D$47:D$87,$AA119+1,1)*$AA$85+INDEX(Overrides!D$47:D$87,$AA119,1)*$AB$86)</f>
        <v>0</v>
      </c>
      <c r="AD119" s="484">
        <f>IF(OR($AA119=0,$AA119&gt;40),0,INDEX(Overrides!E$47:E$87,$AA119+1,1)*$AA$85+INDEX(Overrides!E$47:E$87,$AA119,1)*$AB$86)</f>
        <v>0</v>
      </c>
      <c r="AE119" s="484">
        <f>IF(OR($AA119=0,$AA119&gt;40),0,INDEX(Overrides!F$47:F$87,$AA119+1,1)*$AA$85+INDEX(Overrides!F$47:F$87,$AA119,1)*$AB$86)</f>
        <v>0</v>
      </c>
      <c r="AF119" s="484">
        <f>IF(OR($AA119=0,$AA119&gt;40),0,INDEX(Overrides!G$47:G$87,$AA119+1,1)*$AA$85+INDEX(Overrides!G$47:G$87,$AA119,1)*$AB$86)</f>
        <v>0</v>
      </c>
      <c r="AG119" s="484">
        <f>IF(OR($AA119=0,$AA119&gt;40),0,INDEX(Overrides!H$47:H$87,$AA119+1,1)*$AA$85+INDEX(Overrides!H$47:H$87,$AA119,1)*$AB$86)</f>
        <v>0</v>
      </c>
      <c r="AH119" s="484">
        <f>IF(OR($AA119=0,$AA119&gt;40),0,INDEX(Overrides!I$47:I$87,$AA119+1,1)*$AA$85+INDEX(Overrides!I$47:I$87,$AA119,1)*$AB$86)</f>
        <v>0</v>
      </c>
      <c r="AI119" s="484">
        <f>IF(OR($AA119=0,$AA119&gt;40),0,INDEX(Overrides!J$47:J$87,$AA119+1,1)*$AA$85+INDEX(Overrides!J$47:J$87,$AA119,1)*$AB$86)</f>
        <v>0</v>
      </c>
      <c r="AJ119" s="93"/>
      <c r="AK119" s="161">
        <f>B119*'Selected Economics'!$I39*'Sensitivity Ranges'!$F$43</f>
        <v>0</v>
      </c>
      <c r="AL119" s="161">
        <f>IF($AA$84=1,AB119,Q119)*'Selected Economics'!$I39*'Sensitivity Ranges'!$F$43</f>
        <v>0</v>
      </c>
      <c r="AM119" s="161">
        <f>IF($AA$84=1,AC119,R119)*'Selected Economics'!$I39*'Sensitivity Ranges'!$F$43</f>
        <v>0</v>
      </c>
      <c r="AN119" s="161">
        <f>IF($AA$84=1,AD119,S119)*'Selected Economics'!$I39*'Sensitivity Ranges'!$F$43</f>
        <v>0</v>
      </c>
      <c r="AO119" s="161">
        <f>IF($AA$84=1,AE119,T119)*'Selected Economics'!$I39*'Sensitivity Ranges'!$F$43</f>
        <v>0</v>
      </c>
      <c r="AP119" s="161">
        <f>IF($AA$84=1,AF119,U119)*'Selected Economics'!$I39*'Sensitivity Ranges'!$F$43</f>
        <v>0</v>
      </c>
      <c r="AQ119" s="161">
        <f>IF($AA$84=1,AG119,V119)*'Selected Economics'!$I39*'Sensitivity Ranges'!$F$43</f>
        <v>0</v>
      </c>
      <c r="AR119" s="161">
        <f>IF($AA$84=1,AH119,W119)*'Selected Economics'!$I39*'Sensitivity Ranges'!$F$43</f>
        <v>0</v>
      </c>
      <c r="AS119" s="161">
        <f>IF($AA$84=1,AI119,X119)*'Selected Economics'!$I39*'Sensitivity Ranges'!$F$43</f>
        <v>0</v>
      </c>
      <c r="AT119" s="161">
        <f t="shared" si="48"/>
        <v>0</v>
      </c>
      <c r="AU119" s="174"/>
      <c r="AV119" s="161">
        <f t="shared" si="54"/>
        <v>0</v>
      </c>
      <c r="AW119" s="161">
        <f>AL119*Abandonment!$H44</f>
        <v>0</v>
      </c>
      <c r="AX119" s="161">
        <f>AM119*Abandonment!$H44</f>
        <v>0</v>
      </c>
      <c r="AY119" s="161">
        <f>AN119*Abandonment!$H44</f>
        <v>0</v>
      </c>
      <c r="AZ119" s="161">
        <f>AO119*Abandonment!$H44</f>
        <v>0</v>
      </c>
      <c r="BA119" s="161">
        <f>AP119*Abandonment!$H44</f>
        <v>0</v>
      </c>
      <c r="BB119" s="161">
        <f>AQ119*Abandonment!$H44</f>
        <v>0</v>
      </c>
      <c r="BC119" s="161">
        <f>AR119*Abandonment!$H44</f>
        <v>0</v>
      </c>
      <c r="BD119" s="161">
        <f>AS119*Abandonment!$H44</f>
        <v>0</v>
      </c>
      <c r="BE119" s="161">
        <f t="shared" si="49"/>
        <v>0</v>
      </c>
      <c r="BF119" s="174"/>
      <c r="BG119" s="161">
        <f>AW119+Exploration!R63</f>
        <v>0</v>
      </c>
      <c r="BH119" s="161">
        <f>AV119+(AX119+AY119+AZ119+IF(Input!$B$15="Shore",0,Development!BA119)+BB119)*(1+'Cost Assumptions'!$O$100)+BC119</f>
        <v>0</v>
      </c>
      <c r="BI119" s="161">
        <f>IF(Input!$B$15="Shore",Development!BA119,0)*(1+'Cost Assumptions'!$O$100)</f>
        <v>0</v>
      </c>
      <c r="BJ119" s="157"/>
      <c r="BK119" s="157"/>
      <c r="BL119" s="161">
        <f t="shared" si="37"/>
        <v>0</v>
      </c>
      <c r="BM119" s="201"/>
      <c r="BN119" s="157"/>
      <c r="BO119" s="161">
        <f t="shared" si="38"/>
        <v>0</v>
      </c>
      <c r="BP119" s="161">
        <f t="shared" si="39"/>
        <v>0</v>
      </c>
      <c r="BQ119" s="161">
        <f t="shared" si="40"/>
        <v>0</v>
      </c>
      <c r="BR119" s="161">
        <f t="shared" si="41"/>
        <v>0</v>
      </c>
      <c r="BS119" s="161">
        <f t="shared" si="42"/>
        <v>0</v>
      </c>
      <c r="BT119" s="161">
        <f t="shared" si="43"/>
        <v>0</v>
      </c>
      <c r="BU119" s="161">
        <f t="shared" si="44"/>
        <v>0</v>
      </c>
      <c r="BV119" s="161">
        <f t="shared" si="45"/>
        <v>0</v>
      </c>
      <c r="BW119" s="161">
        <f t="shared" si="46"/>
        <v>0</v>
      </c>
      <c r="BX119" s="161">
        <f t="shared" si="50"/>
        <v>0</v>
      </c>
      <c r="BY119" s="161"/>
      <c r="BZ119" s="161">
        <f t="shared" si="51"/>
        <v>0</v>
      </c>
    </row>
    <row r="120" spans="1:78" x14ac:dyDescent="0.3">
      <c r="A120" s="141">
        <f t="shared" si="52"/>
        <v>2041</v>
      </c>
      <c r="B120" s="161">
        <f t="shared" si="32"/>
        <v>0</v>
      </c>
      <c r="C120" s="161">
        <f t="shared" si="56"/>
        <v>0</v>
      </c>
      <c r="D120" s="161">
        <f t="shared" si="56"/>
        <v>0</v>
      </c>
      <c r="E120" s="161">
        <f t="shared" si="56"/>
        <v>0</v>
      </c>
      <c r="F120" s="161">
        <f t="shared" si="56"/>
        <v>0</v>
      </c>
      <c r="G120" s="161">
        <f t="shared" si="56"/>
        <v>0</v>
      </c>
      <c r="H120" s="161">
        <f t="shared" si="56"/>
        <v>0</v>
      </c>
      <c r="I120" s="161">
        <f t="shared" si="56"/>
        <v>0</v>
      </c>
      <c r="J120" s="161">
        <f t="shared" si="56"/>
        <v>0</v>
      </c>
      <c r="K120" s="161">
        <f t="shared" si="56"/>
        <v>0</v>
      </c>
      <c r="L120" s="161">
        <f t="shared" si="56"/>
        <v>0</v>
      </c>
      <c r="M120" s="161">
        <f t="shared" si="56"/>
        <v>0</v>
      </c>
      <c r="N120" s="161">
        <f t="shared" si="56"/>
        <v>0</v>
      </c>
      <c r="O120" s="161">
        <f t="shared" si="56"/>
        <v>0</v>
      </c>
      <c r="P120" s="161">
        <f t="shared" si="56"/>
        <v>0</v>
      </c>
      <c r="Q120" s="161">
        <f t="shared" si="47"/>
        <v>0</v>
      </c>
      <c r="R120" s="161">
        <f t="shared" si="57"/>
        <v>0</v>
      </c>
      <c r="S120" s="161">
        <f t="shared" si="57"/>
        <v>0</v>
      </c>
      <c r="T120" s="161">
        <f t="shared" si="57"/>
        <v>0</v>
      </c>
      <c r="U120" s="161">
        <f t="shared" si="57"/>
        <v>0</v>
      </c>
      <c r="V120" s="161">
        <f>'Cost Assumptions'!$O$99*SUM(Development!R120:U120)</f>
        <v>0</v>
      </c>
      <c r="W120" s="161">
        <f t="shared" si="53"/>
        <v>0</v>
      </c>
      <c r="X120" s="161">
        <f>'Cost Assumptions'!$O$100*SUM(Development!R120:V120)</f>
        <v>0</v>
      </c>
      <c r="Y120" s="161">
        <f t="shared" si="35"/>
        <v>0</v>
      </c>
      <c r="Z120" s="174"/>
      <c r="AA120" s="204">
        <f t="shared" si="36"/>
        <v>26</v>
      </c>
      <c r="AB120" s="484">
        <f>IF(OR($AA120=0,$AA120&gt;40),0,INDEX(Overrides!C$47:C$87,$AA120+1,1)*$AA$85+INDEX(Overrides!C$47:C$87,$AA120,1)*$AB$86)</f>
        <v>0</v>
      </c>
      <c r="AC120" s="484">
        <f>IF(OR($AA120=0,$AA120&gt;40),0,INDEX(Overrides!D$47:D$87,$AA120+1,1)*$AA$85+INDEX(Overrides!D$47:D$87,$AA120,1)*$AB$86)</f>
        <v>0</v>
      </c>
      <c r="AD120" s="484">
        <f>IF(OR($AA120=0,$AA120&gt;40),0,INDEX(Overrides!E$47:E$87,$AA120+1,1)*$AA$85+INDEX(Overrides!E$47:E$87,$AA120,1)*$AB$86)</f>
        <v>0</v>
      </c>
      <c r="AE120" s="484">
        <f>IF(OR($AA120=0,$AA120&gt;40),0,INDEX(Overrides!F$47:F$87,$AA120+1,1)*$AA$85+INDEX(Overrides!F$47:F$87,$AA120,1)*$AB$86)</f>
        <v>0</v>
      </c>
      <c r="AF120" s="484">
        <f>IF(OR($AA120=0,$AA120&gt;40),0,INDEX(Overrides!G$47:G$87,$AA120+1,1)*$AA$85+INDEX(Overrides!G$47:G$87,$AA120,1)*$AB$86)</f>
        <v>0</v>
      </c>
      <c r="AG120" s="484">
        <f>IF(OR($AA120=0,$AA120&gt;40),0,INDEX(Overrides!H$47:H$87,$AA120+1,1)*$AA$85+INDEX(Overrides!H$47:H$87,$AA120,1)*$AB$86)</f>
        <v>0</v>
      </c>
      <c r="AH120" s="484">
        <f>IF(OR($AA120=0,$AA120&gt;40),0,INDEX(Overrides!I$47:I$87,$AA120+1,1)*$AA$85+INDEX(Overrides!I$47:I$87,$AA120,1)*$AB$86)</f>
        <v>0</v>
      </c>
      <c r="AI120" s="484">
        <f>IF(OR($AA120=0,$AA120&gt;40),0,INDEX(Overrides!J$47:J$87,$AA120+1,1)*$AA$85+INDEX(Overrides!J$47:J$87,$AA120,1)*$AB$86)</f>
        <v>0</v>
      </c>
      <c r="AJ120" s="93"/>
      <c r="AK120" s="161">
        <f>B120*'Selected Economics'!$I40*'Sensitivity Ranges'!$F$43</f>
        <v>0</v>
      </c>
      <c r="AL120" s="161">
        <f>IF($AA$84=1,AB120,Q120)*'Selected Economics'!$I40*'Sensitivity Ranges'!$F$43</f>
        <v>0</v>
      </c>
      <c r="AM120" s="161">
        <f>IF($AA$84=1,AC120,R120)*'Selected Economics'!$I40*'Sensitivity Ranges'!$F$43</f>
        <v>0</v>
      </c>
      <c r="AN120" s="161">
        <f>IF($AA$84=1,AD120,S120)*'Selected Economics'!$I40*'Sensitivity Ranges'!$F$43</f>
        <v>0</v>
      </c>
      <c r="AO120" s="161">
        <f>IF($AA$84=1,AE120,T120)*'Selected Economics'!$I40*'Sensitivity Ranges'!$F$43</f>
        <v>0</v>
      </c>
      <c r="AP120" s="161">
        <f>IF($AA$84=1,AF120,U120)*'Selected Economics'!$I40*'Sensitivity Ranges'!$F$43</f>
        <v>0</v>
      </c>
      <c r="AQ120" s="161">
        <f>IF($AA$84=1,AG120,V120)*'Selected Economics'!$I40*'Sensitivity Ranges'!$F$43</f>
        <v>0</v>
      </c>
      <c r="AR120" s="161">
        <f>IF($AA$84=1,AH120,W120)*'Selected Economics'!$I40*'Sensitivity Ranges'!$F$43</f>
        <v>0</v>
      </c>
      <c r="AS120" s="161">
        <f>IF($AA$84=1,AI120,X120)*'Selected Economics'!$I40*'Sensitivity Ranges'!$F$43</f>
        <v>0</v>
      </c>
      <c r="AT120" s="161">
        <f t="shared" si="48"/>
        <v>0</v>
      </c>
      <c r="AU120" s="174"/>
      <c r="AV120" s="161">
        <f t="shared" si="54"/>
        <v>0</v>
      </c>
      <c r="AW120" s="161">
        <f>AL120*Abandonment!$H45</f>
        <v>0</v>
      </c>
      <c r="AX120" s="161">
        <f>AM120*Abandonment!$H45</f>
        <v>0</v>
      </c>
      <c r="AY120" s="161">
        <f>AN120*Abandonment!$H45</f>
        <v>0</v>
      </c>
      <c r="AZ120" s="161">
        <f>AO120*Abandonment!$H45</f>
        <v>0</v>
      </c>
      <c r="BA120" s="161">
        <f>AP120*Abandonment!$H45</f>
        <v>0</v>
      </c>
      <c r="BB120" s="161">
        <f>AQ120*Abandonment!$H45</f>
        <v>0</v>
      </c>
      <c r="BC120" s="161">
        <f>AR120*Abandonment!$H45</f>
        <v>0</v>
      </c>
      <c r="BD120" s="161">
        <f>AS120*Abandonment!$H45</f>
        <v>0</v>
      </c>
      <c r="BE120" s="161">
        <f t="shared" si="49"/>
        <v>0</v>
      </c>
      <c r="BF120" s="174"/>
      <c r="BG120" s="161">
        <f>AW120+Exploration!R64</f>
        <v>0</v>
      </c>
      <c r="BH120" s="161">
        <f>AV120+(AX120+AY120+AZ120+IF(Input!$B$15="Shore",0,Development!BA120)+BB120)*(1+'Cost Assumptions'!$O$100)+BC120</f>
        <v>0</v>
      </c>
      <c r="BI120" s="161">
        <f>IF(Input!$B$15="Shore",Development!BA120,0)*(1+'Cost Assumptions'!$O$100)</f>
        <v>0</v>
      </c>
      <c r="BJ120" s="157"/>
      <c r="BK120" s="157"/>
      <c r="BL120" s="161">
        <f t="shared" si="37"/>
        <v>0</v>
      </c>
      <c r="BM120" s="201"/>
      <c r="BN120" s="157"/>
      <c r="BO120" s="161">
        <f t="shared" si="38"/>
        <v>0</v>
      </c>
      <c r="BP120" s="161">
        <f t="shared" si="39"/>
        <v>0</v>
      </c>
      <c r="BQ120" s="161">
        <f t="shared" si="40"/>
        <v>0</v>
      </c>
      <c r="BR120" s="161">
        <f t="shared" si="41"/>
        <v>0</v>
      </c>
      <c r="BS120" s="161">
        <f t="shared" si="42"/>
        <v>0</v>
      </c>
      <c r="BT120" s="161">
        <f t="shared" si="43"/>
        <v>0</v>
      </c>
      <c r="BU120" s="161">
        <f t="shared" si="44"/>
        <v>0</v>
      </c>
      <c r="BV120" s="161">
        <f t="shared" si="45"/>
        <v>0</v>
      </c>
      <c r="BW120" s="161">
        <f t="shared" si="46"/>
        <v>0</v>
      </c>
      <c r="BX120" s="161">
        <f t="shared" si="50"/>
        <v>0</v>
      </c>
      <c r="BY120" s="161"/>
      <c r="BZ120" s="161">
        <f t="shared" si="51"/>
        <v>0</v>
      </c>
    </row>
    <row r="121" spans="1:78" x14ac:dyDescent="0.3">
      <c r="A121" s="141">
        <f t="shared" si="52"/>
        <v>2042</v>
      </c>
      <c r="B121" s="161">
        <f t="shared" si="32"/>
        <v>0</v>
      </c>
      <c r="C121" s="161">
        <f t="shared" ref="C121:P130" si="58">IF($A121=INDEX($H$41:$N$54,C$86,1),INDEX($O$41:$Y$54,C$86,1),IF($A121=INDEX($H$41:$N$54,C$86,2),INDEX($O$41:$Y$54,C$86,2),IF($A121=INDEX($H$41:$N$54,C$86,3),INDEX($O$41:$Y$54,C$86,3),IF($A121=INDEX($H$41:$N$54,C$86,4),INDEX($O$41:$Y$54,C$86,4),IF($A121=INDEX($H$41:$N$54,C$86,5),INDEX($O$41:$Y$54,C$86,5),IF($A121=INDEX($H$41:$N$54,C$86,6),INDEX($O$41:$Y$54,C$86,6),IF($A121=INDEX($H$41:$N$54,C$86,7),INDEX($O$41:$Y$54,C$86,7),0)))))))/1000</f>
        <v>0</v>
      </c>
      <c r="D121" s="161">
        <f t="shared" si="58"/>
        <v>0</v>
      </c>
      <c r="E121" s="161">
        <f t="shared" si="58"/>
        <v>0</v>
      </c>
      <c r="F121" s="161">
        <f t="shared" si="58"/>
        <v>0</v>
      </c>
      <c r="G121" s="161">
        <f t="shared" si="58"/>
        <v>0</v>
      </c>
      <c r="H121" s="161">
        <f t="shared" si="58"/>
        <v>0</v>
      </c>
      <c r="I121" s="161">
        <f t="shared" si="58"/>
        <v>0</v>
      </c>
      <c r="J121" s="161">
        <f t="shared" si="58"/>
        <v>0</v>
      </c>
      <c r="K121" s="161">
        <f t="shared" si="58"/>
        <v>0</v>
      </c>
      <c r="L121" s="161">
        <f t="shared" si="58"/>
        <v>0</v>
      </c>
      <c r="M121" s="161">
        <f t="shared" si="58"/>
        <v>0</v>
      </c>
      <c r="N121" s="161">
        <f t="shared" si="58"/>
        <v>0</v>
      </c>
      <c r="O121" s="161">
        <f t="shared" si="58"/>
        <v>0</v>
      </c>
      <c r="P121" s="161">
        <f t="shared" si="58"/>
        <v>0</v>
      </c>
      <c r="Q121" s="161">
        <f t="shared" si="47"/>
        <v>0</v>
      </c>
      <c r="R121" s="161">
        <f t="shared" si="57"/>
        <v>0</v>
      </c>
      <c r="S121" s="161">
        <f t="shared" si="57"/>
        <v>0</v>
      </c>
      <c r="T121" s="161">
        <f t="shared" si="57"/>
        <v>0</v>
      </c>
      <c r="U121" s="161">
        <f t="shared" si="57"/>
        <v>0</v>
      </c>
      <c r="V121" s="161">
        <f>'Cost Assumptions'!$O$99*SUM(Development!R121:U121)</f>
        <v>0</v>
      </c>
      <c r="W121" s="161">
        <f t="shared" si="53"/>
        <v>0</v>
      </c>
      <c r="X121" s="161">
        <f>'Cost Assumptions'!$O$100*SUM(Development!R121:V121)</f>
        <v>0</v>
      </c>
      <c r="Y121" s="161">
        <f t="shared" si="35"/>
        <v>0</v>
      </c>
      <c r="Z121" s="174"/>
      <c r="AA121" s="204">
        <f t="shared" si="36"/>
        <v>27</v>
      </c>
      <c r="AB121" s="484">
        <f>IF(OR($AA121=0,$AA121&gt;40),0,INDEX(Overrides!C$47:C$87,$AA121+1,1)*$AA$85+INDEX(Overrides!C$47:C$87,$AA121,1)*$AB$86)</f>
        <v>0</v>
      </c>
      <c r="AC121" s="484">
        <f>IF(OR($AA121=0,$AA121&gt;40),0,INDEX(Overrides!D$47:D$87,$AA121+1,1)*$AA$85+INDEX(Overrides!D$47:D$87,$AA121,1)*$AB$86)</f>
        <v>0</v>
      </c>
      <c r="AD121" s="484">
        <f>IF(OR($AA121=0,$AA121&gt;40),0,INDEX(Overrides!E$47:E$87,$AA121+1,1)*$AA$85+INDEX(Overrides!E$47:E$87,$AA121,1)*$AB$86)</f>
        <v>0</v>
      </c>
      <c r="AE121" s="484">
        <f>IF(OR($AA121=0,$AA121&gt;40),0,INDEX(Overrides!F$47:F$87,$AA121+1,1)*$AA$85+INDEX(Overrides!F$47:F$87,$AA121,1)*$AB$86)</f>
        <v>0</v>
      </c>
      <c r="AF121" s="484">
        <f>IF(OR($AA121=0,$AA121&gt;40),0,INDEX(Overrides!G$47:G$87,$AA121+1,1)*$AA$85+INDEX(Overrides!G$47:G$87,$AA121,1)*$AB$86)</f>
        <v>0</v>
      </c>
      <c r="AG121" s="484">
        <f>IF(OR($AA121=0,$AA121&gt;40),0,INDEX(Overrides!H$47:H$87,$AA121+1,1)*$AA$85+INDEX(Overrides!H$47:H$87,$AA121,1)*$AB$86)</f>
        <v>0</v>
      </c>
      <c r="AH121" s="484">
        <f>IF(OR($AA121=0,$AA121&gt;40),0,INDEX(Overrides!I$47:I$87,$AA121+1,1)*$AA$85+INDEX(Overrides!I$47:I$87,$AA121,1)*$AB$86)</f>
        <v>0</v>
      </c>
      <c r="AI121" s="484">
        <f>IF(OR($AA121=0,$AA121&gt;40),0,INDEX(Overrides!J$47:J$87,$AA121+1,1)*$AA$85+INDEX(Overrides!J$47:J$87,$AA121,1)*$AB$86)</f>
        <v>0</v>
      </c>
      <c r="AJ121" s="93"/>
      <c r="AK121" s="161">
        <f>B121*'Selected Economics'!$I41*'Sensitivity Ranges'!$F$43</f>
        <v>0</v>
      </c>
      <c r="AL121" s="161">
        <f>IF($AA$84=1,AB121,Q121)*'Selected Economics'!$I41*'Sensitivity Ranges'!$F$43</f>
        <v>0</v>
      </c>
      <c r="AM121" s="161">
        <f>IF($AA$84=1,AC121,R121)*'Selected Economics'!$I41*'Sensitivity Ranges'!$F$43</f>
        <v>0</v>
      </c>
      <c r="AN121" s="161">
        <f>IF($AA$84=1,AD121,S121)*'Selected Economics'!$I41*'Sensitivity Ranges'!$F$43</f>
        <v>0</v>
      </c>
      <c r="AO121" s="161">
        <f>IF($AA$84=1,AE121,T121)*'Selected Economics'!$I41*'Sensitivity Ranges'!$F$43</f>
        <v>0</v>
      </c>
      <c r="AP121" s="161">
        <f>IF($AA$84=1,AF121,U121)*'Selected Economics'!$I41*'Sensitivity Ranges'!$F$43</f>
        <v>0</v>
      </c>
      <c r="AQ121" s="161">
        <f>IF($AA$84=1,AG121,V121)*'Selected Economics'!$I41*'Sensitivity Ranges'!$F$43</f>
        <v>0</v>
      </c>
      <c r="AR121" s="161">
        <f>IF($AA$84=1,AH121,W121)*'Selected Economics'!$I41*'Sensitivity Ranges'!$F$43</f>
        <v>0</v>
      </c>
      <c r="AS121" s="161">
        <f>IF($AA$84=1,AI121,X121)*'Selected Economics'!$I41*'Sensitivity Ranges'!$F$43</f>
        <v>0</v>
      </c>
      <c r="AT121" s="161">
        <f t="shared" si="48"/>
        <v>0</v>
      </c>
      <c r="AU121" s="174"/>
      <c r="AV121" s="161">
        <f t="shared" si="54"/>
        <v>0</v>
      </c>
      <c r="AW121" s="161">
        <f>AL121*Abandonment!$H46</f>
        <v>0</v>
      </c>
      <c r="AX121" s="161">
        <f>AM121*Abandonment!$H46</f>
        <v>0</v>
      </c>
      <c r="AY121" s="161">
        <f>AN121*Abandonment!$H46</f>
        <v>0</v>
      </c>
      <c r="AZ121" s="161">
        <f>AO121*Abandonment!$H46</f>
        <v>0</v>
      </c>
      <c r="BA121" s="161">
        <f>AP121*Abandonment!$H46</f>
        <v>0</v>
      </c>
      <c r="BB121" s="161">
        <f>AQ121*Abandonment!$H46</f>
        <v>0</v>
      </c>
      <c r="BC121" s="161">
        <f>AR121*Abandonment!$H46</f>
        <v>0</v>
      </c>
      <c r="BD121" s="161">
        <f>AS121*Abandonment!$H46</f>
        <v>0</v>
      </c>
      <c r="BE121" s="161">
        <f t="shared" si="49"/>
        <v>0</v>
      </c>
      <c r="BF121" s="174"/>
      <c r="BG121" s="161">
        <f>AW121+Exploration!R65</f>
        <v>0</v>
      </c>
      <c r="BH121" s="161">
        <f>AV121+(AX121+AY121+AZ121+IF(Input!$B$15="Shore",0,Development!BA121)+BB121)*(1+'Cost Assumptions'!$O$100)+BC121</f>
        <v>0</v>
      </c>
      <c r="BI121" s="161">
        <f>IF(Input!$B$15="Shore",Development!BA121,0)*(1+'Cost Assumptions'!$O$100)</f>
        <v>0</v>
      </c>
      <c r="BJ121" s="157"/>
      <c r="BK121" s="157"/>
      <c r="BL121" s="161">
        <f t="shared" si="37"/>
        <v>0</v>
      </c>
      <c r="BM121" s="201"/>
      <c r="BN121" s="157"/>
      <c r="BO121" s="161">
        <f t="shared" si="38"/>
        <v>0</v>
      </c>
      <c r="BP121" s="161">
        <f t="shared" si="39"/>
        <v>0</v>
      </c>
      <c r="BQ121" s="161">
        <f t="shared" si="40"/>
        <v>0</v>
      </c>
      <c r="BR121" s="161">
        <f t="shared" si="41"/>
        <v>0</v>
      </c>
      <c r="BS121" s="161">
        <f t="shared" si="42"/>
        <v>0</v>
      </c>
      <c r="BT121" s="161">
        <f t="shared" si="43"/>
        <v>0</v>
      </c>
      <c r="BU121" s="161">
        <f t="shared" si="44"/>
        <v>0</v>
      </c>
      <c r="BV121" s="161">
        <f t="shared" si="45"/>
        <v>0</v>
      </c>
      <c r="BW121" s="161">
        <f t="shared" si="46"/>
        <v>0</v>
      </c>
      <c r="BX121" s="161">
        <f t="shared" si="50"/>
        <v>0</v>
      </c>
      <c r="BY121" s="161"/>
      <c r="BZ121" s="161">
        <f t="shared" si="51"/>
        <v>0</v>
      </c>
    </row>
    <row r="122" spans="1:78" x14ac:dyDescent="0.3">
      <c r="A122" s="141">
        <f t="shared" si="52"/>
        <v>2043</v>
      </c>
      <c r="B122" s="161">
        <f t="shared" si="32"/>
        <v>0</v>
      </c>
      <c r="C122" s="161">
        <f t="shared" si="58"/>
        <v>0</v>
      </c>
      <c r="D122" s="161">
        <f t="shared" si="58"/>
        <v>0</v>
      </c>
      <c r="E122" s="161">
        <f t="shared" si="58"/>
        <v>0</v>
      </c>
      <c r="F122" s="161">
        <f t="shared" si="58"/>
        <v>0</v>
      </c>
      <c r="G122" s="161">
        <f t="shared" si="58"/>
        <v>0</v>
      </c>
      <c r="H122" s="161">
        <f t="shared" si="58"/>
        <v>0</v>
      </c>
      <c r="I122" s="161">
        <f t="shared" si="58"/>
        <v>0</v>
      </c>
      <c r="J122" s="161">
        <f t="shared" si="58"/>
        <v>0</v>
      </c>
      <c r="K122" s="161">
        <f t="shared" si="58"/>
        <v>0</v>
      </c>
      <c r="L122" s="161">
        <f t="shared" si="58"/>
        <v>0</v>
      </c>
      <c r="M122" s="161">
        <f t="shared" si="58"/>
        <v>0</v>
      </c>
      <c r="N122" s="161">
        <f t="shared" si="58"/>
        <v>0</v>
      </c>
      <c r="O122" s="161">
        <f t="shared" si="58"/>
        <v>0</v>
      </c>
      <c r="P122" s="161">
        <f t="shared" si="58"/>
        <v>0</v>
      </c>
      <c r="Q122" s="161">
        <f t="shared" si="47"/>
        <v>0</v>
      </c>
      <c r="R122" s="161">
        <f t="shared" si="57"/>
        <v>0</v>
      </c>
      <c r="S122" s="161">
        <f t="shared" si="57"/>
        <v>0</v>
      </c>
      <c r="T122" s="161">
        <f t="shared" si="57"/>
        <v>0</v>
      </c>
      <c r="U122" s="161">
        <f t="shared" si="57"/>
        <v>0</v>
      </c>
      <c r="V122" s="161">
        <f>'Cost Assumptions'!$O$99*SUM(Development!R122:U122)</f>
        <v>0</v>
      </c>
      <c r="W122" s="161">
        <f t="shared" si="53"/>
        <v>0</v>
      </c>
      <c r="X122" s="161">
        <f>'Cost Assumptions'!$O$100*SUM(Development!R122:V122)</f>
        <v>0</v>
      </c>
      <c r="Y122" s="161">
        <f t="shared" si="35"/>
        <v>0</v>
      </c>
      <c r="Z122" s="174"/>
      <c r="AA122" s="204">
        <f t="shared" si="36"/>
        <v>28</v>
      </c>
      <c r="AB122" s="484">
        <f>IF(OR($AA122=0,$AA122&gt;40),0,INDEX(Overrides!C$47:C$87,$AA122+1,1)*$AA$85+INDEX(Overrides!C$47:C$87,$AA122,1)*$AB$86)</f>
        <v>0</v>
      </c>
      <c r="AC122" s="484">
        <f>IF(OR($AA122=0,$AA122&gt;40),0,INDEX(Overrides!D$47:D$87,$AA122+1,1)*$AA$85+INDEX(Overrides!D$47:D$87,$AA122,1)*$AB$86)</f>
        <v>0</v>
      </c>
      <c r="AD122" s="484">
        <f>IF(OR($AA122=0,$AA122&gt;40),0,INDEX(Overrides!E$47:E$87,$AA122+1,1)*$AA$85+INDEX(Overrides!E$47:E$87,$AA122,1)*$AB$86)</f>
        <v>0</v>
      </c>
      <c r="AE122" s="484">
        <f>IF(OR($AA122=0,$AA122&gt;40),0,INDEX(Overrides!F$47:F$87,$AA122+1,1)*$AA$85+INDEX(Overrides!F$47:F$87,$AA122,1)*$AB$86)</f>
        <v>0</v>
      </c>
      <c r="AF122" s="484">
        <f>IF(OR($AA122=0,$AA122&gt;40),0,INDEX(Overrides!G$47:G$87,$AA122+1,1)*$AA$85+INDEX(Overrides!G$47:G$87,$AA122,1)*$AB$86)</f>
        <v>0</v>
      </c>
      <c r="AG122" s="484">
        <f>IF(OR($AA122=0,$AA122&gt;40),0,INDEX(Overrides!H$47:H$87,$AA122+1,1)*$AA$85+INDEX(Overrides!H$47:H$87,$AA122,1)*$AB$86)</f>
        <v>0</v>
      </c>
      <c r="AH122" s="484">
        <f>IF(OR($AA122=0,$AA122&gt;40),0,INDEX(Overrides!I$47:I$87,$AA122+1,1)*$AA$85+INDEX(Overrides!I$47:I$87,$AA122,1)*$AB$86)</f>
        <v>0</v>
      </c>
      <c r="AI122" s="484">
        <f>IF(OR($AA122=0,$AA122&gt;40),0,INDEX(Overrides!J$47:J$87,$AA122+1,1)*$AA$85+INDEX(Overrides!J$47:J$87,$AA122,1)*$AB$86)</f>
        <v>0</v>
      </c>
      <c r="AJ122" s="93"/>
      <c r="AK122" s="161">
        <f>B122*'Selected Economics'!$I42*'Sensitivity Ranges'!$F$43</f>
        <v>0</v>
      </c>
      <c r="AL122" s="161">
        <f>IF($AA$84=1,AB122,Q122)*'Selected Economics'!$I42*'Sensitivity Ranges'!$F$43</f>
        <v>0</v>
      </c>
      <c r="AM122" s="161">
        <f>IF($AA$84=1,AC122,R122)*'Selected Economics'!$I42*'Sensitivity Ranges'!$F$43</f>
        <v>0</v>
      </c>
      <c r="AN122" s="161">
        <f>IF($AA$84=1,AD122,S122)*'Selected Economics'!$I42*'Sensitivity Ranges'!$F$43</f>
        <v>0</v>
      </c>
      <c r="AO122" s="161">
        <f>IF($AA$84=1,AE122,T122)*'Selected Economics'!$I42*'Sensitivity Ranges'!$F$43</f>
        <v>0</v>
      </c>
      <c r="AP122" s="161">
        <f>IF($AA$84=1,AF122,U122)*'Selected Economics'!$I42*'Sensitivity Ranges'!$F$43</f>
        <v>0</v>
      </c>
      <c r="AQ122" s="161">
        <f>IF($AA$84=1,AG122,V122)*'Selected Economics'!$I42*'Sensitivity Ranges'!$F$43</f>
        <v>0</v>
      </c>
      <c r="AR122" s="161">
        <f>IF($AA$84=1,AH122,W122)*'Selected Economics'!$I42*'Sensitivity Ranges'!$F$43</f>
        <v>0</v>
      </c>
      <c r="AS122" s="161">
        <f>IF($AA$84=1,AI122,X122)*'Selected Economics'!$I42*'Sensitivity Ranges'!$F$43</f>
        <v>0</v>
      </c>
      <c r="AT122" s="161">
        <f t="shared" si="48"/>
        <v>0</v>
      </c>
      <c r="AU122" s="174"/>
      <c r="AV122" s="161">
        <f t="shared" si="54"/>
        <v>0</v>
      </c>
      <c r="AW122" s="161">
        <f>AL122*Abandonment!$H47</f>
        <v>0</v>
      </c>
      <c r="AX122" s="161">
        <f>AM122*Abandonment!$H47</f>
        <v>0</v>
      </c>
      <c r="AY122" s="161">
        <f>AN122*Abandonment!$H47</f>
        <v>0</v>
      </c>
      <c r="AZ122" s="161">
        <f>AO122*Abandonment!$H47</f>
        <v>0</v>
      </c>
      <c r="BA122" s="161">
        <f>AP122*Abandonment!$H47</f>
        <v>0</v>
      </c>
      <c r="BB122" s="161">
        <f>AQ122*Abandonment!$H47</f>
        <v>0</v>
      </c>
      <c r="BC122" s="161">
        <f>AR122*Abandonment!$H47</f>
        <v>0</v>
      </c>
      <c r="BD122" s="161">
        <f>AS122*Abandonment!$H47</f>
        <v>0</v>
      </c>
      <c r="BE122" s="161">
        <f t="shared" si="49"/>
        <v>0</v>
      </c>
      <c r="BF122" s="174"/>
      <c r="BG122" s="161">
        <f>AW122+Exploration!R66</f>
        <v>0</v>
      </c>
      <c r="BH122" s="161">
        <f>AV122+(AX122+AY122+AZ122+IF(Input!$B$15="Shore",0,Development!BA122)+BB122)*(1+'Cost Assumptions'!$O$100)+BC122</f>
        <v>0</v>
      </c>
      <c r="BI122" s="161">
        <f>IF(Input!$B$15="Shore",Development!BA122,0)*(1+'Cost Assumptions'!$O$100)</f>
        <v>0</v>
      </c>
      <c r="BJ122" s="157"/>
      <c r="BK122" s="157"/>
      <c r="BL122" s="161">
        <f t="shared" si="37"/>
        <v>0</v>
      </c>
      <c r="BM122" s="201"/>
      <c r="BN122" s="157"/>
      <c r="BO122" s="161">
        <f t="shared" si="38"/>
        <v>0</v>
      </c>
      <c r="BP122" s="161">
        <f t="shared" si="39"/>
        <v>0</v>
      </c>
      <c r="BQ122" s="161">
        <f t="shared" si="40"/>
        <v>0</v>
      </c>
      <c r="BR122" s="161">
        <f t="shared" si="41"/>
        <v>0</v>
      </c>
      <c r="BS122" s="161">
        <f t="shared" si="42"/>
        <v>0</v>
      </c>
      <c r="BT122" s="161">
        <f t="shared" si="43"/>
        <v>0</v>
      </c>
      <c r="BU122" s="161">
        <f t="shared" si="44"/>
        <v>0</v>
      </c>
      <c r="BV122" s="161">
        <f t="shared" si="45"/>
        <v>0</v>
      </c>
      <c r="BW122" s="161">
        <f t="shared" si="46"/>
        <v>0</v>
      </c>
      <c r="BX122" s="161">
        <f t="shared" si="50"/>
        <v>0</v>
      </c>
      <c r="BY122" s="161"/>
      <c r="BZ122" s="161">
        <f t="shared" si="51"/>
        <v>0</v>
      </c>
    </row>
    <row r="123" spans="1:78" x14ac:dyDescent="0.3">
      <c r="A123" s="141">
        <f t="shared" si="52"/>
        <v>2044</v>
      </c>
      <c r="B123" s="161">
        <f t="shared" si="32"/>
        <v>0</v>
      </c>
      <c r="C123" s="161">
        <f t="shared" si="58"/>
        <v>0</v>
      </c>
      <c r="D123" s="161">
        <f t="shared" si="58"/>
        <v>0</v>
      </c>
      <c r="E123" s="161">
        <f t="shared" si="58"/>
        <v>0</v>
      </c>
      <c r="F123" s="161">
        <f t="shared" si="58"/>
        <v>0</v>
      </c>
      <c r="G123" s="161">
        <f t="shared" si="58"/>
        <v>0</v>
      </c>
      <c r="H123" s="161">
        <f t="shared" si="58"/>
        <v>0</v>
      </c>
      <c r="I123" s="161">
        <f t="shared" si="58"/>
        <v>0</v>
      </c>
      <c r="J123" s="161">
        <f t="shared" si="58"/>
        <v>0</v>
      </c>
      <c r="K123" s="161">
        <f t="shared" si="58"/>
        <v>0</v>
      </c>
      <c r="L123" s="161">
        <f t="shared" si="58"/>
        <v>0</v>
      </c>
      <c r="M123" s="161">
        <f t="shared" si="58"/>
        <v>0</v>
      </c>
      <c r="N123" s="161">
        <f t="shared" si="58"/>
        <v>0</v>
      </c>
      <c r="O123" s="161">
        <f t="shared" si="58"/>
        <v>0</v>
      </c>
      <c r="P123" s="161">
        <f t="shared" si="58"/>
        <v>0</v>
      </c>
      <c r="Q123" s="161">
        <f t="shared" si="47"/>
        <v>0</v>
      </c>
      <c r="R123" s="161">
        <f t="shared" si="57"/>
        <v>0</v>
      </c>
      <c r="S123" s="161">
        <f t="shared" si="57"/>
        <v>0</v>
      </c>
      <c r="T123" s="161">
        <f t="shared" si="57"/>
        <v>0</v>
      </c>
      <c r="U123" s="161">
        <f t="shared" si="57"/>
        <v>0</v>
      </c>
      <c r="V123" s="161">
        <f>'Cost Assumptions'!$O$99*SUM(Development!R123:U123)</f>
        <v>0</v>
      </c>
      <c r="W123" s="161">
        <f t="shared" si="53"/>
        <v>0</v>
      </c>
      <c r="X123" s="161">
        <f>'Cost Assumptions'!$O$100*SUM(Development!R123:V123)</f>
        <v>0</v>
      </c>
      <c r="Y123" s="161">
        <f t="shared" si="35"/>
        <v>0</v>
      </c>
      <c r="Z123" s="174"/>
      <c r="AA123" s="204">
        <f t="shared" si="36"/>
        <v>29</v>
      </c>
      <c r="AB123" s="484">
        <f>IF(OR($AA123=0,$AA123&gt;40),0,INDEX(Overrides!C$47:C$87,$AA123+1,1)*$AA$85+INDEX(Overrides!C$47:C$87,$AA123,1)*$AB$86)</f>
        <v>0</v>
      </c>
      <c r="AC123" s="484">
        <f>IF(OR($AA123=0,$AA123&gt;40),0,INDEX(Overrides!D$47:D$87,$AA123+1,1)*$AA$85+INDEX(Overrides!D$47:D$87,$AA123,1)*$AB$86)</f>
        <v>0</v>
      </c>
      <c r="AD123" s="484">
        <f>IF(OR($AA123=0,$AA123&gt;40),0,INDEX(Overrides!E$47:E$87,$AA123+1,1)*$AA$85+INDEX(Overrides!E$47:E$87,$AA123,1)*$AB$86)</f>
        <v>0</v>
      </c>
      <c r="AE123" s="484">
        <f>IF(OR($AA123=0,$AA123&gt;40),0,INDEX(Overrides!F$47:F$87,$AA123+1,1)*$AA$85+INDEX(Overrides!F$47:F$87,$AA123,1)*$AB$86)</f>
        <v>0</v>
      </c>
      <c r="AF123" s="484">
        <f>IF(OR($AA123=0,$AA123&gt;40),0,INDEX(Overrides!G$47:G$87,$AA123+1,1)*$AA$85+INDEX(Overrides!G$47:G$87,$AA123,1)*$AB$86)</f>
        <v>0</v>
      </c>
      <c r="AG123" s="484">
        <f>IF(OR($AA123=0,$AA123&gt;40),0,INDEX(Overrides!H$47:H$87,$AA123+1,1)*$AA$85+INDEX(Overrides!H$47:H$87,$AA123,1)*$AB$86)</f>
        <v>0</v>
      </c>
      <c r="AH123" s="484">
        <f>IF(OR($AA123=0,$AA123&gt;40),0,INDEX(Overrides!I$47:I$87,$AA123+1,1)*$AA$85+INDEX(Overrides!I$47:I$87,$AA123,1)*$AB$86)</f>
        <v>0</v>
      </c>
      <c r="AI123" s="484">
        <f>IF(OR($AA123=0,$AA123&gt;40),0,INDEX(Overrides!J$47:J$87,$AA123+1,1)*$AA$85+INDEX(Overrides!J$47:J$87,$AA123,1)*$AB$86)</f>
        <v>0</v>
      </c>
      <c r="AJ123" s="93"/>
      <c r="AK123" s="161">
        <f>B123*'Selected Economics'!$I43*'Sensitivity Ranges'!$F$43</f>
        <v>0</v>
      </c>
      <c r="AL123" s="161">
        <f>IF($AA$84=1,AB123,Q123)*'Selected Economics'!$I43*'Sensitivity Ranges'!$F$43</f>
        <v>0</v>
      </c>
      <c r="AM123" s="161">
        <f>IF($AA$84=1,AC123,R123)*'Selected Economics'!$I43*'Sensitivity Ranges'!$F$43</f>
        <v>0</v>
      </c>
      <c r="AN123" s="161">
        <f>IF($AA$84=1,AD123,S123)*'Selected Economics'!$I43*'Sensitivity Ranges'!$F$43</f>
        <v>0</v>
      </c>
      <c r="AO123" s="161">
        <f>IF($AA$84=1,AE123,T123)*'Selected Economics'!$I43*'Sensitivity Ranges'!$F$43</f>
        <v>0</v>
      </c>
      <c r="AP123" s="161">
        <f>IF($AA$84=1,AF123,U123)*'Selected Economics'!$I43*'Sensitivity Ranges'!$F$43</f>
        <v>0</v>
      </c>
      <c r="AQ123" s="161">
        <f>IF($AA$84=1,AG123,V123)*'Selected Economics'!$I43*'Sensitivity Ranges'!$F$43</f>
        <v>0</v>
      </c>
      <c r="AR123" s="161">
        <f>IF($AA$84=1,AH123,W123)*'Selected Economics'!$I43*'Sensitivity Ranges'!$F$43</f>
        <v>0</v>
      </c>
      <c r="AS123" s="161">
        <f>IF($AA$84=1,AI123,X123)*'Selected Economics'!$I43*'Sensitivity Ranges'!$F$43</f>
        <v>0</v>
      </c>
      <c r="AT123" s="161">
        <f t="shared" si="48"/>
        <v>0</v>
      </c>
      <c r="AU123" s="174"/>
      <c r="AV123" s="161">
        <f t="shared" si="54"/>
        <v>0</v>
      </c>
      <c r="AW123" s="161">
        <f>AL123*Abandonment!$H48</f>
        <v>0</v>
      </c>
      <c r="AX123" s="161">
        <f>AM123*Abandonment!$H48</f>
        <v>0</v>
      </c>
      <c r="AY123" s="161">
        <f>AN123*Abandonment!$H48</f>
        <v>0</v>
      </c>
      <c r="AZ123" s="161">
        <f>AO123*Abandonment!$H48</f>
        <v>0</v>
      </c>
      <c r="BA123" s="161">
        <f>AP123*Abandonment!$H48</f>
        <v>0</v>
      </c>
      <c r="BB123" s="161">
        <f>AQ123*Abandonment!$H48</f>
        <v>0</v>
      </c>
      <c r="BC123" s="161">
        <f>AR123*Abandonment!$H48</f>
        <v>0</v>
      </c>
      <c r="BD123" s="161">
        <f>AS123*Abandonment!$H48</f>
        <v>0</v>
      </c>
      <c r="BE123" s="161">
        <f t="shared" si="49"/>
        <v>0</v>
      </c>
      <c r="BF123" s="174"/>
      <c r="BG123" s="161">
        <f>AW123+Exploration!R67</f>
        <v>0</v>
      </c>
      <c r="BH123" s="161">
        <f>AV123+(AX123+AY123+AZ123+IF(Input!$B$15="Shore",0,Development!BA123)+BB123)*(1+'Cost Assumptions'!$O$100)+BC123</f>
        <v>0</v>
      </c>
      <c r="BI123" s="161">
        <f>IF(Input!$B$15="Shore",Development!BA123,0)*(1+'Cost Assumptions'!$O$100)</f>
        <v>0</v>
      </c>
      <c r="BJ123" s="157"/>
      <c r="BK123" s="157"/>
      <c r="BL123" s="161">
        <f t="shared" si="37"/>
        <v>0</v>
      </c>
      <c r="BM123" s="201"/>
      <c r="BN123" s="157"/>
      <c r="BO123" s="161">
        <f t="shared" si="38"/>
        <v>0</v>
      </c>
      <c r="BP123" s="161">
        <f t="shared" si="39"/>
        <v>0</v>
      </c>
      <c r="BQ123" s="161">
        <f t="shared" si="40"/>
        <v>0</v>
      </c>
      <c r="BR123" s="161">
        <f t="shared" si="41"/>
        <v>0</v>
      </c>
      <c r="BS123" s="161">
        <f t="shared" si="42"/>
        <v>0</v>
      </c>
      <c r="BT123" s="161">
        <f t="shared" si="43"/>
        <v>0</v>
      </c>
      <c r="BU123" s="161">
        <f t="shared" si="44"/>
        <v>0</v>
      </c>
      <c r="BV123" s="161">
        <f t="shared" si="45"/>
        <v>0</v>
      </c>
      <c r="BW123" s="161">
        <f t="shared" si="46"/>
        <v>0</v>
      </c>
      <c r="BX123" s="161">
        <f t="shared" si="50"/>
        <v>0</v>
      </c>
      <c r="BY123" s="161"/>
      <c r="BZ123" s="161">
        <f t="shared" si="51"/>
        <v>0</v>
      </c>
    </row>
    <row r="124" spans="1:78" x14ac:dyDescent="0.3">
      <c r="A124" s="141">
        <f t="shared" si="52"/>
        <v>2045</v>
      </c>
      <c r="B124" s="161">
        <f t="shared" si="32"/>
        <v>0</v>
      </c>
      <c r="C124" s="161">
        <f t="shared" si="58"/>
        <v>0</v>
      </c>
      <c r="D124" s="161">
        <f t="shared" si="58"/>
        <v>0</v>
      </c>
      <c r="E124" s="161">
        <f t="shared" si="58"/>
        <v>0</v>
      </c>
      <c r="F124" s="161">
        <f t="shared" si="58"/>
        <v>0</v>
      </c>
      <c r="G124" s="161">
        <f t="shared" si="58"/>
        <v>0</v>
      </c>
      <c r="H124" s="161">
        <f t="shared" si="58"/>
        <v>0</v>
      </c>
      <c r="I124" s="161">
        <f t="shared" si="58"/>
        <v>0</v>
      </c>
      <c r="J124" s="161">
        <f t="shared" si="58"/>
        <v>0</v>
      </c>
      <c r="K124" s="161">
        <f t="shared" si="58"/>
        <v>0</v>
      </c>
      <c r="L124" s="161">
        <f t="shared" si="58"/>
        <v>0</v>
      </c>
      <c r="M124" s="161">
        <f t="shared" si="58"/>
        <v>0</v>
      </c>
      <c r="N124" s="161">
        <f t="shared" si="58"/>
        <v>0</v>
      </c>
      <c r="O124" s="161">
        <f t="shared" si="58"/>
        <v>0</v>
      </c>
      <c r="P124" s="161">
        <f t="shared" si="58"/>
        <v>0</v>
      </c>
      <c r="Q124" s="161">
        <f t="shared" si="47"/>
        <v>0</v>
      </c>
      <c r="R124" s="161">
        <f t="shared" si="57"/>
        <v>0</v>
      </c>
      <c r="S124" s="161">
        <f t="shared" si="57"/>
        <v>0</v>
      </c>
      <c r="T124" s="161">
        <f t="shared" si="57"/>
        <v>0</v>
      </c>
      <c r="U124" s="161">
        <f t="shared" si="57"/>
        <v>0</v>
      </c>
      <c r="V124" s="161">
        <f>'Cost Assumptions'!$O$99*SUM(Development!R124:U124)</f>
        <v>0</v>
      </c>
      <c r="W124" s="161">
        <f t="shared" si="53"/>
        <v>0</v>
      </c>
      <c r="X124" s="161">
        <f>'Cost Assumptions'!$O$100*SUM(Development!R124:V124)</f>
        <v>0</v>
      </c>
      <c r="Y124" s="161">
        <f t="shared" si="35"/>
        <v>0</v>
      </c>
      <c r="Z124" s="174"/>
      <c r="AA124" s="204">
        <f t="shared" si="36"/>
        <v>30</v>
      </c>
      <c r="AB124" s="484">
        <f>IF(OR($AA124=0,$AA124&gt;40),0,INDEX(Overrides!C$47:C$87,$AA124+1,1)*$AA$85+INDEX(Overrides!C$47:C$87,$AA124,1)*$AB$86)</f>
        <v>0</v>
      </c>
      <c r="AC124" s="484">
        <f>IF(OR($AA124=0,$AA124&gt;40),0,INDEX(Overrides!D$47:D$87,$AA124+1,1)*$AA$85+INDEX(Overrides!D$47:D$87,$AA124,1)*$AB$86)</f>
        <v>0</v>
      </c>
      <c r="AD124" s="484">
        <f>IF(OR($AA124=0,$AA124&gt;40),0,INDEX(Overrides!E$47:E$87,$AA124+1,1)*$AA$85+INDEX(Overrides!E$47:E$87,$AA124,1)*$AB$86)</f>
        <v>0</v>
      </c>
      <c r="AE124" s="484">
        <f>IF(OR($AA124=0,$AA124&gt;40),0,INDEX(Overrides!F$47:F$87,$AA124+1,1)*$AA$85+INDEX(Overrides!F$47:F$87,$AA124,1)*$AB$86)</f>
        <v>0</v>
      </c>
      <c r="AF124" s="484">
        <f>IF(OR($AA124=0,$AA124&gt;40),0,INDEX(Overrides!G$47:G$87,$AA124+1,1)*$AA$85+INDEX(Overrides!G$47:G$87,$AA124,1)*$AB$86)</f>
        <v>0</v>
      </c>
      <c r="AG124" s="484">
        <f>IF(OR($AA124=0,$AA124&gt;40),0,INDEX(Overrides!H$47:H$87,$AA124+1,1)*$AA$85+INDEX(Overrides!H$47:H$87,$AA124,1)*$AB$86)</f>
        <v>0</v>
      </c>
      <c r="AH124" s="484">
        <f>IF(OR($AA124=0,$AA124&gt;40),0,INDEX(Overrides!I$47:I$87,$AA124+1,1)*$AA$85+INDEX(Overrides!I$47:I$87,$AA124,1)*$AB$86)</f>
        <v>0</v>
      </c>
      <c r="AI124" s="484">
        <f>IF(OR($AA124=0,$AA124&gt;40),0,INDEX(Overrides!J$47:J$87,$AA124+1,1)*$AA$85+INDEX(Overrides!J$47:J$87,$AA124,1)*$AB$86)</f>
        <v>0</v>
      </c>
      <c r="AJ124" s="93"/>
      <c r="AK124" s="161">
        <f>B124*'Selected Economics'!$I44*'Sensitivity Ranges'!$F$43</f>
        <v>0</v>
      </c>
      <c r="AL124" s="161">
        <f>IF($AA$84=1,AB124,Q124)*'Selected Economics'!$I44*'Sensitivity Ranges'!$F$43</f>
        <v>0</v>
      </c>
      <c r="AM124" s="161">
        <f>IF($AA$84=1,AC124,R124)*'Selected Economics'!$I44*'Sensitivity Ranges'!$F$43</f>
        <v>0</v>
      </c>
      <c r="AN124" s="161">
        <f>IF($AA$84=1,AD124,S124)*'Selected Economics'!$I44*'Sensitivity Ranges'!$F$43</f>
        <v>0</v>
      </c>
      <c r="AO124" s="161">
        <f>IF($AA$84=1,AE124,T124)*'Selected Economics'!$I44*'Sensitivity Ranges'!$F$43</f>
        <v>0</v>
      </c>
      <c r="AP124" s="161">
        <f>IF($AA$84=1,AF124,U124)*'Selected Economics'!$I44*'Sensitivity Ranges'!$F$43</f>
        <v>0</v>
      </c>
      <c r="AQ124" s="161">
        <f>IF($AA$84=1,AG124,V124)*'Selected Economics'!$I44*'Sensitivity Ranges'!$F$43</f>
        <v>0</v>
      </c>
      <c r="AR124" s="161">
        <f>IF($AA$84=1,AH124,W124)*'Selected Economics'!$I44*'Sensitivity Ranges'!$F$43</f>
        <v>0</v>
      </c>
      <c r="AS124" s="161">
        <f>IF($AA$84=1,AI124,X124)*'Selected Economics'!$I44*'Sensitivity Ranges'!$F$43</f>
        <v>0</v>
      </c>
      <c r="AT124" s="161">
        <f t="shared" si="48"/>
        <v>0</v>
      </c>
      <c r="AU124" s="174"/>
      <c r="AV124" s="161">
        <f t="shared" si="54"/>
        <v>0</v>
      </c>
      <c r="AW124" s="161">
        <f>AL124*Abandonment!$H49</f>
        <v>0</v>
      </c>
      <c r="AX124" s="161">
        <f>AM124*Abandonment!$H49</f>
        <v>0</v>
      </c>
      <c r="AY124" s="161">
        <f>AN124*Abandonment!$H49</f>
        <v>0</v>
      </c>
      <c r="AZ124" s="161">
        <f>AO124*Abandonment!$H49</f>
        <v>0</v>
      </c>
      <c r="BA124" s="161">
        <f>AP124*Abandonment!$H49</f>
        <v>0</v>
      </c>
      <c r="BB124" s="161">
        <f>AQ124*Abandonment!$H49</f>
        <v>0</v>
      </c>
      <c r="BC124" s="161">
        <f>AR124*Abandonment!$H49</f>
        <v>0</v>
      </c>
      <c r="BD124" s="161">
        <f>AS124*Abandonment!$H49</f>
        <v>0</v>
      </c>
      <c r="BE124" s="161">
        <f t="shared" si="49"/>
        <v>0</v>
      </c>
      <c r="BF124" s="174"/>
      <c r="BG124" s="161">
        <f>AW124+Exploration!R68</f>
        <v>0</v>
      </c>
      <c r="BH124" s="161">
        <f>AV124+(AX124+AY124+AZ124+IF(Input!$B$15="Shore",0,Development!BA124)+BB124)*(1+'Cost Assumptions'!$O$100)+BC124</f>
        <v>0</v>
      </c>
      <c r="BI124" s="161">
        <f>IF(Input!$B$15="Shore",Development!BA124,0)*(1+'Cost Assumptions'!$O$100)</f>
        <v>0</v>
      </c>
      <c r="BJ124" s="157"/>
      <c r="BK124" s="157"/>
      <c r="BL124" s="161">
        <f t="shared" si="37"/>
        <v>0</v>
      </c>
      <c r="BM124" s="201"/>
      <c r="BN124" s="157"/>
      <c r="BO124" s="161">
        <f t="shared" si="38"/>
        <v>0</v>
      </c>
      <c r="BP124" s="161">
        <f t="shared" si="39"/>
        <v>0</v>
      </c>
      <c r="BQ124" s="161">
        <f t="shared" si="40"/>
        <v>0</v>
      </c>
      <c r="BR124" s="161">
        <f t="shared" si="41"/>
        <v>0</v>
      </c>
      <c r="BS124" s="161">
        <f t="shared" si="42"/>
        <v>0</v>
      </c>
      <c r="BT124" s="161">
        <f t="shared" si="43"/>
        <v>0</v>
      </c>
      <c r="BU124" s="161">
        <f t="shared" si="44"/>
        <v>0</v>
      </c>
      <c r="BV124" s="161">
        <f t="shared" si="45"/>
        <v>0</v>
      </c>
      <c r="BW124" s="161">
        <f t="shared" si="46"/>
        <v>0</v>
      </c>
      <c r="BX124" s="161">
        <f t="shared" si="50"/>
        <v>0</v>
      </c>
      <c r="BY124" s="161"/>
      <c r="BZ124" s="161">
        <f t="shared" si="51"/>
        <v>0</v>
      </c>
    </row>
    <row r="125" spans="1:78" x14ac:dyDescent="0.3">
      <c r="A125" s="141">
        <f t="shared" si="52"/>
        <v>2046</v>
      </c>
      <c r="B125" s="161">
        <f t="shared" si="32"/>
        <v>0</v>
      </c>
      <c r="C125" s="161">
        <f t="shared" si="58"/>
        <v>0</v>
      </c>
      <c r="D125" s="161">
        <f t="shared" si="58"/>
        <v>0</v>
      </c>
      <c r="E125" s="161">
        <f t="shared" si="58"/>
        <v>0</v>
      </c>
      <c r="F125" s="161">
        <f t="shared" si="58"/>
        <v>0</v>
      </c>
      <c r="G125" s="161">
        <f t="shared" si="58"/>
        <v>0</v>
      </c>
      <c r="H125" s="161">
        <f t="shared" si="58"/>
        <v>0</v>
      </c>
      <c r="I125" s="161">
        <f t="shared" si="58"/>
        <v>0</v>
      </c>
      <c r="J125" s="161">
        <f t="shared" si="58"/>
        <v>0</v>
      </c>
      <c r="K125" s="161">
        <f t="shared" si="58"/>
        <v>0</v>
      </c>
      <c r="L125" s="161">
        <f t="shared" si="58"/>
        <v>0</v>
      </c>
      <c r="M125" s="161">
        <f t="shared" si="58"/>
        <v>0</v>
      </c>
      <c r="N125" s="161">
        <f t="shared" si="58"/>
        <v>0</v>
      </c>
      <c r="O125" s="161">
        <f t="shared" si="58"/>
        <v>0</v>
      </c>
      <c r="P125" s="161">
        <f t="shared" si="58"/>
        <v>0</v>
      </c>
      <c r="Q125" s="161">
        <f t="shared" si="47"/>
        <v>0</v>
      </c>
      <c r="R125" s="161">
        <f t="shared" si="57"/>
        <v>0</v>
      </c>
      <c r="S125" s="161">
        <f t="shared" si="57"/>
        <v>0</v>
      </c>
      <c r="T125" s="161">
        <f t="shared" si="57"/>
        <v>0</v>
      </c>
      <c r="U125" s="161">
        <f t="shared" si="57"/>
        <v>0</v>
      </c>
      <c r="V125" s="161">
        <f>'Cost Assumptions'!$O$99*SUM(Development!R125:U125)</f>
        <v>0</v>
      </c>
      <c r="W125" s="161">
        <f t="shared" si="53"/>
        <v>0</v>
      </c>
      <c r="X125" s="161">
        <f>'Cost Assumptions'!$O$100*SUM(Development!R125:V125)</f>
        <v>0</v>
      </c>
      <c r="Y125" s="161">
        <f t="shared" si="35"/>
        <v>0</v>
      </c>
      <c r="Z125" s="174"/>
      <c r="AA125" s="204">
        <f t="shared" si="36"/>
        <v>31</v>
      </c>
      <c r="AB125" s="484">
        <f>IF(OR($AA125=0,$AA125&gt;40),0,INDEX(Overrides!C$47:C$87,$AA125+1,1)*$AA$85+INDEX(Overrides!C$47:C$87,$AA125,1)*$AB$86)</f>
        <v>0</v>
      </c>
      <c r="AC125" s="484">
        <f>IF(OR($AA125=0,$AA125&gt;40),0,INDEX(Overrides!D$47:D$87,$AA125+1,1)*$AA$85+INDEX(Overrides!D$47:D$87,$AA125,1)*$AB$86)</f>
        <v>0</v>
      </c>
      <c r="AD125" s="484">
        <f>IF(OR($AA125=0,$AA125&gt;40),0,INDEX(Overrides!E$47:E$87,$AA125+1,1)*$AA$85+INDEX(Overrides!E$47:E$87,$AA125,1)*$AB$86)</f>
        <v>0</v>
      </c>
      <c r="AE125" s="484">
        <f>IF(OR($AA125=0,$AA125&gt;40),0,INDEX(Overrides!F$47:F$87,$AA125+1,1)*$AA$85+INDEX(Overrides!F$47:F$87,$AA125,1)*$AB$86)</f>
        <v>0</v>
      </c>
      <c r="AF125" s="484">
        <f>IF(OR($AA125=0,$AA125&gt;40),0,INDEX(Overrides!G$47:G$87,$AA125+1,1)*$AA$85+INDEX(Overrides!G$47:G$87,$AA125,1)*$AB$86)</f>
        <v>0</v>
      </c>
      <c r="AG125" s="484">
        <f>IF(OR($AA125=0,$AA125&gt;40),0,INDEX(Overrides!H$47:H$87,$AA125+1,1)*$AA$85+INDEX(Overrides!H$47:H$87,$AA125,1)*$AB$86)</f>
        <v>0</v>
      </c>
      <c r="AH125" s="484">
        <f>IF(OR($AA125=0,$AA125&gt;40),0,INDEX(Overrides!I$47:I$87,$AA125+1,1)*$AA$85+INDEX(Overrides!I$47:I$87,$AA125,1)*$AB$86)</f>
        <v>0</v>
      </c>
      <c r="AI125" s="484">
        <f>IF(OR($AA125=0,$AA125&gt;40),0,INDEX(Overrides!J$47:J$87,$AA125+1,1)*$AA$85+INDEX(Overrides!J$47:J$87,$AA125,1)*$AB$86)</f>
        <v>0</v>
      </c>
      <c r="AJ125" s="93"/>
      <c r="AK125" s="161">
        <f>B125*'Selected Economics'!$I45*'Sensitivity Ranges'!$F$43</f>
        <v>0</v>
      </c>
      <c r="AL125" s="161">
        <f>IF($AA$84=1,AB125,Q125)*'Selected Economics'!$I45*'Sensitivity Ranges'!$F$43</f>
        <v>0</v>
      </c>
      <c r="AM125" s="161">
        <f>IF($AA$84=1,AC125,R125)*'Selected Economics'!$I45*'Sensitivity Ranges'!$F$43</f>
        <v>0</v>
      </c>
      <c r="AN125" s="161">
        <f>IF($AA$84=1,AD125,S125)*'Selected Economics'!$I45*'Sensitivity Ranges'!$F$43</f>
        <v>0</v>
      </c>
      <c r="AO125" s="161">
        <f>IF($AA$84=1,AE125,T125)*'Selected Economics'!$I45*'Sensitivity Ranges'!$F$43</f>
        <v>0</v>
      </c>
      <c r="AP125" s="161">
        <f>IF($AA$84=1,AF125,U125)*'Selected Economics'!$I45*'Sensitivity Ranges'!$F$43</f>
        <v>0</v>
      </c>
      <c r="AQ125" s="161">
        <f>IF($AA$84=1,AG125,V125)*'Selected Economics'!$I45*'Sensitivity Ranges'!$F$43</f>
        <v>0</v>
      </c>
      <c r="AR125" s="161">
        <f>IF($AA$84=1,AH125,W125)*'Selected Economics'!$I45*'Sensitivity Ranges'!$F$43</f>
        <v>0</v>
      </c>
      <c r="AS125" s="161">
        <f>IF($AA$84=1,AI125,X125)*'Selected Economics'!$I45*'Sensitivity Ranges'!$F$43</f>
        <v>0</v>
      </c>
      <c r="AT125" s="161">
        <f t="shared" si="48"/>
        <v>0</v>
      </c>
      <c r="AU125" s="174"/>
      <c r="AV125" s="161">
        <f t="shared" si="54"/>
        <v>0</v>
      </c>
      <c r="AW125" s="161">
        <f>AL125*Abandonment!$H50</f>
        <v>0</v>
      </c>
      <c r="AX125" s="161">
        <f>AM125*Abandonment!$H50</f>
        <v>0</v>
      </c>
      <c r="AY125" s="161">
        <f>AN125*Abandonment!$H50</f>
        <v>0</v>
      </c>
      <c r="AZ125" s="161">
        <f>AO125*Abandonment!$H50</f>
        <v>0</v>
      </c>
      <c r="BA125" s="161">
        <f>AP125*Abandonment!$H50</f>
        <v>0</v>
      </c>
      <c r="BB125" s="161">
        <f>AQ125*Abandonment!$H50</f>
        <v>0</v>
      </c>
      <c r="BC125" s="161">
        <f>AR125*Abandonment!$H50</f>
        <v>0</v>
      </c>
      <c r="BD125" s="161">
        <f>AS125*Abandonment!$H50</f>
        <v>0</v>
      </c>
      <c r="BE125" s="161">
        <f t="shared" si="49"/>
        <v>0</v>
      </c>
      <c r="BF125" s="174"/>
      <c r="BG125" s="161">
        <f>AW125+Exploration!R69</f>
        <v>0</v>
      </c>
      <c r="BH125" s="161">
        <f>AV125+(AX125+AY125+AZ125+IF(Input!$B$15="Shore",0,Development!BA125)+BB125)*(1+'Cost Assumptions'!$O$100)+BC125</f>
        <v>0</v>
      </c>
      <c r="BI125" s="161">
        <f>IF(Input!$B$15="Shore",Development!BA125,0)*(1+'Cost Assumptions'!$O$100)</f>
        <v>0</v>
      </c>
      <c r="BJ125" s="157"/>
      <c r="BK125" s="157"/>
      <c r="BL125" s="161">
        <f t="shared" si="37"/>
        <v>0</v>
      </c>
      <c r="BM125" s="201"/>
      <c r="BN125" s="157"/>
      <c r="BO125" s="161">
        <f t="shared" si="38"/>
        <v>0</v>
      </c>
      <c r="BP125" s="161">
        <f t="shared" si="39"/>
        <v>0</v>
      </c>
      <c r="BQ125" s="161">
        <f t="shared" si="40"/>
        <v>0</v>
      </c>
      <c r="BR125" s="161">
        <f t="shared" si="41"/>
        <v>0</v>
      </c>
      <c r="BS125" s="161">
        <f t="shared" si="42"/>
        <v>0</v>
      </c>
      <c r="BT125" s="161">
        <f t="shared" si="43"/>
        <v>0</v>
      </c>
      <c r="BU125" s="161">
        <f t="shared" si="44"/>
        <v>0</v>
      </c>
      <c r="BV125" s="161">
        <f t="shared" si="45"/>
        <v>0</v>
      </c>
      <c r="BW125" s="161">
        <f t="shared" si="46"/>
        <v>0</v>
      </c>
      <c r="BX125" s="161">
        <f t="shared" si="50"/>
        <v>0</v>
      </c>
      <c r="BY125" s="161"/>
      <c r="BZ125" s="161">
        <f t="shared" si="51"/>
        <v>0</v>
      </c>
    </row>
    <row r="126" spans="1:78" x14ac:dyDescent="0.3">
      <c r="A126" s="141">
        <f t="shared" si="52"/>
        <v>2047</v>
      </c>
      <c r="B126" s="161">
        <f t="shared" si="32"/>
        <v>0</v>
      </c>
      <c r="C126" s="161">
        <f t="shared" si="58"/>
        <v>0</v>
      </c>
      <c r="D126" s="161">
        <f t="shared" si="58"/>
        <v>0</v>
      </c>
      <c r="E126" s="161">
        <f t="shared" si="58"/>
        <v>0</v>
      </c>
      <c r="F126" s="161">
        <f t="shared" si="58"/>
        <v>0</v>
      </c>
      <c r="G126" s="161">
        <f t="shared" si="58"/>
        <v>0</v>
      </c>
      <c r="H126" s="161">
        <f t="shared" si="58"/>
        <v>0</v>
      </c>
      <c r="I126" s="161">
        <f t="shared" si="58"/>
        <v>0</v>
      </c>
      <c r="J126" s="161">
        <f t="shared" si="58"/>
        <v>0</v>
      </c>
      <c r="K126" s="161">
        <f t="shared" si="58"/>
        <v>0</v>
      </c>
      <c r="L126" s="161">
        <f t="shared" si="58"/>
        <v>0</v>
      </c>
      <c r="M126" s="161">
        <f t="shared" si="58"/>
        <v>0</v>
      </c>
      <c r="N126" s="161">
        <f t="shared" si="58"/>
        <v>0</v>
      </c>
      <c r="O126" s="161">
        <f t="shared" si="58"/>
        <v>0</v>
      </c>
      <c r="P126" s="161">
        <f t="shared" si="58"/>
        <v>0</v>
      </c>
      <c r="Q126" s="161">
        <f t="shared" si="47"/>
        <v>0</v>
      </c>
      <c r="R126" s="161">
        <f t="shared" si="57"/>
        <v>0</v>
      </c>
      <c r="S126" s="161">
        <f t="shared" si="57"/>
        <v>0</v>
      </c>
      <c r="T126" s="161">
        <f t="shared" si="57"/>
        <v>0</v>
      </c>
      <c r="U126" s="161">
        <f t="shared" si="57"/>
        <v>0</v>
      </c>
      <c r="V126" s="161">
        <f>'Cost Assumptions'!$O$99*SUM(Development!R126:U126)</f>
        <v>0</v>
      </c>
      <c r="W126" s="161">
        <f t="shared" si="53"/>
        <v>0</v>
      </c>
      <c r="X126" s="161">
        <f>'Cost Assumptions'!$O$100*SUM(Development!R126:V126)</f>
        <v>0</v>
      </c>
      <c r="Y126" s="161">
        <f t="shared" si="35"/>
        <v>0</v>
      </c>
      <c r="Z126" s="174"/>
      <c r="AA126" s="204">
        <f t="shared" si="36"/>
        <v>32</v>
      </c>
      <c r="AB126" s="484">
        <f>IF(OR($AA126=0,$AA126&gt;40),0,INDEX(Overrides!C$47:C$87,$AA126+1,1)*$AA$85+INDEX(Overrides!C$47:C$87,$AA126,1)*$AB$86)</f>
        <v>0</v>
      </c>
      <c r="AC126" s="484">
        <f>IF(OR($AA126=0,$AA126&gt;40),0,INDEX(Overrides!D$47:D$87,$AA126+1,1)*$AA$85+INDEX(Overrides!D$47:D$87,$AA126,1)*$AB$86)</f>
        <v>0</v>
      </c>
      <c r="AD126" s="484">
        <f>IF(OR($AA126=0,$AA126&gt;40),0,INDEX(Overrides!E$47:E$87,$AA126+1,1)*$AA$85+INDEX(Overrides!E$47:E$87,$AA126,1)*$AB$86)</f>
        <v>0</v>
      </c>
      <c r="AE126" s="484">
        <f>IF(OR($AA126=0,$AA126&gt;40),0,INDEX(Overrides!F$47:F$87,$AA126+1,1)*$AA$85+INDEX(Overrides!F$47:F$87,$AA126,1)*$AB$86)</f>
        <v>0</v>
      </c>
      <c r="AF126" s="484">
        <f>IF(OR($AA126=0,$AA126&gt;40),0,INDEX(Overrides!G$47:G$87,$AA126+1,1)*$AA$85+INDEX(Overrides!G$47:G$87,$AA126,1)*$AB$86)</f>
        <v>0</v>
      </c>
      <c r="AG126" s="484">
        <f>IF(OR($AA126=0,$AA126&gt;40),0,INDEX(Overrides!H$47:H$87,$AA126+1,1)*$AA$85+INDEX(Overrides!H$47:H$87,$AA126,1)*$AB$86)</f>
        <v>0</v>
      </c>
      <c r="AH126" s="484">
        <f>IF(OR($AA126=0,$AA126&gt;40),0,INDEX(Overrides!I$47:I$87,$AA126+1,1)*$AA$85+INDEX(Overrides!I$47:I$87,$AA126,1)*$AB$86)</f>
        <v>0</v>
      </c>
      <c r="AI126" s="484">
        <f>IF(OR($AA126=0,$AA126&gt;40),0,INDEX(Overrides!J$47:J$87,$AA126+1,1)*$AA$85+INDEX(Overrides!J$47:J$87,$AA126,1)*$AB$86)</f>
        <v>0</v>
      </c>
      <c r="AJ126" s="93"/>
      <c r="AK126" s="161">
        <f>B126*'Selected Economics'!$I46*'Sensitivity Ranges'!$F$43</f>
        <v>0</v>
      </c>
      <c r="AL126" s="161">
        <f>IF($AA$84=1,AB126,Q126)*'Selected Economics'!$I46*'Sensitivity Ranges'!$F$43</f>
        <v>0</v>
      </c>
      <c r="AM126" s="161">
        <f>IF($AA$84=1,AC126,R126)*'Selected Economics'!$I46*'Sensitivity Ranges'!$F$43</f>
        <v>0</v>
      </c>
      <c r="AN126" s="161">
        <f>IF($AA$84=1,AD126,S126)*'Selected Economics'!$I46*'Sensitivity Ranges'!$F$43</f>
        <v>0</v>
      </c>
      <c r="AO126" s="161">
        <f>IF($AA$84=1,AE126,T126)*'Selected Economics'!$I46*'Sensitivity Ranges'!$F$43</f>
        <v>0</v>
      </c>
      <c r="AP126" s="161">
        <f>IF($AA$84=1,AF126,U126)*'Selected Economics'!$I46*'Sensitivity Ranges'!$F$43</f>
        <v>0</v>
      </c>
      <c r="AQ126" s="161">
        <f>IF($AA$84=1,AG126,V126)*'Selected Economics'!$I46*'Sensitivity Ranges'!$F$43</f>
        <v>0</v>
      </c>
      <c r="AR126" s="161">
        <f>IF($AA$84=1,AH126,W126)*'Selected Economics'!$I46*'Sensitivity Ranges'!$F$43</f>
        <v>0</v>
      </c>
      <c r="AS126" s="161">
        <f>IF($AA$84=1,AI126,X126)*'Selected Economics'!$I46*'Sensitivity Ranges'!$F$43</f>
        <v>0</v>
      </c>
      <c r="AT126" s="161">
        <f t="shared" si="48"/>
        <v>0</v>
      </c>
      <c r="AU126" s="174"/>
      <c r="AV126" s="161">
        <f t="shared" si="54"/>
        <v>0</v>
      </c>
      <c r="AW126" s="161">
        <f>AL126*Abandonment!$H51</f>
        <v>0</v>
      </c>
      <c r="AX126" s="161">
        <f>AM126*Abandonment!$H51</f>
        <v>0</v>
      </c>
      <c r="AY126" s="161">
        <f>AN126*Abandonment!$H51</f>
        <v>0</v>
      </c>
      <c r="AZ126" s="161">
        <f>AO126*Abandonment!$H51</f>
        <v>0</v>
      </c>
      <c r="BA126" s="161">
        <f>AP126*Abandonment!$H51</f>
        <v>0</v>
      </c>
      <c r="BB126" s="161">
        <f>AQ126*Abandonment!$H51</f>
        <v>0</v>
      </c>
      <c r="BC126" s="161">
        <f>AR126*Abandonment!$H51</f>
        <v>0</v>
      </c>
      <c r="BD126" s="161">
        <f>AS126*Abandonment!$H51</f>
        <v>0</v>
      </c>
      <c r="BE126" s="161">
        <f t="shared" si="49"/>
        <v>0</v>
      </c>
      <c r="BF126" s="174"/>
      <c r="BG126" s="161">
        <f>AW126+Exploration!R70</f>
        <v>0</v>
      </c>
      <c r="BH126" s="161">
        <f>AV126+(AX126+AY126+AZ126+IF(Input!$B$15="Shore",0,Development!BA126)+BB126)*(1+'Cost Assumptions'!$O$100)+BC126</f>
        <v>0</v>
      </c>
      <c r="BI126" s="161">
        <f>IF(Input!$B$15="Shore",Development!BA126,0)*(1+'Cost Assumptions'!$O$100)</f>
        <v>0</v>
      </c>
      <c r="BJ126" s="157"/>
      <c r="BK126" s="157"/>
      <c r="BL126" s="161">
        <f t="shared" si="37"/>
        <v>0</v>
      </c>
      <c r="BM126" s="201"/>
      <c r="BN126" s="157"/>
      <c r="BO126" s="161">
        <f t="shared" si="38"/>
        <v>0</v>
      </c>
      <c r="BP126" s="161">
        <f t="shared" si="39"/>
        <v>0</v>
      </c>
      <c r="BQ126" s="161">
        <f t="shared" si="40"/>
        <v>0</v>
      </c>
      <c r="BR126" s="161">
        <f t="shared" si="41"/>
        <v>0</v>
      </c>
      <c r="BS126" s="161">
        <f t="shared" si="42"/>
        <v>0</v>
      </c>
      <c r="BT126" s="161">
        <f t="shared" si="43"/>
        <v>0</v>
      </c>
      <c r="BU126" s="161">
        <f t="shared" si="44"/>
        <v>0</v>
      </c>
      <c r="BV126" s="161">
        <f t="shared" si="45"/>
        <v>0</v>
      </c>
      <c r="BW126" s="161">
        <f t="shared" si="46"/>
        <v>0</v>
      </c>
      <c r="BX126" s="161">
        <f t="shared" si="50"/>
        <v>0</v>
      </c>
      <c r="BY126" s="161"/>
      <c r="BZ126" s="161">
        <f t="shared" si="51"/>
        <v>0</v>
      </c>
    </row>
    <row r="127" spans="1:78" x14ac:dyDescent="0.3">
      <c r="A127" s="141">
        <f t="shared" si="52"/>
        <v>2048</v>
      </c>
      <c r="B127" s="161">
        <f t="shared" si="32"/>
        <v>0</v>
      </c>
      <c r="C127" s="161">
        <f t="shared" si="58"/>
        <v>0</v>
      </c>
      <c r="D127" s="161">
        <f t="shared" si="58"/>
        <v>0</v>
      </c>
      <c r="E127" s="161">
        <f t="shared" si="58"/>
        <v>0</v>
      </c>
      <c r="F127" s="161">
        <f t="shared" si="58"/>
        <v>0</v>
      </c>
      <c r="G127" s="161">
        <f t="shared" si="58"/>
        <v>0</v>
      </c>
      <c r="H127" s="161">
        <f t="shared" si="58"/>
        <v>0</v>
      </c>
      <c r="I127" s="161">
        <f t="shared" si="58"/>
        <v>0</v>
      </c>
      <c r="J127" s="161">
        <f t="shared" si="58"/>
        <v>0</v>
      </c>
      <c r="K127" s="161">
        <f t="shared" si="58"/>
        <v>0</v>
      </c>
      <c r="L127" s="161">
        <f t="shared" si="58"/>
        <v>0</v>
      </c>
      <c r="M127" s="161">
        <f t="shared" si="58"/>
        <v>0</v>
      </c>
      <c r="N127" s="161">
        <f t="shared" si="58"/>
        <v>0</v>
      </c>
      <c r="O127" s="161">
        <f t="shared" si="58"/>
        <v>0</v>
      </c>
      <c r="P127" s="161">
        <f t="shared" si="58"/>
        <v>0</v>
      </c>
      <c r="Q127" s="161">
        <f t="shared" si="47"/>
        <v>0</v>
      </c>
      <c r="R127" s="161">
        <f t="shared" si="57"/>
        <v>0</v>
      </c>
      <c r="S127" s="161">
        <f t="shared" si="57"/>
        <v>0</v>
      </c>
      <c r="T127" s="161">
        <f t="shared" si="57"/>
        <v>0</v>
      </c>
      <c r="U127" s="161">
        <f t="shared" si="57"/>
        <v>0</v>
      </c>
      <c r="V127" s="161">
        <f>'Cost Assumptions'!$O$99*SUM(Development!R127:U127)</f>
        <v>0</v>
      </c>
      <c r="W127" s="161">
        <f t="shared" si="53"/>
        <v>0</v>
      </c>
      <c r="X127" s="161">
        <f>'Cost Assumptions'!$O$100*SUM(Development!R127:V127)</f>
        <v>0</v>
      </c>
      <c r="Y127" s="161">
        <f t="shared" si="35"/>
        <v>0</v>
      </c>
      <c r="Z127" s="174"/>
      <c r="AA127" s="204">
        <f t="shared" si="36"/>
        <v>33</v>
      </c>
      <c r="AB127" s="484">
        <f>IF(OR($AA127=0,$AA127&gt;40),0,INDEX(Overrides!C$47:C$87,$AA127+1,1)*$AA$85+INDEX(Overrides!C$47:C$87,$AA127,1)*$AB$86)</f>
        <v>0</v>
      </c>
      <c r="AC127" s="484">
        <f>IF(OR($AA127=0,$AA127&gt;40),0,INDEX(Overrides!D$47:D$87,$AA127+1,1)*$AA$85+INDEX(Overrides!D$47:D$87,$AA127,1)*$AB$86)</f>
        <v>0</v>
      </c>
      <c r="AD127" s="484">
        <f>IF(OR($AA127=0,$AA127&gt;40),0,INDEX(Overrides!E$47:E$87,$AA127+1,1)*$AA$85+INDEX(Overrides!E$47:E$87,$AA127,1)*$AB$86)</f>
        <v>0</v>
      </c>
      <c r="AE127" s="484">
        <f>IF(OR($AA127=0,$AA127&gt;40),0,INDEX(Overrides!F$47:F$87,$AA127+1,1)*$AA$85+INDEX(Overrides!F$47:F$87,$AA127,1)*$AB$86)</f>
        <v>0</v>
      </c>
      <c r="AF127" s="484">
        <f>IF(OR($AA127=0,$AA127&gt;40),0,INDEX(Overrides!G$47:G$87,$AA127+1,1)*$AA$85+INDEX(Overrides!G$47:G$87,$AA127,1)*$AB$86)</f>
        <v>0</v>
      </c>
      <c r="AG127" s="484">
        <f>IF(OR($AA127=0,$AA127&gt;40),0,INDEX(Overrides!H$47:H$87,$AA127+1,1)*$AA$85+INDEX(Overrides!H$47:H$87,$AA127,1)*$AB$86)</f>
        <v>0</v>
      </c>
      <c r="AH127" s="484">
        <f>IF(OR($AA127=0,$AA127&gt;40),0,INDEX(Overrides!I$47:I$87,$AA127+1,1)*$AA$85+INDEX(Overrides!I$47:I$87,$AA127,1)*$AB$86)</f>
        <v>0</v>
      </c>
      <c r="AI127" s="484">
        <f>IF(OR($AA127=0,$AA127&gt;40),0,INDEX(Overrides!J$47:J$87,$AA127+1,1)*$AA$85+INDEX(Overrides!J$47:J$87,$AA127,1)*$AB$86)</f>
        <v>0</v>
      </c>
      <c r="AJ127" s="93"/>
      <c r="AK127" s="161">
        <f>B127*'Selected Economics'!$I47*'Sensitivity Ranges'!$F$43</f>
        <v>0</v>
      </c>
      <c r="AL127" s="161">
        <f>IF($AA$84=1,AB127,Q127)*'Selected Economics'!$I47*'Sensitivity Ranges'!$F$43</f>
        <v>0</v>
      </c>
      <c r="AM127" s="161">
        <f>IF($AA$84=1,AC127,R127)*'Selected Economics'!$I47*'Sensitivity Ranges'!$F$43</f>
        <v>0</v>
      </c>
      <c r="AN127" s="161">
        <f>IF($AA$84=1,AD127,S127)*'Selected Economics'!$I47*'Sensitivity Ranges'!$F$43</f>
        <v>0</v>
      </c>
      <c r="AO127" s="161">
        <f>IF($AA$84=1,AE127,T127)*'Selected Economics'!$I47*'Sensitivity Ranges'!$F$43</f>
        <v>0</v>
      </c>
      <c r="AP127" s="161">
        <f>IF($AA$84=1,AF127,U127)*'Selected Economics'!$I47*'Sensitivity Ranges'!$F$43</f>
        <v>0</v>
      </c>
      <c r="AQ127" s="161">
        <f>IF($AA$84=1,AG127,V127)*'Selected Economics'!$I47*'Sensitivity Ranges'!$F$43</f>
        <v>0</v>
      </c>
      <c r="AR127" s="161">
        <f>IF($AA$84=1,AH127,W127)*'Selected Economics'!$I47*'Sensitivity Ranges'!$F$43</f>
        <v>0</v>
      </c>
      <c r="AS127" s="161">
        <f>IF($AA$84=1,AI127,X127)*'Selected Economics'!$I47*'Sensitivity Ranges'!$F$43</f>
        <v>0</v>
      </c>
      <c r="AT127" s="161">
        <f t="shared" si="48"/>
        <v>0</v>
      </c>
      <c r="AU127" s="174"/>
      <c r="AV127" s="161">
        <f t="shared" si="54"/>
        <v>0</v>
      </c>
      <c r="AW127" s="161">
        <f>AL127*Abandonment!$H52</f>
        <v>0</v>
      </c>
      <c r="AX127" s="161">
        <f>AM127*Abandonment!$H52</f>
        <v>0</v>
      </c>
      <c r="AY127" s="161">
        <f>AN127*Abandonment!$H52</f>
        <v>0</v>
      </c>
      <c r="AZ127" s="161">
        <f>AO127*Abandonment!$H52</f>
        <v>0</v>
      </c>
      <c r="BA127" s="161">
        <f>AP127*Abandonment!$H52</f>
        <v>0</v>
      </c>
      <c r="BB127" s="161">
        <f>AQ127*Abandonment!$H52</f>
        <v>0</v>
      </c>
      <c r="BC127" s="161">
        <f>AR127*Abandonment!$H52</f>
        <v>0</v>
      </c>
      <c r="BD127" s="161">
        <f>AS127*Abandonment!$H52</f>
        <v>0</v>
      </c>
      <c r="BE127" s="161">
        <f t="shared" si="49"/>
        <v>0</v>
      </c>
      <c r="BF127" s="174"/>
      <c r="BG127" s="161">
        <f>AW127+Exploration!R71</f>
        <v>0</v>
      </c>
      <c r="BH127" s="161">
        <f>AV127+(AX127+AY127+AZ127+IF(Input!$B$15="Shore",0,Development!BA127)+BB127)*(1+'Cost Assumptions'!$O$100)+BC127</f>
        <v>0</v>
      </c>
      <c r="BI127" s="161">
        <f>IF(Input!$B$15="Shore",Development!BA127,0)*(1+'Cost Assumptions'!$O$100)</f>
        <v>0</v>
      </c>
      <c r="BJ127" s="157"/>
      <c r="BK127" s="157"/>
      <c r="BL127" s="161">
        <f t="shared" si="37"/>
        <v>0</v>
      </c>
      <c r="BM127" s="201"/>
      <c r="BN127" s="157"/>
      <c r="BO127" s="161">
        <f t="shared" si="38"/>
        <v>0</v>
      </c>
      <c r="BP127" s="161">
        <f t="shared" si="39"/>
        <v>0</v>
      </c>
      <c r="BQ127" s="161">
        <f t="shared" si="40"/>
        <v>0</v>
      </c>
      <c r="BR127" s="161">
        <f t="shared" si="41"/>
        <v>0</v>
      </c>
      <c r="BS127" s="161">
        <f t="shared" si="42"/>
        <v>0</v>
      </c>
      <c r="BT127" s="161">
        <f t="shared" si="43"/>
        <v>0</v>
      </c>
      <c r="BU127" s="161">
        <f t="shared" si="44"/>
        <v>0</v>
      </c>
      <c r="BV127" s="161">
        <f t="shared" si="45"/>
        <v>0</v>
      </c>
      <c r="BW127" s="161">
        <f t="shared" si="46"/>
        <v>0</v>
      </c>
      <c r="BX127" s="161">
        <f t="shared" si="50"/>
        <v>0</v>
      </c>
      <c r="BY127" s="161"/>
      <c r="BZ127" s="161">
        <f t="shared" si="51"/>
        <v>0</v>
      </c>
    </row>
    <row r="128" spans="1:78" x14ac:dyDescent="0.3">
      <c r="A128" s="141">
        <f t="shared" si="52"/>
        <v>2049</v>
      </c>
      <c r="B128" s="161">
        <f t="shared" si="32"/>
        <v>0</v>
      </c>
      <c r="C128" s="161">
        <f t="shared" si="58"/>
        <v>0</v>
      </c>
      <c r="D128" s="161">
        <f t="shared" si="58"/>
        <v>0</v>
      </c>
      <c r="E128" s="161">
        <f t="shared" si="58"/>
        <v>0</v>
      </c>
      <c r="F128" s="161">
        <f t="shared" si="58"/>
        <v>0</v>
      </c>
      <c r="G128" s="161">
        <f t="shared" si="58"/>
        <v>0</v>
      </c>
      <c r="H128" s="161">
        <f t="shared" si="58"/>
        <v>0</v>
      </c>
      <c r="I128" s="161">
        <f t="shared" si="58"/>
        <v>0</v>
      </c>
      <c r="J128" s="161">
        <f t="shared" si="58"/>
        <v>0</v>
      </c>
      <c r="K128" s="161">
        <f t="shared" si="58"/>
        <v>0</v>
      </c>
      <c r="L128" s="161">
        <f t="shared" si="58"/>
        <v>0</v>
      </c>
      <c r="M128" s="161">
        <f t="shared" si="58"/>
        <v>0</v>
      </c>
      <c r="N128" s="161">
        <f t="shared" si="58"/>
        <v>0</v>
      </c>
      <c r="O128" s="161">
        <f t="shared" si="58"/>
        <v>0</v>
      </c>
      <c r="P128" s="161">
        <f t="shared" si="58"/>
        <v>0</v>
      </c>
      <c r="Q128" s="161">
        <f t="shared" si="47"/>
        <v>0</v>
      </c>
      <c r="R128" s="161">
        <f t="shared" si="57"/>
        <v>0</v>
      </c>
      <c r="S128" s="161">
        <f t="shared" si="57"/>
        <v>0</v>
      </c>
      <c r="T128" s="161">
        <f t="shared" si="57"/>
        <v>0</v>
      </c>
      <c r="U128" s="161">
        <f t="shared" si="57"/>
        <v>0</v>
      </c>
      <c r="V128" s="161">
        <f>'Cost Assumptions'!$O$99*SUM(Development!R128:U128)</f>
        <v>0</v>
      </c>
      <c r="W128" s="161">
        <f t="shared" si="53"/>
        <v>0</v>
      </c>
      <c r="X128" s="161">
        <f>'Cost Assumptions'!$O$100*SUM(Development!R128:V128)</f>
        <v>0</v>
      </c>
      <c r="Y128" s="161">
        <f t="shared" si="35"/>
        <v>0</v>
      </c>
      <c r="Z128" s="174"/>
      <c r="AA128" s="204">
        <f t="shared" si="36"/>
        <v>34</v>
      </c>
      <c r="AB128" s="484">
        <f>IF(OR($AA128=0,$AA128&gt;40),0,INDEX(Overrides!C$47:C$87,$AA128+1,1)*$AA$85+INDEX(Overrides!C$47:C$87,$AA128,1)*$AB$86)</f>
        <v>0</v>
      </c>
      <c r="AC128" s="484">
        <f>IF(OR($AA128=0,$AA128&gt;40),0,INDEX(Overrides!D$47:D$87,$AA128+1,1)*$AA$85+INDEX(Overrides!D$47:D$87,$AA128,1)*$AB$86)</f>
        <v>0</v>
      </c>
      <c r="AD128" s="484">
        <f>IF(OR($AA128=0,$AA128&gt;40),0,INDEX(Overrides!E$47:E$87,$AA128+1,1)*$AA$85+INDEX(Overrides!E$47:E$87,$AA128,1)*$AB$86)</f>
        <v>0</v>
      </c>
      <c r="AE128" s="484">
        <f>IF(OR($AA128=0,$AA128&gt;40),0,INDEX(Overrides!F$47:F$87,$AA128+1,1)*$AA$85+INDEX(Overrides!F$47:F$87,$AA128,1)*$AB$86)</f>
        <v>0</v>
      </c>
      <c r="AF128" s="484">
        <f>IF(OR($AA128=0,$AA128&gt;40),0,INDEX(Overrides!G$47:G$87,$AA128+1,1)*$AA$85+INDEX(Overrides!G$47:G$87,$AA128,1)*$AB$86)</f>
        <v>0</v>
      </c>
      <c r="AG128" s="484">
        <f>IF(OR($AA128=0,$AA128&gt;40),0,INDEX(Overrides!H$47:H$87,$AA128+1,1)*$AA$85+INDEX(Overrides!H$47:H$87,$AA128,1)*$AB$86)</f>
        <v>0</v>
      </c>
      <c r="AH128" s="484">
        <f>IF(OR($AA128=0,$AA128&gt;40),0,INDEX(Overrides!I$47:I$87,$AA128+1,1)*$AA$85+INDEX(Overrides!I$47:I$87,$AA128,1)*$AB$86)</f>
        <v>0</v>
      </c>
      <c r="AI128" s="484">
        <f>IF(OR($AA128=0,$AA128&gt;40),0,INDEX(Overrides!J$47:J$87,$AA128+1,1)*$AA$85+INDEX(Overrides!J$47:J$87,$AA128,1)*$AB$86)</f>
        <v>0</v>
      </c>
      <c r="AJ128" s="93"/>
      <c r="AK128" s="161">
        <f>B128*'Selected Economics'!$I48*'Sensitivity Ranges'!$F$43</f>
        <v>0</v>
      </c>
      <c r="AL128" s="161">
        <f>IF($AA$84=1,AB128,Q128)*'Selected Economics'!$I48*'Sensitivity Ranges'!$F$43</f>
        <v>0</v>
      </c>
      <c r="AM128" s="161">
        <f>IF($AA$84=1,AC128,R128)*'Selected Economics'!$I48*'Sensitivity Ranges'!$F$43</f>
        <v>0</v>
      </c>
      <c r="AN128" s="161">
        <f>IF($AA$84=1,AD128,S128)*'Selected Economics'!$I48*'Sensitivity Ranges'!$F$43</f>
        <v>0</v>
      </c>
      <c r="AO128" s="161">
        <f>IF($AA$84=1,AE128,T128)*'Selected Economics'!$I48*'Sensitivity Ranges'!$F$43</f>
        <v>0</v>
      </c>
      <c r="AP128" s="161">
        <f>IF($AA$84=1,AF128,U128)*'Selected Economics'!$I48*'Sensitivity Ranges'!$F$43</f>
        <v>0</v>
      </c>
      <c r="AQ128" s="161">
        <f>IF($AA$84=1,AG128,V128)*'Selected Economics'!$I48*'Sensitivity Ranges'!$F$43</f>
        <v>0</v>
      </c>
      <c r="AR128" s="161">
        <f>IF($AA$84=1,AH128,W128)*'Selected Economics'!$I48*'Sensitivity Ranges'!$F$43</f>
        <v>0</v>
      </c>
      <c r="AS128" s="161">
        <f>IF($AA$84=1,AI128,X128)*'Selected Economics'!$I48*'Sensitivity Ranges'!$F$43</f>
        <v>0</v>
      </c>
      <c r="AT128" s="161">
        <f t="shared" si="48"/>
        <v>0</v>
      </c>
      <c r="AU128" s="174"/>
      <c r="AV128" s="161">
        <f t="shared" si="54"/>
        <v>0</v>
      </c>
      <c r="AW128" s="161">
        <f>AL128*Abandonment!$H53</f>
        <v>0</v>
      </c>
      <c r="AX128" s="161">
        <f>AM128*Abandonment!$H53</f>
        <v>0</v>
      </c>
      <c r="AY128" s="161">
        <f>AN128*Abandonment!$H53</f>
        <v>0</v>
      </c>
      <c r="AZ128" s="161">
        <f>AO128*Abandonment!$H53</f>
        <v>0</v>
      </c>
      <c r="BA128" s="161">
        <f>AP128*Abandonment!$H53</f>
        <v>0</v>
      </c>
      <c r="BB128" s="161">
        <f>AQ128*Abandonment!$H53</f>
        <v>0</v>
      </c>
      <c r="BC128" s="161">
        <f>AR128*Abandonment!$H53</f>
        <v>0</v>
      </c>
      <c r="BD128" s="161">
        <f>AS128*Abandonment!$H53</f>
        <v>0</v>
      </c>
      <c r="BE128" s="161">
        <f t="shared" si="49"/>
        <v>0</v>
      </c>
      <c r="BF128" s="174"/>
      <c r="BG128" s="161">
        <f>AW128+Exploration!R72</f>
        <v>0</v>
      </c>
      <c r="BH128" s="161">
        <f>AV128+(AX128+AY128+AZ128+IF(Input!$B$15="Shore",0,Development!BA128)+BB128)*(1+'Cost Assumptions'!$O$100)+BC128</f>
        <v>0</v>
      </c>
      <c r="BI128" s="161">
        <f>IF(Input!$B$15="Shore",Development!BA128,0)*(1+'Cost Assumptions'!$O$100)</f>
        <v>0</v>
      </c>
      <c r="BJ128" s="157"/>
      <c r="BK128" s="157"/>
      <c r="BL128" s="161">
        <f t="shared" si="37"/>
        <v>0</v>
      </c>
      <c r="BM128" s="201"/>
      <c r="BN128" s="157"/>
      <c r="BO128" s="161">
        <f t="shared" si="38"/>
        <v>0</v>
      </c>
      <c r="BP128" s="161">
        <f t="shared" si="39"/>
        <v>0</v>
      </c>
      <c r="BQ128" s="161">
        <f t="shared" si="40"/>
        <v>0</v>
      </c>
      <c r="BR128" s="161">
        <f t="shared" si="41"/>
        <v>0</v>
      </c>
      <c r="BS128" s="161">
        <f t="shared" si="42"/>
        <v>0</v>
      </c>
      <c r="BT128" s="161">
        <f t="shared" si="43"/>
        <v>0</v>
      </c>
      <c r="BU128" s="161">
        <f t="shared" si="44"/>
        <v>0</v>
      </c>
      <c r="BV128" s="161">
        <f t="shared" si="45"/>
        <v>0</v>
      </c>
      <c r="BW128" s="161">
        <f t="shared" si="46"/>
        <v>0</v>
      </c>
      <c r="BX128" s="161">
        <f t="shared" si="50"/>
        <v>0</v>
      </c>
      <c r="BY128" s="161"/>
      <c r="BZ128" s="161">
        <f t="shared" si="51"/>
        <v>0</v>
      </c>
    </row>
    <row r="129" spans="1:78" x14ac:dyDescent="0.3">
      <c r="A129" s="141">
        <f t="shared" si="52"/>
        <v>2050</v>
      </c>
      <c r="B129" s="161">
        <f t="shared" si="32"/>
        <v>0</v>
      </c>
      <c r="C129" s="161">
        <f t="shared" si="58"/>
        <v>0</v>
      </c>
      <c r="D129" s="161">
        <f t="shared" si="58"/>
        <v>0</v>
      </c>
      <c r="E129" s="161">
        <f t="shared" si="58"/>
        <v>0</v>
      </c>
      <c r="F129" s="161">
        <f t="shared" si="58"/>
        <v>0</v>
      </c>
      <c r="G129" s="161">
        <f t="shared" si="58"/>
        <v>0</v>
      </c>
      <c r="H129" s="161">
        <f t="shared" si="58"/>
        <v>0</v>
      </c>
      <c r="I129" s="161">
        <f t="shared" si="58"/>
        <v>0</v>
      </c>
      <c r="J129" s="161">
        <f t="shared" si="58"/>
        <v>0</v>
      </c>
      <c r="K129" s="161">
        <f t="shared" si="58"/>
        <v>0</v>
      </c>
      <c r="L129" s="161">
        <f t="shared" si="58"/>
        <v>0</v>
      </c>
      <c r="M129" s="161">
        <f t="shared" si="58"/>
        <v>0</v>
      </c>
      <c r="N129" s="161">
        <f t="shared" si="58"/>
        <v>0</v>
      </c>
      <c r="O129" s="161">
        <f t="shared" si="58"/>
        <v>0</v>
      </c>
      <c r="P129" s="161">
        <f t="shared" si="58"/>
        <v>0</v>
      </c>
      <c r="Q129" s="161">
        <f t="shared" si="47"/>
        <v>0</v>
      </c>
      <c r="R129" s="161">
        <f t="shared" si="57"/>
        <v>0</v>
      </c>
      <c r="S129" s="161">
        <f t="shared" si="57"/>
        <v>0</v>
      </c>
      <c r="T129" s="161">
        <f t="shared" si="57"/>
        <v>0</v>
      </c>
      <c r="U129" s="161">
        <f t="shared" si="57"/>
        <v>0</v>
      </c>
      <c r="V129" s="161">
        <f>'Cost Assumptions'!$O$99*SUM(Development!R129:U129)</f>
        <v>0</v>
      </c>
      <c r="W129" s="161">
        <f t="shared" si="53"/>
        <v>0</v>
      </c>
      <c r="X129" s="161">
        <f>'Cost Assumptions'!$O$100*SUM(Development!R129:V129)</f>
        <v>0</v>
      </c>
      <c r="Y129" s="161">
        <f t="shared" si="35"/>
        <v>0</v>
      </c>
      <c r="Z129" s="174"/>
      <c r="AA129" s="204">
        <f t="shared" si="36"/>
        <v>35</v>
      </c>
      <c r="AB129" s="484">
        <f>IF(OR($AA129=0,$AA129&gt;40),0,INDEX(Overrides!C$47:C$87,$AA129+1,1)*$AA$85+INDEX(Overrides!C$47:C$87,$AA129,1)*$AB$86)</f>
        <v>0</v>
      </c>
      <c r="AC129" s="484">
        <f>IF(OR($AA129=0,$AA129&gt;40),0,INDEX(Overrides!D$47:D$87,$AA129+1,1)*$AA$85+INDEX(Overrides!D$47:D$87,$AA129,1)*$AB$86)</f>
        <v>0</v>
      </c>
      <c r="AD129" s="484">
        <f>IF(OR($AA129=0,$AA129&gt;40),0,INDEX(Overrides!E$47:E$87,$AA129+1,1)*$AA$85+INDEX(Overrides!E$47:E$87,$AA129,1)*$AB$86)</f>
        <v>0</v>
      </c>
      <c r="AE129" s="484">
        <f>IF(OR($AA129=0,$AA129&gt;40),0,INDEX(Overrides!F$47:F$87,$AA129+1,1)*$AA$85+INDEX(Overrides!F$47:F$87,$AA129,1)*$AB$86)</f>
        <v>0</v>
      </c>
      <c r="AF129" s="484">
        <f>IF(OR($AA129=0,$AA129&gt;40),0,INDEX(Overrides!G$47:G$87,$AA129+1,1)*$AA$85+INDEX(Overrides!G$47:G$87,$AA129,1)*$AB$86)</f>
        <v>0</v>
      </c>
      <c r="AG129" s="484">
        <f>IF(OR($AA129=0,$AA129&gt;40),0,INDEX(Overrides!H$47:H$87,$AA129+1,1)*$AA$85+INDEX(Overrides!H$47:H$87,$AA129,1)*$AB$86)</f>
        <v>0</v>
      </c>
      <c r="AH129" s="484">
        <f>IF(OR($AA129=0,$AA129&gt;40),0,INDEX(Overrides!I$47:I$87,$AA129+1,1)*$AA$85+INDEX(Overrides!I$47:I$87,$AA129,1)*$AB$86)</f>
        <v>0</v>
      </c>
      <c r="AI129" s="484">
        <f>IF(OR($AA129=0,$AA129&gt;40),0,INDEX(Overrides!J$47:J$87,$AA129+1,1)*$AA$85+INDEX(Overrides!J$47:J$87,$AA129,1)*$AB$86)</f>
        <v>0</v>
      </c>
      <c r="AJ129" s="93"/>
      <c r="AK129" s="161">
        <f>B129*'Selected Economics'!$I49*'Sensitivity Ranges'!$F$43</f>
        <v>0</v>
      </c>
      <c r="AL129" s="161">
        <f>IF($AA$84=1,AB129,Q129)*'Selected Economics'!$I49*'Sensitivity Ranges'!$F$43</f>
        <v>0</v>
      </c>
      <c r="AM129" s="161">
        <f>IF($AA$84=1,AC129,R129)*'Selected Economics'!$I49*'Sensitivity Ranges'!$F$43</f>
        <v>0</v>
      </c>
      <c r="AN129" s="161">
        <f>IF($AA$84=1,AD129,S129)*'Selected Economics'!$I49*'Sensitivity Ranges'!$F$43</f>
        <v>0</v>
      </c>
      <c r="AO129" s="161">
        <f>IF($AA$84=1,AE129,T129)*'Selected Economics'!$I49*'Sensitivity Ranges'!$F$43</f>
        <v>0</v>
      </c>
      <c r="AP129" s="161">
        <f>IF($AA$84=1,AF129,U129)*'Selected Economics'!$I49*'Sensitivity Ranges'!$F$43</f>
        <v>0</v>
      </c>
      <c r="AQ129" s="161">
        <f>IF($AA$84=1,AG129,V129)*'Selected Economics'!$I49*'Sensitivity Ranges'!$F$43</f>
        <v>0</v>
      </c>
      <c r="AR129" s="161">
        <f>IF($AA$84=1,AH129,W129)*'Selected Economics'!$I49*'Sensitivity Ranges'!$F$43</f>
        <v>0</v>
      </c>
      <c r="AS129" s="161">
        <f>IF($AA$84=1,AI129,X129)*'Selected Economics'!$I49*'Sensitivity Ranges'!$F$43</f>
        <v>0</v>
      </c>
      <c r="AT129" s="161">
        <f t="shared" si="48"/>
        <v>0</v>
      </c>
      <c r="AU129" s="174"/>
      <c r="AV129" s="161">
        <f t="shared" si="54"/>
        <v>0</v>
      </c>
      <c r="AW129" s="161">
        <f>AL129*Abandonment!$H54</f>
        <v>0</v>
      </c>
      <c r="AX129" s="161">
        <f>AM129*Abandonment!$H54</f>
        <v>0</v>
      </c>
      <c r="AY129" s="161">
        <f>AN129*Abandonment!$H54</f>
        <v>0</v>
      </c>
      <c r="AZ129" s="161">
        <f>AO129*Abandonment!$H54</f>
        <v>0</v>
      </c>
      <c r="BA129" s="161">
        <f>AP129*Abandonment!$H54</f>
        <v>0</v>
      </c>
      <c r="BB129" s="161">
        <f>AQ129*Abandonment!$H54</f>
        <v>0</v>
      </c>
      <c r="BC129" s="161">
        <f>AR129*Abandonment!$H54</f>
        <v>0</v>
      </c>
      <c r="BD129" s="161">
        <f>AS129*Abandonment!$H54</f>
        <v>0</v>
      </c>
      <c r="BE129" s="161">
        <f t="shared" si="49"/>
        <v>0</v>
      </c>
      <c r="BF129" s="174"/>
      <c r="BG129" s="161">
        <f>AW129+Exploration!R73</f>
        <v>0</v>
      </c>
      <c r="BH129" s="161">
        <f>AV129+(AX129+AY129+AZ129+IF(Input!$B$15="Shore",0,Development!BA129)+BB129)*(1+'Cost Assumptions'!$O$100)+BC129</f>
        <v>0</v>
      </c>
      <c r="BI129" s="161">
        <f>IF(Input!$B$15="Shore",Development!BA129,0)*(1+'Cost Assumptions'!$O$100)</f>
        <v>0</v>
      </c>
      <c r="BJ129" s="157"/>
      <c r="BK129" s="157"/>
      <c r="BL129" s="161">
        <f t="shared" si="37"/>
        <v>0</v>
      </c>
      <c r="BM129" s="201"/>
      <c r="BN129" s="157"/>
      <c r="BO129" s="161">
        <f t="shared" si="38"/>
        <v>0</v>
      </c>
      <c r="BP129" s="161">
        <f t="shared" si="39"/>
        <v>0</v>
      </c>
      <c r="BQ129" s="161">
        <f t="shared" si="40"/>
        <v>0</v>
      </c>
      <c r="BR129" s="161">
        <f t="shared" si="41"/>
        <v>0</v>
      </c>
      <c r="BS129" s="161">
        <f t="shared" si="42"/>
        <v>0</v>
      </c>
      <c r="BT129" s="161">
        <f t="shared" si="43"/>
        <v>0</v>
      </c>
      <c r="BU129" s="161">
        <f t="shared" si="44"/>
        <v>0</v>
      </c>
      <c r="BV129" s="161">
        <f t="shared" si="45"/>
        <v>0</v>
      </c>
      <c r="BW129" s="161">
        <f t="shared" si="46"/>
        <v>0</v>
      </c>
      <c r="BX129" s="161">
        <f t="shared" si="50"/>
        <v>0</v>
      </c>
      <c r="BY129" s="161"/>
      <c r="BZ129" s="161">
        <f t="shared" si="51"/>
        <v>0</v>
      </c>
    </row>
    <row r="130" spans="1:78" x14ac:dyDescent="0.3">
      <c r="A130" s="149">
        <f t="shared" si="52"/>
        <v>2051</v>
      </c>
      <c r="B130" s="163">
        <f t="shared" si="32"/>
        <v>0</v>
      </c>
      <c r="C130" s="163">
        <f t="shared" si="58"/>
        <v>0</v>
      </c>
      <c r="D130" s="163">
        <f t="shared" si="58"/>
        <v>0</v>
      </c>
      <c r="E130" s="163">
        <f t="shared" si="58"/>
        <v>0</v>
      </c>
      <c r="F130" s="163">
        <f t="shared" si="58"/>
        <v>0</v>
      </c>
      <c r="G130" s="163">
        <f t="shared" si="58"/>
        <v>0</v>
      </c>
      <c r="H130" s="163">
        <f t="shared" si="58"/>
        <v>0</v>
      </c>
      <c r="I130" s="163">
        <f t="shared" si="58"/>
        <v>0</v>
      </c>
      <c r="J130" s="163">
        <f t="shared" si="58"/>
        <v>0</v>
      </c>
      <c r="K130" s="163">
        <f t="shared" si="58"/>
        <v>0</v>
      </c>
      <c r="L130" s="163">
        <f t="shared" si="58"/>
        <v>0</v>
      </c>
      <c r="M130" s="163">
        <f t="shared" si="58"/>
        <v>0</v>
      </c>
      <c r="N130" s="163">
        <f t="shared" si="58"/>
        <v>0</v>
      </c>
      <c r="O130" s="163">
        <f t="shared" si="58"/>
        <v>0</v>
      </c>
      <c r="P130" s="163">
        <f t="shared" si="58"/>
        <v>0</v>
      </c>
      <c r="Q130" s="163">
        <f t="shared" si="47"/>
        <v>0</v>
      </c>
      <c r="R130" s="163">
        <f t="shared" si="57"/>
        <v>0</v>
      </c>
      <c r="S130" s="163">
        <f t="shared" si="57"/>
        <v>0</v>
      </c>
      <c r="T130" s="163">
        <f t="shared" si="57"/>
        <v>0</v>
      </c>
      <c r="U130" s="163">
        <f t="shared" si="57"/>
        <v>0</v>
      </c>
      <c r="V130" s="163">
        <f>'Cost Assumptions'!$O$99*SUM(Development!R130:U130)</f>
        <v>0</v>
      </c>
      <c r="W130" s="163">
        <f t="shared" si="53"/>
        <v>0</v>
      </c>
      <c r="X130" s="163">
        <f>'Cost Assumptions'!$O$100*SUM(Development!R130:V130)</f>
        <v>0</v>
      </c>
      <c r="Y130" s="163">
        <f t="shared" si="35"/>
        <v>0</v>
      </c>
      <c r="Z130" s="174"/>
      <c r="AA130" s="206">
        <f t="shared" si="36"/>
        <v>36</v>
      </c>
      <c r="AB130" s="485">
        <f>IF(OR($AA130=0,$AA130&gt;40),0,INDEX(Overrides!C$47:C$87,$AA130+1,1)*$AA$85+INDEX(Overrides!C$47:C$87,$AA130,1)*$AB$86)</f>
        <v>0</v>
      </c>
      <c r="AC130" s="485">
        <f>IF(OR($AA130=0,$AA130&gt;40),0,INDEX(Overrides!D$47:D$87,$AA130+1,1)*$AA$85+INDEX(Overrides!D$47:D$87,$AA130,1)*$AB$86)</f>
        <v>0</v>
      </c>
      <c r="AD130" s="485">
        <f>IF(OR($AA130=0,$AA130&gt;40),0,INDEX(Overrides!E$47:E$87,$AA130+1,1)*$AA$85+INDEX(Overrides!E$47:E$87,$AA130,1)*$AB$86)</f>
        <v>0</v>
      </c>
      <c r="AE130" s="485">
        <f>IF(OR($AA130=0,$AA130&gt;40),0,INDEX(Overrides!F$47:F$87,$AA130+1,1)*$AA$85+INDEX(Overrides!F$47:F$87,$AA130,1)*$AB$86)</f>
        <v>0</v>
      </c>
      <c r="AF130" s="485">
        <f>IF(OR($AA130=0,$AA130&gt;40),0,INDEX(Overrides!G$47:G$87,$AA130+1,1)*$AA$85+INDEX(Overrides!G$47:G$87,$AA130,1)*$AB$86)</f>
        <v>0</v>
      </c>
      <c r="AG130" s="485">
        <f>IF(OR($AA130=0,$AA130&gt;40),0,INDEX(Overrides!H$47:H$87,$AA130+1,1)*$AA$85+INDEX(Overrides!H$47:H$87,$AA130,1)*$AB$86)</f>
        <v>0</v>
      </c>
      <c r="AH130" s="485">
        <f>IF(OR($AA130=0,$AA130&gt;40),0,INDEX(Overrides!I$47:I$87,$AA130+1,1)*$AA$85+INDEX(Overrides!I$47:I$87,$AA130,1)*$AB$86)</f>
        <v>0</v>
      </c>
      <c r="AI130" s="485">
        <f>IF(OR($AA130=0,$AA130&gt;40),0,INDEX(Overrides!J$47:J$87,$AA130+1,1)*$AA$85+INDEX(Overrides!J$47:J$87,$AA130,1)*$AB$86)</f>
        <v>0</v>
      </c>
      <c r="AJ130" s="93"/>
      <c r="AK130" s="163">
        <f>B130*'Selected Economics'!$I50*'Sensitivity Ranges'!$F$43</f>
        <v>0</v>
      </c>
      <c r="AL130" s="163">
        <f>IF($AA$84=1,AB130,Q130)*'Selected Economics'!$I50*'Sensitivity Ranges'!$F$43</f>
        <v>0</v>
      </c>
      <c r="AM130" s="163">
        <f>IF($AA$84=1,AC130,R130)*'Selected Economics'!$I50*'Sensitivity Ranges'!$F$43</f>
        <v>0</v>
      </c>
      <c r="AN130" s="163">
        <f>IF($AA$84=1,AD130,S130)*'Selected Economics'!$I50*'Sensitivity Ranges'!$F$43</f>
        <v>0</v>
      </c>
      <c r="AO130" s="163">
        <f>IF($AA$84=1,AE130,T130)*'Selected Economics'!$I50*'Sensitivity Ranges'!$F$43</f>
        <v>0</v>
      </c>
      <c r="AP130" s="163">
        <f>IF($AA$84=1,AF130,U130)*'Selected Economics'!$I50*'Sensitivity Ranges'!$F$43</f>
        <v>0</v>
      </c>
      <c r="AQ130" s="163">
        <f>IF($AA$84=1,AG130,V130)*'Selected Economics'!$I50*'Sensitivity Ranges'!$F$43</f>
        <v>0</v>
      </c>
      <c r="AR130" s="163">
        <f>IF($AA$84=1,AH130,W130)*'Selected Economics'!$I50*'Sensitivity Ranges'!$F$43</f>
        <v>0</v>
      </c>
      <c r="AS130" s="163">
        <f>IF($AA$84=1,AI130,X130)*'Selected Economics'!$I50*'Sensitivity Ranges'!$F$43</f>
        <v>0</v>
      </c>
      <c r="AT130" s="163">
        <f t="shared" si="48"/>
        <v>0</v>
      </c>
      <c r="AU130" s="174"/>
      <c r="AV130" s="163">
        <f t="shared" si="54"/>
        <v>0</v>
      </c>
      <c r="AW130" s="163">
        <f>AL130*Abandonment!$H55</f>
        <v>0</v>
      </c>
      <c r="AX130" s="163">
        <f>AM130*Abandonment!$H55</f>
        <v>0</v>
      </c>
      <c r="AY130" s="163">
        <f>AN130*Abandonment!$H55</f>
        <v>0</v>
      </c>
      <c r="AZ130" s="163">
        <f>AO130*Abandonment!$H55</f>
        <v>0</v>
      </c>
      <c r="BA130" s="163">
        <f>AP130*Abandonment!$H55</f>
        <v>0</v>
      </c>
      <c r="BB130" s="163">
        <f>AQ130*Abandonment!$H55</f>
        <v>0</v>
      </c>
      <c r="BC130" s="163">
        <f>AR130*Abandonment!$H55</f>
        <v>0</v>
      </c>
      <c r="BD130" s="163">
        <f>AS130*Abandonment!$H55</f>
        <v>0</v>
      </c>
      <c r="BE130" s="163">
        <f t="shared" si="49"/>
        <v>0</v>
      </c>
      <c r="BF130" s="174"/>
      <c r="BG130" s="163">
        <f>AW130+Exploration!R74</f>
        <v>0</v>
      </c>
      <c r="BH130" s="161">
        <f>AV130+(AX130+AY130+AZ130+IF(Input!$B$15="Shore",0,Development!BA130)+BB130)*(1+'Cost Assumptions'!$O$100)+BC130</f>
        <v>0</v>
      </c>
      <c r="BI130" s="163">
        <f>IF(Input!$B$15="Shore",Development!BA130,0)*(1+'Cost Assumptions'!$O$100)</f>
        <v>0</v>
      </c>
      <c r="BJ130" s="157"/>
      <c r="BK130" s="157"/>
      <c r="BL130" s="163">
        <f t="shared" si="37"/>
        <v>0</v>
      </c>
      <c r="BM130" s="201"/>
      <c r="BN130" s="157"/>
      <c r="BO130" s="163">
        <f t="shared" si="38"/>
        <v>0</v>
      </c>
      <c r="BP130" s="163">
        <f t="shared" si="39"/>
        <v>0</v>
      </c>
      <c r="BQ130" s="163">
        <f t="shared" si="40"/>
        <v>0</v>
      </c>
      <c r="BR130" s="163">
        <f t="shared" si="41"/>
        <v>0</v>
      </c>
      <c r="BS130" s="163">
        <f t="shared" si="42"/>
        <v>0</v>
      </c>
      <c r="BT130" s="163">
        <f t="shared" si="43"/>
        <v>0</v>
      </c>
      <c r="BU130" s="163">
        <f t="shared" si="44"/>
        <v>0</v>
      </c>
      <c r="BV130" s="163">
        <f t="shared" si="45"/>
        <v>0</v>
      </c>
      <c r="BW130" s="163">
        <f t="shared" si="46"/>
        <v>0</v>
      </c>
      <c r="BX130" s="163">
        <f t="shared" si="50"/>
        <v>0</v>
      </c>
      <c r="BY130" s="161"/>
      <c r="BZ130" s="163">
        <f t="shared" si="51"/>
        <v>0</v>
      </c>
    </row>
  </sheetData>
  <mergeCells count="4">
    <mergeCell ref="C13:D13"/>
    <mergeCell ref="E13:F13"/>
    <mergeCell ref="D72:F72"/>
    <mergeCell ref="G72:H72"/>
  </mergeCells>
  <hyperlinks>
    <hyperlink ref="G1" location="Guide" display="Guide"/>
    <hyperlink ref="G2" location="Input" display="Input"/>
  </hyperlinks>
  <pageMargins left="0.7" right="0.7" top="0.75" bottom="0.75" header="0.3" footer="0.3"/>
  <pageSetup paperSize="9" scale="10" orientation="portrait" r:id="rId1"/>
  <headerFooter>
    <oddFooter>&amp;LNova Scotia Exploration Economics Model&amp;Rwww.indeva.com</oddFooter>
  </headerFooter>
  <colBreaks count="1" manualBreakCount="1">
    <brk id="36" max="1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79998168889431442"/>
  </sheetPr>
  <dimension ref="A1:BQ117"/>
  <sheetViews>
    <sheetView showGridLines="0" showZeros="0" zoomScale="75" zoomScaleNormal="75" zoomScaleSheetLayoutView="30" workbookViewId="0">
      <pane ySplit="2" topLeftCell="A3" activePane="bottomLeft" state="frozen"/>
      <selection activeCell="D43" sqref="D43"/>
      <selection pane="bottomLeft" activeCell="A3" sqref="A3"/>
    </sheetView>
  </sheetViews>
  <sheetFormatPr defaultRowHeight="14.4" x14ac:dyDescent="0.3"/>
  <cols>
    <col min="1" max="1" width="36" customWidth="1"/>
    <col min="2" max="2" width="12.6640625" customWidth="1"/>
    <col min="3" max="3" width="10.44140625" customWidth="1"/>
    <col min="4" max="4" width="11.109375" customWidth="1"/>
    <col min="5" max="5" width="13.44140625" customWidth="1"/>
    <col min="6" max="6" width="11.33203125" customWidth="1"/>
    <col min="7" max="7" width="12.88671875" customWidth="1"/>
    <col min="8" max="8" width="11.109375" customWidth="1"/>
    <col min="9" max="9" width="12.33203125" bestFit="1" customWidth="1"/>
    <col min="10" max="10" width="12.109375" customWidth="1"/>
    <col min="11" max="11" width="10.5546875" customWidth="1"/>
    <col min="12" max="12" width="12.109375" customWidth="1"/>
    <col min="13" max="13" width="11.44140625" customWidth="1"/>
    <col min="14" max="14" width="11.88671875" customWidth="1"/>
    <col min="15" max="15" width="12.109375" customWidth="1"/>
    <col min="18" max="21" width="10.6640625" customWidth="1"/>
    <col min="22" max="22" width="12" customWidth="1"/>
    <col min="23" max="23" width="10.6640625" customWidth="1"/>
    <col min="24" max="24" width="12" customWidth="1"/>
    <col min="25" max="26" width="13.33203125" customWidth="1"/>
    <col min="27" max="27" width="13.33203125" bestFit="1" customWidth="1"/>
    <col min="28" max="28" width="12.109375" bestFit="1" customWidth="1"/>
    <col min="29" max="29" width="11" bestFit="1" customWidth="1"/>
    <col min="30" max="30" width="11" customWidth="1"/>
    <col min="31" max="31" width="13.33203125" bestFit="1" customWidth="1"/>
    <col min="32" max="32" width="11.88671875" customWidth="1"/>
    <col min="33" max="33" width="11" customWidth="1"/>
    <col min="34" max="34" width="12.109375" customWidth="1"/>
    <col min="35" max="36" width="11.88671875" customWidth="1"/>
    <col min="37" max="37" width="12.5546875" customWidth="1"/>
    <col min="38" max="39" width="11.88671875" customWidth="1"/>
    <col min="40" max="46" width="11.6640625" customWidth="1"/>
    <col min="47" max="47" width="13.5546875" customWidth="1"/>
    <col min="48" max="48" width="12.6640625" customWidth="1"/>
    <col min="57" max="57" width="11" customWidth="1"/>
    <col min="58" max="58" width="12.44140625" customWidth="1"/>
    <col min="59" max="59" width="10.6640625" customWidth="1"/>
    <col min="61" max="61" width="10.109375" customWidth="1"/>
    <col min="65" max="65" width="12" customWidth="1"/>
    <col min="66" max="66" width="13.5546875" customWidth="1"/>
  </cols>
  <sheetData>
    <row r="1" spans="1:69" ht="18.75" x14ac:dyDescent="0.3">
      <c r="A1" s="208" t="str">
        <f>Input!B8</f>
        <v>Prospect X</v>
      </c>
      <c r="B1" s="209" t="s">
        <v>310</v>
      </c>
      <c r="C1" s="210"/>
      <c r="D1" s="210"/>
      <c r="E1" s="210"/>
      <c r="F1" s="144" t="s">
        <v>769</v>
      </c>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1"/>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row>
    <row r="2" spans="1:69" ht="18.75" x14ac:dyDescent="0.25">
      <c r="A2" s="212"/>
      <c r="B2" s="170"/>
      <c r="C2" s="170"/>
      <c r="D2" s="170"/>
      <c r="E2" s="170"/>
      <c r="F2" s="144" t="s">
        <v>143</v>
      </c>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21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row>
    <row r="3" spans="1:69" ht="15" x14ac:dyDescent="0.25">
      <c r="A3" s="162" t="s">
        <v>311</v>
      </c>
      <c r="B3" s="214">
        <f>Development!B57</f>
        <v>43408</v>
      </c>
      <c r="C3" s="162"/>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row>
    <row r="4" spans="1:69" ht="15" x14ac:dyDescent="0.25">
      <c r="A4" s="135" t="s">
        <v>312</v>
      </c>
      <c r="B4" s="135">
        <f>YEAR(prod_year)</f>
        <v>2018</v>
      </c>
      <c r="C4" s="135"/>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row>
    <row r="5" spans="1:69" ht="15" x14ac:dyDescent="0.25">
      <c r="A5" s="135" t="s">
        <v>313</v>
      </c>
      <c r="B5" s="135">
        <f>MONTH(prod_year)</f>
        <v>11</v>
      </c>
      <c r="C5" s="135"/>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row>
    <row r="6" spans="1:69" ht="15" x14ac:dyDescent="0.25">
      <c r="A6" s="135" t="s">
        <v>111</v>
      </c>
      <c r="B6" s="135">
        <f>Thresholds!E2</f>
        <v>300</v>
      </c>
      <c r="C6" s="135" t="str">
        <f>IF(Input!B11="Gas","bcf","mmbbl")</f>
        <v>mmbbl</v>
      </c>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row>
    <row r="7" spans="1:69" ht="15" x14ac:dyDescent="0.25">
      <c r="A7" s="135" t="s">
        <v>314</v>
      </c>
      <c r="B7" s="153">
        <f>MAX(0,(Development!B59-Development!B57)*(IF(Input!B11="Gas",'Sched &amp; Prod Assumptions'!C23,'Sched &amp; Prod Assumptions'!C22)-Development!G37)/(1-Development!G37))</f>
        <v>98.266666666668584</v>
      </c>
      <c r="C7" s="135" t="s">
        <v>315</v>
      </c>
      <c r="D7" s="93"/>
      <c r="E7" s="93"/>
      <c r="F7" s="93"/>
      <c r="G7" s="93"/>
      <c r="H7" s="93"/>
      <c r="I7" s="93"/>
      <c r="J7" s="93"/>
      <c r="K7" s="93"/>
      <c r="L7" s="93"/>
      <c r="M7" s="93"/>
      <c r="N7" s="93"/>
      <c r="O7" s="93"/>
      <c r="P7" s="215"/>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row>
    <row r="8" spans="1:69" ht="15" x14ac:dyDescent="0.25">
      <c r="A8" s="135" t="s">
        <v>316</v>
      </c>
      <c r="B8" s="153">
        <f>IF(OR(B7=0,B14=0),0,-B9/B14+(B9^2+2*B14*B12*1000)^0.5/B14)</f>
        <v>650.60511552583159</v>
      </c>
      <c r="C8" s="135" t="s">
        <v>315</v>
      </c>
      <c r="D8" s="175"/>
      <c r="E8" s="93"/>
      <c r="F8" s="93"/>
      <c r="G8" s="93"/>
      <c r="H8" s="93"/>
      <c r="I8" s="93"/>
      <c r="J8" s="93"/>
      <c r="K8" s="93"/>
      <c r="L8" s="93"/>
      <c r="M8" s="93"/>
      <c r="N8" s="93"/>
      <c r="O8" s="93"/>
      <c r="P8" s="215"/>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row>
    <row r="9" spans="1:69" ht="15" x14ac:dyDescent="0.25">
      <c r="A9" s="135" t="s">
        <v>317</v>
      </c>
      <c r="B9" s="183">
        <f>B10*Development!B58/Development!B15</f>
        <v>37.934668071654372</v>
      </c>
      <c r="C9" s="135" t="str">
        <f>IF(Input!B11="Gas","MMSCFD","MBOPD")</f>
        <v>MBOPD</v>
      </c>
      <c r="D9" s="93"/>
      <c r="E9" s="93"/>
      <c r="F9" s="93"/>
      <c r="G9" s="93"/>
      <c r="H9" s="93"/>
      <c r="I9" s="93"/>
      <c r="J9" s="93"/>
      <c r="K9" s="93"/>
      <c r="L9" s="93"/>
      <c r="M9" s="93"/>
      <c r="N9" s="93"/>
      <c r="O9" s="93"/>
      <c r="P9" s="215"/>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row>
    <row r="10" spans="1:69" ht="15" x14ac:dyDescent="0.25">
      <c r="A10" s="135" t="s">
        <v>318</v>
      </c>
      <c r="B10" s="183">
        <f>VLOOKUP(B6,IF(Input!B11="gas",'Sched &amp; Prod Assumptions'!A7:D13,'Sched &amp; Prod Assumptions'!F7:I13),2)*1000/365*B6</f>
        <v>82.191780821917803</v>
      </c>
      <c r="C10" s="135" t="str">
        <f>C9</f>
        <v>MBOPD</v>
      </c>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row>
    <row r="11" spans="1:69" ht="15" x14ac:dyDescent="0.25">
      <c r="A11" s="135" t="s">
        <v>319</v>
      </c>
      <c r="B11" s="183">
        <f>IF(B8&lt;B7,B9+B14*B8,B10)</f>
        <v>82.191780821917803</v>
      </c>
      <c r="C11" s="135"/>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row>
    <row r="12" spans="1:69" ht="15" x14ac:dyDescent="0.25">
      <c r="A12" s="135" t="s">
        <v>320</v>
      </c>
      <c r="B12" s="183">
        <f>VLOOKUP(B6,IF(Input!B11="gas",'Sched &amp; Prod Assumptions'!A7:D13,'Sched &amp; Prod Assumptions'!F7:I13),3)*B6</f>
        <v>120</v>
      </c>
      <c r="C12" s="135" t="str">
        <f>C6</f>
        <v>mmbbl</v>
      </c>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row>
    <row r="13" spans="1:69" ht="15" x14ac:dyDescent="0.25">
      <c r="A13" s="135" t="s">
        <v>321</v>
      </c>
      <c r="B13" s="148">
        <f>VLOOKUP(B6,IF(Input!B11="gas",'Sched &amp; Prod Assumptions'!A7:D13,'Sched &amp; Prod Assumptions'!F7:I13),4)*B11/B10</f>
        <v>0.15</v>
      </c>
      <c r="C13" s="135"/>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row>
    <row r="14" spans="1:69" ht="15" x14ac:dyDescent="0.25">
      <c r="A14" s="135" t="s">
        <v>322</v>
      </c>
      <c r="B14" s="216">
        <f>IF(B7=0,0,(B10-B9)/B7)</f>
        <v>0.45037767384934768</v>
      </c>
      <c r="C14" s="135" t="str">
        <f>IF(Input!B11="Gas","MMSCFD/D","MBOPD/D")</f>
        <v>MBOPD/D</v>
      </c>
      <c r="D14" s="93"/>
      <c r="E14" s="217"/>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row>
    <row r="15" spans="1:69" ht="15" x14ac:dyDescent="0.25">
      <c r="A15" s="135" t="s">
        <v>323</v>
      </c>
      <c r="B15" s="216">
        <f>-LN(1-B13)/365</f>
        <v>4.4525734108979433E-4</v>
      </c>
      <c r="C15" s="135"/>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row>
    <row r="16" spans="1:69" ht="15" x14ac:dyDescent="0.25">
      <c r="A16" s="135" t="s">
        <v>324</v>
      </c>
      <c r="B16" s="153">
        <f>-LN(1-(B6-C22)*B15*1000/B11)/B15</f>
        <v>8295.0521954071955</v>
      </c>
      <c r="C16" s="135"/>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row>
    <row r="17" spans="1:69" ht="15" x14ac:dyDescent="0.25">
      <c r="A17" s="168"/>
      <c r="B17" s="218"/>
      <c r="C17" s="168"/>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row>
    <row r="18" spans="1:69" ht="15" x14ac:dyDescent="0.25">
      <c r="A18" s="93"/>
      <c r="B18" s="140" t="s">
        <v>325</v>
      </c>
      <c r="C18" s="140" t="s">
        <v>27</v>
      </c>
      <c r="D18" s="140" t="s">
        <v>14</v>
      </c>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row>
    <row r="19" spans="1:69" ht="15" x14ac:dyDescent="0.25">
      <c r="A19" s="93"/>
      <c r="B19" s="149"/>
      <c r="C19" s="149" t="str">
        <f>C6</f>
        <v>mmbbl</v>
      </c>
      <c r="D19" s="149"/>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row>
    <row r="20" spans="1:69" ht="15" x14ac:dyDescent="0.25">
      <c r="A20" s="135" t="s">
        <v>264</v>
      </c>
      <c r="B20" s="172">
        <f>prod_year</f>
        <v>43408</v>
      </c>
      <c r="C20" s="153">
        <v>0</v>
      </c>
      <c r="D20" s="135">
        <f>YEAR(B20)</f>
        <v>2018</v>
      </c>
      <c r="E20" s="93"/>
      <c r="F20" s="93"/>
      <c r="G20" s="93"/>
      <c r="H20" s="93"/>
      <c r="I20" s="93"/>
      <c r="J20" s="93"/>
      <c r="K20" s="93"/>
      <c r="L20" s="93"/>
      <c r="M20" s="93"/>
      <c r="N20" s="93"/>
      <c r="O20" s="93"/>
      <c r="P20" s="93"/>
      <c r="Q20" s="93"/>
      <c r="R20" s="93"/>
      <c r="S20" s="135" t="s">
        <v>296</v>
      </c>
      <c r="T20" s="135">
        <f>IF(Overrides!C38=Lists!A37,1,0)</f>
        <v>0</v>
      </c>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row>
    <row r="21" spans="1:69" ht="15" x14ac:dyDescent="0.25">
      <c r="A21" s="135" t="s">
        <v>327</v>
      </c>
      <c r="B21" s="172">
        <f>B20+MIN(B7,B8)</f>
        <v>43506.26666666667</v>
      </c>
      <c r="C21" s="153">
        <f>MIN(B12,(B9+B10)/2*B7/1000)</f>
        <v>5.9022128556376279</v>
      </c>
      <c r="D21" s="135">
        <f>YEAR(B21)</f>
        <v>2019</v>
      </c>
      <c r="E21" s="93"/>
      <c r="F21" s="93"/>
      <c r="G21" s="93"/>
      <c r="H21" s="93"/>
      <c r="I21" s="93"/>
      <c r="J21" s="93"/>
      <c r="K21" s="93"/>
      <c r="L21" s="93"/>
      <c r="M21" s="93"/>
      <c r="N21" s="93"/>
      <c r="O21" s="93"/>
      <c r="P21" s="93"/>
      <c r="Q21" s="93"/>
      <c r="R21" s="93"/>
      <c r="S21" s="93"/>
      <c r="T21" s="219">
        <f>Development!AA85</f>
        <v>0.37704918032786883</v>
      </c>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row>
    <row r="22" spans="1:69" ht="15" x14ac:dyDescent="0.25">
      <c r="A22" s="135" t="s">
        <v>328</v>
      </c>
      <c r="B22" s="172">
        <f>MAX(B21,B21+(B12-C21)/B10*1000)</f>
        <v>44894.456410256411</v>
      </c>
      <c r="C22" s="153">
        <f>B12</f>
        <v>120</v>
      </c>
      <c r="D22" s="135">
        <f>YEAR(B22)</f>
        <v>2022</v>
      </c>
      <c r="E22" s="93"/>
      <c r="F22" s="93"/>
      <c r="G22" s="93"/>
      <c r="H22" s="93"/>
      <c r="I22" s="93"/>
      <c r="J22" s="93"/>
      <c r="K22" s="93"/>
      <c r="L22" s="93"/>
      <c r="M22" s="93"/>
      <c r="N22" s="93"/>
      <c r="O22" s="93"/>
      <c r="P22" s="93"/>
      <c r="Q22" s="93"/>
      <c r="R22" s="93"/>
      <c r="S22" s="93"/>
      <c r="T22" s="220">
        <f>1-T21</f>
        <v>0.62295081967213117</v>
      </c>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row>
    <row r="23" spans="1:69" ht="15" x14ac:dyDescent="0.25">
      <c r="A23" s="93"/>
      <c r="B23" s="221"/>
      <c r="C23" s="93"/>
      <c r="D23" s="93"/>
      <c r="E23" s="93"/>
      <c r="F23" s="93"/>
      <c r="G23" s="93"/>
      <c r="H23" s="93"/>
      <c r="I23" s="93"/>
      <c r="J23" s="93"/>
      <c r="K23" s="93"/>
      <c r="L23" s="93"/>
      <c r="M23" s="93"/>
      <c r="N23" s="93"/>
      <c r="O23" s="93"/>
      <c r="P23" s="93"/>
      <c r="Q23" s="93"/>
      <c r="R23" s="93"/>
      <c r="S23" s="135" t="s">
        <v>14</v>
      </c>
      <c r="T23" s="135">
        <f>YEAR(Development!B8)</f>
        <v>2016</v>
      </c>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row>
    <row r="24" spans="1:69" ht="15" x14ac:dyDescent="0.25">
      <c r="A24" s="222" t="s">
        <v>168</v>
      </c>
      <c r="B24" s="221"/>
      <c r="C24" s="93"/>
      <c r="D24" s="93"/>
      <c r="E24" s="93"/>
      <c r="F24" s="93"/>
      <c r="G24" s="93"/>
      <c r="H24" s="93"/>
      <c r="I24" s="93"/>
      <c r="J24" s="134" t="str">
        <f>IF(Input!B11="Gas","Condensate Production","Associated Gas Production")</f>
        <v>Associated Gas Production</v>
      </c>
      <c r="K24" s="93"/>
      <c r="L24" s="93"/>
      <c r="M24" s="93"/>
      <c r="N24" s="93"/>
      <c r="O24" s="93"/>
      <c r="P24" s="134" t="s">
        <v>766</v>
      </c>
      <c r="Q24" s="93"/>
      <c r="R24" s="93"/>
      <c r="S24" s="134" t="s">
        <v>329</v>
      </c>
      <c r="T24" s="93"/>
      <c r="U24" s="93"/>
      <c r="V24" s="93"/>
      <c r="W24" s="93"/>
      <c r="X24" s="134" t="s">
        <v>330</v>
      </c>
      <c r="Y24" s="93"/>
      <c r="Z24" s="93"/>
      <c r="AA24" s="93"/>
      <c r="AB24" s="188" t="s">
        <v>330</v>
      </c>
      <c r="AC24" s="93"/>
      <c r="AD24" s="93"/>
      <c r="AE24" s="93"/>
      <c r="AF24" s="93"/>
      <c r="AG24" s="134" t="s">
        <v>331</v>
      </c>
      <c r="AH24" s="93"/>
      <c r="AI24" s="93"/>
      <c r="AJ24" s="93"/>
      <c r="AK24" s="134" t="s">
        <v>332</v>
      </c>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row>
    <row r="25" spans="1:69" ht="15" x14ac:dyDescent="0.25">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188" t="s">
        <v>333</v>
      </c>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row>
    <row r="26" spans="1:69" x14ac:dyDescent="0.3">
      <c r="A26" s="156" t="s">
        <v>14</v>
      </c>
      <c r="B26" s="156" t="s">
        <v>159</v>
      </c>
      <c r="C26" s="156" t="s">
        <v>334</v>
      </c>
      <c r="D26" s="156" t="s">
        <v>335</v>
      </c>
      <c r="E26" s="156" t="s">
        <v>336</v>
      </c>
      <c r="F26" s="156" t="s">
        <v>336</v>
      </c>
      <c r="G26" s="156" t="s">
        <v>13</v>
      </c>
      <c r="H26" s="156" t="s">
        <v>337</v>
      </c>
      <c r="I26" s="93"/>
      <c r="J26" s="156" t="s">
        <v>13</v>
      </c>
      <c r="K26" s="156" t="s">
        <v>338</v>
      </c>
      <c r="L26" s="93"/>
      <c r="M26" s="140" t="s">
        <v>339</v>
      </c>
      <c r="N26" s="140" t="s">
        <v>339</v>
      </c>
      <c r="O26" s="167"/>
      <c r="P26" s="140" t="s">
        <v>340</v>
      </c>
      <c r="Q26" s="140" t="s">
        <v>647</v>
      </c>
      <c r="R26" s="93"/>
      <c r="S26" s="587" t="s">
        <v>341</v>
      </c>
      <c r="T26" s="140" t="s">
        <v>340</v>
      </c>
      <c r="U26" s="140" t="s">
        <v>647</v>
      </c>
      <c r="V26" s="140" t="s">
        <v>1058</v>
      </c>
      <c r="W26" s="223"/>
      <c r="X26" s="140" t="s">
        <v>340</v>
      </c>
      <c r="Y26" s="140" t="s">
        <v>647</v>
      </c>
      <c r="Z26" s="140" t="s">
        <v>1058</v>
      </c>
      <c r="AA26" s="223"/>
      <c r="AB26" s="140" t="s">
        <v>340</v>
      </c>
      <c r="AC26" s="140" t="s">
        <v>647</v>
      </c>
      <c r="AD26" s="140" t="s">
        <v>1058</v>
      </c>
      <c r="AE26" s="93"/>
      <c r="AF26" s="93"/>
      <c r="AG26" s="140" t="s">
        <v>340</v>
      </c>
      <c r="AH26" s="140" t="s">
        <v>647</v>
      </c>
      <c r="AI26" s="140" t="s">
        <v>1058</v>
      </c>
      <c r="AJ26" s="93"/>
      <c r="AK26" s="140" t="s">
        <v>340</v>
      </c>
      <c r="AL26" s="140" t="s">
        <v>647</v>
      </c>
      <c r="AM26" s="140" t="s">
        <v>1058</v>
      </c>
      <c r="AN26" s="140" t="s">
        <v>13</v>
      </c>
      <c r="AO26" s="158"/>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row>
    <row r="27" spans="1:69" x14ac:dyDescent="0.3">
      <c r="A27" s="156"/>
      <c r="B27" s="156"/>
      <c r="C27" s="156" t="str">
        <f>C19</f>
        <v>mmbbl</v>
      </c>
      <c r="D27" s="156" t="str">
        <f>C27</f>
        <v>mmbbl</v>
      </c>
      <c r="E27" s="224" t="s">
        <v>315</v>
      </c>
      <c r="F27" s="156" t="str">
        <f>D27</f>
        <v>mmbbl</v>
      </c>
      <c r="G27" s="156" t="str">
        <f>D27</f>
        <v>mmbbl</v>
      </c>
      <c r="H27" s="156" t="str">
        <f>C14</f>
        <v>MBOPD/D</v>
      </c>
      <c r="I27" s="93"/>
      <c r="J27" s="156" t="str">
        <f>IF(Input!$B$11="Gas","MMBBL","BCF")</f>
        <v>BCF</v>
      </c>
      <c r="K27" s="156" t="str">
        <f>IF(Input!$B$11="Gas","MBBLD","MMSCFD")</f>
        <v>MMSCFD</v>
      </c>
      <c r="L27" s="93"/>
      <c r="M27" s="149" t="s">
        <v>159</v>
      </c>
      <c r="N27" s="149" t="s">
        <v>343</v>
      </c>
      <c r="O27" s="167"/>
      <c r="P27" s="149" t="s">
        <v>4</v>
      </c>
      <c r="Q27" s="149" t="s">
        <v>763</v>
      </c>
      <c r="R27" s="93"/>
      <c r="S27" s="588"/>
      <c r="T27" s="149" t="str">
        <f>P27</f>
        <v>BCF</v>
      </c>
      <c r="U27" s="149" t="str">
        <f>Q27</f>
        <v>mmbbl</v>
      </c>
      <c r="V27" s="149" t="s">
        <v>763</v>
      </c>
      <c r="W27" s="223"/>
      <c r="X27" s="141" t="str">
        <f>P27</f>
        <v>BCF</v>
      </c>
      <c r="Y27" s="141" t="str">
        <f>Q27</f>
        <v>mmbbl</v>
      </c>
      <c r="Z27" s="141" t="s">
        <v>763</v>
      </c>
      <c r="AA27" s="223"/>
      <c r="AB27" s="141" t="s">
        <v>326</v>
      </c>
      <c r="AC27" s="141" t="str">
        <f>Y27</f>
        <v>mmbbl</v>
      </c>
      <c r="AD27" s="141" t="str">
        <f>Z27</f>
        <v>mmbbl</v>
      </c>
      <c r="AE27" s="93"/>
      <c r="AF27" s="93"/>
      <c r="AG27" s="141" t="s">
        <v>326</v>
      </c>
      <c r="AH27" s="141" t="s">
        <v>648</v>
      </c>
      <c r="AI27" s="141" t="s">
        <v>648</v>
      </c>
      <c r="AJ27" s="93"/>
      <c r="AK27" s="149" t="s">
        <v>326</v>
      </c>
      <c r="AL27" s="149" t="str">
        <f>AH27</f>
        <v>MMBBL</v>
      </c>
      <c r="AM27" s="149" t="str">
        <f>AI27</f>
        <v>MMBBL</v>
      </c>
      <c r="AN27" s="149" t="s">
        <v>344</v>
      </c>
      <c r="AO27" s="149" t="s">
        <v>345</v>
      </c>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row>
    <row r="28" spans="1:69" ht="15" x14ac:dyDescent="0.25">
      <c r="A28" s="225"/>
      <c r="B28" s="225"/>
      <c r="C28" s="225"/>
      <c r="D28" s="225"/>
      <c r="E28" s="226"/>
      <c r="F28" s="225"/>
      <c r="G28" s="225"/>
      <c r="H28" s="225"/>
      <c r="I28" s="93"/>
      <c r="J28" s="93"/>
      <c r="K28" s="93"/>
      <c r="L28" s="93"/>
      <c r="M28" s="93"/>
      <c r="N28" s="93"/>
      <c r="O28" s="93"/>
      <c r="P28" s="93"/>
      <c r="Q28" s="93"/>
      <c r="R28" s="93"/>
      <c r="S28" s="93"/>
      <c r="T28" s="93"/>
      <c r="U28" s="93"/>
      <c r="V28" s="93"/>
      <c r="W28" s="93"/>
      <c r="X28" s="148"/>
      <c r="Y28" s="148"/>
      <c r="Z28" s="148"/>
      <c r="AA28" s="227"/>
      <c r="AB28" s="148"/>
      <c r="AC28" s="148"/>
      <c r="AD28" s="148"/>
      <c r="AE28" s="93"/>
      <c r="AF28" s="135" t="s">
        <v>126</v>
      </c>
      <c r="AG28" s="148">
        <f>Exploration!C9</f>
        <v>0.26249999999999996</v>
      </c>
      <c r="AH28" s="148">
        <f>AG28</f>
        <v>0.26249999999999996</v>
      </c>
      <c r="AI28" s="148">
        <f>AH28</f>
        <v>0.26249999999999996</v>
      </c>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row>
    <row r="29" spans="1:69" ht="15" x14ac:dyDescent="0.25">
      <c r="A29" s="135" t="s">
        <v>13</v>
      </c>
      <c r="B29" s="135"/>
      <c r="C29" s="152">
        <f>SUM(C31:C70)</f>
        <v>5.902212855637722</v>
      </c>
      <c r="D29" s="152">
        <f>SUM(D31:D70)</f>
        <v>114.09778714436226</v>
      </c>
      <c r="E29" s="152"/>
      <c r="F29" s="152">
        <f>SUM(F31:F70)</f>
        <v>180</v>
      </c>
      <c r="G29" s="152">
        <f>SUM(G31:G70)</f>
        <v>299.99999999999994</v>
      </c>
      <c r="H29" s="152"/>
      <c r="I29" s="157"/>
      <c r="J29" s="152">
        <f>SUM(J31:J70)</f>
        <v>999.99000000000035</v>
      </c>
      <c r="K29" s="157"/>
      <c r="L29" s="157"/>
      <c r="M29" s="157"/>
      <c r="N29" s="157"/>
      <c r="O29" s="157"/>
      <c r="P29" s="152">
        <f>SUM(P31:P70)</f>
        <v>43.199999999999996</v>
      </c>
      <c r="Q29" s="152">
        <f>SUM(Q31:Q70)</f>
        <v>0</v>
      </c>
      <c r="R29" s="157"/>
      <c r="S29" s="157"/>
      <c r="T29" s="152">
        <f>SUM(T31:T70)</f>
        <v>0</v>
      </c>
      <c r="U29" s="152">
        <f>SUM(U31:U70)</f>
        <v>0</v>
      </c>
      <c r="V29" s="152">
        <f>SUM(V31:V70)</f>
        <v>0</v>
      </c>
      <c r="W29" s="201"/>
      <c r="X29" s="152">
        <f>SUM(X31:X70)</f>
        <v>956.79</v>
      </c>
      <c r="Y29" s="152">
        <f>SUM(Y31:Y70)</f>
        <v>299.99999999999994</v>
      </c>
      <c r="Z29" s="152">
        <f>SUM(Z31:Z70)</f>
        <v>0</v>
      </c>
      <c r="AA29" s="201"/>
      <c r="AB29" s="152">
        <f>SUM(AB31:AB70)</f>
        <v>948.99083658811526</v>
      </c>
      <c r="AC29" s="152">
        <f>SUM(AC31:AC70)</f>
        <v>297.55458457596183</v>
      </c>
      <c r="AD29" s="152">
        <f>SUM(AD31:AD70)</f>
        <v>0</v>
      </c>
      <c r="AE29" s="157"/>
      <c r="AF29" s="157"/>
      <c r="AG29" s="152">
        <f>SUM(AG31:AG70)</f>
        <v>249.11009460438027</v>
      </c>
      <c r="AH29" s="152">
        <f>SUM(AH31:AH70)</f>
        <v>78.108078451190011</v>
      </c>
      <c r="AI29" s="152">
        <f>SUM(AI31:AI70)</f>
        <v>0</v>
      </c>
      <c r="AJ29" s="157"/>
      <c r="AK29" s="152">
        <f>SUM(AK31:AK70)</f>
        <v>948.99083658811526</v>
      </c>
      <c r="AL29" s="152">
        <f>SUM(AL31:AL70)</f>
        <v>297.55458457596183</v>
      </c>
      <c r="AM29" s="152">
        <f>SUM(AM31:AM70)</f>
        <v>0</v>
      </c>
      <c r="AN29" s="152">
        <f>SUM(AN31:AN70)</f>
        <v>495.26100886515263</v>
      </c>
      <c r="AO29" s="157"/>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row>
    <row r="30" spans="1:69" ht="15" x14ac:dyDescent="0.25">
      <c r="A30" s="93"/>
      <c r="B30" s="93"/>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row>
    <row r="31" spans="1:69" ht="15" x14ac:dyDescent="0.25">
      <c r="A31" s="158">
        <f>'Success Cash Flow'!A10</f>
        <v>2012</v>
      </c>
      <c r="B31" s="158">
        <f>DATE(A31,12,31)-DATE(A31-1,12,31)</f>
        <v>366</v>
      </c>
      <c r="C31" s="159">
        <f>IF(A31&lt;$D$20,0,IF(A31=$D$20,IF(A31=$D$21,$C$21,(DATE(A31,12,31)-$B$20)*$B$9/1000+$B$14*(DATE(A31,12,31)-$B$20)^2/2/1000),IF(A31=$D$21,($B$21-DATE(A31-1,12,31))*$B$11/1000-($B$21-DATE(A31-1,12,31))^2/2*$B$14/1000,IF(A31&gt;$D$21,0,(((DATE(A31,12,31)+DATE(A31-1,12,31)-2*$B$20)*$B$14/2+$B$9)*B31)/1000))))</f>
        <v>0</v>
      </c>
      <c r="D31" s="159">
        <f t="shared" ref="D31:D42" si="0">IF($B$8&lt;$B$7,0,IF(A31&lt;$D$21,0,IF(A31=$D$21,(IF(A31=$D$22,$B$22,DATE(A31,12,31))-$B$21)*$B$11/1000,IF(A31&lt;$D$22,B31/1000*$B$11,IF(A31=$D$22,($B$22-DATE(A31-1,12,31))*$B$11/1000,0)))))</f>
        <v>0</v>
      </c>
      <c r="E31" s="159">
        <f>IF(A31&lt;$D$22,0,MIN(IF(A31=$D$22,DATE(A31,12,31)-$B$22,B31)+E30,$B$16))</f>
        <v>0</v>
      </c>
      <c r="F31" s="159">
        <f>$B$11/$B$15*(EXP(-$B$15*E30)-EXP(-$B$15*E31))/1000</f>
        <v>0</v>
      </c>
      <c r="G31" s="159">
        <f t="shared" ref="G31:G70" si="1">C31+D31+F31</f>
        <v>0</v>
      </c>
      <c r="H31" s="159">
        <f>IF(M31=0,0,G31/M31*1000)</f>
        <v>0</v>
      </c>
      <c r="I31" s="157"/>
      <c r="J31" s="159">
        <f>IF(AND(Input!$B$15=Lists!$Q$36,Input!$B$11="Oil"),0,G31*Input!$B$29/1000)</f>
        <v>0</v>
      </c>
      <c r="K31" s="159">
        <f>IF(M31=0,0,J31/M31)*1000</f>
        <v>0</v>
      </c>
      <c r="L31" s="157"/>
      <c r="M31" s="159">
        <f>IF(A31&lt;$B$4,0,IF(A31=$B$4,DATE(A31,12,31)-$B$20,IF(E31=$B$16,E31-E30,B31)))</f>
        <v>0</v>
      </c>
      <c r="N31" s="159">
        <f>M31/B31</f>
        <v>0</v>
      </c>
      <c r="O31" s="157"/>
      <c r="P31" s="159">
        <f>IF(Input!$B$11="Oil",MIN('Sched &amp; Prod Assumptions'!$C$19*'Sched &amp; Prod Assumptions'!$B$15*G31,J31),G31*'Sched &amp; Prod Assumptions'!$C$18)</f>
        <v>0</v>
      </c>
      <c r="Q31" s="159">
        <f>IF(Input!$B$11="Oil",IF(P31&lt;J31,0,Production!G31*'Sched &amp; Prod Assumptions'!$C$19-Production!P31/'Sched &amp; Prod Assumptions'!$C$17*Input!$B$28/1000),0)</f>
        <v>0</v>
      </c>
      <c r="R31" s="157"/>
      <c r="S31" s="159">
        <f>IF(A31=$T$23,1,IF(A31&gt;$T$23,1+S30,0))</f>
        <v>0</v>
      </c>
      <c r="T31" s="487">
        <f>IF($S31=0,0,INDEX(Overrides!$L$47:$L$88,$S31+1,1)*$T$21+INDEX(Overrides!$L$47:$L$88,$S31,1)*$T$22)*'Sensitivity Ranges'!$F$41</f>
        <v>0</v>
      </c>
      <c r="U31" s="487">
        <f>IF($S31=0,0,INDEX(Overrides!$M$47:$M$88,$S31+1,1)*$T$21+INDEX(Overrides!$M$47:$M$88,$S31,1)*$T$22)*'Sensitivity Ranges'!$F$41</f>
        <v>0</v>
      </c>
      <c r="V31" s="487">
        <f>IF($S31=0,0,INDEX(Overrides!$N$47:$N$88,$S31+1,1)*$T$21+INDEX(Overrides!$N$47:$N$88,$S31,1)*$T$22)*'Sensitivity Ranges'!$F$41</f>
        <v>0</v>
      </c>
      <c r="W31" s="201"/>
      <c r="X31" s="159">
        <f>IF($T$20=1,T31,IF(Input!$B$11="Gas",G31,J31)-P31)</f>
        <v>0</v>
      </c>
      <c r="Y31" s="159">
        <f>IF($T$20=1,U31,IF(Input!$B$11="Gas",0,G31-Q31))</f>
        <v>0</v>
      </c>
      <c r="Z31" s="159">
        <f>IF($T$20=1,V31,IF(Input!$B$11="Gas",J31,0))</f>
        <v>0</v>
      </c>
      <c r="AA31" s="201"/>
      <c r="AB31" s="159">
        <f>X31*Abandonment!$H16</f>
        <v>0</v>
      </c>
      <c r="AC31" s="159">
        <f>Y31*Abandonment!$H16</f>
        <v>0</v>
      </c>
      <c r="AD31" s="159">
        <f>Z31*Abandonment!$H16</f>
        <v>0</v>
      </c>
      <c r="AE31" s="157"/>
      <c r="AF31" s="157"/>
      <c r="AG31" s="159">
        <f>AB31*AG$28</f>
        <v>0</v>
      </c>
      <c r="AH31" s="159">
        <f t="shared" ref="AH31:AI70" si="2">AC31*AH$28</f>
        <v>0</v>
      </c>
      <c r="AI31" s="159">
        <f t="shared" si="2"/>
        <v>0</v>
      </c>
      <c r="AJ31" s="157"/>
      <c r="AK31" s="159">
        <f>X31*Abandonment!H16</f>
        <v>0</v>
      </c>
      <c r="AL31" s="159">
        <f>Y31*Abandonment!H16</f>
        <v>0</v>
      </c>
      <c r="AM31" s="159">
        <f>Z31*Abandonment!H16</f>
        <v>0</v>
      </c>
      <c r="AN31" s="159">
        <f>AK31/'Sched &amp; Prod Assumptions'!$B$15+Production!AL31+AM31</f>
        <v>0</v>
      </c>
      <c r="AO31" s="159">
        <f>AN31/0.365</f>
        <v>0</v>
      </c>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row>
    <row r="32" spans="1:69" x14ac:dyDescent="0.3">
      <c r="A32" s="160">
        <f>A31+1</f>
        <v>2013</v>
      </c>
      <c r="B32" s="160">
        <f t="shared" ref="B32:B70" si="3">DATE(A32,12,31)-DATE(A32-1,12,31)</f>
        <v>365</v>
      </c>
      <c r="C32" s="161">
        <f>IF(A32&lt;$D$20,0,IF(A32=$D$20,IF(A32=$D$21,$C$21,(DATE(A32,12,31)-$B$20)*$B$9/1000+$B$14*(DATE(A32,12,31)-$B$20)^2/2/1000),IF(A32=$D$21,($B$21-DATE(A32-1,12,31))*$B$11/1000-($B$21-DATE(A32-1,12,31))^2/2*$B$14/1000,IF(A32&gt;$D$21,0,(((DATE(A32,12,31)+DATE(A32-1,12,31)-2*$B$20)*$B$14/2+$B$9)*B32)/1000))))</f>
        <v>0</v>
      </c>
      <c r="D32" s="161">
        <f t="shared" si="0"/>
        <v>0</v>
      </c>
      <c r="E32" s="161">
        <f t="shared" ref="E32:E70" si="4">IF(A32&lt;$D$22,0,MIN(IF(A32=$D$22,DATE(A32,12,31)-$B$22,B32)+E31,$B$16))</f>
        <v>0</v>
      </c>
      <c r="F32" s="161">
        <f>$B$11/$B$15*(EXP(-$B$15*E31)-EXP(-$B$15*E32))/1000</f>
        <v>0</v>
      </c>
      <c r="G32" s="161">
        <f t="shared" si="1"/>
        <v>0</v>
      </c>
      <c r="H32" s="161">
        <f t="shared" ref="H32:H70" si="5">IF(M32=0,0,G32/M32*1000)</f>
        <v>0</v>
      </c>
      <c r="I32" s="157"/>
      <c r="J32" s="161">
        <f>IF(AND(Input!$B$15=Lists!$Q$36,Input!$B$11="Oil"),0,G32*Input!$B$29/1000)</f>
        <v>0</v>
      </c>
      <c r="K32" s="161">
        <f t="shared" ref="K32:K70" si="6">IF(M32=0,0,J32/M32)*1000</f>
        <v>0</v>
      </c>
      <c r="L32" s="157"/>
      <c r="M32" s="161">
        <f t="shared" ref="M32:M70" si="7">IF(A32&lt;$B$4,0,IF(A32=$B$4,DATE(A32,12,31)-$B$20,IF(E32=$B$16,E32-E31,B32)))</f>
        <v>0</v>
      </c>
      <c r="N32" s="161">
        <f t="shared" ref="N32:N70" si="8">M32/B32</f>
        <v>0</v>
      </c>
      <c r="O32" s="157"/>
      <c r="P32" s="161">
        <f>IF(Input!$B$11="Oil",MIN('Sched &amp; Prod Assumptions'!$C$19*'Sched &amp; Prod Assumptions'!$B$15*G32,J32),G32*'Sched &amp; Prod Assumptions'!$C$18)</f>
        <v>0</v>
      </c>
      <c r="Q32" s="161">
        <f>IF(Input!$B$11="Oil",IF(P32&lt;J32,0,Production!G32*'Sched &amp; Prod Assumptions'!$C$19-Production!P32/'Sched &amp; Prod Assumptions'!$C$17*Input!$B$28/1000),0)</f>
        <v>0</v>
      </c>
      <c r="R32" s="157"/>
      <c r="S32" s="161">
        <f t="shared" ref="S32:S70" si="9">IF(A32=$T$23,1,IF(A32&gt;$T$23,1+S31,0))</f>
        <v>0</v>
      </c>
      <c r="T32" s="488">
        <f>IF($S32=0,0,INDEX(Overrides!$L$47:$L$88,$S32+1,1)*$T$21+INDEX(Overrides!$L$47:$L$88,$S32,1)*$T$22)*'Sensitivity Ranges'!$F$41</f>
        <v>0</v>
      </c>
      <c r="U32" s="488">
        <f>IF($S32=0,0,INDEX(Overrides!$M$47:$M$88,$S32+1,1)*$T$21+INDEX(Overrides!$M$47:$M$88,$S32,1)*$T$22)*'Sensitivity Ranges'!$F$41</f>
        <v>0</v>
      </c>
      <c r="V32" s="488">
        <f>IF($S32=0,0,INDEX(Overrides!$N$47:$N$88,$S32+1,1)*$T$21+INDEX(Overrides!$N$47:$N$88,$S32,1)*$T$22)*'Sensitivity Ranges'!$F$41</f>
        <v>0</v>
      </c>
      <c r="W32" s="201"/>
      <c r="X32" s="161">
        <f>IF($T$20=1,T32,IF(Input!$B$11="Gas",G32,J32)-P32)</f>
        <v>0</v>
      </c>
      <c r="Y32" s="161">
        <f>IF($T$20=1,U32,IF(Input!$B$11="Gas",0,G32-Q32))</f>
        <v>0</v>
      </c>
      <c r="Z32" s="161">
        <f>IF($T$20=1,V32,IF(Input!$B$11="Gas",J32,0))</f>
        <v>0</v>
      </c>
      <c r="AA32" s="201"/>
      <c r="AB32" s="161">
        <f>X32*Abandonment!$H17</f>
        <v>0</v>
      </c>
      <c r="AC32" s="161">
        <f>Y32*Abandonment!$H17</f>
        <v>0</v>
      </c>
      <c r="AD32" s="161">
        <f>Z32*Abandonment!$H17</f>
        <v>0</v>
      </c>
      <c r="AE32" s="157"/>
      <c r="AF32" s="157"/>
      <c r="AG32" s="161">
        <f t="shared" ref="AG32:AG70" si="10">AB32*AG$28</f>
        <v>0</v>
      </c>
      <c r="AH32" s="161">
        <f t="shared" si="2"/>
        <v>0</v>
      </c>
      <c r="AI32" s="161">
        <f t="shared" si="2"/>
        <v>0</v>
      </c>
      <c r="AJ32" s="157"/>
      <c r="AK32" s="161">
        <f>X32*Abandonment!H17</f>
        <v>0</v>
      </c>
      <c r="AL32" s="161">
        <f>Y32*Abandonment!H17</f>
        <v>0</v>
      </c>
      <c r="AM32" s="161">
        <f>Z32*Abandonment!H17</f>
        <v>0</v>
      </c>
      <c r="AN32" s="161">
        <f>AK32/'Sched &amp; Prod Assumptions'!$B$15+Production!AL32+AM32</f>
        <v>0</v>
      </c>
      <c r="AO32" s="161">
        <f t="shared" ref="AO32:AO70" si="11">AN32/0.365</f>
        <v>0</v>
      </c>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row>
    <row r="33" spans="1:69" x14ac:dyDescent="0.3">
      <c r="A33" s="160">
        <f t="shared" ref="A33:A70" si="12">A32+1</f>
        <v>2014</v>
      </c>
      <c r="B33" s="160">
        <f t="shared" si="3"/>
        <v>365</v>
      </c>
      <c r="C33" s="161">
        <f>IF(A33&lt;$D$20,0,IF(A33=$D$20,IF(A33=$D$21,$C$21,(DATE(A33,12,31)-$B$20)*$B$9/1000+$B$14*(DATE(A33,12,31)-$B$20)^2/2/1000),IF(A33=$D$21,($B$21-DATE(A33-1,12,31))*$B$11/1000-($B$21-DATE(A33-1,12,31))^2/2*$B$14/1000,IF(A33&gt;$D$21,0,(((DATE(A33,12,31)+DATE(A33-1,12,31)-2*$B$20)*$B$14/2+$B$9)*B33)/1000))))</f>
        <v>0</v>
      </c>
      <c r="D33" s="161">
        <f t="shared" si="0"/>
        <v>0</v>
      </c>
      <c r="E33" s="161">
        <f t="shared" si="4"/>
        <v>0</v>
      </c>
      <c r="F33" s="161">
        <f>$B$11/$B$15*(EXP(-$B$15*E32)-EXP(-$B$15*E33))/1000</f>
        <v>0</v>
      </c>
      <c r="G33" s="161">
        <f t="shared" si="1"/>
        <v>0</v>
      </c>
      <c r="H33" s="161">
        <f t="shared" si="5"/>
        <v>0</v>
      </c>
      <c r="I33" s="157"/>
      <c r="J33" s="161">
        <f>IF(AND(Input!$B$15=Lists!$Q$36,Input!$B$11="Oil"),0,G33*Input!$B$29/1000)</f>
        <v>0</v>
      </c>
      <c r="K33" s="161">
        <f t="shared" si="6"/>
        <v>0</v>
      </c>
      <c r="L33" s="157"/>
      <c r="M33" s="161">
        <f t="shared" si="7"/>
        <v>0</v>
      </c>
      <c r="N33" s="161">
        <f t="shared" si="8"/>
        <v>0</v>
      </c>
      <c r="O33" s="157"/>
      <c r="P33" s="161">
        <f>IF(Input!$B$11="Oil",MIN('Sched &amp; Prod Assumptions'!$C$19*'Sched &amp; Prod Assumptions'!$B$15*G33,J33),G33*'Sched &amp; Prod Assumptions'!$C$18)</f>
        <v>0</v>
      </c>
      <c r="Q33" s="161">
        <f>IF(Input!$B$11="Oil",IF(P33&lt;J33,0,Production!G33*'Sched &amp; Prod Assumptions'!$C$19-Production!P33/'Sched &amp; Prod Assumptions'!$C$17*Input!$B$28/1000),0)</f>
        <v>0</v>
      </c>
      <c r="R33" s="157"/>
      <c r="S33" s="161">
        <f t="shared" si="9"/>
        <v>0</v>
      </c>
      <c r="T33" s="488">
        <f>IF($S33=0,0,INDEX(Overrides!$L$47:$L$88,$S33+1,1)*$T$21+INDEX(Overrides!$L$47:$L$88,$S33,1)*$T$22)*'Sensitivity Ranges'!$F$41</f>
        <v>0</v>
      </c>
      <c r="U33" s="488">
        <f>IF($S33=0,0,INDEX(Overrides!$M$47:$M$88,$S33+1,1)*$T$21+INDEX(Overrides!$M$47:$M$88,$S33,1)*$T$22)*'Sensitivity Ranges'!$F$41</f>
        <v>0</v>
      </c>
      <c r="V33" s="488">
        <f>IF($S33=0,0,INDEX(Overrides!$N$47:$N$88,$S33+1,1)*$T$21+INDEX(Overrides!$N$47:$N$88,$S33,1)*$T$22)*'Sensitivity Ranges'!$F$41</f>
        <v>0</v>
      </c>
      <c r="W33" s="201"/>
      <c r="X33" s="161">
        <f>IF($T$20=1,T33,IF(Input!$B$11="Gas",G33,J33)-P33)</f>
        <v>0</v>
      </c>
      <c r="Y33" s="161">
        <f>IF($T$20=1,U33,IF(Input!$B$11="Gas",0,G33-Q33))</f>
        <v>0</v>
      </c>
      <c r="Z33" s="161">
        <f>IF($T$20=1,V33,IF(Input!$B$11="Gas",J33,0))</f>
        <v>0</v>
      </c>
      <c r="AA33" s="201"/>
      <c r="AB33" s="161">
        <f>X33*Abandonment!$H18</f>
        <v>0</v>
      </c>
      <c r="AC33" s="161">
        <f>Y33*Abandonment!$H18</f>
        <v>0</v>
      </c>
      <c r="AD33" s="161">
        <f>Z33*Abandonment!$H18</f>
        <v>0</v>
      </c>
      <c r="AE33" s="157"/>
      <c r="AF33" s="157"/>
      <c r="AG33" s="161">
        <f t="shared" si="10"/>
        <v>0</v>
      </c>
      <c r="AH33" s="161">
        <f t="shared" si="2"/>
        <v>0</v>
      </c>
      <c r="AI33" s="161">
        <f t="shared" si="2"/>
        <v>0</v>
      </c>
      <c r="AJ33" s="157"/>
      <c r="AK33" s="161">
        <f>X33*Abandonment!H18</f>
        <v>0</v>
      </c>
      <c r="AL33" s="161">
        <f>Y33*Abandonment!H18</f>
        <v>0</v>
      </c>
      <c r="AM33" s="161">
        <f>Z33*Abandonment!H18</f>
        <v>0</v>
      </c>
      <c r="AN33" s="161">
        <f>AK33/'Sched &amp; Prod Assumptions'!$B$15+Production!AL33+AM33</f>
        <v>0</v>
      </c>
      <c r="AO33" s="161">
        <f t="shared" si="11"/>
        <v>0</v>
      </c>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row>
    <row r="34" spans="1:69" x14ac:dyDescent="0.3">
      <c r="A34" s="160">
        <f t="shared" si="12"/>
        <v>2015</v>
      </c>
      <c r="B34" s="160">
        <f t="shared" si="3"/>
        <v>365</v>
      </c>
      <c r="C34" s="161">
        <f>IF(A34&lt;$D$20,0,IF(A34=$D$20,IF(A34=$D$21,$C$21,(DATE(A34,12,31)-$B$20)*$B$9/1000+$B$14*(DATE(A34,12,31)-$B$20)^2/2/1000),IF(A34=$D$21,($B$21-DATE(A34-1,12,31))*$B$11/1000-($B$21-DATE(A34-1,12,31))^2/2*$B$14/1000,IF(A34&gt;$D$21,0,(((DATE(A34,12,31)+DATE(A34-1,12,31)-2*$B$20)*$B$14/2+$B$9)*B34)/1000))))</f>
        <v>0</v>
      </c>
      <c r="D34" s="161">
        <f t="shared" si="0"/>
        <v>0</v>
      </c>
      <c r="E34" s="161">
        <f t="shared" si="4"/>
        <v>0</v>
      </c>
      <c r="F34" s="161">
        <f>$B$11/$B$15*(EXP(-$B$15*E33)-EXP(-$B$15*E34))/1000</f>
        <v>0</v>
      </c>
      <c r="G34" s="161">
        <f t="shared" si="1"/>
        <v>0</v>
      </c>
      <c r="H34" s="161">
        <f t="shared" si="5"/>
        <v>0</v>
      </c>
      <c r="I34" s="157"/>
      <c r="J34" s="161">
        <f>IF(AND(Input!$B$15=Lists!$Q$36,Input!$B$11="Oil"),0,G34*Input!$B$29/1000)</f>
        <v>0</v>
      </c>
      <c r="K34" s="161">
        <f t="shared" si="6"/>
        <v>0</v>
      </c>
      <c r="L34" s="157"/>
      <c r="M34" s="161">
        <f t="shared" si="7"/>
        <v>0</v>
      </c>
      <c r="N34" s="161">
        <f t="shared" si="8"/>
        <v>0</v>
      </c>
      <c r="O34" s="157"/>
      <c r="P34" s="161">
        <f>IF(Input!$B$11="Oil",MIN('Sched &amp; Prod Assumptions'!$C$19*'Sched &amp; Prod Assumptions'!$B$15*G34,J34),G34*'Sched &amp; Prod Assumptions'!$C$18)</f>
        <v>0</v>
      </c>
      <c r="Q34" s="161">
        <f>IF(Input!$B$11="Oil",IF(P34&lt;J34,0,Production!G34*'Sched &amp; Prod Assumptions'!$C$19-Production!P34/'Sched &amp; Prod Assumptions'!$C$17*Input!$B$28/1000),0)</f>
        <v>0</v>
      </c>
      <c r="R34" s="157"/>
      <c r="S34" s="161">
        <f t="shared" si="9"/>
        <v>0</v>
      </c>
      <c r="T34" s="488">
        <f>IF($S34=0,0,INDEX(Overrides!$L$47:$L$88,$S34+1,1)*$T$21+INDEX(Overrides!$L$47:$L$88,$S34,1)*$T$22)*'Sensitivity Ranges'!$F$41</f>
        <v>0</v>
      </c>
      <c r="U34" s="488">
        <f>IF($S34=0,0,INDEX(Overrides!$M$47:$M$88,$S34+1,1)*$T$21+INDEX(Overrides!$M$47:$M$88,$S34,1)*$T$22)*'Sensitivity Ranges'!$F$41</f>
        <v>0</v>
      </c>
      <c r="V34" s="488">
        <f>IF($S34=0,0,INDEX(Overrides!$N$47:$N$88,$S34+1,1)*$T$21+INDEX(Overrides!$N$47:$N$88,$S34,1)*$T$22)*'Sensitivity Ranges'!$F$41</f>
        <v>0</v>
      </c>
      <c r="W34" s="201"/>
      <c r="X34" s="161">
        <f>IF($T$20=1,T34,IF(Input!$B$11="Gas",G34,J34)-P34)</f>
        <v>0</v>
      </c>
      <c r="Y34" s="161">
        <f>IF($T$20=1,U34,IF(Input!$B$11="Gas",0,G34-Q34))</f>
        <v>0</v>
      </c>
      <c r="Z34" s="161">
        <f>IF($T$20=1,V34,IF(Input!$B$11="Gas",J34,0))</f>
        <v>0</v>
      </c>
      <c r="AA34" s="201"/>
      <c r="AB34" s="161">
        <f>X34*Abandonment!$H19</f>
        <v>0</v>
      </c>
      <c r="AC34" s="161">
        <f>Y34*Abandonment!$H19</f>
        <v>0</v>
      </c>
      <c r="AD34" s="161">
        <f>Z34*Abandonment!$H19</f>
        <v>0</v>
      </c>
      <c r="AE34" s="157"/>
      <c r="AF34" s="157"/>
      <c r="AG34" s="161">
        <f t="shared" si="10"/>
        <v>0</v>
      </c>
      <c r="AH34" s="161">
        <f t="shared" si="2"/>
        <v>0</v>
      </c>
      <c r="AI34" s="161">
        <f t="shared" si="2"/>
        <v>0</v>
      </c>
      <c r="AJ34" s="157"/>
      <c r="AK34" s="161">
        <f>X34*Abandonment!H19</f>
        <v>0</v>
      </c>
      <c r="AL34" s="161">
        <f>Y34*Abandonment!H19</f>
        <v>0</v>
      </c>
      <c r="AM34" s="161">
        <f>Z34*Abandonment!H19</f>
        <v>0</v>
      </c>
      <c r="AN34" s="161">
        <f>AK34/'Sched &amp; Prod Assumptions'!$B$15+Production!AL34+AM34</f>
        <v>0</v>
      </c>
      <c r="AO34" s="161">
        <f t="shared" si="11"/>
        <v>0</v>
      </c>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row>
    <row r="35" spans="1:69" x14ac:dyDescent="0.3">
      <c r="A35" s="160">
        <f t="shared" si="12"/>
        <v>2016</v>
      </c>
      <c r="B35" s="160">
        <f t="shared" si="3"/>
        <v>366</v>
      </c>
      <c r="C35" s="161">
        <f t="shared" ref="C35:C70" si="13">IF(A35&lt;$D$20,0,IF(A35=$D$20,IF(A35=$D$21,$C$21,(DATE(A35,12,31)-$B$20)*$B$9/1000+$B$14*(DATE(A35,12,31)-$B$20)^2/2/1000),IF(A35=$D$21,($B$21-DATE(A35-1,12,31))*$B$11/1000-($B$21-DATE(A35-1,12,31))^2/2*$B$14/1000,IF(A35&gt;$D$21,0,(((DATE(A35,12,31)+DATE(A35-1,12,31)-2*$B$20)*$B$14/2+$B$9)*B35)/1000))))</f>
        <v>0</v>
      </c>
      <c r="D35" s="161">
        <f t="shared" si="0"/>
        <v>0</v>
      </c>
      <c r="E35" s="161">
        <f t="shared" si="4"/>
        <v>0</v>
      </c>
      <c r="F35" s="161">
        <f t="shared" ref="F35:F70" si="14">$B$11/$B$15*(EXP(-$B$15*E34)-EXP(-$B$15*E35))/1000</f>
        <v>0</v>
      </c>
      <c r="G35" s="161">
        <f t="shared" si="1"/>
        <v>0</v>
      </c>
      <c r="H35" s="161">
        <f t="shared" si="5"/>
        <v>0</v>
      </c>
      <c r="I35" s="157"/>
      <c r="J35" s="161">
        <f>IF(AND(Input!$B$15=Lists!$Q$36,Input!$B$11="Oil"),0,G35*Input!$B$29/1000)</f>
        <v>0</v>
      </c>
      <c r="K35" s="161">
        <f t="shared" si="6"/>
        <v>0</v>
      </c>
      <c r="L35" s="157"/>
      <c r="M35" s="161">
        <f t="shared" si="7"/>
        <v>0</v>
      </c>
      <c r="N35" s="161">
        <f t="shared" si="8"/>
        <v>0</v>
      </c>
      <c r="O35" s="157"/>
      <c r="P35" s="161">
        <f>IF(Input!$B$11="Oil",MIN('Sched &amp; Prod Assumptions'!$C$19*'Sched &amp; Prod Assumptions'!$B$15*G35,J35),G35*'Sched &amp; Prod Assumptions'!$C$18)</f>
        <v>0</v>
      </c>
      <c r="Q35" s="161">
        <f>IF(Input!$B$11="Oil",IF(P35&lt;J35,0,Production!G35*'Sched &amp; Prod Assumptions'!$C$19-Production!P35/'Sched &amp; Prod Assumptions'!$C$17*Input!$B$28/1000),0)</f>
        <v>0</v>
      </c>
      <c r="R35" s="157"/>
      <c r="S35" s="161">
        <f t="shared" si="9"/>
        <v>1</v>
      </c>
      <c r="T35" s="488">
        <f>IF($S35=0,0,INDEX(Overrides!$L$47:$L$88,$S35+1,1)*$T$21+INDEX(Overrides!$L$47:$L$88,$S35,1)*$T$22)*'Sensitivity Ranges'!$F$41</f>
        <v>0</v>
      </c>
      <c r="U35" s="488">
        <f>IF($S35=0,0,INDEX(Overrides!$M$47:$M$88,$S35+1,1)*$T$21+INDEX(Overrides!$M$47:$M$88,$S35,1)*$T$22)*'Sensitivity Ranges'!$F$41</f>
        <v>0</v>
      </c>
      <c r="V35" s="488">
        <f>IF($S35=0,0,INDEX(Overrides!$N$47:$N$88,$S35+1,1)*$T$21+INDEX(Overrides!$N$47:$N$88,$S35,1)*$T$22)*'Sensitivity Ranges'!$F$41</f>
        <v>0</v>
      </c>
      <c r="W35" s="201"/>
      <c r="X35" s="161">
        <f>IF($T$20=1,T35,IF(Input!$B$11="Gas",G35,J35)-P35)</f>
        <v>0</v>
      </c>
      <c r="Y35" s="161">
        <f>IF($T$20=1,U35,IF(Input!$B$11="Gas",0,G35-Q35))</f>
        <v>0</v>
      </c>
      <c r="Z35" s="161">
        <f>IF($T$20=1,V35,IF(Input!$B$11="Gas",J35,0))</f>
        <v>0</v>
      </c>
      <c r="AA35" s="201"/>
      <c r="AB35" s="161">
        <f>X35*Abandonment!$H20</f>
        <v>0</v>
      </c>
      <c r="AC35" s="161">
        <f>Y35*Abandonment!$H20</f>
        <v>0</v>
      </c>
      <c r="AD35" s="161">
        <f>Z35*Abandonment!$H20</f>
        <v>0</v>
      </c>
      <c r="AE35" s="157"/>
      <c r="AF35" s="157"/>
      <c r="AG35" s="161">
        <f t="shared" si="10"/>
        <v>0</v>
      </c>
      <c r="AH35" s="161">
        <f t="shared" si="2"/>
        <v>0</v>
      </c>
      <c r="AI35" s="161">
        <f t="shared" si="2"/>
        <v>0</v>
      </c>
      <c r="AJ35" s="157"/>
      <c r="AK35" s="161">
        <f>X35*Abandonment!H20</f>
        <v>0</v>
      </c>
      <c r="AL35" s="161">
        <f>Y35*Abandonment!H20</f>
        <v>0</v>
      </c>
      <c r="AM35" s="161">
        <f>Z35*Abandonment!H20</f>
        <v>0</v>
      </c>
      <c r="AN35" s="161">
        <f>AK35/'Sched &amp; Prod Assumptions'!$B$15+Production!AL35+AM35</f>
        <v>0</v>
      </c>
      <c r="AO35" s="161">
        <f t="shared" si="11"/>
        <v>0</v>
      </c>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row>
    <row r="36" spans="1:69" x14ac:dyDescent="0.3">
      <c r="A36" s="160">
        <f t="shared" si="12"/>
        <v>2017</v>
      </c>
      <c r="B36" s="160">
        <f t="shared" si="3"/>
        <v>365</v>
      </c>
      <c r="C36" s="161">
        <f t="shared" si="13"/>
        <v>0</v>
      </c>
      <c r="D36" s="161">
        <f t="shared" si="0"/>
        <v>0</v>
      </c>
      <c r="E36" s="161">
        <f t="shared" si="4"/>
        <v>0</v>
      </c>
      <c r="F36" s="161">
        <f t="shared" si="14"/>
        <v>0</v>
      </c>
      <c r="G36" s="161">
        <f t="shared" si="1"/>
        <v>0</v>
      </c>
      <c r="H36" s="161">
        <f t="shared" si="5"/>
        <v>0</v>
      </c>
      <c r="I36" s="157"/>
      <c r="J36" s="161">
        <f>IF(AND(Input!$B$15=Lists!$Q$36,Input!$B$11="Oil"),0,G36*Input!$B$29/1000)</f>
        <v>0</v>
      </c>
      <c r="K36" s="161">
        <f t="shared" si="6"/>
        <v>0</v>
      </c>
      <c r="L36" s="157"/>
      <c r="M36" s="161">
        <f t="shared" si="7"/>
        <v>0</v>
      </c>
      <c r="N36" s="161">
        <f t="shared" si="8"/>
        <v>0</v>
      </c>
      <c r="O36" s="157"/>
      <c r="P36" s="161">
        <f>IF(Input!$B$11="Oil",MIN('Sched &amp; Prod Assumptions'!$C$19*'Sched &amp; Prod Assumptions'!$B$15*G36,J36),G36*'Sched &amp; Prod Assumptions'!$C$18)</f>
        <v>0</v>
      </c>
      <c r="Q36" s="161">
        <f>IF(Input!$B$11="Oil",IF(P36&lt;J36,0,Production!G36*'Sched &amp; Prod Assumptions'!$C$19-Production!P36/'Sched &amp; Prod Assumptions'!$C$17*Input!$B$28/1000),0)</f>
        <v>0</v>
      </c>
      <c r="R36" s="157"/>
      <c r="S36" s="161">
        <f t="shared" si="9"/>
        <v>2</v>
      </c>
      <c r="T36" s="488">
        <f>IF($S36=0,0,INDEX(Overrides!$L$47:$L$88,$S36+1,1)*$T$21+INDEX(Overrides!$L$47:$L$88,$S36,1)*$T$22)*'Sensitivity Ranges'!$F$41</f>
        <v>0</v>
      </c>
      <c r="U36" s="488">
        <f>IF($S36=0,0,INDEX(Overrides!$M$47:$M$88,$S36+1,1)*$T$21+INDEX(Overrides!$M$47:$M$88,$S36,1)*$T$22)*'Sensitivity Ranges'!$F$41</f>
        <v>0</v>
      </c>
      <c r="V36" s="488">
        <f>IF($S36=0,0,INDEX(Overrides!$N$47:$N$88,$S36+1,1)*$T$21+INDEX(Overrides!$N$47:$N$88,$S36,1)*$T$22)*'Sensitivity Ranges'!$F$41</f>
        <v>0</v>
      </c>
      <c r="W36" s="201"/>
      <c r="X36" s="161">
        <f>IF($T$20=1,T36,IF(Input!$B$11="Gas",G36,J36)-P36)</f>
        <v>0</v>
      </c>
      <c r="Y36" s="161">
        <f>IF($T$20=1,U36,IF(Input!$B$11="Gas",0,G36-Q36))</f>
        <v>0</v>
      </c>
      <c r="Z36" s="161">
        <f>IF($T$20=1,V36,IF(Input!$B$11="Gas",J36,0))</f>
        <v>0</v>
      </c>
      <c r="AA36" s="201"/>
      <c r="AB36" s="161">
        <f>X36*Abandonment!$H21</f>
        <v>0</v>
      </c>
      <c r="AC36" s="161">
        <f>Y36*Abandonment!$H21</f>
        <v>0</v>
      </c>
      <c r="AD36" s="161">
        <f>Z36*Abandonment!$H21</f>
        <v>0</v>
      </c>
      <c r="AE36" s="157"/>
      <c r="AF36" s="157"/>
      <c r="AG36" s="161">
        <f t="shared" si="10"/>
        <v>0</v>
      </c>
      <c r="AH36" s="161">
        <f t="shared" si="2"/>
        <v>0</v>
      </c>
      <c r="AI36" s="161">
        <f t="shared" si="2"/>
        <v>0</v>
      </c>
      <c r="AJ36" s="157"/>
      <c r="AK36" s="161">
        <f>X36*Abandonment!H21</f>
        <v>0</v>
      </c>
      <c r="AL36" s="161">
        <f>Y36*Abandonment!H21</f>
        <v>0</v>
      </c>
      <c r="AM36" s="161">
        <f>Z36*Abandonment!H21</f>
        <v>0</v>
      </c>
      <c r="AN36" s="161">
        <f>AK36/'Sched &amp; Prod Assumptions'!$B$15+Production!AL36+AM36</f>
        <v>0</v>
      </c>
      <c r="AO36" s="161">
        <f t="shared" si="11"/>
        <v>0</v>
      </c>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row>
    <row r="37" spans="1:69" x14ac:dyDescent="0.3">
      <c r="A37" s="160">
        <f t="shared" si="12"/>
        <v>2018</v>
      </c>
      <c r="B37" s="160">
        <f t="shared" si="3"/>
        <v>365</v>
      </c>
      <c r="C37" s="161">
        <f t="shared" si="13"/>
        <v>2.8939146112525647</v>
      </c>
      <c r="D37" s="161">
        <f t="shared" si="0"/>
        <v>0</v>
      </c>
      <c r="E37" s="161">
        <f t="shared" si="4"/>
        <v>0</v>
      </c>
      <c r="F37" s="161">
        <f t="shared" si="14"/>
        <v>0</v>
      </c>
      <c r="G37" s="161">
        <f t="shared" si="1"/>
        <v>2.8939146112525647</v>
      </c>
      <c r="H37" s="161">
        <f t="shared" si="5"/>
        <v>50.770431776360788</v>
      </c>
      <c r="I37" s="157"/>
      <c r="J37" s="161">
        <f>IF(AND(Input!$B$15=Lists!$Q$36,Input!$B$11="Oil"),0,G37*Input!$B$29/1000)</f>
        <v>9.6462855736881732</v>
      </c>
      <c r="K37" s="161">
        <f t="shared" si="6"/>
        <v>169.23308024014338</v>
      </c>
      <c r="L37" s="157"/>
      <c r="M37" s="161">
        <f t="shared" si="7"/>
        <v>57</v>
      </c>
      <c r="N37" s="161">
        <f t="shared" si="8"/>
        <v>0.15616438356164383</v>
      </c>
      <c r="O37" s="157"/>
      <c r="P37" s="161">
        <f>IF(Input!$B$11="Oil",MIN('Sched &amp; Prod Assumptions'!$C$19*'Sched &amp; Prod Assumptions'!$B$15*G37,J37),G37*'Sched &amp; Prod Assumptions'!$C$18)</f>
        <v>0.41672370402036929</v>
      </c>
      <c r="Q37" s="161">
        <f>IF(Input!$B$11="Oil",IF(P37&lt;J37,0,Production!G37*'Sched &amp; Prod Assumptions'!$C$19-Production!P37/'Sched &amp; Prod Assumptions'!$C$17*Input!$B$28/1000),0)</f>
        <v>0</v>
      </c>
      <c r="R37" s="157"/>
      <c r="S37" s="161">
        <f t="shared" si="9"/>
        <v>3</v>
      </c>
      <c r="T37" s="488">
        <f>IF($S37=0,0,INDEX(Overrides!$L$47:$L$88,$S37+1,1)*$T$21+INDEX(Overrides!$L$47:$L$88,$S37,1)*$T$22)*'Sensitivity Ranges'!$F$41</f>
        <v>0</v>
      </c>
      <c r="U37" s="488">
        <f>IF($S37=0,0,INDEX(Overrides!$M$47:$M$88,$S37+1,1)*$T$21+INDEX(Overrides!$M$47:$M$88,$S37,1)*$T$22)*'Sensitivity Ranges'!$F$41</f>
        <v>0</v>
      </c>
      <c r="V37" s="488">
        <f>IF($S37=0,0,INDEX(Overrides!$N$47:$N$88,$S37+1,1)*$T$21+INDEX(Overrides!$N$47:$N$88,$S37,1)*$T$22)*'Sensitivity Ranges'!$F$41</f>
        <v>0</v>
      </c>
      <c r="W37" s="201"/>
      <c r="X37" s="161">
        <f>IF($T$20=1,T37,IF(Input!$B$11="Gas",G37,J37)-P37)</f>
        <v>9.2295618696678048</v>
      </c>
      <c r="Y37" s="161">
        <f>IF($T$20=1,U37,IF(Input!$B$11="Gas",0,G37-Q37))</f>
        <v>2.8939146112525647</v>
      </c>
      <c r="Z37" s="161">
        <f>IF($T$20=1,V37,IF(Input!$B$11="Gas",J37,0))</f>
        <v>0</v>
      </c>
      <c r="AA37" s="201"/>
      <c r="AB37" s="161">
        <f>X37*Abandonment!$H22</f>
        <v>9.2295618696678048</v>
      </c>
      <c r="AC37" s="161">
        <f>Y37*Abandonment!$H22</f>
        <v>2.8939146112525647</v>
      </c>
      <c r="AD37" s="161">
        <f>Z37*Abandonment!$H22</f>
        <v>0</v>
      </c>
      <c r="AE37" s="157"/>
      <c r="AF37" s="157"/>
      <c r="AG37" s="161">
        <f t="shared" si="10"/>
        <v>2.4227599907877981</v>
      </c>
      <c r="AH37" s="161">
        <f t="shared" si="2"/>
        <v>0.7596525854537981</v>
      </c>
      <c r="AI37" s="161">
        <f t="shared" si="2"/>
        <v>0</v>
      </c>
      <c r="AJ37" s="157"/>
      <c r="AK37" s="161">
        <f>X37*Abandonment!H22</f>
        <v>9.2295618696678048</v>
      </c>
      <c r="AL37" s="161">
        <f>Y37*Abandonment!H22</f>
        <v>2.8939146112525647</v>
      </c>
      <c r="AM37" s="161">
        <f>Z37*Abandonment!H22</f>
        <v>0</v>
      </c>
      <c r="AN37" s="161">
        <f>AK37/'Sched &amp; Prod Assumptions'!$B$15+Production!AL37+AM37</f>
        <v>4.816740000766691</v>
      </c>
      <c r="AO37" s="161">
        <f t="shared" si="11"/>
        <v>13.196547947306003</v>
      </c>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row>
    <row r="38" spans="1:69" x14ac:dyDescent="0.3">
      <c r="A38" s="160">
        <f t="shared" si="12"/>
        <v>2019</v>
      </c>
      <c r="B38" s="160">
        <f t="shared" si="3"/>
        <v>365</v>
      </c>
      <c r="C38" s="161">
        <f t="shared" si="13"/>
        <v>3.0082982443851574</v>
      </c>
      <c r="D38" s="161">
        <f t="shared" si="0"/>
        <v>26.608219178081914</v>
      </c>
      <c r="E38" s="161">
        <f t="shared" si="4"/>
        <v>0</v>
      </c>
      <c r="F38" s="161">
        <f t="shared" si="14"/>
        <v>0</v>
      </c>
      <c r="G38" s="161">
        <f t="shared" si="1"/>
        <v>29.616517422467069</v>
      </c>
      <c r="H38" s="161">
        <f t="shared" si="5"/>
        <v>81.141143623197451</v>
      </c>
      <c r="I38" s="157"/>
      <c r="J38" s="161">
        <f>IF(AND(Input!$B$15=Lists!$Q$36,Input!$B$11="Oil"),0,G38*Input!$B$29/1000)</f>
        <v>98.720737524309484</v>
      </c>
      <c r="K38" s="161">
        <f t="shared" si="6"/>
        <v>270.46777403920407</v>
      </c>
      <c r="L38" s="157"/>
      <c r="M38" s="161">
        <f t="shared" si="7"/>
        <v>365</v>
      </c>
      <c r="N38" s="161">
        <f t="shared" si="8"/>
        <v>1</v>
      </c>
      <c r="O38" s="157"/>
      <c r="P38" s="161">
        <f>IF(Input!$B$11="Oil",MIN('Sched &amp; Prod Assumptions'!$C$19*'Sched &amp; Prod Assumptions'!$B$15*G38,J38),G38*'Sched &amp; Prod Assumptions'!$C$18)</f>
        <v>4.2647785088352572</v>
      </c>
      <c r="Q38" s="161">
        <f>IF(Input!$B$11="Oil",IF(P38&lt;J38,0,Production!G38*'Sched &amp; Prod Assumptions'!$C$19-Production!P38/'Sched &amp; Prod Assumptions'!$C$17*Input!$B$28/1000),0)</f>
        <v>0</v>
      </c>
      <c r="R38" s="157"/>
      <c r="S38" s="161">
        <f t="shared" si="9"/>
        <v>4</v>
      </c>
      <c r="T38" s="488">
        <f>IF($S38=0,0,INDEX(Overrides!$L$47:$L$88,$S38+1,1)*$T$21+INDEX(Overrides!$L$47:$L$88,$S38,1)*$T$22)*'Sensitivity Ranges'!$F$41</f>
        <v>0</v>
      </c>
      <c r="U38" s="488">
        <f>IF($S38=0,0,INDEX(Overrides!$M$47:$M$88,$S38+1,1)*$T$21+INDEX(Overrides!$M$47:$M$88,$S38,1)*$T$22)*'Sensitivity Ranges'!$F$41</f>
        <v>0</v>
      </c>
      <c r="V38" s="488">
        <f>IF($S38=0,0,INDEX(Overrides!$N$47:$N$88,$S38+1,1)*$T$21+INDEX(Overrides!$N$47:$N$88,$S38,1)*$T$22)*'Sensitivity Ranges'!$F$41</f>
        <v>0</v>
      </c>
      <c r="W38" s="201"/>
      <c r="X38" s="161">
        <f>IF($T$20=1,T38,IF(Input!$B$11="Gas",G38,J38)-P38)</f>
        <v>94.455959015474221</v>
      </c>
      <c r="Y38" s="161">
        <f>IF($T$20=1,U38,IF(Input!$B$11="Gas",0,G38-Q38))</f>
        <v>29.616517422467069</v>
      </c>
      <c r="Z38" s="161">
        <f>IF($T$20=1,V38,IF(Input!$B$11="Gas",J38,0))</f>
        <v>0</v>
      </c>
      <c r="AA38" s="201"/>
      <c r="AB38" s="161">
        <f>X38*Abandonment!$H23</f>
        <v>94.455959015474221</v>
      </c>
      <c r="AC38" s="161">
        <f>Y38*Abandonment!$H23</f>
        <v>29.616517422467069</v>
      </c>
      <c r="AD38" s="161">
        <f>Z38*Abandonment!$H23</f>
        <v>0</v>
      </c>
      <c r="AE38" s="157"/>
      <c r="AF38" s="157"/>
      <c r="AG38" s="161">
        <f t="shared" si="10"/>
        <v>24.794689241561979</v>
      </c>
      <c r="AH38" s="161">
        <f t="shared" si="2"/>
        <v>7.7743358233976041</v>
      </c>
      <c r="AI38" s="161">
        <f t="shared" si="2"/>
        <v>0</v>
      </c>
      <c r="AJ38" s="157"/>
      <c r="AK38" s="161">
        <f>X38*Abandonment!H23</f>
        <v>94.455959015474221</v>
      </c>
      <c r="AL38" s="161">
        <f>Y38*Abandonment!H23</f>
        <v>29.616517422467069</v>
      </c>
      <c r="AM38" s="161">
        <f>Z38*Abandonment!H23</f>
        <v>0</v>
      </c>
      <c r="AN38" s="161">
        <f>AK38/'Sched &amp; Prod Assumptions'!$B$15+Production!AL38+AM38</f>
        <v>49.294842217357534</v>
      </c>
      <c r="AO38" s="161">
        <f t="shared" si="11"/>
        <v>135.05436223933572</v>
      </c>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row>
    <row r="39" spans="1:69" x14ac:dyDescent="0.3">
      <c r="A39" s="160">
        <f t="shared" si="12"/>
        <v>2020</v>
      </c>
      <c r="B39" s="160">
        <f t="shared" si="3"/>
        <v>366</v>
      </c>
      <c r="C39" s="161">
        <f t="shared" si="13"/>
        <v>0</v>
      </c>
      <c r="D39" s="161">
        <f t="shared" si="0"/>
        <v>30.082191780821915</v>
      </c>
      <c r="E39" s="161">
        <f t="shared" si="4"/>
        <v>0</v>
      </c>
      <c r="F39" s="161">
        <f t="shared" si="14"/>
        <v>0</v>
      </c>
      <c r="G39" s="161">
        <f t="shared" si="1"/>
        <v>30.082191780821915</v>
      </c>
      <c r="H39" s="161">
        <f t="shared" si="5"/>
        <v>82.191780821917803</v>
      </c>
      <c r="I39" s="157"/>
      <c r="J39" s="161">
        <f>IF(AND(Input!$B$15=Lists!$Q$36,Input!$B$11="Oil"),0,G39*Input!$B$29/1000)</f>
        <v>100.2729698630137</v>
      </c>
      <c r="K39" s="161">
        <f t="shared" si="6"/>
        <v>273.96986301369861</v>
      </c>
      <c r="L39" s="157"/>
      <c r="M39" s="161">
        <f t="shared" si="7"/>
        <v>366</v>
      </c>
      <c r="N39" s="161">
        <f t="shared" si="8"/>
        <v>1</v>
      </c>
      <c r="O39" s="157"/>
      <c r="P39" s="161">
        <f>IF(Input!$B$11="Oil",MIN('Sched &amp; Prod Assumptions'!$C$19*'Sched &amp; Prod Assumptions'!$B$15*G39,J39),G39*'Sched &amp; Prod Assumptions'!$C$18)</f>
        <v>4.3318356164383554</v>
      </c>
      <c r="Q39" s="161">
        <f>IF(Input!$B$11="Oil",IF(P39&lt;J39,0,Production!G39*'Sched &amp; Prod Assumptions'!$C$19-Production!P39/'Sched &amp; Prod Assumptions'!$C$17*Input!$B$28/1000),0)</f>
        <v>0</v>
      </c>
      <c r="R39" s="157"/>
      <c r="S39" s="161">
        <f t="shared" si="9"/>
        <v>5</v>
      </c>
      <c r="T39" s="488">
        <f>IF($S39=0,0,INDEX(Overrides!$L$47:$L$88,$S39+1,1)*$T$21+INDEX(Overrides!$L$47:$L$88,$S39,1)*$T$22)*'Sensitivity Ranges'!$F$41</f>
        <v>0</v>
      </c>
      <c r="U39" s="488">
        <f>IF($S39=0,0,INDEX(Overrides!$M$47:$M$88,$S39+1,1)*$T$21+INDEX(Overrides!$M$47:$M$88,$S39,1)*$T$22)*'Sensitivity Ranges'!$F$41</f>
        <v>0</v>
      </c>
      <c r="V39" s="488">
        <f>IF($S39=0,0,INDEX(Overrides!$N$47:$N$88,$S39+1,1)*$T$21+INDEX(Overrides!$N$47:$N$88,$S39,1)*$T$22)*'Sensitivity Ranges'!$F$41</f>
        <v>0</v>
      </c>
      <c r="W39" s="201"/>
      <c r="X39" s="161">
        <f>IF($T$20=1,T39,IF(Input!$B$11="Gas",G39,J39)-P39)</f>
        <v>95.941134246575345</v>
      </c>
      <c r="Y39" s="161">
        <f>IF($T$20=1,U39,IF(Input!$B$11="Gas",0,G39-Q39))</f>
        <v>30.082191780821915</v>
      </c>
      <c r="Z39" s="161">
        <f>IF($T$20=1,V39,IF(Input!$B$11="Gas",J39,0))</f>
        <v>0</v>
      </c>
      <c r="AA39" s="201"/>
      <c r="AB39" s="161">
        <f>X39*Abandonment!$H24</f>
        <v>95.941134246575345</v>
      </c>
      <c r="AC39" s="161">
        <f>Y39*Abandonment!$H24</f>
        <v>30.082191780821915</v>
      </c>
      <c r="AD39" s="161">
        <f>Z39*Abandonment!$H24</f>
        <v>0</v>
      </c>
      <c r="AE39" s="157"/>
      <c r="AF39" s="157"/>
      <c r="AG39" s="161">
        <f t="shared" si="10"/>
        <v>25.184547739726025</v>
      </c>
      <c r="AH39" s="161">
        <f t="shared" si="2"/>
        <v>7.8965753424657512</v>
      </c>
      <c r="AI39" s="161">
        <f t="shared" si="2"/>
        <v>0</v>
      </c>
      <c r="AJ39" s="157"/>
      <c r="AK39" s="161">
        <f>X39*Abandonment!H24</f>
        <v>95.941134246575345</v>
      </c>
      <c r="AL39" s="161">
        <f>Y39*Abandonment!H24</f>
        <v>30.082191780821915</v>
      </c>
      <c r="AM39" s="161">
        <f>Z39*Abandonment!H24</f>
        <v>0</v>
      </c>
      <c r="AN39" s="161">
        <f>AK39/'Sched &amp; Prod Assumptions'!$B$15+Production!AL39+AM39</f>
        <v>50.06992808219178</v>
      </c>
      <c r="AO39" s="161">
        <f t="shared" si="11"/>
        <v>137.1778851566898</v>
      </c>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row>
    <row r="40" spans="1:69" x14ac:dyDescent="0.3">
      <c r="A40" s="160">
        <f t="shared" si="12"/>
        <v>2021</v>
      </c>
      <c r="B40" s="160">
        <f t="shared" si="3"/>
        <v>365</v>
      </c>
      <c r="C40" s="161">
        <f t="shared" si="13"/>
        <v>0</v>
      </c>
      <c r="D40" s="161">
        <f t="shared" si="0"/>
        <v>29.999999999999996</v>
      </c>
      <c r="E40" s="161">
        <f t="shared" si="4"/>
        <v>0</v>
      </c>
      <c r="F40" s="161">
        <f t="shared" si="14"/>
        <v>0</v>
      </c>
      <c r="G40" s="161">
        <f t="shared" si="1"/>
        <v>29.999999999999996</v>
      </c>
      <c r="H40" s="161">
        <f t="shared" si="5"/>
        <v>82.191780821917803</v>
      </c>
      <c r="I40" s="157"/>
      <c r="J40" s="161">
        <f>IF(AND(Input!$B$15=Lists!$Q$36,Input!$B$11="Oil"),0,G40*Input!$B$29/1000)</f>
        <v>99.998999999999995</v>
      </c>
      <c r="K40" s="161">
        <f t="shared" si="6"/>
        <v>273.96986301369861</v>
      </c>
      <c r="L40" s="157"/>
      <c r="M40" s="161">
        <f t="shared" si="7"/>
        <v>365</v>
      </c>
      <c r="N40" s="161">
        <f t="shared" si="8"/>
        <v>1</v>
      </c>
      <c r="O40" s="157"/>
      <c r="P40" s="161">
        <f>IF(Input!$B$11="Oil",MIN('Sched &amp; Prod Assumptions'!$C$19*'Sched &amp; Prod Assumptions'!$B$15*G40,J40),G40*'Sched &amp; Prod Assumptions'!$C$18)</f>
        <v>4.3199999999999994</v>
      </c>
      <c r="Q40" s="161">
        <f>IF(Input!$B$11="Oil",IF(P40&lt;J40,0,Production!G40*'Sched &amp; Prod Assumptions'!$C$19-Production!P40/'Sched &amp; Prod Assumptions'!$C$17*Input!$B$28/1000),0)</f>
        <v>0</v>
      </c>
      <c r="R40" s="157"/>
      <c r="S40" s="161">
        <f t="shared" si="9"/>
        <v>6</v>
      </c>
      <c r="T40" s="488">
        <f>IF($S40=0,0,INDEX(Overrides!$L$47:$L$88,$S40+1,1)*$T$21+INDEX(Overrides!$L$47:$L$88,$S40,1)*$T$22)*'Sensitivity Ranges'!$F$41</f>
        <v>0</v>
      </c>
      <c r="U40" s="488">
        <f>IF($S40=0,0,INDEX(Overrides!$M$47:$M$88,$S40+1,1)*$T$21+INDEX(Overrides!$M$47:$M$88,$S40,1)*$T$22)*'Sensitivity Ranges'!$F$41</f>
        <v>0</v>
      </c>
      <c r="V40" s="488">
        <f>IF($S40=0,0,INDEX(Overrides!$N$47:$N$88,$S40+1,1)*$T$21+INDEX(Overrides!$N$47:$N$88,$S40,1)*$T$22)*'Sensitivity Ranges'!$F$41</f>
        <v>0</v>
      </c>
      <c r="W40" s="201"/>
      <c r="X40" s="161">
        <f>IF($T$20=1,T40,IF(Input!$B$11="Gas",G40,J40)-P40)</f>
        <v>95.679000000000002</v>
      </c>
      <c r="Y40" s="161">
        <f>IF($T$20=1,U40,IF(Input!$B$11="Gas",0,G40-Q40))</f>
        <v>29.999999999999996</v>
      </c>
      <c r="Z40" s="161">
        <f>IF($T$20=1,V40,IF(Input!$B$11="Gas",J40,0))</f>
        <v>0</v>
      </c>
      <c r="AA40" s="201"/>
      <c r="AB40" s="161">
        <f>X40*Abandonment!$H25</f>
        <v>95.679000000000002</v>
      </c>
      <c r="AC40" s="161">
        <f>Y40*Abandonment!$H25</f>
        <v>29.999999999999996</v>
      </c>
      <c r="AD40" s="161">
        <f>Z40*Abandonment!$H25</f>
        <v>0</v>
      </c>
      <c r="AE40" s="157"/>
      <c r="AF40" s="157"/>
      <c r="AG40" s="161">
        <f t="shared" si="10"/>
        <v>25.115737499999998</v>
      </c>
      <c r="AH40" s="161">
        <f t="shared" si="2"/>
        <v>7.8749999999999973</v>
      </c>
      <c r="AI40" s="161">
        <f t="shared" si="2"/>
        <v>0</v>
      </c>
      <c r="AJ40" s="157"/>
      <c r="AK40" s="161">
        <f>X40*Abandonment!H25</f>
        <v>95.679000000000002</v>
      </c>
      <c r="AL40" s="161">
        <f>Y40*Abandonment!H25</f>
        <v>29.999999999999996</v>
      </c>
      <c r="AM40" s="161">
        <f>Z40*Abandonment!H25</f>
        <v>0</v>
      </c>
      <c r="AN40" s="161">
        <f>AK40/'Sched &amp; Prod Assumptions'!$B$15+Production!AL40+AM40</f>
        <v>49.933124999999997</v>
      </c>
      <c r="AO40" s="161">
        <f t="shared" si="11"/>
        <v>136.80308219178082</v>
      </c>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row>
    <row r="41" spans="1:69" x14ac:dyDescent="0.3">
      <c r="A41" s="160">
        <f t="shared" si="12"/>
        <v>2022</v>
      </c>
      <c r="B41" s="160">
        <f t="shared" si="3"/>
        <v>365</v>
      </c>
      <c r="C41" s="161">
        <f t="shared" si="13"/>
        <v>0</v>
      </c>
      <c r="D41" s="161">
        <f t="shared" si="0"/>
        <v>27.407376185458425</v>
      </c>
      <c r="E41" s="161">
        <f t="shared" si="4"/>
        <v>31.543589743589109</v>
      </c>
      <c r="F41" s="161">
        <f t="shared" si="14"/>
        <v>2.5745020339236273</v>
      </c>
      <c r="G41" s="161">
        <f t="shared" si="1"/>
        <v>29.981878219382054</v>
      </c>
      <c r="H41" s="161">
        <f t="shared" si="5"/>
        <v>82.142132107896032</v>
      </c>
      <c r="I41" s="157"/>
      <c r="J41" s="161">
        <f>IF(AND(Input!$B$15=Lists!$Q$36,Input!$B$11="Oil"),0,G41*Input!$B$29/1000)</f>
        <v>99.938594668666212</v>
      </c>
      <c r="K41" s="161">
        <f t="shared" si="6"/>
        <v>273.80436895524991</v>
      </c>
      <c r="L41" s="157"/>
      <c r="M41" s="161">
        <f t="shared" si="7"/>
        <v>365</v>
      </c>
      <c r="N41" s="161">
        <f t="shared" si="8"/>
        <v>1</v>
      </c>
      <c r="O41" s="157"/>
      <c r="P41" s="161">
        <f>IF(Input!$B$11="Oil",MIN('Sched &amp; Prod Assumptions'!$C$19*'Sched &amp; Prod Assumptions'!$B$15*G41,J41),G41*'Sched &amp; Prod Assumptions'!$C$18)</f>
        <v>4.3173904635910159</v>
      </c>
      <c r="Q41" s="161">
        <f>IF(Input!$B$11="Oil",IF(P41&lt;J41,0,Production!G41*'Sched &amp; Prod Assumptions'!$C$19-Production!P41/'Sched &amp; Prod Assumptions'!$C$17*Input!$B$28/1000),0)</f>
        <v>0</v>
      </c>
      <c r="R41" s="157"/>
      <c r="S41" s="161">
        <f t="shared" si="9"/>
        <v>7</v>
      </c>
      <c r="T41" s="488">
        <f>IF($S41=0,0,INDEX(Overrides!$L$47:$L$88,$S41+1,1)*$T$21+INDEX(Overrides!$L$47:$L$88,$S41,1)*$T$22)*'Sensitivity Ranges'!$F$41</f>
        <v>0</v>
      </c>
      <c r="U41" s="488">
        <f>IF($S41=0,0,INDEX(Overrides!$M$47:$M$88,$S41+1,1)*$T$21+INDEX(Overrides!$M$47:$M$88,$S41,1)*$T$22)*'Sensitivity Ranges'!$F$41</f>
        <v>0</v>
      </c>
      <c r="V41" s="488">
        <f>IF($S41=0,0,INDEX(Overrides!$N$47:$N$88,$S41+1,1)*$T$21+INDEX(Overrides!$N$47:$N$88,$S41,1)*$T$22)*'Sensitivity Ranges'!$F$41</f>
        <v>0</v>
      </c>
      <c r="W41" s="201"/>
      <c r="X41" s="161">
        <f>IF($T$20=1,T41,IF(Input!$B$11="Gas",G41,J41)-P41)</f>
        <v>95.621204205075202</v>
      </c>
      <c r="Y41" s="161">
        <f>IF($T$20=1,U41,IF(Input!$B$11="Gas",0,G41-Q41))</f>
        <v>29.981878219382054</v>
      </c>
      <c r="Z41" s="161">
        <f>IF($T$20=1,V41,IF(Input!$B$11="Gas",J41,0))</f>
        <v>0</v>
      </c>
      <c r="AA41" s="201"/>
      <c r="AB41" s="161">
        <f>X41*Abandonment!$H26</f>
        <v>95.621204205075202</v>
      </c>
      <c r="AC41" s="161">
        <f>Y41*Abandonment!$H26</f>
        <v>29.981878219382054</v>
      </c>
      <c r="AD41" s="161">
        <f>Z41*Abandonment!$H26</f>
        <v>0</v>
      </c>
      <c r="AE41" s="157"/>
      <c r="AF41" s="157"/>
      <c r="AG41" s="161">
        <f t="shared" si="10"/>
        <v>25.100566103832236</v>
      </c>
      <c r="AH41" s="161">
        <f t="shared" si="2"/>
        <v>7.8702430325877879</v>
      </c>
      <c r="AI41" s="161">
        <f t="shared" si="2"/>
        <v>0</v>
      </c>
      <c r="AJ41" s="157"/>
      <c r="AK41" s="161">
        <f>X41*Abandonment!H26</f>
        <v>95.621204205075202</v>
      </c>
      <c r="AL41" s="161">
        <f>Y41*Abandonment!H26</f>
        <v>29.981878219382054</v>
      </c>
      <c r="AM41" s="161">
        <f>Z41*Abandonment!H26</f>
        <v>0</v>
      </c>
      <c r="AN41" s="161">
        <f>AK41/'Sched &amp; Prod Assumptions'!$B$15+Production!AL41+AM41</f>
        <v>49.902962428772724</v>
      </c>
      <c r="AO41" s="161">
        <f t="shared" si="11"/>
        <v>136.72044501033625</v>
      </c>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row>
    <row r="42" spans="1:69" x14ac:dyDescent="0.3">
      <c r="A42" s="160">
        <f t="shared" si="12"/>
        <v>2023</v>
      </c>
      <c r="B42" s="160">
        <f t="shared" si="3"/>
        <v>365</v>
      </c>
      <c r="C42" s="161">
        <f t="shared" si="13"/>
        <v>0</v>
      </c>
      <c r="D42" s="161">
        <f t="shared" si="0"/>
        <v>0</v>
      </c>
      <c r="E42" s="161">
        <f t="shared" si="4"/>
        <v>396.54358974358911</v>
      </c>
      <c r="F42" s="161">
        <f t="shared" si="14"/>
        <v>27.302906907710614</v>
      </c>
      <c r="G42" s="161">
        <f t="shared" si="1"/>
        <v>27.302906907710614</v>
      </c>
      <c r="H42" s="161">
        <f t="shared" si="5"/>
        <v>74.802484678659212</v>
      </c>
      <c r="I42" s="157"/>
      <c r="J42" s="161">
        <f>IF(AND(Input!$B$15=Lists!$Q$36,Input!$B$11="Oil"),0,G42*Input!$B$29/1000)</f>
        <v>91.008779595471808</v>
      </c>
      <c r="K42" s="161">
        <f t="shared" si="6"/>
        <v>249.33912217937481</v>
      </c>
      <c r="L42" s="157"/>
      <c r="M42" s="161">
        <f t="shared" si="7"/>
        <v>365</v>
      </c>
      <c r="N42" s="161">
        <f t="shared" si="8"/>
        <v>1</v>
      </c>
      <c r="O42" s="157"/>
      <c r="P42" s="161">
        <f>IF(Input!$B$11="Oil",MIN('Sched &amp; Prod Assumptions'!$C$19*'Sched &amp; Prod Assumptions'!$B$15*G42,J42),G42*'Sched &amp; Prod Assumptions'!$C$18)</f>
        <v>3.9316185947103284</v>
      </c>
      <c r="Q42" s="161">
        <f>IF(Input!$B$11="Oil",IF(P42&lt;J42,0,Production!G42*'Sched &amp; Prod Assumptions'!$C$19-Production!P42/'Sched &amp; Prod Assumptions'!$C$17*Input!$B$28/1000),0)</f>
        <v>0</v>
      </c>
      <c r="R42" s="157"/>
      <c r="S42" s="161">
        <f t="shared" si="9"/>
        <v>8</v>
      </c>
      <c r="T42" s="488">
        <f>IF($S42=0,0,INDEX(Overrides!$L$47:$L$88,$S42+1,1)*$T$21+INDEX(Overrides!$L$47:$L$88,$S42,1)*$T$22)*'Sensitivity Ranges'!$F$41</f>
        <v>0</v>
      </c>
      <c r="U42" s="488">
        <f>IF($S42=0,0,INDEX(Overrides!$M$47:$M$88,$S42+1,1)*$T$21+INDEX(Overrides!$M$47:$M$88,$S42,1)*$T$22)*'Sensitivity Ranges'!$F$41</f>
        <v>0</v>
      </c>
      <c r="V42" s="488">
        <f>IF($S42=0,0,INDEX(Overrides!$N$47:$N$88,$S42+1,1)*$T$21+INDEX(Overrides!$N$47:$N$88,$S42,1)*$T$22)*'Sensitivity Ranges'!$F$41</f>
        <v>0</v>
      </c>
      <c r="W42" s="201"/>
      <c r="X42" s="161">
        <f>IF($T$20=1,T42,IF(Input!$B$11="Gas",G42,J42)-P42)</f>
        <v>87.077161000761478</v>
      </c>
      <c r="Y42" s="161">
        <f>IF($T$20=1,U42,IF(Input!$B$11="Gas",0,G42-Q42))</f>
        <v>27.302906907710614</v>
      </c>
      <c r="Z42" s="161">
        <f>IF($T$20=1,V42,IF(Input!$B$11="Gas",J42,0))</f>
        <v>0</v>
      </c>
      <c r="AA42" s="201"/>
      <c r="AB42" s="161">
        <f>X42*Abandonment!$H27</f>
        <v>87.077161000761478</v>
      </c>
      <c r="AC42" s="161">
        <f>Y42*Abandonment!$H27</f>
        <v>27.302906907710614</v>
      </c>
      <c r="AD42" s="161">
        <f>Z42*Abandonment!$H27</f>
        <v>0</v>
      </c>
      <c r="AE42" s="157"/>
      <c r="AF42" s="157"/>
      <c r="AG42" s="161">
        <f t="shared" si="10"/>
        <v>22.857754762699884</v>
      </c>
      <c r="AH42" s="161">
        <f t="shared" si="2"/>
        <v>7.1670130632740348</v>
      </c>
      <c r="AI42" s="161">
        <f t="shared" si="2"/>
        <v>0</v>
      </c>
      <c r="AJ42" s="157"/>
      <c r="AK42" s="161">
        <f>X42*Abandonment!H27</f>
        <v>87.077161000761478</v>
      </c>
      <c r="AL42" s="161">
        <f>Y42*Abandonment!H27</f>
        <v>27.302906907710614</v>
      </c>
      <c r="AM42" s="161">
        <f>Z42*Abandonment!H27</f>
        <v>0</v>
      </c>
      <c r="AN42" s="161">
        <f>AK42/'Sched &amp; Prod Assumptions'!$B$15+Production!AL42+AM42</f>
        <v>45.443982116202591</v>
      </c>
      <c r="AO42" s="161">
        <f t="shared" si="11"/>
        <v>124.50406059233586</v>
      </c>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row>
    <row r="43" spans="1:69" x14ac:dyDescent="0.3">
      <c r="A43" s="160">
        <f t="shared" si="12"/>
        <v>2024</v>
      </c>
      <c r="B43" s="160">
        <f t="shared" si="3"/>
        <v>366</v>
      </c>
      <c r="C43" s="161">
        <f t="shared" si="13"/>
        <v>0</v>
      </c>
      <c r="D43" s="161">
        <f t="shared" ref="D43:D70" si="15">IF($B$8&lt;$B$7,0,IF(A43&lt;$D$21,0,IF(A43=$D$21,(IF(A43=$D$22,$B$22,DATE(A43,12,31))-$B$21)*$B$11/1000,IF(A43&lt;$D$22,B43/1000*$B$11,IF(A43=$D$22,($B$22-DATE(A43-1,12,31))*$B$11/1000,0)))))</f>
        <v>0</v>
      </c>
      <c r="E43" s="161">
        <f t="shared" si="4"/>
        <v>762.54358974358911</v>
      </c>
      <c r="F43" s="161">
        <f t="shared" si="14"/>
        <v>23.266013185773478</v>
      </c>
      <c r="G43" s="161">
        <f t="shared" si="1"/>
        <v>23.266013185773478</v>
      </c>
      <c r="H43" s="161">
        <f t="shared" si="5"/>
        <v>63.568342037632455</v>
      </c>
      <c r="I43" s="157"/>
      <c r="J43" s="161">
        <f>IF(AND(Input!$B$15=Lists!$Q$36,Input!$B$11="Oil"),0,G43*Input!$B$29/1000)</f>
        <v>77.552601752138742</v>
      </c>
      <c r="K43" s="161">
        <f t="shared" si="6"/>
        <v>211.89235451404028</v>
      </c>
      <c r="L43" s="157"/>
      <c r="M43" s="161">
        <f t="shared" si="7"/>
        <v>366</v>
      </c>
      <c r="N43" s="161">
        <f t="shared" si="8"/>
        <v>1</v>
      </c>
      <c r="O43" s="157"/>
      <c r="P43" s="161">
        <f>IF(Input!$B$11="Oil",MIN('Sched &amp; Prod Assumptions'!$C$19*'Sched &amp; Prod Assumptions'!$B$15*G43,J43),G43*'Sched &amp; Prod Assumptions'!$C$18)</f>
        <v>3.3503058987513805</v>
      </c>
      <c r="Q43" s="161">
        <f>IF(Input!$B$11="Oil",IF(P43&lt;J43,0,Production!G43*'Sched &amp; Prod Assumptions'!$C$19-Production!P43/'Sched &amp; Prod Assumptions'!$C$17*Input!$B$28/1000),0)</f>
        <v>0</v>
      </c>
      <c r="R43" s="157"/>
      <c r="S43" s="161">
        <f t="shared" si="9"/>
        <v>9</v>
      </c>
      <c r="T43" s="488">
        <f>IF($S43=0,0,INDEX(Overrides!$L$47:$L$88,$S43+1,1)*$T$21+INDEX(Overrides!$L$47:$L$88,$S43,1)*$T$22)*'Sensitivity Ranges'!$F$41</f>
        <v>0</v>
      </c>
      <c r="U43" s="488">
        <f>IF($S43=0,0,INDEX(Overrides!$M$47:$M$88,$S43+1,1)*$T$21+INDEX(Overrides!$M$47:$M$88,$S43,1)*$T$22)*'Sensitivity Ranges'!$F$41</f>
        <v>0</v>
      </c>
      <c r="V43" s="488">
        <f>IF($S43=0,0,INDEX(Overrides!$N$47:$N$88,$S43+1,1)*$T$21+INDEX(Overrides!$N$47:$N$88,$S43,1)*$T$22)*'Sensitivity Ranges'!$F$41</f>
        <v>0</v>
      </c>
      <c r="W43" s="201"/>
      <c r="X43" s="161">
        <f>IF($T$20=1,T43,IF(Input!$B$11="Gas",G43,J43)-P43)</f>
        <v>74.202295853387355</v>
      </c>
      <c r="Y43" s="161">
        <f>IF($T$20=1,U43,IF(Input!$B$11="Gas",0,G43-Q43))</f>
        <v>23.266013185773478</v>
      </c>
      <c r="Z43" s="161">
        <f>IF($T$20=1,V43,IF(Input!$B$11="Gas",J43,0))</f>
        <v>0</v>
      </c>
      <c r="AA43" s="201"/>
      <c r="AB43" s="161">
        <f>X43*Abandonment!$H28</f>
        <v>74.202295853387355</v>
      </c>
      <c r="AC43" s="161">
        <f>Y43*Abandonment!$H28</f>
        <v>23.266013185773478</v>
      </c>
      <c r="AD43" s="161">
        <f>Z43*Abandonment!$H28</f>
        <v>0</v>
      </c>
      <c r="AE43" s="157"/>
      <c r="AF43" s="157"/>
      <c r="AG43" s="161">
        <f t="shared" si="10"/>
        <v>19.478102661514178</v>
      </c>
      <c r="AH43" s="161">
        <f t="shared" si="2"/>
        <v>6.1073284612655367</v>
      </c>
      <c r="AI43" s="161">
        <f t="shared" si="2"/>
        <v>0</v>
      </c>
      <c r="AJ43" s="157"/>
      <c r="AK43" s="161">
        <f>X43*Abandonment!H28</f>
        <v>74.202295853387355</v>
      </c>
      <c r="AL43" s="161">
        <f>Y43*Abandonment!H28</f>
        <v>23.266013185773478</v>
      </c>
      <c r="AM43" s="161">
        <f>Z43*Abandonment!H28</f>
        <v>0</v>
      </c>
      <c r="AN43" s="161">
        <f>AK43/'Sched &amp; Prod Assumptions'!$B$15+Production!AL43+AM43</f>
        <v>38.724824821895844</v>
      </c>
      <c r="AO43" s="161">
        <f t="shared" si="11"/>
        <v>106.09541047094751</v>
      </c>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row>
    <row r="44" spans="1:69" x14ac:dyDescent="0.3">
      <c r="A44" s="160">
        <f t="shared" si="12"/>
        <v>2025</v>
      </c>
      <c r="B44" s="160">
        <f t="shared" si="3"/>
        <v>365</v>
      </c>
      <c r="C44" s="161">
        <f t="shared" si="13"/>
        <v>0</v>
      </c>
      <c r="D44" s="161">
        <f t="shared" si="15"/>
        <v>0</v>
      </c>
      <c r="E44" s="161">
        <f t="shared" si="4"/>
        <v>1127.5435897435891</v>
      </c>
      <c r="F44" s="161">
        <f t="shared" si="14"/>
        <v>19.717568893688</v>
      </c>
      <c r="G44" s="161">
        <f t="shared" si="1"/>
        <v>19.717568893688</v>
      </c>
      <c r="H44" s="161">
        <f t="shared" si="5"/>
        <v>54.020736695035616</v>
      </c>
      <c r="I44" s="157"/>
      <c r="J44" s="161">
        <f>IF(AND(Input!$B$15=Lists!$Q$36,Input!$B$11="Oil"),0,G44*Input!$B$29/1000)</f>
        <v>65.724572393330206</v>
      </c>
      <c r="K44" s="161">
        <f t="shared" si="6"/>
        <v>180.06732162556222</v>
      </c>
      <c r="L44" s="157"/>
      <c r="M44" s="161">
        <f t="shared" si="7"/>
        <v>365</v>
      </c>
      <c r="N44" s="161">
        <f t="shared" si="8"/>
        <v>1</v>
      </c>
      <c r="O44" s="157"/>
      <c r="P44" s="161">
        <f>IF(Input!$B$11="Oil",MIN('Sched &amp; Prod Assumptions'!$C$19*'Sched &amp; Prod Assumptions'!$B$15*G44,J44),G44*'Sched &amp; Prod Assumptions'!$C$18)</f>
        <v>2.8393299206910716</v>
      </c>
      <c r="Q44" s="161">
        <f>IF(Input!$B$11="Oil",IF(P44&lt;J44,0,Production!G44*'Sched &amp; Prod Assumptions'!$C$19-Production!P44/'Sched &amp; Prod Assumptions'!$C$17*Input!$B$28/1000),0)</f>
        <v>0</v>
      </c>
      <c r="R44" s="157"/>
      <c r="S44" s="161">
        <f t="shared" si="9"/>
        <v>10</v>
      </c>
      <c r="T44" s="488">
        <f>IF($S44=0,0,INDEX(Overrides!$L$47:$L$88,$S44+1,1)*$T$21+INDEX(Overrides!$L$47:$L$88,$S44,1)*$T$22)*'Sensitivity Ranges'!$F$41</f>
        <v>0</v>
      </c>
      <c r="U44" s="488">
        <f>IF($S44=0,0,INDEX(Overrides!$M$47:$M$88,$S44+1,1)*$T$21+INDEX(Overrides!$M$47:$M$88,$S44,1)*$T$22)*'Sensitivity Ranges'!$F$41</f>
        <v>0</v>
      </c>
      <c r="V44" s="488">
        <f>IF($S44=0,0,INDEX(Overrides!$N$47:$N$88,$S44+1,1)*$T$21+INDEX(Overrides!$N$47:$N$88,$S44,1)*$T$22)*'Sensitivity Ranges'!$F$41</f>
        <v>0</v>
      </c>
      <c r="W44" s="201"/>
      <c r="X44" s="161">
        <f>IF($T$20=1,T44,IF(Input!$B$11="Gas",G44,J44)-P44)</f>
        <v>62.885242472639135</v>
      </c>
      <c r="Y44" s="161">
        <f>IF($T$20=1,U44,IF(Input!$B$11="Gas",0,G44-Q44))</f>
        <v>19.717568893688</v>
      </c>
      <c r="Z44" s="161">
        <f>IF($T$20=1,V44,IF(Input!$B$11="Gas",J44,0))</f>
        <v>0</v>
      </c>
      <c r="AA44" s="201"/>
      <c r="AB44" s="161">
        <f>X44*Abandonment!$H29</f>
        <v>62.885242472639135</v>
      </c>
      <c r="AC44" s="161">
        <f>Y44*Abandonment!$H29</f>
        <v>19.717568893688</v>
      </c>
      <c r="AD44" s="161">
        <f>Z44*Abandonment!$H29</f>
        <v>0</v>
      </c>
      <c r="AE44" s="157"/>
      <c r="AF44" s="157"/>
      <c r="AG44" s="161">
        <f t="shared" si="10"/>
        <v>16.50737614906777</v>
      </c>
      <c r="AH44" s="161">
        <f t="shared" si="2"/>
        <v>5.1758618345930989</v>
      </c>
      <c r="AI44" s="161">
        <f t="shared" si="2"/>
        <v>0</v>
      </c>
      <c r="AJ44" s="157"/>
      <c r="AK44" s="161">
        <f>X44*Abandonment!H29</f>
        <v>62.885242472639135</v>
      </c>
      <c r="AL44" s="161">
        <f>Y44*Abandonment!H29</f>
        <v>19.717568893688</v>
      </c>
      <c r="AM44" s="161">
        <f>Z44*Abandonment!H29</f>
        <v>0</v>
      </c>
      <c r="AN44" s="161">
        <f>AK44/'Sched &amp; Prod Assumptions'!$B$15+Production!AL44+AM44</f>
        <v>32.818661075487825</v>
      </c>
      <c r="AO44" s="161">
        <f t="shared" si="11"/>
        <v>89.914139932843355</v>
      </c>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row>
    <row r="45" spans="1:69" x14ac:dyDescent="0.3">
      <c r="A45" s="160">
        <f t="shared" si="12"/>
        <v>2026</v>
      </c>
      <c r="B45" s="160">
        <f t="shared" si="3"/>
        <v>365</v>
      </c>
      <c r="C45" s="161">
        <f t="shared" si="13"/>
        <v>0</v>
      </c>
      <c r="D45" s="161">
        <f t="shared" si="15"/>
        <v>0</v>
      </c>
      <c r="E45" s="161">
        <f t="shared" si="4"/>
        <v>1492.5435897435891</v>
      </c>
      <c r="F45" s="161">
        <f t="shared" si="14"/>
        <v>16.759933559634803</v>
      </c>
      <c r="G45" s="161">
        <f t="shared" si="1"/>
        <v>16.759933559634803</v>
      </c>
      <c r="H45" s="161">
        <f t="shared" si="5"/>
        <v>45.917626190780283</v>
      </c>
      <c r="I45" s="157"/>
      <c r="J45" s="161">
        <f>IF(AND(Input!$B$15=Lists!$Q$36,Input!$B$11="Oil"),0,G45*Input!$B$29/1000)</f>
        <v>55.865886534330691</v>
      </c>
      <c r="K45" s="161">
        <f t="shared" si="6"/>
        <v>153.05722338172791</v>
      </c>
      <c r="L45" s="157"/>
      <c r="M45" s="161">
        <f t="shared" si="7"/>
        <v>365</v>
      </c>
      <c r="N45" s="161">
        <f t="shared" si="8"/>
        <v>1</v>
      </c>
      <c r="O45" s="157"/>
      <c r="P45" s="161">
        <f>IF(Input!$B$11="Oil",MIN('Sched &amp; Prod Assumptions'!$C$19*'Sched &amp; Prod Assumptions'!$B$15*G45,J45),G45*'Sched &amp; Prod Assumptions'!$C$18)</f>
        <v>2.4134304325874112</v>
      </c>
      <c r="Q45" s="161">
        <f>IF(Input!$B$11="Oil",IF(P45&lt;J45,0,Production!G45*'Sched &amp; Prod Assumptions'!$C$19-Production!P45/'Sched &amp; Prod Assumptions'!$C$17*Input!$B$28/1000),0)</f>
        <v>0</v>
      </c>
      <c r="R45" s="157"/>
      <c r="S45" s="161">
        <f t="shared" si="9"/>
        <v>11</v>
      </c>
      <c r="T45" s="488">
        <f>IF($S45=0,0,INDEX(Overrides!$L$47:$L$88,$S45+1,1)*$T$21+INDEX(Overrides!$L$47:$L$88,$S45,1)*$T$22)*'Sensitivity Ranges'!$F$41</f>
        <v>0</v>
      </c>
      <c r="U45" s="488">
        <f>IF($S45=0,0,INDEX(Overrides!$M$47:$M$88,$S45+1,1)*$T$21+INDEX(Overrides!$M$47:$M$88,$S45,1)*$T$22)*'Sensitivity Ranges'!$F$41</f>
        <v>0</v>
      </c>
      <c r="V45" s="488">
        <f>IF($S45=0,0,INDEX(Overrides!$N$47:$N$88,$S45+1,1)*$T$21+INDEX(Overrides!$N$47:$N$88,$S45,1)*$T$22)*'Sensitivity Ranges'!$F$41</f>
        <v>0</v>
      </c>
      <c r="W45" s="201"/>
      <c r="X45" s="161">
        <f>IF($T$20=1,T45,IF(Input!$B$11="Gas",G45,J45)-P45)</f>
        <v>53.45245610174328</v>
      </c>
      <c r="Y45" s="161">
        <f>IF($T$20=1,U45,IF(Input!$B$11="Gas",0,G45-Q45))</f>
        <v>16.759933559634803</v>
      </c>
      <c r="Z45" s="161">
        <f>IF($T$20=1,V45,IF(Input!$B$11="Gas",J45,0))</f>
        <v>0</v>
      </c>
      <c r="AA45" s="201"/>
      <c r="AB45" s="161">
        <f>X45*Abandonment!$H30</f>
        <v>53.45245610174328</v>
      </c>
      <c r="AC45" s="161">
        <f>Y45*Abandonment!$H30</f>
        <v>16.759933559634803</v>
      </c>
      <c r="AD45" s="161">
        <f>Z45*Abandonment!$H30</f>
        <v>0</v>
      </c>
      <c r="AE45" s="157"/>
      <c r="AF45" s="157"/>
      <c r="AG45" s="161">
        <f t="shared" si="10"/>
        <v>14.031269726707608</v>
      </c>
      <c r="AH45" s="161">
        <f t="shared" si="2"/>
        <v>4.3994825594041354</v>
      </c>
      <c r="AI45" s="161">
        <f t="shared" si="2"/>
        <v>0</v>
      </c>
      <c r="AJ45" s="157"/>
      <c r="AK45" s="161">
        <f>X45*Abandonment!H30</f>
        <v>53.45245610174328</v>
      </c>
      <c r="AL45" s="161">
        <f>Y45*Abandonment!H30</f>
        <v>16.759933559634803</v>
      </c>
      <c r="AM45" s="161">
        <f>Z45*Abandonment!H30</f>
        <v>0</v>
      </c>
      <c r="AN45" s="161">
        <f>AK45/'Sched &amp; Prod Assumptions'!$B$15+Production!AL45+AM45</f>
        <v>27.895861914164655</v>
      </c>
      <c r="AO45" s="161">
        <f t="shared" si="11"/>
        <v>76.42701894291686</v>
      </c>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row>
    <row r="46" spans="1:69" x14ac:dyDescent="0.3">
      <c r="A46" s="160">
        <f t="shared" si="12"/>
        <v>2027</v>
      </c>
      <c r="B46" s="160">
        <f t="shared" si="3"/>
        <v>365</v>
      </c>
      <c r="C46" s="161">
        <f t="shared" si="13"/>
        <v>0</v>
      </c>
      <c r="D46" s="161">
        <f t="shared" si="15"/>
        <v>0</v>
      </c>
      <c r="E46" s="161">
        <f t="shared" si="4"/>
        <v>1857.5435897435891</v>
      </c>
      <c r="F46" s="161">
        <f t="shared" si="14"/>
        <v>14.245943525689574</v>
      </c>
      <c r="G46" s="161">
        <f t="shared" si="1"/>
        <v>14.245943525689574</v>
      </c>
      <c r="H46" s="161">
        <f t="shared" si="5"/>
        <v>39.029982262163216</v>
      </c>
      <c r="I46" s="157"/>
      <c r="J46" s="161">
        <f>IF(AND(Input!$B$15=Lists!$Q$36,Input!$B$11="Oil"),0,G46*Input!$B$29/1000)</f>
        <v>47.48600355418106</v>
      </c>
      <c r="K46" s="161">
        <f t="shared" si="6"/>
        <v>130.09863987446866</v>
      </c>
      <c r="L46" s="157"/>
      <c r="M46" s="161">
        <f t="shared" si="7"/>
        <v>365</v>
      </c>
      <c r="N46" s="161">
        <f t="shared" si="8"/>
        <v>1</v>
      </c>
      <c r="O46" s="157"/>
      <c r="P46" s="161">
        <f>IF(Input!$B$11="Oil",MIN('Sched &amp; Prod Assumptions'!$C$19*'Sched &amp; Prod Assumptions'!$B$15*G46,J46),G46*'Sched &amp; Prod Assumptions'!$C$18)</f>
        <v>2.0514158676992986</v>
      </c>
      <c r="Q46" s="161">
        <f>IF(Input!$B$11="Oil",IF(P46&lt;J46,0,Production!G46*'Sched &amp; Prod Assumptions'!$C$19-Production!P46/'Sched &amp; Prod Assumptions'!$C$17*Input!$B$28/1000),0)</f>
        <v>0</v>
      </c>
      <c r="R46" s="157"/>
      <c r="S46" s="161">
        <f t="shared" si="9"/>
        <v>12</v>
      </c>
      <c r="T46" s="488">
        <f>IF($S46=0,0,INDEX(Overrides!$L$47:$L$88,$S46+1,1)*$T$21+INDEX(Overrides!$L$47:$L$88,$S46,1)*$T$22)*'Sensitivity Ranges'!$F$41</f>
        <v>0</v>
      </c>
      <c r="U46" s="488">
        <f>IF($S46=0,0,INDEX(Overrides!$M$47:$M$88,$S46+1,1)*$T$21+INDEX(Overrides!$M$47:$M$88,$S46,1)*$T$22)*'Sensitivity Ranges'!$F$41</f>
        <v>0</v>
      </c>
      <c r="V46" s="488">
        <f>IF($S46=0,0,INDEX(Overrides!$N$47:$N$88,$S46+1,1)*$T$21+INDEX(Overrides!$N$47:$N$88,$S46,1)*$T$22)*'Sensitivity Ranges'!$F$41</f>
        <v>0</v>
      </c>
      <c r="W46" s="201"/>
      <c r="X46" s="161">
        <f>IF($T$20=1,T46,IF(Input!$B$11="Gas",G46,J46)-P46)</f>
        <v>45.434587686481763</v>
      </c>
      <c r="Y46" s="161">
        <f>IF($T$20=1,U46,IF(Input!$B$11="Gas",0,G46-Q46))</f>
        <v>14.245943525689574</v>
      </c>
      <c r="Z46" s="161">
        <f>IF($T$20=1,V46,IF(Input!$B$11="Gas",J46,0))</f>
        <v>0</v>
      </c>
      <c r="AA46" s="201"/>
      <c r="AB46" s="161">
        <f>X46*Abandonment!$H31</f>
        <v>45.434587686481763</v>
      </c>
      <c r="AC46" s="161">
        <f>Y46*Abandonment!$H31</f>
        <v>14.245943525689574</v>
      </c>
      <c r="AD46" s="161">
        <f>Z46*Abandonment!$H31</f>
        <v>0</v>
      </c>
      <c r="AE46" s="157"/>
      <c r="AF46" s="157"/>
      <c r="AG46" s="161">
        <f t="shared" si="10"/>
        <v>11.926579267701461</v>
      </c>
      <c r="AH46" s="161">
        <f t="shared" si="2"/>
        <v>3.7395601754935126</v>
      </c>
      <c r="AI46" s="161">
        <f t="shared" si="2"/>
        <v>0</v>
      </c>
      <c r="AJ46" s="157"/>
      <c r="AK46" s="161">
        <f>X46*Abandonment!H31</f>
        <v>45.434587686481763</v>
      </c>
      <c r="AL46" s="161">
        <f>Y46*Abandonment!H31</f>
        <v>14.245943525689574</v>
      </c>
      <c r="AM46" s="161">
        <f>Z46*Abandonment!H31</f>
        <v>0</v>
      </c>
      <c r="AN46" s="161">
        <f>AK46/'Sched &amp; Prod Assumptions'!$B$15+Production!AL46+AM46</f>
        <v>23.711482627039942</v>
      </c>
      <c r="AO46" s="161">
        <f t="shared" si="11"/>
        <v>64.962966101479296</v>
      </c>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row>
    <row r="47" spans="1:69" x14ac:dyDescent="0.3">
      <c r="A47" s="160">
        <f t="shared" si="12"/>
        <v>2028</v>
      </c>
      <c r="B47" s="160">
        <f t="shared" si="3"/>
        <v>366</v>
      </c>
      <c r="C47" s="161">
        <f t="shared" si="13"/>
        <v>0</v>
      </c>
      <c r="D47" s="161">
        <f t="shared" si="15"/>
        <v>0</v>
      </c>
      <c r="E47" s="161">
        <f t="shared" si="4"/>
        <v>2223.5435897435891</v>
      </c>
      <c r="F47" s="161">
        <f t="shared" si="14"/>
        <v>12.139597846955789</v>
      </c>
      <c r="G47" s="161">
        <f t="shared" si="1"/>
        <v>12.139597846955789</v>
      </c>
      <c r="H47" s="161">
        <f t="shared" si="5"/>
        <v>33.168300128294504</v>
      </c>
      <c r="I47" s="157"/>
      <c r="J47" s="161">
        <f>IF(AND(Input!$B$15=Lists!$Q$36,Input!$B$11="Oil"),0,G47*Input!$B$29/1000)</f>
        <v>40.464921503257735</v>
      </c>
      <c r="K47" s="161">
        <f t="shared" si="6"/>
        <v>110.55989481764408</v>
      </c>
      <c r="L47" s="157"/>
      <c r="M47" s="161">
        <f t="shared" si="7"/>
        <v>366</v>
      </c>
      <c r="N47" s="161">
        <f t="shared" si="8"/>
        <v>1</v>
      </c>
      <c r="O47" s="157"/>
      <c r="P47" s="161">
        <f>IF(Input!$B$11="Oil",MIN('Sched &amp; Prod Assumptions'!$C$19*'Sched &amp; Prod Assumptions'!$B$15*G47,J47),G47*'Sched &amp; Prod Assumptions'!$C$18)</f>
        <v>1.7481020899616335</v>
      </c>
      <c r="Q47" s="161">
        <f>IF(Input!$B$11="Oil",IF(P47&lt;J47,0,Production!G47*'Sched &amp; Prod Assumptions'!$C$19-Production!P47/'Sched &amp; Prod Assumptions'!$C$17*Input!$B$28/1000),0)</f>
        <v>0</v>
      </c>
      <c r="R47" s="157"/>
      <c r="S47" s="161">
        <f t="shared" si="9"/>
        <v>13</v>
      </c>
      <c r="T47" s="488">
        <f>IF($S47=0,0,INDEX(Overrides!$L$47:$L$88,$S47+1,1)*$T$21+INDEX(Overrides!$L$47:$L$88,$S47,1)*$T$22)*'Sensitivity Ranges'!$F$41</f>
        <v>0</v>
      </c>
      <c r="U47" s="488">
        <f>IF($S47=0,0,INDEX(Overrides!$M$47:$M$88,$S47+1,1)*$T$21+INDEX(Overrides!$M$47:$M$88,$S47,1)*$T$22)*'Sensitivity Ranges'!$F$41</f>
        <v>0</v>
      </c>
      <c r="V47" s="488">
        <f>IF($S47=0,0,INDEX(Overrides!$N$47:$N$88,$S47+1,1)*$T$21+INDEX(Overrides!$N$47:$N$88,$S47,1)*$T$22)*'Sensitivity Ranges'!$F$41</f>
        <v>0</v>
      </c>
      <c r="W47" s="201"/>
      <c r="X47" s="161">
        <f>IF($T$20=1,T47,IF(Input!$B$11="Gas",G47,J47)-P47)</f>
        <v>38.716819413296101</v>
      </c>
      <c r="Y47" s="161">
        <f>IF($T$20=1,U47,IF(Input!$B$11="Gas",0,G47-Q47))</f>
        <v>12.139597846955789</v>
      </c>
      <c r="Z47" s="161">
        <f>IF($T$20=1,V47,IF(Input!$B$11="Gas",J47,0))</f>
        <v>0</v>
      </c>
      <c r="AA47" s="201"/>
      <c r="AB47" s="161">
        <f>X47*Abandonment!$H32</f>
        <v>38.716819413296101</v>
      </c>
      <c r="AC47" s="161">
        <f>Y47*Abandonment!$H32</f>
        <v>12.139597846955789</v>
      </c>
      <c r="AD47" s="161">
        <f>Z47*Abandonment!$H32</f>
        <v>0</v>
      </c>
      <c r="AE47" s="157"/>
      <c r="AF47" s="157"/>
      <c r="AG47" s="161">
        <f t="shared" si="10"/>
        <v>10.163165095990225</v>
      </c>
      <c r="AH47" s="161">
        <f t="shared" si="2"/>
        <v>3.1866444348258942</v>
      </c>
      <c r="AI47" s="161">
        <f t="shared" si="2"/>
        <v>0</v>
      </c>
      <c r="AJ47" s="157"/>
      <c r="AK47" s="161">
        <f>X47*Abandonment!H32</f>
        <v>38.716819413296101</v>
      </c>
      <c r="AL47" s="161">
        <f>Y47*Abandonment!H32</f>
        <v>12.139597846955789</v>
      </c>
      <c r="AM47" s="161">
        <f>Z47*Abandonment!H32</f>
        <v>0</v>
      </c>
      <c r="AN47" s="161">
        <f>AK47/'Sched &amp; Prod Assumptions'!$B$15+Production!AL47+AM47</f>
        <v>20.205601891392476</v>
      </c>
      <c r="AO47" s="161">
        <f t="shared" si="11"/>
        <v>55.357813401075276</v>
      </c>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row>
    <row r="48" spans="1:69" x14ac:dyDescent="0.3">
      <c r="A48" s="160">
        <f t="shared" si="12"/>
        <v>2029</v>
      </c>
      <c r="B48" s="160">
        <f t="shared" si="3"/>
        <v>365</v>
      </c>
      <c r="C48" s="161">
        <f t="shared" si="13"/>
        <v>0</v>
      </c>
      <c r="D48" s="161">
        <f t="shared" si="15"/>
        <v>0</v>
      </c>
      <c r="E48" s="161">
        <f t="shared" si="4"/>
        <v>2588.5435897435891</v>
      </c>
      <c r="F48" s="161">
        <f t="shared" si="14"/>
        <v>10.288112319792774</v>
      </c>
      <c r="G48" s="161">
        <f t="shared" si="1"/>
        <v>10.288112319792774</v>
      </c>
      <c r="H48" s="161">
        <f t="shared" si="5"/>
        <v>28.186609095322666</v>
      </c>
      <c r="I48" s="157"/>
      <c r="J48" s="161">
        <f>IF(AND(Input!$B$15=Lists!$Q$36,Input!$B$11="Oil"),0,G48*Input!$B$29/1000)</f>
        <v>34.293364795565253</v>
      </c>
      <c r="K48" s="161">
        <f t="shared" si="6"/>
        <v>93.954424097439045</v>
      </c>
      <c r="L48" s="157"/>
      <c r="M48" s="161">
        <f t="shared" si="7"/>
        <v>365</v>
      </c>
      <c r="N48" s="161">
        <f t="shared" si="8"/>
        <v>1</v>
      </c>
      <c r="O48" s="157"/>
      <c r="P48" s="161">
        <f>IF(Input!$B$11="Oil",MIN('Sched &amp; Prod Assumptions'!$C$19*'Sched &amp; Prod Assumptions'!$B$15*G48,J48),G48*'Sched &amp; Prod Assumptions'!$C$18)</f>
        <v>1.4814881740501593</v>
      </c>
      <c r="Q48" s="161">
        <f>IF(Input!$B$11="Oil",IF(P48&lt;J48,0,Production!G48*'Sched &amp; Prod Assumptions'!$C$19-Production!P48/'Sched &amp; Prod Assumptions'!$C$17*Input!$B$28/1000),0)</f>
        <v>0</v>
      </c>
      <c r="R48" s="157"/>
      <c r="S48" s="161">
        <f t="shared" si="9"/>
        <v>14</v>
      </c>
      <c r="T48" s="488">
        <f>IF($S48=0,0,INDEX(Overrides!$L$47:$L$88,$S48+1,1)*$T$21+INDEX(Overrides!$L$47:$L$88,$S48,1)*$T$22)*'Sensitivity Ranges'!$F$41</f>
        <v>0</v>
      </c>
      <c r="U48" s="488">
        <f>IF($S48=0,0,INDEX(Overrides!$M$47:$M$88,$S48+1,1)*$T$21+INDEX(Overrides!$M$47:$M$88,$S48,1)*$T$22)*'Sensitivity Ranges'!$F$41</f>
        <v>0</v>
      </c>
      <c r="V48" s="488">
        <f>IF($S48=0,0,INDEX(Overrides!$N$47:$N$88,$S48+1,1)*$T$21+INDEX(Overrides!$N$47:$N$88,$S48,1)*$T$22)*'Sensitivity Ranges'!$F$41</f>
        <v>0</v>
      </c>
      <c r="W48" s="201"/>
      <c r="X48" s="161">
        <f>IF($T$20=1,T48,IF(Input!$B$11="Gas",G48,J48)-P48)</f>
        <v>32.811876621515097</v>
      </c>
      <c r="Y48" s="161">
        <f>IF($T$20=1,U48,IF(Input!$B$11="Gas",0,G48-Q48))</f>
        <v>10.288112319792774</v>
      </c>
      <c r="Z48" s="161">
        <f>IF($T$20=1,V48,IF(Input!$B$11="Gas",J48,0))</f>
        <v>0</v>
      </c>
      <c r="AA48" s="201"/>
      <c r="AB48" s="161">
        <f>X48*Abandonment!$H33</f>
        <v>32.811876621515097</v>
      </c>
      <c r="AC48" s="161">
        <f>Y48*Abandonment!$H33</f>
        <v>10.288112319792774</v>
      </c>
      <c r="AD48" s="161">
        <f>Z48*Abandonment!$H33</f>
        <v>0</v>
      </c>
      <c r="AE48" s="157"/>
      <c r="AF48" s="157"/>
      <c r="AG48" s="161">
        <f t="shared" si="10"/>
        <v>8.6131176131477112</v>
      </c>
      <c r="AH48" s="161">
        <f t="shared" si="2"/>
        <v>2.7006294839456024</v>
      </c>
      <c r="AI48" s="161">
        <f t="shared" si="2"/>
        <v>0</v>
      </c>
      <c r="AJ48" s="157"/>
      <c r="AK48" s="161">
        <f>X48*Abandonment!H33</f>
        <v>32.811876621515097</v>
      </c>
      <c r="AL48" s="161">
        <f>Y48*Abandonment!H33</f>
        <v>10.288112319792774</v>
      </c>
      <c r="AM48" s="161">
        <f>Z48*Abandonment!H33</f>
        <v>0</v>
      </c>
      <c r="AN48" s="161">
        <f>AK48/'Sched &amp; Prod Assumptions'!$B$15+Production!AL48+AM48</f>
        <v>17.123919949275084</v>
      </c>
      <c r="AO48" s="161">
        <f t="shared" si="11"/>
        <v>46.914849176096119</v>
      </c>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row>
    <row r="49" spans="1:69" x14ac:dyDescent="0.3">
      <c r="A49" s="160">
        <f t="shared" si="12"/>
        <v>2030</v>
      </c>
      <c r="B49" s="160">
        <f t="shared" si="3"/>
        <v>365</v>
      </c>
      <c r="C49" s="161">
        <f t="shared" si="13"/>
        <v>0</v>
      </c>
      <c r="D49" s="161">
        <f t="shared" si="15"/>
        <v>0</v>
      </c>
      <c r="E49" s="161">
        <f t="shared" si="4"/>
        <v>2953.5435897435891</v>
      </c>
      <c r="F49" s="161">
        <f t="shared" si="14"/>
        <v>8.7448954718238561</v>
      </c>
      <c r="G49" s="161">
        <f t="shared" si="1"/>
        <v>8.7448954718238561</v>
      </c>
      <c r="H49" s="161">
        <f t="shared" si="5"/>
        <v>23.958617731024262</v>
      </c>
      <c r="I49" s="157"/>
      <c r="J49" s="161">
        <f>IF(AND(Input!$B$15=Lists!$Q$36,Input!$B$11="Oil"),0,G49*Input!$B$29/1000)</f>
        <v>29.149360076230458</v>
      </c>
      <c r="K49" s="161">
        <f t="shared" si="6"/>
        <v>79.86126048282317</v>
      </c>
      <c r="L49" s="157"/>
      <c r="M49" s="161">
        <f t="shared" si="7"/>
        <v>365</v>
      </c>
      <c r="N49" s="161">
        <f t="shared" si="8"/>
        <v>1</v>
      </c>
      <c r="O49" s="157"/>
      <c r="P49" s="161">
        <f>IF(Input!$B$11="Oil",MIN('Sched &amp; Prod Assumptions'!$C$19*'Sched &amp; Prod Assumptions'!$B$15*G49,J49),G49*'Sched &amp; Prod Assumptions'!$C$18)</f>
        <v>1.2592649479426352</v>
      </c>
      <c r="Q49" s="161">
        <f>IF(Input!$B$11="Oil",IF(P49&lt;J49,0,Production!G49*'Sched &amp; Prod Assumptions'!$C$19-Production!P49/'Sched &amp; Prod Assumptions'!$C$17*Input!$B$28/1000),0)</f>
        <v>0</v>
      </c>
      <c r="R49" s="157"/>
      <c r="S49" s="161">
        <f t="shared" si="9"/>
        <v>15</v>
      </c>
      <c r="T49" s="488">
        <f>IF($S49=0,0,INDEX(Overrides!$L$47:$L$88,$S49+1,1)*$T$21+INDEX(Overrides!$L$47:$L$88,$S49,1)*$T$22)*'Sensitivity Ranges'!$F$41</f>
        <v>0</v>
      </c>
      <c r="U49" s="488">
        <f>IF($S49=0,0,INDEX(Overrides!$M$47:$M$88,$S49+1,1)*$T$21+INDEX(Overrides!$M$47:$M$88,$S49,1)*$T$22)*'Sensitivity Ranges'!$F$41</f>
        <v>0</v>
      </c>
      <c r="V49" s="488">
        <f>IF($S49=0,0,INDEX(Overrides!$N$47:$N$88,$S49+1,1)*$T$21+INDEX(Overrides!$N$47:$N$88,$S49,1)*$T$22)*'Sensitivity Ranges'!$F$41</f>
        <v>0</v>
      </c>
      <c r="W49" s="201"/>
      <c r="X49" s="161">
        <f>IF($T$20=1,T49,IF(Input!$B$11="Gas",G49,J49)-P49)</f>
        <v>27.890095128287822</v>
      </c>
      <c r="Y49" s="161">
        <f>IF($T$20=1,U49,IF(Input!$B$11="Gas",0,G49-Q49))</f>
        <v>8.7448954718238561</v>
      </c>
      <c r="Z49" s="161">
        <f>IF($T$20=1,V49,IF(Input!$B$11="Gas",J49,0))</f>
        <v>0</v>
      </c>
      <c r="AA49" s="201"/>
      <c r="AB49" s="161">
        <f>X49*Abandonment!$H34</f>
        <v>27.890095128287822</v>
      </c>
      <c r="AC49" s="161">
        <f>Y49*Abandonment!$H34</f>
        <v>8.7448954718238561</v>
      </c>
      <c r="AD49" s="161">
        <f>Z49*Abandonment!$H34</f>
        <v>0</v>
      </c>
      <c r="AE49" s="157"/>
      <c r="AF49" s="157"/>
      <c r="AG49" s="161">
        <f t="shared" si="10"/>
        <v>7.3211499711755517</v>
      </c>
      <c r="AH49" s="161">
        <f t="shared" si="2"/>
        <v>2.2955350613537617</v>
      </c>
      <c r="AI49" s="161">
        <f t="shared" si="2"/>
        <v>0</v>
      </c>
      <c r="AJ49" s="157"/>
      <c r="AK49" s="161">
        <f>X49*Abandonment!H34</f>
        <v>27.890095128287822</v>
      </c>
      <c r="AL49" s="161">
        <f>Y49*Abandonment!H34</f>
        <v>8.7448954718238561</v>
      </c>
      <c r="AM49" s="161">
        <f>Z49*Abandonment!H34</f>
        <v>0</v>
      </c>
      <c r="AN49" s="161">
        <f>AK49/'Sched &amp; Prod Assumptions'!$B$15+Production!AL49+AM49</f>
        <v>14.555331956883819</v>
      </c>
      <c r="AO49" s="161">
        <f t="shared" si="11"/>
        <v>39.877621799681698</v>
      </c>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row>
    <row r="50" spans="1:69" x14ac:dyDescent="0.3">
      <c r="A50" s="160">
        <f t="shared" si="12"/>
        <v>2031</v>
      </c>
      <c r="B50" s="160">
        <f t="shared" si="3"/>
        <v>365</v>
      </c>
      <c r="C50" s="161">
        <f t="shared" si="13"/>
        <v>0</v>
      </c>
      <c r="D50" s="161">
        <f t="shared" si="15"/>
        <v>0</v>
      </c>
      <c r="E50" s="161">
        <f t="shared" si="4"/>
        <v>3318.5435897435891</v>
      </c>
      <c r="F50" s="161">
        <f t="shared" si="14"/>
        <v>7.43316115105028</v>
      </c>
      <c r="G50" s="161">
        <f t="shared" si="1"/>
        <v>7.43316115105028</v>
      </c>
      <c r="H50" s="161">
        <f t="shared" si="5"/>
        <v>20.364825071370632</v>
      </c>
      <c r="I50" s="157"/>
      <c r="J50" s="161">
        <f>IF(AND(Input!$B$15=Lists!$Q$36,Input!$B$11="Oil"),0,G50*Input!$B$29/1000)</f>
        <v>24.7769560647959</v>
      </c>
      <c r="K50" s="161">
        <f t="shared" si="6"/>
        <v>67.882071410399732</v>
      </c>
      <c r="L50" s="157"/>
      <c r="M50" s="161">
        <f t="shared" si="7"/>
        <v>365</v>
      </c>
      <c r="N50" s="161">
        <f t="shared" si="8"/>
        <v>1</v>
      </c>
      <c r="O50" s="157"/>
      <c r="P50" s="161">
        <f>IF(Input!$B$11="Oil",MIN('Sched &amp; Prod Assumptions'!$C$19*'Sched &amp; Prod Assumptions'!$B$15*G50,J50),G50*'Sched &amp; Prod Assumptions'!$C$18)</f>
        <v>1.0703752057512403</v>
      </c>
      <c r="Q50" s="161">
        <f>IF(Input!$B$11="Oil",IF(P50&lt;J50,0,Production!G50*'Sched &amp; Prod Assumptions'!$C$19-Production!P50/'Sched &amp; Prod Assumptions'!$C$17*Input!$B$28/1000),0)</f>
        <v>0</v>
      </c>
      <c r="R50" s="157"/>
      <c r="S50" s="161">
        <f t="shared" si="9"/>
        <v>16</v>
      </c>
      <c r="T50" s="488">
        <f>IF($S50=0,0,INDEX(Overrides!$L$47:$L$88,$S50+1,1)*$T$21+INDEX(Overrides!$L$47:$L$88,$S50,1)*$T$22)*'Sensitivity Ranges'!$F$41</f>
        <v>0</v>
      </c>
      <c r="U50" s="488">
        <f>IF($S50=0,0,INDEX(Overrides!$M$47:$M$88,$S50+1,1)*$T$21+INDEX(Overrides!$M$47:$M$88,$S50,1)*$T$22)*'Sensitivity Ranges'!$F$41</f>
        <v>0</v>
      </c>
      <c r="V50" s="488">
        <f>IF($S50=0,0,INDEX(Overrides!$N$47:$N$88,$S50+1,1)*$T$21+INDEX(Overrides!$N$47:$N$88,$S50,1)*$T$22)*'Sensitivity Ranges'!$F$41</f>
        <v>0</v>
      </c>
      <c r="W50" s="201"/>
      <c r="X50" s="161">
        <f>IF($T$20=1,T50,IF(Input!$B$11="Gas",G50,J50)-P50)</f>
        <v>23.70658085904466</v>
      </c>
      <c r="Y50" s="161">
        <f>IF($T$20=1,U50,IF(Input!$B$11="Gas",0,G50-Q50))</f>
        <v>7.43316115105028</v>
      </c>
      <c r="Z50" s="161">
        <f>IF($T$20=1,V50,IF(Input!$B$11="Gas",J50,0))</f>
        <v>0</v>
      </c>
      <c r="AA50" s="201"/>
      <c r="AB50" s="161">
        <f>X50*Abandonment!$H35</f>
        <v>23.70658085904466</v>
      </c>
      <c r="AC50" s="161">
        <f>Y50*Abandonment!$H35</f>
        <v>7.43316115105028</v>
      </c>
      <c r="AD50" s="161">
        <f>Z50*Abandonment!$H35</f>
        <v>0</v>
      </c>
      <c r="AE50" s="157"/>
      <c r="AF50" s="157"/>
      <c r="AG50" s="161">
        <f t="shared" si="10"/>
        <v>6.2229774754992224</v>
      </c>
      <c r="AH50" s="161">
        <f t="shared" si="2"/>
        <v>1.9512048021506982</v>
      </c>
      <c r="AI50" s="161">
        <f t="shared" si="2"/>
        <v>0</v>
      </c>
      <c r="AJ50" s="157"/>
      <c r="AK50" s="161">
        <f>X50*Abandonment!H35</f>
        <v>23.70658085904466</v>
      </c>
      <c r="AL50" s="161">
        <f>Y50*Abandonment!H35</f>
        <v>7.43316115105028</v>
      </c>
      <c r="AM50" s="161">
        <f>Z50*Abandonment!H35</f>
        <v>0</v>
      </c>
      <c r="AN50" s="161">
        <f>AK50/'Sched &amp; Prod Assumptions'!$B$15+Production!AL50+AM50</f>
        <v>12.37203216335125</v>
      </c>
      <c r="AO50" s="161">
        <f t="shared" si="11"/>
        <v>33.895978529729454</v>
      </c>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row>
    <row r="51" spans="1:69" x14ac:dyDescent="0.3">
      <c r="A51" s="160">
        <f t="shared" si="12"/>
        <v>2032</v>
      </c>
      <c r="B51" s="160">
        <f t="shared" si="3"/>
        <v>366</v>
      </c>
      <c r="C51" s="161">
        <f t="shared" si="13"/>
        <v>0</v>
      </c>
      <c r="D51" s="161">
        <f t="shared" si="15"/>
        <v>0</v>
      </c>
      <c r="E51" s="161">
        <f t="shared" si="4"/>
        <v>3684.5435897435891</v>
      </c>
      <c r="F51" s="161">
        <f t="shared" si="14"/>
        <v>6.3341250049633055</v>
      </c>
      <c r="G51" s="161">
        <f t="shared" si="1"/>
        <v>6.3341250049633055</v>
      </c>
      <c r="H51" s="161">
        <f t="shared" si="5"/>
        <v>17.306352472577338</v>
      </c>
      <c r="I51" s="157"/>
      <c r="J51" s="161">
        <f>IF(AND(Input!$B$15=Lists!$Q$36,Input!$B$11="Oil"),0,G51*Input!$B$29/1000)</f>
        <v>21.113538879044185</v>
      </c>
      <c r="K51" s="161">
        <f t="shared" si="6"/>
        <v>57.687264696842036</v>
      </c>
      <c r="L51" s="157"/>
      <c r="M51" s="161">
        <f t="shared" si="7"/>
        <v>366</v>
      </c>
      <c r="N51" s="161">
        <f t="shared" si="8"/>
        <v>1</v>
      </c>
      <c r="O51" s="157"/>
      <c r="P51" s="161">
        <f>IF(Input!$B$11="Oil",MIN('Sched &amp; Prod Assumptions'!$C$19*'Sched &amp; Prod Assumptions'!$B$15*G51,J51),G51*'Sched &amp; Prod Assumptions'!$C$18)</f>
        <v>0.91211400071471593</v>
      </c>
      <c r="Q51" s="161">
        <f>IF(Input!$B$11="Oil",IF(P51&lt;J51,0,Production!G51*'Sched &amp; Prod Assumptions'!$C$19-Production!P51/'Sched &amp; Prod Assumptions'!$C$17*Input!$B$28/1000),0)</f>
        <v>0</v>
      </c>
      <c r="R51" s="157"/>
      <c r="S51" s="161">
        <f t="shared" si="9"/>
        <v>17</v>
      </c>
      <c r="T51" s="488">
        <f>IF($S51=0,0,INDEX(Overrides!$L$47:$L$88,$S51+1,1)*$T$21+INDEX(Overrides!$L$47:$L$88,$S51,1)*$T$22)*'Sensitivity Ranges'!$F$41</f>
        <v>0</v>
      </c>
      <c r="U51" s="488">
        <f>IF($S51=0,0,INDEX(Overrides!$M$47:$M$88,$S51+1,1)*$T$21+INDEX(Overrides!$M$47:$M$88,$S51,1)*$T$22)*'Sensitivity Ranges'!$F$41</f>
        <v>0</v>
      </c>
      <c r="V51" s="488">
        <f>IF($S51=0,0,INDEX(Overrides!$N$47:$N$88,$S51+1,1)*$T$21+INDEX(Overrides!$N$47:$N$88,$S51,1)*$T$22)*'Sensitivity Ranges'!$F$41</f>
        <v>0</v>
      </c>
      <c r="W51" s="201"/>
      <c r="X51" s="161">
        <f>IF($T$20=1,T51,IF(Input!$B$11="Gas",G51,J51)-P51)</f>
        <v>20.201424878329469</v>
      </c>
      <c r="Y51" s="161">
        <f>IF($T$20=1,U51,IF(Input!$B$11="Gas",0,G51-Q51))</f>
        <v>6.3341250049633055</v>
      </c>
      <c r="Z51" s="161">
        <f>IF($T$20=1,V51,IF(Input!$B$11="Gas",J51,0))</f>
        <v>0</v>
      </c>
      <c r="AA51" s="201"/>
      <c r="AB51" s="161">
        <f>X51*Abandonment!$H36</f>
        <v>20.201424878329469</v>
      </c>
      <c r="AC51" s="161">
        <f>Y51*Abandonment!$H36</f>
        <v>6.3341250049633055</v>
      </c>
      <c r="AD51" s="161">
        <f>Z51*Abandonment!$H36</f>
        <v>0</v>
      </c>
      <c r="AE51" s="157"/>
      <c r="AF51" s="157"/>
      <c r="AG51" s="161">
        <f t="shared" si="10"/>
        <v>5.302874030561485</v>
      </c>
      <c r="AH51" s="161">
        <f t="shared" si="2"/>
        <v>1.6627078138028675</v>
      </c>
      <c r="AI51" s="161">
        <f t="shared" si="2"/>
        <v>0</v>
      </c>
      <c r="AJ51" s="157"/>
      <c r="AK51" s="161">
        <f>X51*Abandonment!H36</f>
        <v>20.201424878329469</v>
      </c>
      <c r="AL51" s="161">
        <f>Y51*Abandonment!H36</f>
        <v>6.3341250049633055</v>
      </c>
      <c r="AM51" s="161">
        <f>Z51*Abandonment!H36</f>
        <v>0</v>
      </c>
      <c r="AN51" s="161">
        <f>AK51/'Sched &amp; Prod Assumptions'!$B$15+Production!AL51+AM51</f>
        <v>10.542755187948611</v>
      </c>
      <c r="AO51" s="161">
        <f t="shared" si="11"/>
        <v>28.884260788900306</v>
      </c>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row>
    <row r="52" spans="1:69" x14ac:dyDescent="0.3">
      <c r="A52" s="160">
        <f t="shared" si="12"/>
        <v>2033</v>
      </c>
      <c r="B52" s="160">
        <f t="shared" si="3"/>
        <v>365</v>
      </c>
      <c r="C52" s="161">
        <f t="shared" si="13"/>
        <v>0</v>
      </c>
      <c r="D52" s="161">
        <f t="shared" si="15"/>
        <v>0</v>
      </c>
      <c r="E52" s="161">
        <f t="shared" si="4"/>
        <v>4049.5435897435891</v>
      </c>
      <c r="F52" s="161">
        <f t="shared" si="14"/>
        <v>5.3680682276482381</v>
      </c>
      <c r="G52" s="161">
        <f t="shared" si="1"/>
        <v>5.3680682276482381</v>
      </c>
      <c r="H52" s="161">
        <f t="shared" si="5"/>
        <v>14.707036240132158</v>
      </c>
      <c r="I52" s="157"/>
      <c r="J52" s="161">
        <f>IF(AND(Input!$B$15=Lists!$Q$36,Input!$B$11="Oil"),0,G52*Input!$B$29/1000)</f>
        <v>17.893381823219872</v>
      </c>
      <c r="K52" s="161">
        <f t="shared" si="6"/>
        <v>49.022963899232522</v>
      </c>
      <c r="L52" s="157"/>
      <c r="M52" s="161">
        <f t="shared" si="7"/>
        <v>365</v>
      </c>
      <c r="N52" s="161">
        <f t="shared" si="8"/>
        <v>1</v>
      </c>
      <c r="O52" s="157"/>
      <c r="P52" s="161">
        <f>IF(Input!$B$11="Oil",MIN('Sched &amp; Prod Assumptions'!$C$19*'Sched &amp; Prod Assumptions'!$B$15*G52,J52),G52*'Sched &amp; Prod Assumptions'!$C$18)</f>
        <v>0.77300182478134627</v>
      </c>
      <c r="Q52" s="161">
        <f>IF(Input!$B$11="Oil",IF(P52&lt;J52,0,Production!G52*'Sched &amp; Prod Assumptions'!$C$19-Production!P52/'Sched &amp; Prod Assumptions'!$C$17*Input!$B$28/1000),0)</f>
        <v>0</v>
      </c>
      <c r="R52" s="157"/>
      <c r="S52" s="161">
        <f t="shared" si="9"/>
        <v>18</v>
      </c>
      <c r="T52" s="488">
        <f>IF($S52=0,0,INDEX(Overrides!$L$47:$L$88,$S52+1,1)*$T$21+INDEX(Overrides!$L$47:$L$88,$S52,1)*$T$22)*'Sensitivity Ranges'!$F$41</f>
        <v>0</v>
      </c>
      <c r="U52" s="488">
        <f>IF($S52=0,0,INDEX(Overrides!$M$47:$M$88,$S52+1,1)*$T$21+INDEX(Overrides!$M$47:$M$88,$S52,1)*$T$22)*'Sensitivity Ranges'!$F$41</f>
        <v>0</v>
      </c>
      <c r="V52" s="488">
        <f>IF($S52=0,0,INDEX(Overrides!$N$47:$N$88,$S52+1,1)*$T$21+INDEX(Overrides!$N$47:$N$88,$S52,1)*$T$22)*'Sensitivity Ranges'!$F$41</f>
        <v>0</v>
      </c>
      <c r="W52" s="201"/>
      <c r="X52" s="161">
        <f>IF($T$20=1,T52,IF(Input!$B$11="Gas",G52,J52)-P52)</f>
        <v>17.120379998438526</v>
      </c>
      <c r="Y52" s="161">
        <f>IF($T$20=1,U52,IF(Input!$B$11="Gas",0,G52-Q52))</f>
        <v>5.3680682276482381</v>
      </c>
      <c r="Z52" s="161">
        <f>IF($T$20=1,V52,IF(Input!$B$11="Gas",J52,0))</f>
        <v>0</v>
      </c>
      <c r="AA52" s="201"/>
      <c r="AB52" s="161">
        <f>X52*Abandonment!$H37</f>
        <v>17.120379998438526</v>
      </c>
      <c r="AC52" s="161">
        <f>Y52*Abandonment!$H37</f>
        <v>5.3680682276482381</v>
      </c>
      <c r="AD52" s="161">
        <f>Z52*Abandonment!$H37</f>
        <v>0</v>
      </c>
      <c r="AE52" s="157"/>
      <c r="AF52" s="157"/>
      <c r="AG52" s="161">
        <f t="shared" si="10"/>
        <v>4.494099749590112</v>
      </c>
      <c r="AH52" s="161">
        <f t="shared" si="2"/>
        <v>1.4091179097576623</v>
      </c>
      <c r="AI52" s="161">
        <f t="shared" si="2"/>
        <v>0</v>
      </c>
      <c r="AJ52" s="157"/>
      <c r="AK52" s="161">
        <f>X52*Abandonment!H37</f>
        <v>17.120379998438526</v>
      </c>
      <c r="AL52" s="161">
        <f>Y52*Abandonment!H37</f>
        <v>5.3680682276482381</v>
      </c>
      <c r="AM52" s="161">
        <f>Z52*Abandonment!H37</f>
        <v>0</v>
      </c>
      <c r="AN52" s="161">
        <f>AK52/'Sched &amp; Prod Assumptions'!$B$15+Production!AL52+AM52</f>
        <v>8.9348140606562652</v>
      </c>
      <c r="AO52" s="161">
        <f t="shared" si="11"/>
        <v>24.478942631934974</v>
      </c>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row>
    <row r="53" spans="1:69" x14ac:dyDescent="0.3">
      <c r="A53" s="160">
        <f t="shared" si="12"/>
        <v>2034</v>
      </c>
      <c r="B53" s="160">
        <f t="shared" si="3"/>
        <v>365</v>
      </c>
      <c r="C53" s="161">
        <f t="shared" si="13"/>
        <v>0</v>
      </c>
      <c r="D53" s="161">
        <f t="shared" si="15"/>
        <v>0</v>
      </c>
      <c r="E53" s="161">
        <f t="shared" si="4"/>
        <v>4414.5435897435891</v>
      </c>
      <c r="F53" s="161">
        <f t="shared" si="14"/>
        <v>4.5628579935010061</v>
      </c>
      <c r="G53" s="161">
        <f t="shared" si="1"/>
        <v>4.5628579935010061</v>
      </c>
      <c r="H53" s="161">
        <f t="shared" si="5"/>
        <v>12.500980804112347</v>
      </c>
      <c r="I53" s="157"/>
      <c r="J53" s="161">
        <f>IF(AND(Input!$B$15=Lists!$Q$36,Input!$B$11="Oil"),0,G53*Input!$B$29/1000)</f>
        <v>15.209374549736904</v>
      </c>
      <c r="K53" s="161">
        <f t="shared" si="6"/>
        <v>41.669519314347681</v>
      </c>
      <c r="L53" s="157"/>
      <c r="M53" s="161">
        <f t="shared" si="7"/>
        <v>365</v>
      </c>
      <c r="N53" s="161">
        <f t="shared" si="8"/>
        <v>1</v>
      </c>
      <c r="O53" s="157"/>
      <c r="P53" s="161">
        <f>IF(Input!$B$11="Oil",MIN('Sched &amp; Prod Assumptions'!$C$19*'Sched &amp; Prod Assumptions'!$B$15*G53,J53),G53*'Sched &amp; Prod Assumptions'!$C$18)</f>
        <v>0.65705155106414481</v>
      </c>
      <c r="Q53" s="161">
        <f>IF(Input!$B$11="Oil",IF(P53&lt;J53,0,Production!G53*'Sched &amp; Prod Assumptions'!$C$19-Production!P53/'Sched &amp; Prod Assumptions'!$C$17*Input!$B$28/1000),0)</f>
        <v>0</v>
      </c>
      <c r="R53" s="157"/>
      <c r="S53" s="161">
        <f t="shared" si="9"/>
        <v>19</v>
      </c>
      <c r="T53" s="488">
        <f>IF($S53=0,0,INDEX(Overrides!$L$47:$L$88,$S53+1,1)*$T$21+INDEX(Overrides!$L$47:$L$88,$S53,1)*$T$22)*'Sensitivity Ranges'!$F$41</f>
        <v>0</v>
      </c>
      <c r="U53" s="488">
        <f>IF($S53=0,0,INDEX(Overrides!$M$47:$M$88,$S53+1,1)*$T$21+INDEX(Overrides!$M$47:$M$88,$S53,1)*$T$22)*'Sensitivity Ranges'!$F$41</f>
        <v>0</v>
      </c>
      <c r="V53" s="488">
        <f>IF($S53=0,0,INDEX(Overrides!$N$47:$N$88,$S53+1,1)*$T$21+INDEX(Overrides!$N$47:$N$88,$S53,1)*$T$22)*'Sensitivity Ranges'!$F$41</f>
        <v>0</v>
      </c>
      <c r="W53" s="201"/>
      <c r="X53" s="161">
        <f>IF($T$20=1,T53,IF(Input!$B$11="Gas",G53,J53)-P53)</f>
        <v>14.552322998672759</v>
      </c>
      <c r="Y53" s="161">
        <f>IF($T$20=1,U53,IF(Input!$B$11="Gas",0,G53-Q53))</f>
        <v>4.5628579935010061</v>
      </c>
      <c r="Z53" s="161">
        <f>IF($T$20=1,V53,IF(Input!$B$11="Gas",J53,0))</f>
        <v>0</v>
      </c>
      <c r="AA53" s="201"/>
      <c r="AB53" s="161">
        <f>X53*Abandonment!$H38</f>
        <v>14.552322998672759</v>
      </c>
      <c r="AC53" s="161">
        <f>Y53*Abandonment!$H38</f>
        <v>4.5628579935010061</v>
      </c>
      <c r="AD53" s="161">
        <f>Z53*Abandonment!$H38</f>
        <v>0</v>
      </c>
      <c r="AE53" s="157"/>
      <c r="AF53" s="157"/>
      <c r="AG53" s="161">
        <f t="shared" si="10"/>
        <v>3.8199847871515984</v>
      </c>
      <c r="AH53" s="161">
        <f t="shared" si="2"/>
        <v>1.1977502232940138</v>
      </c>
      <c r="AI53" s="161">
        <f t="shared" si="2"/>
        <v>0</v>
      </c>
      <c r="AJ53" s="157"/>
      <c r="AK53" s="161">
        <f>X53*Abandonment!H38</f>
        <v>14.552322998672759</v>
      </c>
      <c r="AL53" s="161">
        <f>Y53*Abandonment!H38</f>
        <v>4.5628579935010061</v>
      </c>
      <c r="AM53" s="161">
        <f>Z53*Abandonment!H38</f>
        <v>0</v>
      </c>
      <c r="AN53" s="161">
        <f>AK53/'Sched &amp; Prod Assumptions'!$B$15+Production!AL53+AM53</f>
        <v>7.5945919515578311</v>
      </c>
      <c r="AO53" s="161">
        <f t="shared" si="11"/>
        <v>20.807101237144742</v>
      </c>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row>
    <row r="54" spans="1:69" x14ac:dyDescent="0.3">
      <c r="A54" s="160">
        <f t="shared" si="12"/>
        <v>2035</v>
      </c>
      <c r="B54" s="160">
        <f t="shared" si="3"/>
        <v>365</v>
      </c>
      <c r="C54" s="161">
        <f t="shared" si="13"/>
        <v>0</v>
      </c>
      <c r="D54" s="161">
        <f t="shared" si="15"/>
        <v>0</v>
      </c>
      <c r="E54" s="161">
        <f t="shared" si="4"/>
        <v>4779.5435897435891</v>
      </c>
      <c r="F54" s="161">
        <f t="shared" si="14"/>
        <v>3.8784292944758492</v>
      </c>
      <c r="G54" s="161">
        <f t="shared" si="1"/>
        <v>3.8784292944758492</v>
      </c>
      <c r="H54" s="161">
        <f t="shared" si="5"/>
        <v>10.625833683495477</v>
      </c>
      <c r="I54" s="157"/>
      <c r="J54" s="161">
        <f>IF(AND(Input!$B$15=Lists!$Q$36,Input!$B$11="Oil"),0,G54*Input!$B$29/1000)</f>
        <v>12.92796836727635</v>
      </c>
      <c r="K54" s="161">
        <f t="shared" si="6"/>
        <v>35.419091417195482</v>
      </c>
      <c r="L54" s="157"/>
      <c r="M54" s="161">
        <f t="shared" si="7"/>
        <v>365</v>
      </c>
      <c r="N54" s="161">
        <f t="shared" si="8"/>
        <v>1</v>
      </c>
      <c r="O54" s="157"/>
      <c r="P54" s="161">
        <f>IF(Input!$B$11="Oil",MIN('Sched &amp; Prod Assumptions'!$C$19*'Sched &amp; Prod Assumptions'!$B$15*G54,J54),G54*'Sched &amp; Prod Assumptions'!$C$18)</f>
        <v>0.55849381840452228</v>
      </c>
      <c r="Q54" s="161">
        <f>IF(Input!$B$11="Oil",IF(P54&lt;J54,0,Production!G54*'Sched &amp; Prod Assumptions'!$C$19-Production!P54/'Sched &amp; Prod Assumptions'!$C$17*Input!$B$28/1000),0)</f>
        <v>0</v>
      </c>
      <c r="R54" s="157"/>
      <c r="S54" s="161">
        <f t="shared" si="9"/>
        <v>20</v>
      </c>
      <c r="T54" s="488">
        <f>IF($S54=0,0,INDEX(Overrides!$L$47:$L$88,$S54+1,1)*$T$21+INDEX(Overrides!$L$47:$L$88,$S54,1)*$T$22)*'Sensitivity Ranges'!$F$41</f>
        <v>0</v>
      </c>
      <c r="U54" s="488">
        <f>IF($S54=0,0,INDEX(Overrides!$M$47:$M$88,$S54+1,1)*$T$21+INDEX(Overrides!$M$47:$M$88,$S54,1)*$T$22)*'Sensitivity Ranges'!$F$41</f>
        <v>0</v>
      </c>
      <c r="V54" s="488">
        <f>IF($S54=0,0,INDEX(Overrides!$N$47:$N$88,$S54+1,1)*$T$21+INDEX(Overrides!$N$47:$N$88,$S54,1)*$T$22)*'Sensitivity Ranges'!$F$41</f>
        <v>0</v>
      </c>
      <c r="W54" s="201"/>
      <c r="X54" s="161">
        <f>IF($T$20=1,T54,IF(Input!$B$11="Gas",G54,J54)-P54)</f>
        <v>12.369474548871828</v>
      </c>
      <c r="Y54" s="161">
        <f>IF($T$20=1,U54,IF(Input!$B$11="Gas",0,G54-Q54))</f>
        <v>3.8784292944758492</v>
      </c>
      <c r="Z54" s="161">
        <f>IF($T$20=1,V54,IF(Input!$B$11="Gas",J54,0))</f>
        <v>0</v>
      </c>
      <c r="AA54" s="201"/>
      <c r="AB54" s="161">
        <f>X54*Abandonment!$H39</f>
        <v>12.369474548871828</v>
      </c>
      <c r="AC54" s="161">
        <f>Y54*Abandonment!$H39</f>
        <v>3.8784292944758492</v>
      </c>
      <c r="AD54" s="161">
        <f>Z54*Abandonment!$H39</f>
        <v>0</v>
      </c>
      <c r="AE54" s="157"/>
      <c r="AF54" s="157"/>
      <c r="AG54" s="161">
        <f t="shared" si="10"/>
        <v>3.2469870690788545</v>
      </c>
      <c r="AH54" s="161">
        <f t="shared" si="2"/>
        <v>1.0180876897999103</v>
      </c>
      <c r="AI54" s="161">
        <f t="shared" si="2"/>
        <v>0</v>
      </c>
      <c r="AJ54" s="157"/>
      <c r="AK54" s="161">
        <f>X54*Abandonment!H39</f>
        <v>12.369474548871828</v>
      </c>
      <c r="AL54" s="161">
        <f>Y54*Abandonment!H39</f>
        <v>3.8784292944758492</v>
      </c>
      <c r="AM54" s="161">
        <f>Z54*Abandonment!H39</f>
        <v>0</v>
      </c>
      <c r="AN54" s="161">
        <f>AK54/'Sched &amp; Prod Assumptions'!$B$15+Production!AL54+AM54</f>
        <v>6.4554031588241472</v>
      </c>
      <c r="AO54" s="161">
        <f t="shared" si="11"/>
        <v>17.686036051573005</v>
      </c>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row>
    <row r="55" spans="1:69" x14ac:dyDescent="0.3">
      <c r="A55" s="160">
        <f t="shared" si="12"/>
        <v>2036</v>
      </c>
      <c r="B55" s="160">
        <f t="shared" si="3"/>
        <v>366</v>
      </c>
      <c r="C55" s="161">
        <f t="shared" si="13"/>
        <v>0</v>
      </c>
      <c r="D55" s="161">
        <f t="shared" si="15"/>
        <v>0</v>
      </c>
      <c r="E55" s="161">
        <f t="shared" si="4"/>
        <v>5145.5435897435891</v>
      </c>
      <c r="F55" s="161">
        <f t="shared" si="14"/>
        <v>3.3049809461820376</v>
      </c>
      <c r="G55" s="161">
        <f t="shared" si="1"/>
        <v>3.3049809461820376</v>
      </c>
      <c r="H55" s="161">
        <f t="shared" si="5"/>
        <v>9.030002585196824</v>
      </c>
      <c r="I55" s="157"/>
      <c r="J55" s="161">
        <f>IF(AND(Input!$B$15=Lists!$Q$36,Input!$B$11="Oil"),0,G55*Input!$B$29/1000)</f>
        <v>11.016492987908586</v>
      </c>
      <c r="K55" s="161">
        <f t="shared" si="6"/>
        <v>30.099707617236575</v>
      </c>
      <c r="L55" s="157"/>
      <c r="M55" s="161">
        <f t="shared" si="7"/>
        <v>366</v>
      </c>
      <c r="N55" s="161">
        <f t="shared" si="8"/>
        <v>1</v>
      </c>
      <c r="O55" s="157"/>
      <c r="P55" s="161">
        <f>IF(Input!$B$11="Oil",MIN('Sched &amp; Prod Assumptions'!$C$19*'Sched &amp; Prod Assumptions'!$B$15*G55,J55),G55*'Sched &amp; Prod Assumptions'!$C$18)</f>
        <v>0.47591725625021336</v>
      </c>
      <c r="Q55" s="161">
        <f>IF(Input!$B$11="Oil",IF(P55&lt;J55,0,Production!G55*'Sched &amp; Prod Assumptions'!$C$19-Production!P55/'Sched &amp; Prod Assumptions'!$C$17*Input!$B$28/1000),0)</f>
        <v>0</v>
      </c>
      <c r="R55" s="157"/>
      <c r="S55" s="161">
        <f t="shared" si="9"/>
        <v>21</v>
      </c>
      <c r="T55" s="488">
        <f>IF($S55=0,0,INDEX(Overrides!$L$47:$L$88,$S55+1,1)*$T$21+INDEX(Overrides!$L$47:$L$88,$S55,1)*$T$22)*'Sensitivity Ranges'!$F$41</f>
        <v>0</v>
      </c>
      <c r="U55" s="488">
        <f>IF($S55=0,0,INDEX(Overrides!$M$47:$M$88,$S55+1,1)*$T$21+INDEX(Overrides!$M$47:$M$88,$S55,1)*$T$22)*'Sensitivity Ranges'!$F$41</f>
        <v>0</v>
      </c>
      <c r="V55" s="488">
        <f>IF($S55=0,0,INDEX(Overrides!$N$47:$N$88,$S55+1,1)*$T$21+INDEX(Overrides!$N$47:$N$88,$S55,1)*$T$22)*'Sensitivity Ranges'!$F$41</f>
        <v>0</v>
      </c>
      <c r="W55" s="201"/>
      <c r="X55" s="161">
        <f>IF($T$20=1,T55,IF(Input!$B$11="Gas",G55,J55)-P55)</f>
        <v>10.540575731658373</v>
      </c>
      <c r="Y55" s="161">
        <f>IF($T$20=1,U55,IF(Input!$B$11="Gas",0,G55-Q55))</f>
        <v>3.3049809461820376</v>
      </c>
      <c r="Z55" s="161">
        <f>IF($T$20=1,V55,IF(Input!$B$11="Gas",J55,0))</f>
        <v>0</v>
      </c>
      <c r="AA55" s="201"/>
      <c r="AB55" s="161">
        <f>X55*Abandonment!$H40</f>
        <v>10.540575731658373</v>
      </c>
      <c r="AC55" s="161">
        <f>Y55*Abandonment!$H40</f>
        <v>3.3049809461820376</v>
      </c>
      <c r="AD55" s="161">
        <f>Z55*Abandonment!$H40</f>
        <v>0</v>
      </c>
      <c r="AE55" s="157"/>
      <c r="AF55" s="157"/>
      <c r="AG55" s="161">
        <f t="shared" si="10"/>
        <v>2.7669011295603227</v>
      </c>
      <c r="AH55" s="161">
        <f t="shared" si="2"/>
        <v>0.86755749837278473</v>
      </c>
      <c r="AI55" s="161">
        <f t="shared" si="2"/>
        <v>0</v>
      </c>
      <c r="AJ55" s="157"/>
      <c r="AK55" s="161">
        <f>X55*Abandonment!H40</f>
        <v>10.540575731658373</v>
      </c>
      <c r="AL55" s="161">
        <f>Y55*Abandonment!H40</f>
        <v>3.3049809461820376</v>
      </c>
      <c r="AM55" s="161">
        <f>Z55*Abandonment!H40</f>
        <v>0</v>
      </c>
      <c r="AN55" s="161">
        <f>AK55/'Sched &amp; Prod Assumptions'!$B$15+Production!AL55+AM55</f>
        <v>5.5009342236108658</v>
      </c>
      <c r="AO55" s="161">
        <f t="shared" si="11"/>
        <v>15.071052667427031</v>
      </c>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row>
    <row r="56" spans="1:69" x14ac:dyDescent="0.3">
      <c r="A56" s="160">
        <f t="shared" si="12"/>
        <v>2037</v>
      </c>
      <c r="B56" s="160">
        <f t="shared" si="3"/>
        <v>365</v>
      </c>
      <c r="C56" s="161">
        <f t="shared" si="13"/>
        <v>0</v>
      </c>
      <c r="D56" s="161">
        <f t="shared" si="15"/>
        <v>0</v>
      </c>
      <c r="E56" s="161">
        <f t="shared" si="4"/>
        <v>5510.5435897435891</v>
      </c>
      <c r="F56" s="161">
        <f t="shared" si="14"/>
        <v>2.8009177583771665</v>
      </c>
      <c r="G56" s="161">
        <f t="shared" si="1"/>
        <v>2.8009177583771665</v>
      </c>
      <c r="H56" s="161">
        <f t="shared" si="5"/>
        <v>7.6737472832251132</v>
      </c>
      <c r="I56" s="157"/>
      <c r="J56" s="161">
        <f>IF(AND(Input!$B$15=Lists!$Q$36,Input!$B$11="Oil"),0,G56*Input!$B$29/1000)</f>
        <v>9.3362991639986106</v>
      </c>
      <c r="K56" s="161">
        <f t="shared" si="6"/>
        <v>25.578901819174273</v>
      </c>
      <c r="L56" s="157"/>
      <c r="M56" s="161">
        <f t="shared" si="7"/>
        <v>365</v>
      </c>
      <c r="N56" s="161">
        <f t="shared" si="8"/>
        <v>1</v>
      </c>
      <c r="O56" s="157"/>
      <c r="P56" s="161">
        <f>IF(Input!$B$11="Oil",MIN('Sched &amp; Prod Assumptions'!$C$19*'Sched &amp; Prod Assumptions'!$B$15*G56,J56),G56*'Sched &amp; Prod Assumptions'!$C$18)</f>
        <v>0.40333215720631194</v>
      </c>
      <c r="Q56" s="161">
        <f>IF(Input!$B$11="Oil",IF(P56&lt;J56,0,Production!G56*'Sched &amp; Prod Assumptions'!$C$19-Production!P56/'Sched &amp; Prod Assumptions'!$C$17*Input!$B$28/1000),0)</f>
        <v>0</v>
      </c>
      <c r="R56" s="157"/>
      <c r="S56" s="161">
        <f t="shared" si="9"/>
        <v>22</v>
      </c>
      <c r="T56" s="488">
        <f>IF($S56=0,0,INDEX(Overrides!$L$47:$L$88,$S56+1,1)*$T$21+INDEX(Overrides!$L$47:$L$88,$S56,1)*$T$22)*'Sensitivity Ranges'!$F$41</f>
        <v>0</v>
      </c>
      <c r="U56" s="488">
        <f>IF($S56=0,0,INDEX(Overrides!$M$47:$M$88,$S56+1,1)*$T$21+INDEX(Overrides!$M$47:$M$88,$S56,1)*$T$22)*'Sensitivity Ranges'!$F$41</f>
        <v>0</v>
      </c>
      <c r="V56" s="488">
        <f>IF($S56=0,0,INDEX(Overrides!$N$47:$N$88,$S56+1,1)*$T$21+INDEX(Overrides!$N$47:$N$88,$S56,1)*$T$22)*'Sensitivity Ranges'!$F$41</f>
        <v>0</v>
      </c>
      <c r="W56" s="201"/>
      <c r="X56" s="161">
        <f>IF($T$20=1,T56,IF(Input!$B$11="Gas",G56,J56)-P56)</f>
        <v>8.9329670067922979</v>
      </c>
      <c r="Y56" s="161">
        <f>IF($T$20=1,U56,IF(Input!$B$11="Gas",0,G56-Q56))</f>
        <v>2.8009177583771665</v>
      </c>
      <c r="Z56" s="161">
        <f>IF($T$20=1,V56,IF(Input!$B$11="Gas",J56,0))</f>
        <v>0</v>
      </c>
      <c r="AA56" s="201"/>
      <c r="AB56" s="161">
        <f>X56*Abandonment!$H41</f>
        <v>8.9329670067922979</v>
      </c>
      <c r="AC56" s="161">
        <f>Y56*Abandonment!$H41</f>
        <v>2.8009177583771665</v>
      </c>
      <c r="AD56" s="161">
        <f>Z56*Abandonment!$H41</f>
        <v>0</v>
      </c>
      <c r="AE56" s="157"/>
      <c r="AF56" s="157"/>
      <c r="AG56" s="161">
        <f t="shared" si="10"/>
        <v>2.3449038392829777</v>
      </c>
      <c r="AH56" s="161">
        <f t="shared" si="2"/>
        <v>0.73524091157400606</v>
      </c>
      <c r="AI56" s="161">
        <f t="shared" si="2"/>
        <v>0</v>
      </c>
      <c r="AJ56" s="157"/>
      <c r="AK56" s="161">
        <f>X56*Abandonment!H41</f>
        <v>8.9329670067922979</v>
      </c>
      <c r="AL56" s="161">
        <f>Y56*Abandonment!H41</f>
        <v>2.8009177583771665</v>
      </c>
      <c r="AM56" s="161">
        <f>Z56*Abandonment!H41</f>
        <v>0</v>
      </c>
      <c r="AN56" s="161">
        <f>AK56/'Sched &amp; Prod Assumptions'!$B$15+Production!AL56+AM56</f>
        <v>4.6619525514588958</v>
      </c>
      <c r="AO56" s="161">
        <f t="shared" si="11"/>
        <v>12.772472743723002</v>
      </c>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row>
    <row r="57" spans="1:69" x14ac:dyDescent="0.3">
      <c r="A57" s="160">
        <f t="shared" si="12"/>
        <v>2038</v>
      </c>
      <c r="B57" s="160">
        <f t="shared" si="3"/>
        <v>365</v>
      </c>
      <c r="C57" s="161">
        <f t="shared" si="13"/>
        <v>0</v>
      </c>
      <c r="D57" s="161">
        <f t="shared" si="15"/>
        <v>0</v>
      </c>
      <c r="E57" s="161">
        <f t="shared" si="4"/>
        <v>5875.5435897435891</v>
      </c>
      <c r="F57" s="161">
        <f t="shared" si="14"/>
        <v>2.3807800946206004</v>
      </c>
      <c r="G57" s="161">
        <f t="shared" si="1"/>
        <v>2.3807800946206004</v>
      </c>
      <c r="H57" s="161">
        <f t="shared" si="5"/>
        <v>6.5226851907413712</v>
      </c>
      <c r="I57" s="157"/>
      <c r="J57" s="161">
        <f>IF(AND(Input!$B$15=Lists!$Q$36,Input!$B$11="Oil"),0,G57*Input!$B$29/1000)</f>
        <v>7.935854289398848</v>
      </c>
      <c r="K57" s="161">
        <f t="shared" si="6"/>
        <v>21.742066546298211</v>
      </c>
      <c r="L57" s="157"/>
      <c r="M57" s="161">
        <f t="shared" si="7"/>
        <v>365</v>
      </c>
      <c r="N57" s="161">
        <f t="shared" si="8"/>
        <v>1</v>
      </c>
      <c r="O57" s="157"/>
      <c r="P57" s="161">
        <f>IF(Input!$B$11="Oil",MIN('Sched &amp; Prod Assumptions'!$C$19*'Sched &amp; Prod Assumptions'!$B$15*G57,J57),G57*'Sched &amp; Prod Assumptions'!$C$18)</f>
        <v>0.34283233362536641</v>
      </c>
      <c r="Q57" s="161">
        <f>IF(Input!$B$11="Oil",IF(P57&lt;J57,0,Production!G57*'Sched &amp; Prod Assumptions'!$C$19-Production!P57/'Sched &amp; Prod Assumptions'!$C$17*Input!$B$28/1000),0)</f>
        <v>0</v>
      </c>
      <c r="R57" s="157"/>
      <c r="S57" s="161">
        <f t="shared" si="9"/>
        <v>23</v>
      </c>
      <c r="T57" s="488">
        <f>IF($S57=0,0,INDEX(Overrides!$L$47:$L$88,$S57+1,1)*$T$21+INDEX(Overrides!$L$47:$L$88,$S57,1)*$T$22)*'Sensitivity Ranges'!$F$41</f>
        <v>0</v>
      </c>
      <c r="U57" s="488">
        <f>IF($S57=0,0,INDEX(Overrides!$M$47:$M$88,$S57+1,1)*$T$21+INDEX(Overrides!$M$47:$M$88,$S57,1)*$T$22)*'Sensitivity Ranges'!$F$41</f>
        <v>0</v>
      </c>
      <c r="V57" s="488">
        <f>IF($S57=0,0,INDEX(Overrides!$N$47:$N$88,$S57+1,1)*$T$21+INDEX(Overrides!$N$47:$N$88,$S57,1)*$T$22)*'Sensitivity Ranges'!$F$41</f>
        <v>0</v>
      </c>
      <c r="W57" s="201"/>
      <c r="X57" s="161">
        <f>IF($T$20=1,T57,IF(Input!$B$11="Gas",G57,J57)-P57)</f>
        <v>7.5930219557734819</v>
      </c>
      <c r="Y57" s="161">
        <f>IF($T$20=1,U57,IF(Input!$B$11="Gas",0,G57-Q57))</f>
        <v>2.3807800946206004</v>
      </c>
      <c r="Z57" s="161">
        <f>IF($T$20=1,V57,IF(Input!$B$11="Gas",J57,0))</f>
        <v>0</v>
      </c>
      <c r="AA57" s="201"/>
      <c r="AB57" s="161">
        <f>X57*Abandonment!$H42</f>
        <v>7.5930219557734819</v>
      </c>
      <c r="AC57" s="161">
        <f>Y57*Abandonment!$H42</f>
        <v>2.3807800946206004</v>
      </c>
      <c r="AD57" s="161">
        <f>Z57*Abandonment!$H42</f>
        <v>0</v>
      </c>
      <c r="AE57" s="157"/>
      <c r="AF57" s="157"/>
      <c r="AG57" s="161">
        <f t="shared" si="10"/>
        <v>1.9931682633905388</v>
      </c>
      <c r="AH57" s="161">
        <f t="shared" si="2"/>
        <v>0.62495477483790751</v>
      </c>
      <c r="AI57" s="161">
        <f t="shared" si="2"/>
        <v>0</v>
      </c>
      <c r="AJ57" s="157"/>
      <c r="AK57" s="161">
        <f>X57*Abandonment!H42</f>
        <v>7.5930219557734819</v>
      </c>
      <c r="AL57" s="161">
        <f>Y57*Abandonment!H42</f>
        <v>2.3807800946206004</v>
      </c>
      <c r="AM57" s="161">
        <f>Z57*Abandonment!H42</f>
        <v>0</v>
      </c>
      <c r="AN57" s="161">
        <f>AK57/'Sched &amp; Prod Assumptions'!$B$15+Production!AL57+AM57</f>
        <v>3.9626596687400761</v>
      </c>
      <c r="AO57" s="161">
        <f t="shared" si="11"/>
        <v>10.856601832164593</v>
      </c>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row>
    <row r="58" spans="1:69" x14ac:dyDescent="0.3">
      <c r="A58" s="160">
        <f t="shared" si="12"/>
        <v>2039</v>
      </c>
      <c r="B58" s="160">
        <f t="shared" si="3"/>
        <v>365</v>
      </c>
      <c r="C58" s="161">
        <f t="shared" si="13"/>
        <v>0</v>
      </c>
      <c r="D58" s="161">
        <f t="shared" si="15"/>
        <v>0</v>
      </c>
      <c r="E58" s="161">
        <f t="shared" si="4"/>
        <v>6240.5435897435891</v>
      </c>
      <c r="F58" s="161">
        <f t="shared" si="14"/>
        <v>2.0236630804275095</v>
      </c>
      <c r="G58" s="161">
        <f t="shared" si="1"/>
        <v>2.0236630804275095</v>
      </c>
      <c r="H58" s="161">
        <f t="shared" si="5"/>
        <v>5.5442824121301628</v>
      </c>
      <c r="I58" s="157"/>
      <c r="J58" s="161">
        <f>IF(AND(Input!$B$15=Lists!$Q$36,Input!$B$11="Oil"),0,G58*Input!$B$29/1000)</f>
        <v>6.7454761459890182</v>
      </c>
      <c r="K58" s="161">
        <f t="shared" si="6"/>
        <v>18.480756564353474</v>
      </c>
      <c r="L58" s="157"/>
      <c r="M58" s="161">
        <f t="shared" si="7"/>
        <v>365</v>
      </c>
      <c r="N58" s="161">
        <f t="shared" si="8"/>
        <v>1</v>
      </c>
      <c r="O58" s="157"/>
      <c r="P58" s="161">
        <f>IF(Input!$B$11="Oil",MIN('Sched &amp; Prod Assumptions'!$C$19*'Sched &amp; Prod Assumptions'!$B$15*G58,J58),G58*'Sched &amp; Prod Assumptions'!$C$18)</f>
        <v>0.29140748358156138</v>
      </c>
      <c r="Q58" s="161">
        <f>IF(Input!$B$11="Oil",IF(P58&lt;J58,0,Production!G58*'Sched &amp; Prod Assumptions'!$C$19-Production!P58/'Sched &amp; Prod Assumptions'!$C$17*Input!$B$28/1000),0)</f>
        <v>0</v>
      </c>
      <c r="R58" s="157"/>
      <c r="S58" s="161">
        <f t="shared" si="9"/>
        <v>24</v>
      </c>
      <c r="T58" s="488">
        <f>IF($S58=0,0,INDEX(Overrides!$L$47:$L$88,$S58+1,1)*$T$21+INDEX(Overrides!$L$47:$L$88,$S58,1)*$T$22)*'Sensitivity Ranges'!$F$41</f>
        <v>0</v>
      </c>
      <c r="U58" s="488">
        <f>IF($S58=0,0,INDEX(Overrides!$M$47:$M$88,$S58+1,1)*$T$21+INDEX(Overrides!$M$47:$M$88,$S58,1)*$T$22)*'Sensitivity Ranges'!$F$41</f>
        <v>0</v>
      </c>
      <c r="V58" s="488">
        <f>IF($S58=0,0,INDEX(Overrides!$N$47:$N$88,$S58+1,1)*$T$21+INDEX(Overrides!$N$47:$N$88,$S58,1)*$T$22)*'Sensitivity Ranges'!$F$41</f>
        <v>0</v>
      </c>
      <c r="W58" s="201"/>
      <c r="X58" s="161">
        <f>IF($T$20=1,T58,IF(Input!$B$11="Gas",G58,J58)-P58)</f>
        <v>6.4540686624074572</v>
      </c>
      <c r="Y58" s="161">
        <f>IF($T$20=1,U58,IF(Input!$B$11="Gas",0,G58-Q58))</f>
        <v>2.0236630804275095</v>
      </c>
      <c r="Z58" s="161">
        <f>IF($T$20=1,V58,IF(Input!$B$11="Gas",J58,0))</f>
        <v>0</v>
      </c>
      <c r="AA58" s="201"/>
      <c r="AB58" s="161">
        <f>X58*Abandonment!$H43</f>
        <v>6.4540686624074572</v>
      </c>
      <c r="AC58" s="161">
        <f>Y58*Abandonment!$H43</f>
        <v>2.0236630804275095</v>
      </c>
      <c r="AD58" s="161">
        <f>Z58*Abandonment!$H43</f>
        <v>0</v>
      </c>
      <c r="AE58" s="157"/>
      <c r="AF58" s="157"/>
      <c r="AG58" s="161">
        <f t="shared" si="10"/>
        <v>1.6941930238819571</v>
      </c>
      <c r="AH58" s="161">
        <f t="shared" si="2"/>
        <v>0.53121155861222114</v>
      </c>
      <c r="AI58" s="161">
        <f t="shared" si="2"/>
        <v>0</v>
      </c>
      <c r="AJ58" s="157"/>
      <c r="AK58" s="161">
        <f>X58*Abandonment!H43</f>
        <v>6.4540686624074572</v>
      </c>
      <c r="AL58" s="161">
        <f>Y58*Abandonment!H43</f>
        <v>2.0236630804275095</v>
      </c>
      <c r="AM58" s="161">
        <f>Z58*Abandonment!H43</f>
        <v>0</v>
      </c>
      <c r="AN58" s="161">
        <f>AK58/'Sched &amp; Prod Assumptions'!$B$15+Production!AL58+AM58</f>
        <v>3.3682607184290632</v>
      </c>
      <c r="AO58" s="161">
        <f t="shared" si="11"/>
        <v>9.2281115573398989</v>
      </c>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row>
    <row r="59" spans="1:69" x14ac:dyDescent="0.3">
      <c r="A59" s="160">
        <f t="shared" si="12"/>
        <v>2040</v>
      </c>
      <c r="B59" s="160">
        <f t="shared" si="3"/>
        <v>366</v>
      </c>
      <c r="C59" s="161">
        <f t="shared" si="13"/>
        <v>0</v>
      </c>
      <c r="D59" s="161">
        <f t="shared" si="15"/>
        <v>0</v>
      </c>
      <c r="E59" s="161">
        <f t="shared" si="4"/>
        <v>6606.5435897435891</v>
      </c>
      <c r="F59" s="161">
        <f t="shared" si="14"/>
        <v>1.7244527138424464</v>
      </c>
      <c r="G59" s="161">
        <f t="shared" si="1"/>
        <v>1.7244527138424464</v>
      </c>
      <c r="H59" s="161">
        <f t="shared" si="5"/>
        <v>4.7116194367279949</v>
      </c>
      <c r="I59" s="157"/>
      <c r="J59" s="161">
        <f>IF(AND(Input!$B$15=Lists!$Q$36,Input!$B$11="Oil"),0,G59*Input!$B$29/1000)</f>
        <v>5.748118231051027</v>
      </c>
      <c r="K59" s="161">
        <f t="shared" si="6"/>
        <v>15.705241068445428</v>
      </c>
      <c r="L59" s="157"/>
      <c r="M59" s="161">
        <f t="shared" si="7"/>
        <v>366</v>
      </c>
      <c r="N59" s="161">
        <f t="shared" si="8"/>
        <v>1</v>
      </c>
      <c r="O59" s="157"/>
      <c r="P59" s="161">
        <f>IF(Input!$B$11="Oil",MIN('Sched &amp; Prod Assumptions'!$C$19*'Sched &amp; Prod Assumptions'!$B$15*G59,J59),G59*'Sched &amp; Prod Assumptions'!$C$18)</f>
        <v>0.24832119079331225</v>
      </c>
      <c r="Q59" s="161">
        <f>IF(Input!$B$11="Oil",IF(P59&lt;J59,0,Production!G59*'Sched &amp; Prod Assumptions'!$C$19-Production!P59/'Sched &amp; Prod Assumptions'!$C$17*Input!$B$28/1000),0)</f>
        <v>0</v>
      </c>
      <c r="R59" s="157"/>
      <c r="S59" s="161">
        <f t="shared" si="9"/>
        <v>25</v>
      </c>
      <c r="T59" s="488">
        <f>IF($S59=0,0,INDEX(Overrides!$L$47:$L$88,$S59+1,1)*$T$21+INDEX(Overrides!$L$47:$L$88,$S59,1)*$T$22)*'Sensitivity Ranges'!$F$41</f>
        <v>0</v>
      </c>
      <c r="U59" s="488">
        <f>IF($S59=0,0,INDEX(Overrides!$M$47:$M$88,$S59+1,1)*$T$21+INDEX(Overrides!$M$47:$M$88,$S59,1)*$T$22)*'Sensitivity Ranges'!$F$41</f>
        <v>0</v>
      </c>
      <c r="V59" s="488">
        <f>IF($S59=0,0,INDEX(Overrides!$N$47:$N$88,$S59+1,1)*$T$21+INDEX(Overrides!$N$47:$N$88,$S59,1)*$T$22)*'Sensitivity Ranges'!$F$41</f>
        <v>0</v>
      </c>
      <c r="W59" s="201"/>
      <c r="X59" s="161">
        <f>IF($T$20=1,T59,IF(Input!$B$11="Gas",G59,J59)-P59)</f>
        <v>5.4997970402577145</v>
      </c>
      <c r="Y59" s="161">
        <f>IF($T$20=1,U59,IF(Input!$B$11="Gas",0,G59-Q59))</f>
        <v>1.7244527138424464</v>
      </c>
      <c r="Z59" s="161">
        <f>IF($T$20=1,V59,IF(Input!$B$11="Gas",J59,0))</f>
        <v>0</v>
      </c>
      <c r="AA59" s="201"/>
      <c r="AB59" s="161">
        <f>X59*Abandonment!$H44</f>
        <v>5.4997970402577145</v>
      </c>
      <c r="AC59" s="161">
        <f>Y59*Abandonment!$H44</f>
        <v>1.7244527138424464</v>
      </c>
      <c r="AD59" s="161">
        <f>Z59*Abandonment!$H44</f>
        <v>0</v>
      </c>
      <c r="AE59" s="157"/>
      <c r="AF59" s="157"/>
      <c r="AG59" s="161">
        <f t="shared" si="10"/>
        <v>1.4436967230676498</v>
      </c>
      <c r="AH59" s="161">
        <f t="shared" si="2"/>
        <v>0.45266883738364211</v>
      </c>
      <c r="AI59" s="161">
        <f t="shared" si="2"/>
        <v>0</v>
      </c>
      <c r="AJ59" s="157"/>
      <c r="AK59" s="161">
        <f>X59*Abandonment!H44</f>
        <v>5.4997970402577145</v>
      </c>
      <c r="AL59" s="161">
        <f>Y59*Abandonment!H44</f>
        <v>1.7244527138424464</v>
      </c>
      <c r="AM59" s="161">
        <f>Z59*Abandonment!H44</f>
        <v>0</v>
      </c>
      <c r="AN59" s="161">
        <f>AK59/'Sched &amp; Prod Assumptions'!$B$15+Production!AL59+AM59</f>
        <v>2.8702437638961369</v>
      </c>
      <c r="AO59" s="161">
        <f t="shared" si="11"/>
        <v>7.8636815449209232</v>
      </c>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row>
    <row r="60" spans="1:69" x14ac:dyDescent="0.3">
      <c r="A60" s="160">
        <f t="shared" si="12"/>
        <v>2041</v>
      </c>
      <c r="B60" s="160">
        <f t="shared" si="3"/>
        <v>365</v>
      </c>
      <c r="C60" s="161">
        <f t="shared" si="13"/>
        <v>0</v>
      </c>
      <c r="D60" s="161">
        <f t="shared" si="15"/>
        <v>0</v>
      </c>
      <c r="E60" s="161">
        <f t="shared" si="4"/>
        <v>6971.5435897435891</v>
      </c>
      <c r="F60" s="161">
        <f t="shared" si="14"/>
        <v>1.4614457112870158</v>
      </c>
      <c r="G60" s="161">
        <f t="shared" si="1"/>
        <v>1.4614457112870158</v>
      </c>
      <c r="H60" s="161">
        <f t="shared" si="5"/>
        <v>4.0039608528411401</v>
      </c>
      <c r="I60" s="157"/>
      <c r="J60" s="161">
        <f>IF(AND(Input!$B$15=Lists!$Q$36,Input!$B$11="Oil"),0,G60*Input!$B$29/1000)</f>
        <v>4.8714369894330103</v>
      </c>
      <c r="K60" s="161">
        <f t="shared" si="6"/>
        <v>13.34640271077537</v>
      </c>
      <c r="L60" s="157"/>
      <c r="M60" s="161">
        <f t="shared" si="7"/>
        <v>365</v>
      </c>
      <c r="N60" s="161">
        <f t="shared" si="8"/>
        <v>1</v>
      </c>
      <c r="O60" s="157"/>
      <c r="P60" s="161">
        <f>IF(Input!$B$11="Oil",MIN('Sched &amp; Prod Assumptions'!$C$19*'Sched &amp; Prod Assumptions'!$B$15*G60,J60),G60*'Sched &amp; Prod Assumptions'!$C$18)</f>
        <v>0.21044818242533025</v>
      </c>
      <c r="Q60" s="161">
        <f>IF(Input!$B$11="Oil",IF(P60&lt;J60,0,Production!G60*'Sched &amp; Prod Assumptions'!$C$19-Production!P60/'Sched &amp; Prod Assumptions'!$C$17*Input!$B$28/1000),0)</f>
        <v>0</v>
      </c>
      <c r="R60" s="157"/>
      <c r="S60" s="161">
        <f t="shared" si="9"/>
        <v>26</v>
      </c>
      <c r="T60" s="488">
        <f>IF($S60=0,0,INDEX(Overrides!$L$47:$L$88,$S60+1,1)*$T$21+INDEX(Overrides!$L$47:$L$88,$S60,1)*$T$22)*'Sensitivity Ranges'!$F$41</f>
        <v>0</v>
      </c>
      <c r="U60" s="488">
        <f>IF($S60=0,0,INDEX(Overrides!$M$47:$M$88,$S60+1,1)*$T$21+INDEX(Overrides!$M$47:$M$88,$S60,1)*$T$22)*'Sensitivity Ranges'!$F$41</f>
        <v>0</v>
      </c>
      <c r="V60" s="488">
        <f>IF($S60=0,0,INDEX(Overrides!$N$47:$N$88,$S60+1,1)*$T$21+INDEX(Overrides!$N$47:$N$88,$S60,1)*$T$22)*'Sensitivity Ranges'!$F$41</f>
        <v>0</v>
      </c>
      <c r="W60" s="201"/>
      <c r="X60" s="161">
        <f>IF($T$20=1,T60,IF(Input!$B$11="Gas",G60,J60)-P60)</f>
        <v>4.6609888070076799</v>
      </c>
      <c r="Y60" s="161">
        <f>IF($T$20=1,U60,IF(Input!$B$11="Gas",0,G60-Q60))</f>
        <v>1.4614457112870158</v>
      </c>
      <c r="Z60" s="161">
        <f>IF($T$20=1,V60,IF(Input!$B$11="Gas",J60,0))</f>
        <v>0</v>
      </c>
      <c r="AA60" s="201"/>
      <c r="AB60" s="161">
        <f>X60*Abandonment!$H45</f>
        <v>4.6609888070076799</v>
      </c>
      <c r="AC60" s="161">
        <f>Y60*Abandonment!$H45</f>
        <v>1.4614457112870158</v>
      </c>
      <c r="AD60" s="161">
        <f>Z60*Abandonment!$H45</f>
        <v>0</v>
      </c>
      <c r="AE60" s="157"/>
      <c r="AF60" s="157"/>
      <c r="AG60" s="161">
        <f t="shared" si="10"/>
        <v>1.2235095618395158</v>
      </c>
      <c r="AH60" s="161">
        <f t="shared" si="2"/>
        <v>0.38362949921284162</v>
      </c>
      <c r="AI60" s="161">
        <f t="shared" si="2"/>
        <v>0</v>
      </c>
      <c r="AJ60" s="157"/>
      <c r="AK60" s="161">
        <f>X60*Abandonment!H45</f>
        <v>4.6609888070076799</v>
      </c>
      <c r="AL60" s="161">
        <f>Y60*Abandonment!H45</f>
        <v>1.4614457112870158</v>
      </c>
      <c r="AM60" s="161">
        <f>Z60*Abandonment!H45</f>
        <v>0</v>
      </c>
      <c r="AN60" s="161">
        <f>AK60/'Sched &amp; Prod Assumptions'!$B$15+Production!AL60+AM60</f>
        <v>2.4324850460802825</v>
      </c>
      <c r="AO60" s="161">
        <f t="shared" si="11"/>
        <v>6.6643425920007742</v>
      </c>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row>
    <row r="61" spans="1:69" x14ac:dyDescent="0.3">
      <c r="A61" s="160">
        <f t="shared" si="12"/>
        <v>2042</v>
      </c>
      <c r="B61" s="160">
        <f t="shared" si="3"/>
        <v>365</v>
      </c>
      <c r="C61" s="161">
        <f t="shared" si="13"/>
        <v>0</v>
      </c>
      <c r="D61" s="161">
        <f t="shared" si="15"/>
        <v>0</v>
      </c>
      <c r="E61" s="161">
        <f t="shared" si="4"/>
        <v>7336.5435897435891</v>
      </c>
      <c r="F61" s="161">
        <f t="shared" si="14"/>
        <v>1.2422288545939593</v>
      </c>
      <c r="G61" s="161">
        <f t="shared" si="1"/>
        <v>1.2422288545939593</v>
      </c>
      <c r="H61" s="161">
        <f t="shared" si="5"/>
        <v>3.4033667249149566</v>
      </c>
      <c r="I61" s="157"/>
      <c r="J61" s="161">
        <f>IF(AND(Input!$B$15=Lists!$Q$36,Input!$B$11="Oil"),0,G61*Input!$B$29/1000)</f>
        <v>4.1407214410180453</v>
      </c>
      <c r="K61" s="161">
        <f t="shared" si="6"/>
        <v>11.344442304159028</v>
      </c>
      <c r="L61" s="157"/>
      <c r="M61" s="161">
        <f t="shared" si="7"/>
        <v>365</v>
      </c>
      <c r="N61" s="161">
        <f t="shared" si="8"/>
        <v>1</v>
      </c>
      <c r="O61" s="157"/>
      <c r="P61" s="161">
        <f>IF(Input!$B$11="Oil",MIN('Sched &amp; Prod Assumptions'!$C$19*'Sched &amp; Prod Assumptions'!$B$15*G61,J61),G61*'Sched &amp; Prod Assumptions'!$C$18)</f>
        <v>0.17888095506153012</v>
      </c>
      <c r="Q61" s="161">
        <f>IF(Input!$B$11="Oil",IF(P61&lt;J61,0,Production!G61*'Sched &amp; Prod Assumptions'!$C$19-Production!P61/'Sched &amp; Prod Assumptions'!$C$17*Input!$B$28/1000),0)</f>
        <v>0</v>
      </c>
      <c r="R61" s="157"/>
      <c r="S61" s="161">
        <f t="shared" si="9"/>
        <v>27</v>
      </c>
      <c r="T61" s="488">
        <f>IF($S61=0,0,INDEX(Overrides!$L$47:$L$88,$S61+1,1)*$T$21+INDEX(Overrides!$L$47:$L$88,$S61,1)*$T$22)*'Sensitivity Ranges'!$F$41</f>
        <v>0</v>
      </c>
      <c r="U61" s="488">
        <f>IF($S61=0,0,INDEX(Overrides!$M$47:$M$88,$S61+1,1)*$T$21+INDEX(Overrides!$M$47:$M$88,$S61,1)*$T$22)*'Sensitivity Ranges'!$F$41</f>
        <v>0</v>
      </c>
      <c r="V61" s="488">
        <f>IF($S61=0,0,INDEX(Overrides!$N$47:$N$88,$S61+1,1)*$T$21+INDEX(Overrides!$N$47:$N$88,$S61,1)*$T$22)*'Sensitivity Ranges'!$F$41</f>
        <v>0</v>
      </c>
      <c r="W61" s="201"/>
      <c r="X61" s="161">
        <f>IF($T$20=1,T61,IF(Input!$B$11="Gas",G61,J61)-P61)</f>
        <v>3.9618404859565151</v>
      </c>
      <c r="Y61" s="161">
        <f>IF($T$20=1,U61,IF(Input!$B$11="Gas",0,G61-Q61))</f>
        <v>1.2422288545939593</v>
      </c>
      <c r="Z61" s="161">
        <f>IF($T$20=1,V61,IF(Input!$B$11="Gas",J61,0))</f>
        <v>0</v>
      </c>
      <c r="AA61" s="201"/>
      <c r="AB61" s="161">
        <f>X61*Abandonment!$H46</f>
        <v>3.9618404859565151</v>
      </c>
      <c r="AC61" s="161">
        <f>Y61*Abandonment!$H46</f>
        <v>1.2422288545939593</v>
      </c>
      <c r="AD61" s="161">
        <f>Z61*Abandonment!$H46</f>
        <v>0</v>
      </c>
      <c r="AE61" s="157"/>
      <c r="AF61" s="157"/>
      <c r="AG61" s="161">
        <f t="shared" si="10"/>
        <v>1.0399831275635851</v>
      </c>
      <c r="AH61" s="161">
        <f t="shared" si="2"/>
        <v>0.32608507433091427</v>
      </c>
      <c r="AI61" s="161">
        <f t="shared" si="2"/>
        <v>0</v>
      </c>
      <c r="AJ61" s="157"/>
      <c r="AK61" s="161">
        <f>X61*Abandonment!H46</f>
        <v>3.9618404859565151</v>
      </c>
      <c r="AL61" s="161">
        <f>Y61*Abandonment!H46</f>
        <v>1.2422288545939593</v>
      </c>
      <c r="AM61" s="161">
        <f>Z61*Abandonment!H46</f>
        <v>0</v>
      </c>
      <c r="AN61" s="161">
        <f>AK61/'Sched &amp; Prod Assumptions'!$B$15+Production!AL61+AM61</f>
        <v>2.0676122891682334</v>
      </c>
      <c r="AO61" s="161">
        <f t="shared" si="11"/>
        <v>5.6646912032006398</v>
      </c>
      <c r="AP61" s="93"/>
      <c r="AQ61" s="175"/>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row>
    <row r="62" spans="1:69" x14ac:dyDescent="0.3">
      <c r="A62" s="160">
        <f t="shared" si="12"/>
        <v>2043</v>
      </c>
      <c r="B62" s="160">
        <f t="shared" si="3"/>
        <v>365</v>
      </c>
      <c r="C62" s="161">
        <f t="shared" si="13"/>
        <v>0</v>
      </c>
      <c r="D62" s="161">
        <f t="shared" si="15"/>
        <v>0</v>
      </c>
      <c r="E62" s="161">
        <f t="shared" si="4"/>
        <v>7701.5435897435891</v>
      </c>
      <c r="F62" s="161">
        <f t="shared" si="14"/>
        <v>1.0558945264048678</v>
      </c>
      <c r="G62" s="161">
        <f t="shared" si="1"/>
        <v>1.0558945264048678</v>
      </c>
      <c r="H62" s="161">
        <f t="shared" si="5"/>
        <v>2.8928617161777201</v>
      </c>
      <c r="I62" s="157"/>
      <c r="J62" s="161">
        <f>IF(AND(Input!$B$15=Lists!$Q$36,Input!$B$11="Oil"),0,G62*Input!$B$29/1000)</f>
        <v>3.519613224865346</v>
      </c>
      <c r="K62" s="161">
        <f t="shared" si="6"/>
        <v>9.6427759585351946</v>
      </c>
      <c r="L62" s="157"/>
      <c r="M62" s="161">
        <f t="shared" si="7"/>
        <v>365</v>
      </c>
      <c r="N62" s="161">
        <f t="shared" si="8"/>
        <v>1</v>
      </c>
      <c r="O62" s="157"/>
      <c r="P62" s="161">
        <f>IF(Input!$B$11="Oil",MIN('Sched &amp; Prod Assumptions'!$C$19*'Sched &amp; Prod Assumptions'!$B$15*G62,J62),G62*'Sched &amp; Prod Assumptions'!$C$18)</f>
        <v>0.15204881180230095</v>
      </c>
      <c r="Q62" s="161">
        <f>IF(Input!$B$11="Oil",IF(P62&lt;J62,0,Production!G62*'Sched &amp; Prod Assumptions'!$C$19-Production!P62/'Sched &amp; Prod Assumptions'!$C$17*Input!$B$28/1000),0)</f>
        <v>0</v>
      </c>
      <c r="R62" s="157"/>
      <c r="S62" s="161">
        <f t="shared" si="9"/>
        <v>28</v>
      </c>
      <c r="T62" s="488">
        <f>IF($S62=0,0,INDEX(Overrides!$L$47:$L$88,$S62+1,1)*$T$21+INDEX(Overrides!$L$47:$L$88,$S62,1)*$T$22)*'Sensitivity Ranges'!$F$41</f>
        <v>0</v>
      </c>
      <c r="U62" s="488">
        <f>IF($S62=0,0,INDEX(Overrides!$M$47:$M$88,$S62+1,1)*$T$21+INDEX(Overrides!$M$47:$M$88,$S62,1)*$T$22)*'Sensitivity Ranges'!$F$41</f>
        <v>0</v>
      </c>
      <c r="V62" s="488">
        <f>IF($S62=0,0,INDEX(Overrides!$N$47:$N$88,$S62+1,1)*$T$21+INDEX(Overrides!$N$47:$N$88,$S62,1)*$T$22)*'Sensitivity Ranges'!$F$41</f>
        <v>0</v>
      </c>
      <c r="W62" s="201"/>
      <c r="X62" s="161">
        <f>IF($T$20=1,T62,IF(Input!$B$11="Gas",G62,J62)-P62)</f>
        <v>3.3675644130630449</v>
      </c>
      <c r="Y62" s="161">
        <f>IF($T$20=1,U62,IF(Input!$B$11="Gas",0,G62-Q62))</f>
        <v>1.0558945264048678</v>
      </c>
      <c r="Z62" s="161">
        <f>IF($T$20=1,V62,IF(Input!$B$11="Gas",J62,0))</f>
        <v>0</v>
      </c>
      <c r="AA62" s="201"/>
      <c r="AB62" s="161">
        <f>X62*Abandonment!$H47</f>
        <v>0</v>
      </c>
      <c r="AC62" s="161">
        <f>Y62*Abandonment!$H47</f>
        <v>0</v>
      </c>
      <c r="AD62" s="161">
        <f>Z62*Abandonment!$H47</f>
        <v>0</v>
      </c>
      <c r="AE62" s="157"/>
      <c r="AF62" s="157"/>
      <c r="AG62" s="161">
        <f t="shared" si="10"/>
        <v>0</v>
      </c>
      <c r="AH62" s="161">
        <f t="shared" si="2"/>
        <v>0</v>
      </c>
      <c r="AI62" s="161">
        <f t="shared" si="2"/>
        <v>0</v>
      </c>
      <c r="AJ62" s="157"/>
      <c r="AK62" s="161">
        <f>X62*Abandonment!H47</f>
        <v>0</v>
      </c>
      <c r="AL62" s="161">
        <f>Y62*Abandonment!H47</f>
        <v>0</v>
      </c>
      <c r="AM62" s="161">
        <f>Z62*Abandonment!H47</f>
        <v>0</v>
      </c>
      <c r="AN62" s="161">
        <f>AK62/'Sched &amp; Prod Assumptions'!$B$15+Production!AL62+AM62</f>
        <v>0</v>
      </c>
      <c r="AO62" s="161">
        <f t="shared" si="11"/>
        <v>0</v>
      </c>
      <c r="AP62" s="93"/>
      <c r="AQ62" s="175"/>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row>
    <row r="63" spans="1:69" x14ac:dyDescent="0.3">
      <c r="A63" s="160">
        <f t="shared" si="12"/>
        <v>2044</v>
      </c>
      <c r="B63" s="160">
        <f t="shared" si="3"/>
        <v>366</v>
      </c>
      <c r="C63" s="161">
        <f t="shared" si="13"/>
        <v>0</v>
      </c>
      <c r="D63" s="161">
        <f t="shared" si="15"/>
        <v>0</v>
      </c>
      <c r="E63" s="161">
        <f t="shared" si="4"/>
        <v>8067.5435897435891</v>
      </c>
      <c r="F63" s="161">
        <f t="shared" si="14"/>
        <v>0.89977437410460603</v>
      </c>
      <c r="G63" s="161">
        <f t="shared" si="1"/>
        <v>0.89977437410460603</v>
      </c>
      <c r="H63" s="161">
        <f t="shared" si="5"/>
        <v>2.4583999292475576</v>
      </c>
      <c r="I63" s="157"/>
      <c r="J63" s="161">
        <f>IF(AND(Input!$B$15=Lists!$Q$36,Input!$B$11="Oil"),0,G63*Input!$B$29/1000)</f>
        <v>2.9992179212028836</v>
      </c>
      <c r="K63" s="161">
        <f t="shared" si="6"/>
        <v>8.1945844841608846</v>
      </c>
      <c r="L63" s="157"/>
      <c r="M63" s="161">
        <f t="shared" si="7"/>
        <v>366</v>
      </c>
      <c r="N63" s="161">
        <f t="shared" si="8"/>
        <v>1</v>
      </c>
      <c r="O63" s="157"/>
      <c r="P63" s="161">
        <f>IF(Input!$B$11="Oil",MIN('Sched &amp; Prod Assumptions'!$C$19*'Sched &amp; Prod Assumptions'!$B$15*G63,J63),G63*'Sched &amp; Prod Assumptions'!$C$18)</f>
        <v>0.12956750987106325</v>
      </c>
      <c r="Q63" s="161">
        <f>IF(Input!$B$11="Oil",IF(P63&lt;J63,0,Production!G63*'Sched &amp; Prod Assumptions'!$C$19-Production!P63/'Sched &amp; Prod Assumptions'!$C$17*Input!$B$28/1000),0)</f>
        <v>0</v>
      </c>
      <c r="R63" s="157"/>
      <c r="S63" s="161">
        <f t="shared" si="9"/>
        <v>29</v>
      </c>
      <c r="T63" s="488">
        <f>IF($S63=0,0,INDEX(Overrides!$L$47:$L$88,$S63+1,1)*$T$21+INDEX(Overrides!$L$47:$L$88,$S63,1)*$T$22)*'Sensitivity Ranges'!$F$41</f>
        <v>0</v>
      </c>
      <c r="U63" s="488">
        <f>IF($S63=0,0,INDEX(Overrides!$M$47:$M$88,$S63+1,1)*$T$21+INDEX(Overrides!$M$47:$M$88,$S63,1)*$T$22)*'Sensitivity Ranges'!$F$41</f>
        <v>0</v>
      </c>
      <c r="V63" s="488">
        <f>IF($S63=0,0,INDEX(Overrides!$N$47:$N$88,$S63+1,1)*$T$21+INDEX(Overrides!$N$47:$N$88,$S63,1)*$T$22)*'Sensitivity Ranges'!$F$41</f>
        <v>0</v>
      </c>
      <c r="W63" s="201"/>
      <c r="X63" s="161">
        <f>IF($T$20=1,T63,IF(Input!$B$11="Gas",G63,J63)-P63)</f>
        <v>2.8696504113318202</v>
      </c>
      <c r="Y63" s="161">
        <f>IF($T$20=1,U63,IF(Input!$B$11="Gas",0,G63-Q63))</f>
        <v>0.89977437410460603</v>
      </c>
      <c r="Z63" s="161">
        <f>IF($T$20=1,V63,IF(Input!$B$11="Gas",J63,0))</f>
        <v>0</v>
      </c>
      <c r="AA63" s="201"/>
      <c r="AB63" s="161">
        <f>X63*Abandonment!$H48</f>
        <v>0</v>
      </c>
      <c r="AC63" s="161">
        <f>Y63*Abandonment!$H48</f>
        <v>0</v>
      </c>
      <c r="AD63" s="161">
        <f>Z63*Abandonment!$H48</f>
        <v>0</v>
      </c>
      <c r="AE63" s="157"/>
      <c r="AF63" s="157"/>
      <c r="AG63" s="161">
        <f t="shared" si="10"/>
        <v>0</v>
      </c>
      <c r="AH63" s="161">
        <f t="shared" si="2"/>
        <v>0</v>
      </c>
      <c r="AI63" s="161">
        <f t="shared" si="2"/>
        <v>0</v>
      </c>
      <c r="AJ63" s="157"/>
      <c r="AK63" s="161">
        <f>X63*Abandonment!H48</f>
        <v>0</v>
      </c>
      <c r="AL63" s="161">
        <f>Y63*Abandonment!H48</f>
        <v>0</v>
      </c>
      <c r="AM63" s="161">
        <f>Z63*Abandonment!H48</f>
        <v>0</v>
      </c>
      <c r="AN63" s="161">
        <f>AK63/'Sched &amp; Prod Assumptions'!$B$15+Production!AL63+AM63</f>
        <v>0</v>
      </c>
      <c r="AO63" s="161">
        <f t="shared" si="11"/>
        <v>0</v>
      </c>
      <c r="AP63" s="93"/>
      <c r="AQ63" s="175"/>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row>
    <row r="64" spans="1:69" x14ac:dyDescent="0.3">
      <c r="A64" s="160">
        <f t="shared" si="12"/>
        <v>2045</v>
      </c>
      <c r="B64" s="160">
        <f t="shared" si="3"/>
        <v>365</v>
      </c>
      <c r="C64" s="161">
        <f t="shared" si="13"/>
        <v>0</v>
      </c>
      <c r="D64" s="161">
        <f t="shared" si="15"/>
        <v>0</v>
      </c>
      <c r="E64" s="161">
        <f t="shared" si="4"/>
        <v>8295.0521954071955</v>
      </c>
      <c r="F64" s="161">
        <f t="shared" si="14"/>
        <v>0.48974652352863451</v>
      </c>
      <c r="G64" s="161">
        <f t="shared" si="1"/>
        <v>0.48974652352863451</v>
      </c>
      <c r="H64" s="161">
        <f t="shared" si="5"/>
        <v>2.1526505430426326</v>
      </c>
      <c r="I64" s="157"/>
      <c r="J64" s="161">
        <f>IF(AND(Input!$B$15=Lists!$Q$36,Input!$B$11="Oil"),0,G64*Input!$B$29/1000)</f>
        <v>1.6324720868779976</v>
      </c>
      <c r="K64" s="161">
        <f t="shared" si="6"/>
        <v>7.175430055124008</v>
      </c>
      <c r="L64" s="157"/>
      <c r="M64" s="161">
        <f t="shared" si="7"/>
        <v>227.50860566360643</v>
      </c>
      <c r="N64" s="161">
        <f t="shared" si="8"/>
        <v>0.62331124839344232</v>
      </c>
      <c r="O64" s="157"/>
      <c r="P64" s="161">
        <f>IF(Input!$B$11="Oil",MIN('Sched &amp; Prod Assumptions'!$C$19*'Sched &amp; Prod Assumptions'!$B$15*G64,J64),G64*'Sched &amp; Prod Assumptions'!$C$18)</f>
        <v>7.052349938812337E-2</v>
      </c>
      <c r="Q64" s="161">
        <f>IF(Input!$B$11="Oil",IF(P64&lt;J64,0,Production!G64*'Sched &amp; Prod Assumptions'!$C$19-Production!P64/'Sched &amp; Prod Assumptions'!$C$17*Input!$B$28/1000),0)</f>
        <v>0</v>
      </c>
      <c r="R64" s="157"/>
      <c r="S64" s="161">
        <f t="shared" si="9"/>
        <v>30</v>
      </c>
      <c r="T64" s="488">
        <f>IF($S64=0,0,INDEX(Overrides!$L$47:$L$88,$S64+1,1)*$T$21+INDEX(Overrides!$L$47:$L$88,$S64,1)*$T$22)*'Sensitivity Ranges'!$F$41</f>
        <v>0</v>
      </c>
      <c r="U64" s="488">
        <f>IF($S64=0,0,INDEX(Overrides!$M$47:$M$88,$S64+1,1)*$T$21+INDEX(Overrides!$M$47:$M$88,$S64,1)*$T$22)*'Sensitivity Ranges'!$F$41</f>
        <v>0</v>
      </c>
      <c r="V64" s="488">
        <f>IF($S64=0,0,INDEX(Overrides!$N$47:$N$88,$S64+1,1)*$T$21+INDEX(Overrides!$N$47:$N$88,$S64,1)*$T$22)*'Sensitivity Ranges'!$F$41</f>
        <v>0</v>
      </c>
      <c r="W64" s="201"/>
      <c r="X64" s="161">
        <f>IF($T$20=1,T64,IF(Input!$B$11="Gas",G64,J64)-P64)</f>
        <v>1.5619485874898742</v>
      </c>
      <c r="Y64" s="161">
        <f>IF($T$20=1,U64,IF(Input!$B$11="Gas",0,G64-Q64))</f>
        <v>0.48974652352863451</v>
      </c>
      <c r="Z64" s="161">
        <f>IF($T$20=1,V64,IF(Input!$B$11="Gas",J64,0))</f>
        <v>0</v>
      </c>
      <c r="AA64" s="201"/>
      <c r="AB64" s="161">
        <f>X64*Abandonment!$H49</f>
        <v>0</v>
      </c>
      <c r="AC64" s="161">
        <f>Y64*Abandonment!$H49</f>
        <v>0</v>
      </c>
      <c r="AD64" s="161">
        <f>Z64*Abandonment!$H49</f>
        <v>0</v>
      </c>
      <c r="AE64" s="157"/>
      <c r="AF64" s="157"/>
      <c r="AG64" s="161">
        <f t="shared" si="10"/>
        <v>0</v>
      </c>
      <c r="AH64" s="161">
        <f t="shared" si="2"/>
        <v>0</v>
      </c>
      <c r="AI64" s="161">
        <f t="shared" si="2"/>
        <v>0</v>
      </c>
      <c r="AJ64" s="157"/>
      <c r="AK64" s="161">
        <f>X64*Abandonment!H49</f>
        <v>0</v>
      </c>
      <c r="AL64" s="161">
        <f>Y64*Abandonment!H49</f>
        <v>0</v>
      </c>
      <c r="AM64" s="161">
        <f>Z64*Abandonment!H49</f>
        <v>0</v>
      </c>
      <c r="AN64" s="161">
        <f>AK64/'Sched &amp; Prod Assumptions'!$B$15+Production!AL64+AM64</f>
        <v>0</v>
      </c>
      <c r="AO64" s="161">
        <f t="shared" si="11"/>
        <v>0</v>
      </c>
      <c r="AP64" s="93"/>
      <c r="AQ64" s="175"/>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row>
    <row r="65" spans="1:69" x14ac:dyDescent="0.3">
      <c r="A65" s="160">
        <f t="shared" si="12"/>
        <v>2046</v>
      </c>
      <c r="B65" s="160">
        <f t="shared" si="3"/>
        <v>365</v>
      </c>
      <c r="C65" s="161">
        <f t="shared" si="13"/>
        <v>0</v>
      </c>
      <c r="D65" s="161">
        <f t="shared" si="15"/>
        <v>0</v>
      </c>
      <c r="E65" s="161">
        <f t="shared" si="4"/>
        <v>8295.0521954071955</v>
      </c>
      <c r="F65" s="161">
        <f t="shared" si="14"/>
        <v>0</v>
      </c>
      <c r="G65" s="161">
        <f t="shared" si="1"/>
        <v>0</v>
      </c>
      <c r="H65" s="161">
        <f t="shared" si="5"/>
        <v>0</v>
      </c>
      <c r="I65" s="157"/>
      <c r="J65" s="161">
        <f>IF(AND(Input!$B$15=Lists!$Q$36,Input!$B$11="Oil"),0,G65*Input!$B$29/1000)</f>
        <v>0</v>
      </c>
      <c r="K65" s="161">
        <f t="shared" si="6"/>
        <v>0</v>
      </c>
      <c r="L65" s="157"/>
      <c r="M65" s="161">
        <f t="shared" si="7"/>
        <v>0</v>
      </c>
      <c r="N65" s="161">
        <f t="shared" si="8"/>
        <v>0</v>
      </c>
      <c r="O65" s="157"/>
      <c r="P65" s="161">
        <f>IF(Input!$B$11="Oil",MIN('Sched &amp; Prod Assumptions'!$C$19*'Sched &amp; Prod Assumptions'!$B$15*G65,J65),G65*'Sched &amp; Prod Assumptions'!$C$18)</f>
        <v>0</v>
      </c>
      <c r="Q65" s="161">
        <f>IF(Input!$B$11="Oil",IF(P65&lt;J65,0,Production!G65*'Sched &amp; Prod Assumptions'!$C$19-Production!P65/'Sched &amp; Prod Assumptions'!$C$17*Input!$B$28/1000),0)</f>
        <v>0</v>
      </c>
      <c r="R65" s="157"/>
      <c r="S65" s="161">
        <f t="shared" si="9"/>
        <v>31</v>
      </c>
      <c r="T65" s="488">
        <f>IF($S65=0,0,INDEX(Overrides!$L$47:$L$88,$S65+1,1)*$T$21+INDEX(Overrides!$L$47:$L$88,$S65,1)*$T$22)*'Sensitivity Ranges'!$F$41</f>
        <v>0</v>
      </c>
      <c r="U65" s="488">
        <f>IF($S65=0,0,INDEX(Overrides!$M$47:$M$88,$S65+1,1)*$T$21+INDEX(Overrides!$M$47:$M$88,$S65,1)*$T$22)*'Sensitivity Ranges'!$F$41</f>
        <v>0</v>
      </c>
      <c r="V65" s="488">
        <f>IF($S65=0,0,INDEX(Overrides!$N$47:$N$88,$S65+1,1)*$T$21+INDEX(Overrides!$N$47:$N$88,$S65,1)*$T$22)*'Sensitivity Ranges'!$F$41</f>
        <v>0</v>
      </c>
      <c r="W65" s="201"/>
      <c r="X65" s="161">
        <f>IF($T$20=1,T65,IF(Input!$B$11="Gas",G65,J65)-P65)</f>
        <v>0</v>
      </c>
      <c r="Y65" s="161">
        <f>IF($T$20=1,U65,IF(Input!$B$11="Gas",0,G65-Q65))</f>
        <v>0</v>
      </c>
      <c r="Z65" s="161">
        <f>IF($T$20=1,V65,IF(Input!$B$11="Gas",J65,0))</f>
        <v>0</v>
      </c>
      <c r="AA65" s="201"/>
      <c r="AB65" s="161">
        <f>X65*Abandonment!$H50</f>
        <v>0</v>
      </c>
      <c r="AC65" s="161">
        <f>Y65*Abandonment!$H50</f>
        <v>0</v>
      </c>
      <c r="AD65" s="161">
        <f>Z65*Abandonment!$H50</f>
        <v>0</v>
      </c>
      <c r="AE65" s="157"/>
      <c r="AF65" s="157"/>
      <c r="AG65" s="161">
        <f t="shared" si="10"/>
        <v>0</v>
      </c>
      <c r="AH65" s="161">
        <f t="shared" si="2"/>
        <v>0</v>
      </c>
      <c r="AI65" s="161">
        <f t="shared" si="2"/>
        <v>0</v>
      </c>
      <c r="AJ65" s="157"/>
      <c r="AK65" s="161">
        <f>X65*Abandonment!H50</f>
        <v>0</v>
      </c>
      <c r="AL65" s="161">
        <f>Y65*Abandonment!H50</f>
        <v>0</v>
      </c>
      <c r="AM65" s="161">
        <f>Z65*Abandonment!H50</f>
        <v>0</v>
      </c>
      <c r="AN65" s="161">
        <f>AK65/'Sched &amp; Prod Assumptions'!$B$15+Production!AL65+AM65</f>
        <v>0</v>
      </c>
      <c r="AO65" s="161">
        <f t="shared" si="11"/>
        <v>0</v>
      </c>
      <c r="AP65" s="175"/>
      <c r="AQ65" s="175"/>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row>
    <row r="66" spans="1:69" x14ac:dyDescent="0.3">
      <c r="A66" s="160">
        <f t="shared" si="12"/>
        <v>2047</v>
      </c>
      <c r="B66" s="160">
        <f t="shared" si="3"/>
        <v>365</v>
      </c>
      <c r="C66" s="161">
        <f t="shared" si="13"/>
        <v>0</v>
      </c>
      <c r="D66" s="161">
        <f t="shared" si="15"/>
        <v>0</v>
      </c>
      <c r="E66" s="161">
        <f t="shared" si="4"/>
        <v>8295.0521954071955</v>
      </c>
      <c r="F66" s="161">
        <f t="shared" si="14"/>
        <v>0</v>
      </c>
      <c r="G66" s="161">
        <f t="shared" si="1"/>
        <v>0</v>
      </c>
      <c r="H66" s="161">
        <f t="shared" si="5"/>
        <v>0</v>
      </c>
      <c r="I66" s="157"/>
      <c r="J66" s="161">
        <f>IF(AND(Input!$B$15=Lists!$Q$36,Input!$B$11="Oil"),0,G66*Input!$B$29/1000)</f>
        <v>0</v>
      </c>
      <c r="K66" s="161">
        <f t="shared" si="6"/>
        <v>0</v>
      </c>
      <c r="L66" s="157"/>
      <c r="M66" s="161">
        <f t="shared" si="7"/>
        <v>0</v>
      </c>
      <c r="N66" s="161">
        <f t="shared" si="8"/>
        <v>0</v>
      </c>
      <c r="O66" s="157"/>
      <c r="P66" s="161">
        <f>IF(Input!$B$11="Oil",MIN('Sched &amp; Prod Assumptions'!$C$19*'Sched &amp; Prod Assumptions'!$B$15*G66,J66),G66*'Sched &amp; Prod Assumptions'!$C$18)</f>
        <v>0</v>
      </c>
      <c r="Q66" s="161">
        <f>IF(Input!$B$11="Oil",IF(P66&lt;J66,0,Production!G66*'Sched &amp; Prod Assumptions'!$C$19-Production!P66/'Sched &amp; Prod Assumptions'!$C$17*Input!$B$28/1000),0)</f>
        <v>0</v>
      </c>
      <c r="R66" s="157"/>
      <c r="S66" s="161">
        <f t="shared" si="9"/>
        <v>32</v>
      </c>
      <c r="T66" s="488">
        <f>IF($S66=0,0,INDEX(Overrides!$L$47:$L$88,$S66+1,1)*$T$21+INDEX(Overrides!$L$47:$L$88,$S66,1)*$T$22)*'Sensitivity Ranges'!$F$41</f>
        <v>0</v>
      </c>
      <c r="U66" s="488">
        <f>IF($S66=0,0,INDEX(Overrides!$M$47:$M$88,$S66+1,1)*$T$21+INDEX(Overrides!$M$47:$M$88,$S66,1)*$T$22)*'Sensitivity Ranges'!$F$41</f>
        <v>0</v>
      </c>
      <c r="V66" s="488">
        <f>IF($S66=0,0,INDEX(Overrides!$N$47:$N$88,$S66+1,1)*$T$21+INDEX(Overrides!$N$47:$N$88,$S66,1)*$T$22)*'Sensitivity Ranges'!$F$41</f>
        <v>0</v>
      </c>
      <c r="W66" s="201"/>
      <c r="X66" s="161">
        <f>IF($T$20=1,T66,IF(Input!$B$11="Gas",G66,J66)-P66)</f>
        <v>0</v>
      </c>
      <c r="Y66" s="161">
        <f>IF($T$20=1,U66,IF(Input!$B$11="Gas",0,G66-Q66))</f>
        <v>0</v>
      </c>
      <c r="Z66" s="161">
        <f>IF($T$20=1,V66,IF(Input!$B$11="Gas",J66,0))</f>
        <v>0</v>
      </c>
      <c r="AA66" s="201"/>
      <c r="AB66" s="161">
        <f>X66*Abandonment!$H51</f>
        <v>0</v>
      </c>
      <c r="AC66" s="161">
        <f>Y66*Abandonment!$H51</f>
        <v>0</v>
      </c>
      <c r="AD66" s="161">
        <f>Z66*Abandonment!$H51</f>
        <v>0</v>
      </c>
      <c r="AE66" s="157"/>
      <c r="AF66" s="157"/>
      <c r="AG66" s="161">
        <f t="shared" si="10"/>
        <v>0</v>
      </c>
      <c r="AH66" s="161">
        <f t="shared" si="2"/>
        <v>0</v>
      </c>
      <c r="AI66" s="161">
        <f t="shared" si="2"/>
        <v>0</v>
      </c>
      <c r="AJ66" s="157"/>
      <c r="AK66" s="161">
        <f>X66*Abandonment!H51</f>
        <v>0</v>
      </c>
      <c r="AL66" s="161">
        <f>Y66*Abandonment!H51</f>
        <v>0</v>
      </c>
      <c r="AM66" s="161">
        <f>Z66*Abandonment!H51</f>
        <v>0</v>
      </c>
      <c r="AN66" s="161">
        <f>AK66/'Sched &amp; Prod Assumptions'!$B$15+Production!AL66+AM66</f>
        <v>0</v>
      </c>
      <c r="AO66" s="161">
        <f t="shared" si="11"/>
        <v>0</v>
      </c>
      <c r="AP66" s="175"/>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row>
    <row r="67" spans="1:69" x14ac:dyDescent="0.3">
      <c r="A67" s="160">
        <f t="shared" si="12"/>
        <v>2048</v>
      </c>
      <c r="B67" s="160">
        <f t="shared" si="3"/>
        <v>366</v>
      </c>
      <c r="C67" s="161">
        <f t="shared" si="13"/>
        <v>0</v>
      </c>
      <c r="D67" s="161">
        <f t="shared" si="15"/>
        <v>0</v>
      </c>
      <c r="E67" s="161">
        <f t="shared" si="4"/>
        <v>8295.0521954071955</v>
      </c>
      <c r="F67" s="161">
        <f t="shared" si="14"/>
        <v>0</v>
      </c>
      <c r="G67" s="161">
        <f t="shared" si="1"/>
        <v>0</v>
      </c>
      <c r="H67" s="161">
        <f t="shared" si="5"/>
        <v>0</v>
      </c>
      <c r="I67" s="157"/>
      <c r="J67" s="161">
        <f>IF(AND(Input!$B$15=Lists!$Q$36,Input!$B$11="Oil"),0,G67*Input!$B$29/1000)</f>
        <v>0</v>
      </c>
      <c r="K67" s="161">
        <f t="shared" si="6"/>
        <v>0</v>
      </c>
      <c r="L67" s="157"/>
      <c r="M67" s="161">
        <f t="shared" si="7"/>
        <v>0</v>
      </c>
      <c r="N67" s="161">
        <f t="shared" si="8"/>
        <v>0</v>
      </c>
      <c r="O67" s="157"/>
      <c r="P67" s="161">
        <f>IF(Input!$B$11="Oil",MIN('Sched &amp; Prod Assumptions'!$C$19*'Sched &amp; Prod Assumptions'!$B$15*G67,J67),G67*'Sched &amp; Prod Assumptions'!$C$18)</f>
        <v>0</v>
      </c>
      <c r="Q67" s="161">
        <f>IF(Input!$B$11="Oil",IF(P67&lt;J67,0,Production!G67*'Sched &amp; Prod Assumptions'!$C$19-Production!P67/'Sched &amp; Prod Assumptions'!$C$17*Input!$B$28/1000),0)</f>
        <v>0</v>
      </c>
      <c r="R67" s="157"/>
      <c r="S67" s="161">
        <f t="shared" si="9"/>
        <v>33</v>
      </c>
      <c r="T67" s="488">
        <f>IF($S67=0,0,INDEX(Overrides!$L$47:$L$88,$S67+1,1)*$T$21+INDEX(Overrides!$L$47:$L$88,$S67,1)*$T$22)*'Sensitivity Ranges'!$F$41</f>
        <v>0</v>
      </c>
      <c r="U67" s="488">
        <f>IF($S67=0,0,INDEX(Overrides!$M$47:$M$88,$S67+1,1)*$T$21+INDEX(Overrides!$M$47:$M$88,$S67,1)*$T$22)*'Sensitivity Ranges'!$F$41</f>
        <v>0</v>
      </c>
      <c r="V67" s="488">
        <f>IF($S67=0,0,INDEX(Overrides!$N$47:$N$88,$S67+1,1)*$T$21+INDEX(Overrides!$N$47:$N$88,$S67,1)*$T$22)*'Sensitivity Ranges'!$F$41</f>
        <v>0</v>
      </c>
      <c r="W67" s="201"/>
      <c r="X67" s="161">
        <f>IF($T$20=1,T67,IF(Input!$B$11="Gas",G67,J67)-P67)</f>
        <v>0</v>
      </c>
      <c r="Y67" s="161">
        <f>IF($T$20=1,U67,IF(Input!$B$11="Gas",0,G67-Q67))</f>
        <v>0</v>
      </c>
      <c r="Z67" s="161">
        <f>IF($T$20=1,V67,IF(Input!$B$11="Gas",J67,0))</f>
        <v>0</v>
      </c>
      <c r="AA67" s="201"/>
      <c r="AB67" s="161">
        <f>X67*Abandonment!$H52</f>
        <v>0</v>
      </c>
      <c r="AC67" s="161">
        <f>Y67*Abandonment!$H52</f>
        <v>0</v>
      </c>
      <c r="AD67" s="161">
        <f>Z67*Abandonment!$H52</f>
        <v>0</v>
      </c>
      <c r="AE67" s="157"/>
      <c r="AF67" s="157"/>
      <c r="AG67" s="161">
        <f t="shared" si="10"/>
        <v>0</v>
      </c>
      <c r="AH67" s="161">
        <f t="shared" si="2"/>
        <v>0</v>
      </c>
      <c r="AI67" s="161">
        <f t="shared" si="2"/>
        <v>0</v>
      </c>
      <c r="AJ67" s="157"/>
      <c r="AK67" s="161">
        <f>X67*Abandonment!H52</f>
        <v>0</v>
      </c>
      <c r="AL67" s="161">
        <f>Y67*Abandonment!H52</f>
        <v>0</v>
      </c>
      <c r="AM67" s="161">
        <f>Z67*Abandonment!H52</f>
        <v>0</v>
      </c>
      <c r="AN67" s="161">
        <f>AK67/'Sched &amp; Prod Assumptions'!$B$15+Production!AL67+AM67</f>
        <v>0</v>
      </c>
      <c r="AO67" s="161">
        <f t="shared" si="11"/>
        <v>0</v>
      </c>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row>
    <row r="68" spans="1:69" x14ac:dyDescent="0.3">
      <c r="A68" s="160">
        <f t="shared" si="12"/>
        <v>2049</v>
      </c>
      <c r="B68" s="160">
        <f t="shared" si="3"/>
        <v>365</v>
      </c>
      <c r="C68" s="161">
        <f t="shared" si="13"/>
        <v>0</v>
      </c>
      <c r="D68" s="161">
        <f t="shared" si="15"/>
        <v>0</v>
      </c>
      <c r="E68" s="161">
        <f t="shared" si="4"/>
        <v>8295.0521954071955</v>
      </c>
      <c r="F68" s="161">
        <f t="shared" si="14"/>
        <v>0</v>
      </c>
      <c r="G68" s="161">
        <f t="shared" si="1"/>
        <v>0</v>
      </c>
      <c r="H68" s="161">
        <f t="shared" si="5"/>
        <v>0</v>
      </c>
      <c r="I68" s="157"/>
      <c r="J68" s="161">
        <f>IF(AND(Input!$B$15=Lists!$Q$36,Input!$B$11="Oil"),0,G68*Input!$B$29/1000)</f>
        <v>0</v>
      </c>
      <c r="K68" s="161">
        <f t="shared" si="6"/>
        <v>0</v>
      </c>
      <c r="L68" s="157"/>
      <c r="M68" s="161">
        <f t="shared" si="7"/>
        <v>0</v>
      </c>
      <c r="N68" s="161">
        <f t="shared" si="8"/>
        <v>0</v>
      </c>
      <c r="O68" s="157"/>
      <c r="P68" s="161">
        <f>IF(Input!$B$11="Oil",MIN('Sched &amp; Prod Assumptions'!$C$19*'Sched &amp; Prod Assumptions'!$B$15*G68,J68),G68*'Sched &amp; Prod Assumptions'!$C$18)</f>
        <v>0</v>
      </c>
      <c r="Q68" s="161">
        <f>IF(Input!$B$11="Oil",IF(P68&lt;J68,0,Production!G68*'Sched &amp; Prod Assumptions'!$C$19-Production!P68/'Sched &amp; Prod Assumptions'!$C$17*Input!$B$28/1000),0)</f>
        <v>0</v>
      </c>
      <c r="R68" s="157"/>
      <c r="S68" s="161">
        <f t="shared" si="9"/>
        <v>34</v>
      </c>
      <c r="T68" s="488">
        <f>IF($S68=0,0,INDEX(Overrides!$L$47:$L$88,$S68+1,1)*$T$21+INDEX(Overrides!$L$47:$L$88,$S68,1)*$T$22)*'Sensitivity Ranges'!$F$41</f>
        <v>0</v>
      </c>
      <c r="U68" s="488">
        <f>IF($S68=0,0,INDEX(Overrides!$M$47:$M$88,$S68+1,1)*$T$21+INDEX(Overrides!$M$47:$M$88,$S68,1)*$T$22)*'Sensitivity Ranges'!$F$41</f>
        <v>0</v>
      </c>
      <c r="V68" s="488">
        <f>IF($S68=0,0,INDEX(Overrides!$N$47:$N$88,$S68+1,1)*$T$21+INDEX(Overrides!$N$47:$N$88,$S68,1)*$T$22)*'Sensitivity Ranges'!$F$41</f>
        <v>0</v>
      </c>
      <c r="W68" s="201"/>
      <c r="X68" s="161">
        <f>IF($T$20=1,T68,IF(Input!$B$11="Gas",G68,J68)-P68)</f>
        <v>0</v>
      </c>
      <c r="Y68" s="161">
        <f>IF($T$20=1,U68,IF(Input!$B$11="Gas",0,G68-Q68))</f>
        <v>0</v>
      </c>
      <c r="Z68" s="161">
        <f>IF($T$20=1,V68,IF(Input!$B$11="Gas",J68,0))</f>
        <v>0</v>
      </c>
      <c r="AA68" s="201"/>
      <c r="AB68" s="161">
        <f>X68*Abandonment!$H53</f>
        <v>0</v>
      </c>
      <c r="AC68" s="161">
        <f>Y68*Abandonment!$H53</f>
        <v>0</v>
      </c>
      <c r="AD68" s="161">
        <f>Z68*Abandonment!$H53</f>
        <v>0</v>
      </c>
      <c r="AE68" s="157"/>
      <c r="AF68" s="157"/>
      <c r="AG68" s="161">
        <f t="shared" si="10"/>
        <v>0</v>
      </c>
      <c r="AH68" s="161">
        <f t="shared" si="2"/>
        <v>0</v>
      </c>
      <c r="AI68" s="161">
        <f t="shared" si="2"/>
        <v>0</v>
      </c>
      <c r="AJ68" s="157"/>
      <c r="AK68" s="161">
        <f>X68*Abandonment!H53</f>
        <v>0</v>
      </c>
      <c r="AL68" s="161">
        <f>Y68*Abandonment!H53</f>
        <v>0</v>
      </c>
      <c r="AM68" s="161">
        <f>Z68*Abandonment!H53</f>
        <v>0</v>
      </c>
      <c r="AN68" s="161">
        <f>AK68/'Sched &amp; Prod Assumptions'!$B$15+Production!AL68+AM68</f>
        <v>0</v>
      </c>
      <c r="AO68" s="161">
        <f t="shared" si="11"/>
        <v>0</v>
      </c>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row>
    <row r="69" spans="1:69" x14ac:dyDescent="0.3">
      <c r="A69" s="160">
        <f t="shared" si="12"/>
        <v>2050</v>
      </c>
      <c r="B69" s="160">
        <f t="shared" si="3"/>
        <v>365</v>
      </c>
      <c r="C69" s="161">
        <f t="shared" si="13"/>
        <v>0</v>
      </c>
      <c r="D69" s="161">
        <f t="shared" si="15"/>
        <v>0</v>
      </c>
      <c r="E69" s="161">
        <f t="shared" si="4"/>
        <v>8295.0521954071955</v>
      </c>
      <c r="F69" s="161">
        <f t="shared" si="14"/>
        <v>0</v>
      </c>
      <c r="G69" s="161">
        <f t="shared" si="1"/>
        <v>0</v>
      </c>
      <c r="H69" s="161">
        <f t="shared" si="5"/>
        <v>0</v>
      </c>
      <c r="I69" s="157"/>
      <c r="J69" s="161">
        <f>IF(AND(Input!$B$15=Lists!$Q$36,Input!$B$11="Oil"),0,G69*Input!$B$29/1000)</f>
        <v>0</v>
      </c>
      <c r="K69" s="161">
        <f t="shared" si="6"/>
        <v>0</v>
      </c>
      <c r="L69" s="157"/>
      <c r="M69" s="161">
        <f t="shared" si="7"/>
        <v>0</v>
      </c>
      <c r="N69" s="161">
        <f t="shared" si="8"/>
        <v>0</v>
      </c>
      <c r="O69" s="157"/>
      <c r="P69" s="161">
        <f>IF(Input!$B$11="Oil",MIN('Sched &amp; Prod Assumptions'!$C$19*'Sched &amp; Prod Assumptions'!$B$15*G69,J69),G69*'Sched &amp; Prod Assumptions'!$C$18)</f>
        <v>0</v>
      </c>
      <c r="Q69" s="161">
        <f>IF(Input!$B$11="Oil",IF(P69&lt;J69,0,Production!G69*'Sched &amp; Prod Assumptions'!$C$19-Production!P69/'Sched &amp; Prod Assumptions'!$C$17*Input!$B$28/1000),0)</f>
        <v>0</v>
      </c>
      <c r="R69" s="157"/>
      <c r="S69" s="161">
        <f t="shared" si="9"/>
        <v>35</v>
      </c>
      <c r="T69" s="488">
        <f>IF($S69=0,0,INDEX(Overrides!$L$47:$L$88,$S69+1,1)*$T$21+INDEX(Overrides!$L$47:$L$88,$S69,1)*$T$22)*'Sensitivity Ranges'!$F$41</f>
        <v>0</v>
      </c>
      <c r="U69" s="488">
        <f>IF($S69=0,0,INDEX(Overrides!$M$47:$M$88,$S69+1,1)*$T$21+INDEX(Overrides!$M$47:$M$88,$S69,1)*$T$22)*'Sensitivity Ranges'!$F$41</f>
        <v>0</v>
      </c>
      <c r="V69" s="488">
        <f>IF($S69=0,0,INDEX(Overrides!$N$47:$N$88,$S69+1,1)*$T$21+INDEX(Overrides!$N$47:$N$88,$S69,1)*$T$22)*'Sensitivity Ranges'!$F$41</f>
        <v>0</v>
      </c>
      <c r="W69" s="201"/>
      <c r="X69" s="161">
        <f>IF($T$20=1,T69,IF(Input!$B$11="Gas",G69,J69)-P69)</f>
        <v>0</v>
      </c>
      <c r="Y69" s="161">
        <f>IF($T$20=1,U69,IF(Input!$B$11="Gas",0,G69-Q69))</f>
        <v>0</v>
      </c>
      <c r="Z69" s="161">
        <f>IF($T$20=1,V69,IF(Input!$B$11="Gas",J69,0))</f>
        <v>0</v>
      </c>
      <c r="AA69" s="201"/>
      <c r="AB69" s="161">
        <f>X69*Abandonment!$H54</f>
        <v>0</v>
      </c>
      <c r="AC69" s="161">
        <f>Y69*Abandonment!$H54</f>
        <v>0</v>
      </c>
      <c r="AD69" s="161">
        <f>Z69*Abandonment!$H54</f>
        <v>0</v>
      </c>
      <c r="AE69" s="157"/>
      <c r="AF69" s="157"/>
      <c r="AG69" s="161">
        <f t="shared" si="10"/>
        <v>0</v>
      </c>
      <c r="AH69" s="161">
        <f t="shared" si="2"/>
        <v>0</v>
      </c>
      <c r="AI69" s="161">
        <f t="shared" si="2"/>
        <v>0</v>
      </c>
      <c r="AJ69" s="157"/>
      <c r="AK69" s="161">
        <f>X69*Abandonment!H54</f>
        <v>0</v>
      </c>
      <c r="AL69" s="161">
        <f>Y69*Abandonment!H54</f>
        <v>0</v>
      </c>
      <c r="AM69" s="161">
        <f>Z69*Abandonment!H54</f>
        <v>0</v>
      </c>
      <c r="AN69" s="161">
        <f>AK69/'Sched &amp; Prod Assumptions'!$B$15+Production!AL69+AM69</f>
        <v>0</v>
      </c>
      <c r="AO69" s="161">
        <f t="shared" si="11"/>
        <v>0</v>
      </c>
      <c r="AP69" s="93"/>
      <c r="AQ69" s="93"/>
      <c r="AR69" s="93"/>
      <c r="AS69" s="93"/>
      <c r="AT69" s="93"/>
      <c r="AU69" s="93"/>
      <c r="AV69" s="93"/>
      <c r="AW69" s="93"/>
      <c r="AX69" s="93"/>
      <c r="AY69" s="134"/>
      <c r="AZ69" s="93"/>
      <c r="BA69" s="93"/>
      <c r="BB69" s="93"/>
      <c r="BC69" s="93"/>
      <c r="BD69" s="134"/>
      <c r="BE69" s="134"/>
      <c r="BF69" s="134"/>
      <c r="BG69" s="134"/>
      <c r="BH69" s="134"/>
      <c r="BI69" s="134"/>
      <c r="BJ69" s="134"/>
      <c r="BK69" s="134"/>
      <c r="BL69" s="134"/>
      <c r="BM69" s="134"/>
      <c r="BN69" s="134"/>
      <c r="BO69" s="93"/>
      <c r="BP69" s="93"/>
      <c r="BQ69" s="134"/>
    </row>
    <row r="70" spans="1:69" x14ac:dyDescent="0.3">
      <c r="A70" s="162">
        <f t="shared" si="12"/>
        <v>2051</v>
      </c>
      <c r="B70" s="162">
        <f t="shared" si="3"/>
        <v>365</v>
      </c>
      <c r="C70" s="163">
        <f t="shared" si="13"/>
        <v>0</v>
      </c>
      <c r="D70" s="163">
        <f t="shared" si="15"/>
        <v>0</v>
      </c>
      <c r="E70" s="163">
        <f t="shared" si="4"/>
        <v>8295.0521954071955</v>
      </c>
      <c r="F70" s="163">
        <f t="shared" si="14"/>
        <v>0</v>
      </c>
      <c r="G70" s="163">
        <f t="shared" si="1"/>
        <v>0</v>
      </c>
      <c r="H70" s="163">
        <f t="shared" si="5"/>
        <v>0</v>
      </c>
      <c r="I70" s="157"/>
      <c r="J70" s="163">
        <f>IF(AND(Input!$B$15=Lists!$Q$36,Input!$B$11="Oil"),0,G70*Input!$B$29/1000)</f>
        <v>0</v>
      </c>
      <c r="K70" s="163">
        <f t="shared" si="6"/>
        <v>0</v>
      </c>
      <c r="L70" s="157"/>
      <c r="M70" s="163">
        <f t="shared" si="7"/>
        <v>0</v>
      </c>
      <c r="N70" s="163">
        <f t="shared" si="8"/>
        <v>0</v>
      </c>
      <c r="O70" s="157"/>
      <c r="P70" s="163">
        <f>IF(Input!$B$11="Oil",MIN('Sched &amp; Prod Assumptions'!$C$19*'Sched &amp; Prod Assumptions'!$B$15*G70,J70),G70*'Sched &amp; Prod Assumptions'!$C$18)</f>
        <v>0</v>
      </c>
      <c r="Q70" s="163">
        <f>IF(Input!$B$11="Oil",IF(P70&lt;J70,0,Production!G70*'Sched &amp; Prod Assumptions'!$C$19-Production!P70/'Sched &amp; Prod Assumptions'!$C$17*Input!$B$28/1000),0)</f>
        <v>0</v>
      </c>
      <c r="R70" s="157"/>
      <c r="S70" s="163">
        <f t="shared" si="9"/>
        <v>36</v>
      </c>
      <c r="T70" s="489">
        <f>IF($S70=0,0,INDEX(Overrides!$L$47:$L$88,$S70+1,1)*$T$21+INDEX(Overrides!$L$47:$L$88,$S70,1)*$T$22)*'Sensitivity Ranges'!$F$41</f>
        <v>0</v>
      </c>
      <c r="U70" s="489">
        <f>IF($S70=0,0,INDEX(Overrides!$M$47:$M$88,$S70+1,1)*$T$21+INDEX(Overrides!$M$47:$M$88,$S70,1)*$T$22)*'Sensitivity Ranges'!$F$41</f>
        <v>0</v>
      </c>
      <c r="V70" s="489">
        <f>IF($S70=0,0,INDEX(Overrides!$N$47:$N$88,$S70+1,1)*$T$21+INDEX(Overrides!$N$47:$N$88,$S70,1)*$T$22)*'Sensitivity Ranges'!$F$41</f>
        <v>0</v>
      </c>
      <c r="W70" s="201"/>
      <c r="X70" s="163">
        <f>IF($T$20=1,T70,IF(Input!$B$11="Gas",G70,J70)-P70)</f>
        <v>0</v>
      </c>
      <c r="Y70" s="163">
        <f>IF($T$20=1,U70,IF(Input!$B$11="Gas",0,G70-Q70))</f>
        <v>0</v>
      </c>
      <c r="Z70" s="163">
        <f>IF($T$20=1,V70,IF(Input!$B$11="Gas",J70,0))</f>
        <v>0</v>
      </c>
      <c r="AA70" s="201"/>
      <c r="AB70" s="163">
        <f>X70*Abandonment!$H55</f>
        <v>0</v>
      </c>
      <c r="AC70" s="163">
        <f>Y70*Abandonment!$H55</f>
        <v>0</v>
      </c>
      <c r="AD70" s="163">
        <f>Z70*Abandonment!$H55</f>
        <v>0</v>
      </c>
      <c r="AE70" s="157"/>
      <c r="AF70" s="157"/>
      <c r="AG70" s="163">
        <f t="shared" si="10"/>
        <v>0</v>
      </c>
      <c r="AH70" s="163">
        <f t="shared" si="2"/>
        <v>0</v>
      </c>
      <c r="AI70" s="163">
        <f t="shared" si="2"/>
        <v>0</v>
      </c>
      <c r="AJ70" s="157"/>
      <c r="AK70" s="163">
        <f>X70*Abandonment!H55</f>
        <v>0</v>
      </c>
      <c r="AL70" s="163">
        <f>Y70*Abandonment!H55</f>
        <v>0</v>
      </c>
      <c r="AM70" s="163">
        <f>Z70*Abandonment!H55</f>
        <v>0</v>
      </c>
      <c r="AN70" s="163">
        <f>AK70/'Sched &amp; Prod Assumptions'!$B$15+Production!AL70+AM70</f>
        <v>0</v>
      </c>
      <c r="AO70" s="163">
        <f t="shared" si="11"/>
        <v>0</v>
      </c>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row>
    <row r="71" spans="1:69"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174"/>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row>
    <row r="72" spans="1:69" x14ac:dyDescent="0.3">
      <c r="A72" s="93"/>
      <c r="B72" s="93"/>
      <c r="C72" s="93"/>
      <c r="D72" s="93"/>
      <c r="E72" s="93"/>
      <c r="F72" s="93"/>
      <c r="G72" s="93"/>
      <c r="H72" s="93"/>
      <c r="I72" s="93"/>
      <c r="J72" s="93"/>
      <c r="K72" s="93"/>
      <c r="L72" s="93"/>
      <c r="M72" s="93"/>
      <c r="N72" s="93"/>
      <c r="O72" s="93"/>
      <c r="P72" s="93"/>
      <c r="Q72" s="93"/>
      <c r="R72" s="135"/>
      <c r="S72" s="148"/>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row>
    <row r="73" spans="1:69" x14ac:dyDescent="0.3">
      <c r="A73" s="93"/>
      <c r="B73" s="93"/>
      <c r="C73" s="135"/>
      <c r="D73" s="135"/>
      <c r="E73" s="135"/>
      <c r="F73" s="135"/>
      <c r="G73" s="135"/>
      <c r="H73" s="135"/>
      <c r="I73" s="135"/>
      <c r="J73" s="135"/>
      <c r="K73" s="135"/>
      <c r="L73" s="135"/>
      <c r="M73" s="135"/>
      <c r="N73" s="135"/>
      <c r="O73" s="135"/>
      <c r="P73" s="93"/>
      <c r="Q73" s="93"/>
      <c r="R73" s="135"/>
      <c r="S73" s="189"/>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row>
    <row r="74" spans="1:69" x14ac:dyDescent="0.3">
      <c r="A74" s="93"/>
      <c r="B74" s="93"/>
      <c r="C74" s="190"/>
      <c r="D74" s="190"/>
      <c r="E74" s="190"/>
      <c r="F74" s="190"/>
      <c r="G74" s="190"/>
      <c r="H74" s="190"/>
      <c r="I74" s="190"/>
      <c r="J74" s="190"/>
      <c r="K74" s="190"/>
      <c r="L74" s="190"/>
      <c r="M74" s="190"/>
      <c r="N74" s="190"/>
      <c r="O74" s="190"/>
      <c r="P74" s="190"/>
      <c r="Q74" s="93"/>
      <c r="R74" s="190"/>
      <c r="S74" s="156"/>
      <c r="T74" s="191"/>
      <c r="U74" s="191"/>
      <c r="V74" s="191"/>
      <c r="W74" s="191"/>
      <c r="X74" s="191"/>
      <c r="Y74" s="191"/>
      <c r="Z74" s="191"/>
      <c r="AA74" s="191"/>
      <c r="AB74" s="93"/>
      <c r="AC74" s="156"/>
      <c r="AD74" s="156"/>
      <c r="AE74" s="156"/>
      <c r="AF74" s="191"/>
      <c r="AG74" s="191"/>
      <c r="AH74" s="191"/>
      <c r="AI74" s="191"/>
      <c r="AJ74" s="191"/>
      <c r="AK74" s="191"/>
      <c r="AL74" s="156"/>
      <c r="AM74" s="223"/>
      <c r="AN74" s="93"/>
      <c r="AO74" s="156"/>
      <c r="AP74" s="156"/>
      <c r="AQ74" s="190"/>
      <c r="AR74" s="190"/>
      <c r="AS74" s="190"/>
      <c r="AT74" s="190"/>
      <c r="AU74" s="190"/>
      <c r="AV74" s="190"/>
      <c r="AW74" s="156"/>
      <c r="AX74" s="93"/>
      <c r="AY74" s="190"/>
      <c r="AZ74" s="190"/>
      <c r="BA74" s="190"/>
      <c r="BB74" s="93"/>
      <c r="BC74" s="93"/>
      <c r="BD74" s="193"/>
      <c r="BE74" s="194"/>
      <c r="BF74" s="93"/>
      <c r="BG74" s="156"/>
      <c r="BH74" s="140"/>
      <c r="BI74" s="195"/>
      <c r="BJ74" s="195"/>
      <c r="BK74" s="195"/>
      <c r="BL74" s="195"/>
      <c r="BM74" s="195"/>
      <c r="BN74" s="195"/>
      <c r="BO74" s="156"/>
      <c r="BP74" s="93"/>
      <c r="BQ74" s="190"/>
    </row>
    <row r="75" spans="1:69" x14ac:dyDescent="0.3">
      <c r="A75" s="93"/>
      <c r="B75" s="190"/>
      <c r="C75" s="196"/>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197"/>
      <c r="AD75" s="197"/>
      <c r="AE75" s="197"/>
      <c r="AF75" s="197"/>
      <c r="AG75" s="197"/>
      <c r="AH75" s="197"/>
      <c r="AI75" s="197"/>
      <c r="AJ75" s="197"/>
      <c r="AK75" s="197"/>
      <c r="AL75" s="93"/>
      <c r="AM75" s="93"/>
      <c r="AN75" s="93"/>
      <c r="AO75" s="93"/>
      <c r="AP75" s="93"/>
      <c r="AQ75" s="93"/>
      <c r="AR75" s="93"/>
      <c r="AS75" s="93"/>
      <c r="AT75" s="93"/>
      <c r="AU75" s="93"/>
      <c r="AV75" s="93"/>
      <c r="AW75" s="93"/>
      <c r="AX75" s="93"/>
      <c r="AY75" s="93"/>
      <c r="AZ75" s="93"/>
      <c r="BA75" s="93"/>
      <c r="BB75" s="93"/>
      <c r="BC75" s="135"/>
      <c r="BD75" s="198"/>
      <c r="BE75" s="199"/>
      <c r="BF75" s="135"/>
      <c r="BG75" s="148"/>
      <c r="BH75" s="148"/>
      <c r="BI75" s="148"/>
      <c r="BJ75" s="148"/>
      <c r="BK75" s="148"/>
      <c r="BL75" s="148"/>
      <c r="BM75" s="148"/>
      <c r="BN75" s="148"/>
      <c r="BO75" s="93"/>
      <c r="BP75" s="93"/>
      <c r="BQ75" s="93"/>
    </row>
    <row r="76" spans="1:69"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197"/>
      <c r="AD76" s="197"/>
      <c r="AE76" s="197"/>
      <c r="AF76" s="93"/>
      <c r="AG76" s="93"/>
      <c r="AH76" s="93"/>
      <c r="AI76" s="93"/>
      <c r="AJ76" s="93"/>
      <c r="AK76" s="93"/>
      <c r="AL76" s="93"/>
      <c r="AM76" s="93"/>
      <c r="AN76" s="93"/>
      <c r="AO76" s="197"/>
      <c r="AP76" s="197"/>
      <c r="AQ76" s="93"/>
      <c r="AR76" s="93"/>
      <c r="AS76" s="93"/>
      <c r="AT76" s="93"/>
      <c r="AU76" s="93"/>
      <c r="AV76" s="93"/>
      <c r="AW76" s="93"/>
      <c r="AX76" s="93"/>
      <c r="AY76" s="93"/>
      <c r="AZ76" s="93"/>
      <c r="BA76" s="93"/>
      <c r="BB76" s="93"/>
      <c r="BC76" s="135"/>
      <c r="BD76" s="198"/>
      <c r="BE76" s="93"/>
      <c r="BF76" s="93"/>
      <c r="BG76" s="197"/>
      <c r="BH76" s="197"/>
      <c r="BI76" s="93"/>
      <c r="BJ76" s="93"/>
      <c r="BK76" s="93"/>
      <c r="BL76" s="93"/>
      <c r="BM76" s="93"/>
      <c r="BN76" s="93"/>
      <c r="BO76" s="93"/>
      <c r="BP76" s="93"/>
      <c r="BQ76" s="93"/>
    </row>
    <row r="77" spans="1:69" x14ac:dyDescent="0.3">
      <c r="A77" s="156"/>
      <c r="B77" s="183"/>
      <c r="C77" s="183"/>
      <c r="D77" s="183"/>
      <c r="E77" s="183"/>
      <c r="F77" s="183"/>
      <c r="G77" s="183"/>
      <c r="H77" s="183"/>
      <c r="I77" s="183"/>
      <c r="J77" s="183"/>
      <c r="K77" s="183"/>
      <c r="L77" s="183"/>
      <c r="M77" s="183"/>
      <c r="N77" s="183"/>
      <c r="O77" s="183"/>
      <c r="P77" s="183"/>
      <c r="Q77" s="93"/>
      <c r="R77" s="93"/>
      <c r="S77" s="183"/>
      <c r="T77" s="183"/>
      <c r="U77" s="183"/>
      <c r="V77" s="183"/>
      <c r="W77" s="183"/>
      <c r="X77" s="183"/>
      <c r="Y77" s="183"/>
      <c r="Z77" s="183"/>
      <c r="AA77" s="183"/>
      <c r="AB77" s="93"/>
      <c r="AC77" s="183"/>
      <c r="AD77" s="183"/>
      <c r="AE77" s="183"/>
      <c r="AF77" s="183"/>
      <c r="AG77" s="183"/>
      <c r="AH77" s="183"/>
      <c r="AI77" s="183"/>
      <c r="AJ77" s="183"/>
      <c r="AK77" s="183"/>
      <c r="AL77" s="183"/>
      <c r="AM77" s="228"/>
      <c r="AN77" s="93"/>
      <c r="AO77" s="183"/>
      <c r="AP77" s="183"/>
      <c r="AQ77" s="183"/>
      <c r="AR77" s="183"/>
      <c r="AS77" s="183"/>
      <c r="AT77" s="183"/>
      <c r="AU77" s="183"/>
      <c r="AV77" s="183"/>
      <c r="AW77" s="183"/>
      <c r="AX77" s="93"/>
      <c r="AY77" s="183"/>
      <c r="AZ77" s="183"/>
      <c r="BA77" s="183"/>
      <c r="BB77" s="174"/>
      <c r="BC77" s="93"/>
      <c r="BD77" s="207"/>
      <c r="BE77" s="228"/>
      <c r="BF77" s="93"/>
      <c r="BG77" s="183"/>
      <c r="BH77" s="183"/>
      <c r="BI77" s="183"/>
      <c r="BJ77" s="183"/>
      <c r="BK77" s="183"/>
      <c r="BL77" s="183"/>
      <c r="BM77" s="183"/>
      <c r="BN77" s="183"/>
      <c r="BO77" s="183"/>
      <c r="BP77" s="93"/>
      <c r="BQ77" s="183"/>
    </row>
    <row r="78" spans="1:69" x14ac:dyDescent="0.3">
      <c r="A78" s="140"/>
      <c r="B78" s="203"/>
      <c r="C78" s="203"/>
      <c r="D78" s="203"/>
      <c r="E78" s="203"/>
      <c r="F78" s="203"/>
      <c r="G78" s="203"/>
      <c r="H78" s="203"/>
      <c r="I78" s="203"/>
      <c r="J78" s="203"/>
      <c r="K78" s="203"/>
      <c r="L78" s="203"/>
      <c r="M78" s="203"/>
      <c r="N78" s="203"/>
      <c r="O78" s="203"/>
      <c r="P78" s="203"/>
      <c r="Q78" s="174"/>
      <c r="R78" s="202"/>
      <c r="S78" s="203"/>
      <c r="T78" s="203"/>
      <c r="U78" s="203"/>
      <c r="V78" s="203"/>
      <c r="W78" s="203"/>
      <c r="X78" s="203"/>
      <c r="Y78" s="203"/>
      <c r="Z78" s="203"/>
      <c r="AA78" s="203"/>
      <c r="AB78" s="93"/>
      <c r="AC78" s="203"/>
      <c r="AD78" s="203"/>
      <c r="AE78" s="203"/>
      <c r="AF78" s="203"/>
      <c r="AG78" s="203"/>
      <c r="AH78" s="203"/>
      <c r="AI78" s="203"/>
      <c r="AJ78" s="203"/>
      <c r="AK78" s="203"/>
      <c r="AL78" s="203"/>
      <c r="AM78" s="228"/>
      <c r="AN78" s="174"/>
      <c r="AO78" s="203"/>
      <c r="AP78" s="203"/>
      <c r="AQ78" s="203"/>
      <c r="AR78" s="203"/>
      <c r="AS78" s="203"/>
      <c r="AT78" s="203"/>
      <c r="AU78" s="203"/>
      <c r="AV78" s="203"/>
      <c r="AW78" s="203"/>
      <c r="AX78" s="174"/>
      <c r="AY78" s="203"/>
      <c r="AZ78" s="203"/>
      <c r="BA78" s="203"/>
      <c r="BB78" s="174"/>
      <c r="BC78" s="93"/>
      <c r="BD78" s="203"/>
      <c r="BE78" s="228"/>
      <c r="BF78" s="174"/>
      <c r="BG78" s="205"/>
      <c r="BH78" s="205"/>
      <c r="BI78" s="205"/>
      <c r="BJ78" s="205"/>
      <c r="BK78" s="205"/>
      <c r="BL78" s="205"/>
      <c r="BM78" s="205"/>
      <c r="BN78" s="205"/>
      <c r="BO78" s="203"/>
      <c r="BP78" s="93"/>
      <c r="BQ78" s="203"/>
    </row>
    <row r="79" spans="1:69" x14ac:dyDescent="0.3">
      <c r="A79" s="141"/>
      <c r="B79" s="205"/>
      <c r="C79" s="205"/>
      <c r="D79" s="205"/>
      <c r="E79" s="205"/>
      <c r="F79" s="205"/>
      <c r="G79" s="205"/>
      <c r="H79" s="205"/>
      <c r="I79" s="205"/>
      <c r="J79" s="205"/>
      <c r="K79" s="205"/>
      <c r="L79" s="205"/>
      <c r="M79" s="205"/>
      <c r="N79" s="205"/>
      <c r="O79" s="205"/>
      <c r="P79" s="205"/>
      <c r="Q79" s="174"/>
      <c r="R79" s="204"/>
      <c r="S79" s="205"/>
      <c r="T79" s="205"/>
      <c r="U79" s="205"/>
      <c r="V79" s="205"/>
      <c r="W79" s="205"/>
      <c r="X79" s="205"/>
      <c r="Y79" s="205"/>
      <c r="Z79" s="205"/>
      <c r="AA79" s="205"/>
      <c r="AB79" s="93"/>
      <c r="AC79" s="205"/>
      <c r="AD79" s="205"/>
      <c r="AE79" s="205"/>
      <c r="AF79" s="205"/>
      <c r="AG79" s="205"/>
      <c r="AH79" s="205"/>
      <c r="AI79" s="205"/>
      <c r="AJ79" s="205"/>
      <c r="AK79" s="205"/>
      <c r="AL79" s="205"/>
      <c r="AM79" s="228"/>
      <c r="AN79" s="174"/>
      <c r="AO79" s="205"/>
      <c r="AP79" s="205"/>
      <c r="AQ79" s="205"/>
      <c r="AR79" s="205"/>
      <c r="AS79" s="205"/>
      <c r="AT79" s="205"/>
      <c r="AU79" s="205"/>
      <c r="AV79" s="205"/>
      <c r="AW79" s="205"/>
      <c r="AX79" s="174"/>
      <c r="AY79" s="205"/>
      <c r="AZ79" s="205"/>
      <c r="BA79" s="205"/>
      <c r="BB79" s="174"/>
      <c r="BC79" s="93"/>
      <c r="BD79" s="205"/>
      <c r="BE79" s="228"/>
      <c r="BF79" s="174"/>
      <c r="BG79" s="205"/>
      <c r="BH79" s="205"/>
      <c r="BI79" s="205"/>
      <c r="BJ79" s="205"/>
      <c r="BK79" s="205"/>
      <c r="BL79" s="205"/>
      <c r="BM79" s="205"/>
      <c r="BN79" s="205"/>
      <c r="BO79" s="205"/>
      <c r="BP79" s="93"/>
      <c r="BQ79" s="205"/>
    </row>
    <row r="80" spans="1:69" x14ac:dyDescent="0.3">
      <c r="A80" s="141"/>
      <c r="B80" s="205"/>
      <c r="C80" s="205"/>
      <c r="D80" s="205"/>
      <c r="E80" s="205"/>
      <c r="F80" s="205"/>
      <c r="G80" s="205"/>
      <c r="H80" s="205"/>
      <c r="I80" s="205"/>
      <c r="J80" s="205"/>
      <c r="K80" s="205"/>
      <c r="L80" s="205"/>
      <c r="M80" s="205"/>
      <c r="N80" s="205"/>
      <c r="O80" s="205"/>
      <c r="P80" s="205"/>
      <c r="Q80" s="174"/>
      <c r="R80" s="204"/>
      <c r="S80" s="205"/>
      <c r="T80" s="205"/>
      <c r="U80" s="205"/>
      <c r="V80" s="205"/>
      <c r="W80" s="205"/>
      <c r="X80" s="205"/>
      <c r="Y80" s="205"/>
      <c r="Z80" s="205"/>
      <c r="AA80" s="205"/>
      <c r="AB80" s="93"/>
      <c r="AC80" s="205"/>
      <c r="AD80" s="205"/>
      <c r="AE80" s="205"/>
      <c r="AF80" s="205"/>
      <c r="AG80" s="205"/>
      <c r="AH80" s="205"/>
      <c r="AI80" s="205"/>
      <c r="AJ80" s="205"/>
      <c r="AK80" s="205"/>
      <c r="AL80" s="205"/>
      <c r="AM80" s="228"/>
      <c r="AN80" s="174"/>
      <c r="AO80" s="205"/>
      <c r="AP80" s="205"/>
      <c r="AQ80" s="205"/>
      <c r="AR80" s="205"/>
      <c r="AS80" s="205"/>
      <c r="AT80" s="205"/>
      <c r="AU80" s="205"/>
      <c r="AV80" s="205"/>
      <c r="AW80" s="205"/>
      <c r="AX80" s="174"/>
      <c r="AY80" s="205"/>
      <c r="AZ80" s="205"/>
      <c r="BA80" s="205"/>
      <c r="BB80" s="174"/>
      <c r="BC80" s="93"/>
      <c r="BD80" s="205"/>
      <c r="BE80" s="228"/>
      <c r="BF80" s="174"/>
      <c r="BG80" s="205"/>
      <c r="BH80" s="205"/>
      <c r="BI80" s="205"/>
      <c r="BJ80" s="205"/>
      <c r="BK80" s="205"/>
      <c r="BL80" s="205"/>
      <c r="BM80" s="205"/>
      <c r="BN80" s="205"/>
      <c r="BO80" s="205"/>
      <c r="BP80" s="93"/>
      <c r="BQ80" s="205"/>
    </row>
    <row r="81" spans="1:69" x14ac:dyDescent="0.3">
      <c r="A81" s="141"/>
      <c r="B81" s="205"/>
      <c r="C81" s="205"/>
      <c r="D81" s="205"/>
      <c r="E81" s="205"/>
      <c r="F81" s="205"/>
      <c r="G81" s="205"/>
      <c r="H81" s="205"/>
      <c r="I81" s="205"/>
      <c r="J81" s="205"/>
      <c r="K81" s="205"/>
      <c r="L81" s="205"/>
      <c r="M81" s="205"/>
      <c r="N81" s="205"/>
      <c r="O81" s="205"/>
      <c r="P81" s="205"/>
      <c r="Q81" s="174"/>
      <c r="R81" s="204"/>
      <c r="S81" s="205"/>
      <c r="T81" s="205"/>
      <c r="U81" s="205"/>
      <c r="V81" s="205"/>
      <c r="W81" s="205"/>
      <c r="X81" s="205"/>
      <c r="Y81" s="205"/>
      <c r="Z81" s="205"/>
      <c r="AA81" s="205"/>
      <c r="AB81" s="93"/>
      <c r="AC81" s="205"/>
      <c r="AD81" s="205"/>
      <c r="AE81" s="205"/>
      <c r="AF81" s="205"/>
      <c r="AG81" s="205"/>
      <c r="AH81" s="205"/>
      <c r="AI81" s="205"/>
      <c r="AJ81" s="205"/>
      <c r="AK81" s="205"/>
      <c r="AL81" s="205"/>
      <c r="AM81" s="228"/>
      <c r="AN81" s="174"/>
      <c r="AO81" s="205"/>
      <c r="AP81" s="205"/>
      <c r="AQ81" s="205"/>
      <c r="AR81" s="205"/>
      <c r="AS81" s="205"/>
      <c r="AT81" s="205"/>
      <c r="AU81" s="205"/>
      <c r="AV81" s="205"/>
      <c r="AW81" s="205"/>
      <c r="AX81" s="174"/>
      <c r="AY81" s="205"/>
      <c r="AZ81" s="205"/>
      <c r="BA81" s="205"/>
      <c r="BB81" s="174"/>
      <c r="BC81" s="93"/>
      <c r="BD81" s="205"/>
      <c r="BE81" s="228"/>
      <c r="BF81" s="174"/>
      <c r="BG81" s="205"/>
      <c r="BH81" s="205"/>
      <c r="BI81" s="205"/>
      <c r="BJ81" s="205"/>
      <c r="BK81" s="205"/>
      <c r="BL81" s="205"/>
      <c r="BM81" s="205"/>
      <c r="BN81" s="205"/>
      <c r="BO81" s="205"/>
      <c r="BP81" s="93"/>
      <c r="BQ81" s="205"/>
    </row>
    <row r="82" spans="1:69" x14ac:dyDescent="0.3">
      <c r="A82" s="141"/>
      <c r="B82" s="205"/>
      <c r="C82" s="205"/>
      <c r="D82" s="205"/>
      <c r="E82" s="205"/>
      <c r="F82" s="205"/>
      <c r="G82" s="205"/>
      <c r="H82" s="205"/>
      <c r="I82" s="205"/>
      <c r="J82" s="205"/>
      <c r="K82" s="205"/>
      <c r="L82" s="205"/>
      <c r="M82" s="205"/>
      <c r="N82" s="205"/>
      <c r="O82" s="205"/>
      <c r="P82" s="205"/>
      <c r="Q82" s="174"/>
      <c r="R82" s="204"/>
      <c r="S82" s="205"/>
      <c r="T82" s="205"/>
      <c r="U82" s="205"/>
      <c r="V82" s="205"/>
      <c r="W82" s="205"/>
      <c r="X82" s="205"/>
      <c r="Y82" s="205"/>
      <c r="Z82" s="205"/>
      <c r="AA82" s="205"/>
      <c r="AB82" s="93"/>
      <c r="AC82" s="205"/>
      <c r="AD82" s="205"/>
      <c r="AE82" s="205"/>
      <c r="AF82" s="205"/>
      <c r="AG82" s="205"/>
      <c r="AH82" s="205"/>
      <c r="AI82" s="205"/>
      <c r="AJ82" s="205"/>
      <c r="AK82" s="205"/>
      <c r="AL82" s="205"/>
      <c r="AM82" s="228"/>
      <c r="AN82" s="174"/>
      <c r="AO82" s="205"/>
      <c r="AP82" s="205"/>
      <c r="AQ82" s="205"/>
      <c r="AR82" s="205"/>
      <c r="AS82" s="205"/>
      <c r="AT82" s="205"/>
      <c r="AU82" s="205"/>
      <c r="AV82" s="205"/>
      <c r="AW82" s="205"/>
      <c r="AX82" s="174"/>
      <c r="AY82" s="205"/>
      <c r="AZ82" s="205"/>
      <c r="BA82" s="205"/>
      <c r="BB82" s="174"/>
      <c r="BC82" s="93"/>
      <c r="BD82" s="205"/>
      <c r="BE82" s="228"/>
      <c r="BF82" s="174"/>
      <c r="BG82" s="205"/>
      <c r="BH82" s="205"/>
      <c r="BI82" s="205"/>
      <c r="BJ82" s="205"/>
      <c r="BK82" s="205"/>
      <c r="BL82" s="205"/>
      <c r="BM82" s="205"/>
      <c r="BN82" s="205"/>
      <c r="BO82" s="205"/>
      <c r="BP82" s="205"/>
      <c r="BQ82" s="205"/>
    </row>
    <row r="83" spans="1:69" x14ac:dyDescent="0.3">
      <c r="A83" s="141"/>
      <c r="B83" s="205"/>
      <c r="C83" s="205"/>
      <c r="D83" s="205"/>
      <c r="E83" s="205"/>
      <c r="F83" s="205"/>
      <c r="G83" s="205"/>
      <c r="H83" s="205"/>
      <c r="I83" s="205"/>
      <c r="J83" s="205"/>
      <c r="K83" s="205"/>
      <c r="L83" s="205"/>
      <c r="M83" s="205"/>
      <c r="N83" s="205"/>
      <c r="O83" s="205"/>
      <c r="P83" s="205"/>
      <c r="Q83" s="174"/>
      <c r="R83" s="204"/>
      <c r="S83" s="205"/>
      <c r="T83" s="205"/>
      <c r="U83" s="205"/>
      <c r="V83" s="205"/>
      <c r="W83" s="205"/>
      <c r="X83" s="205"/>
      <c r="Y83" s="205"/>
      <c r="Z83" s="205"/>
      <c r="AA83" s="205"/>
      <c r="AB83" s="93"/>
      <c r="AC83" s="205"/>
      <c r="AD83" s="205"/>
      <c r="AE83" s="205"/>
      <c r="AF83" s="205"/>
      <c r="AG83" s="205"/>
      <c r="AH83" s="205"/>
      <c r="AI83" s="205"/>
      <c r="AJ83" s="205"/>
      <c r="AK83" s="205"/>
      <c r="AL83" s="205"/>
      <c r="AM83" s="228"/>
      <c r="AN83" s="174"/>
      <c r="AO83" s="205"/>
      <c r="AP83" s="205"/>
      <c r="AQ83" s="205"/>
      <c r="AR83" s="205"/>
      <c r="AS83" s="205"/>
      <c r="AT83" s="205"/>
      <c r="AU83" s="205"/>
      <c r="AV83" s="205"/>
      <c r="AW83" s="205"/>
      <c r="AX83" s="174"/>
      <c r="AY83" s="205"/>
      <c r="AZ83" s="205"/>
      <c r="BA83" s="205"/>
      <c r="BB83" s="174"/>
      <c r="BC83" s="93"/>
      <c r="BD83" s="205"/>
      <c r="BE83" s="228"/>
      <c r="BF83" s="174"/>
      <c r="BG83" s="205"/>
      <c r="BH83" s="205"/>
      <c r="BI83" s="205"/>
      <c r="BJ83" s="205"/>
      <c r="BK83" s="205"/>
      <c r="BL83" s="205"/>
      <c r="BM83" s="205"/>
      <c r="BN83" s="205"/>
      <c r="BO83" s="205"/>
      <c r="BP83" s="205"/>
      <c r="BQ83" s="205"/>
    </row>
    <row r="84" spans="1:69" x14ac:dyDescent="0.3">
      <c r="A84" s="141"/>
      <c r="B84" s="205"/>
      <c r="C84" s="205"/>
      <c r="D84" s="205"/>
      <c r="E84" s="205"/>
      <c r="F84" s="205"/>
      <c r="G84" s="205"/>
      <c r="H84" s="205"/>
      <c r="I84" s="205"/>
      <c r="J84" s="205"/>
      <c r="K84" s="205"/>
      <c r="L84" s="205"/>
      <c r="M84" s="205"/>
      <c r="N84" s="205"/>
      <c r="O84" s="205"/>
      <c r="P84" s="205"/>
      <c r="Q84" s="174"/>
      <c r="R84" s="204"/>
      <c r="S84" s="205"/>
      <c r="T84" s="205"/>
      <c r="U84" s="205"/>
      <c r="V84" s="205"/>
      <c r="W84" s="205"/>
      <c r="X84" s="205"/>
      <c r="Y84" s="205"/>
      <c r="Z84" s="205"/>
      <c r="AA84" s="205"/>
      <c r="AB84" s="93"/>
      <c r="AC84" s="205"/>
      <c r="AD84" s="205"/>
      <c r="AE84" s="205"/>
      <c r="AF84" s="205"/>
      <c r="AG84" s="205"/>
      <c r="AH84" s="205"/>
      <c r="AI84" s="205"/>
      <c r="AJ84" s="205"/>
      <c r="AK84" s="205"/>
      <c r="AL84" s="205"/>
      <c r="AM84" s="228"/>
      <c r="AN84" s="174"/>
      <c r="AO84" s="205"/>
      <c r="AP84" s="205"/>
      <c r="AQ84" s="205"/>
      <c r="AR84" s="205"/>
      <c r="AS84" s="205"/>
      <c r="AT84" s="205"/>
      <c r="AU84" s="205"/>
      <c r="AV84" s="205"/>
      <c r="AW84" s="205"/>
      <c r="AX84" s="174"/>
      <c r="AY84" s="205"/>
      <c r="AZ84" s="205"/>
      <c r="BA84" s="205"/>
      <c r="BB84" s="174"/>
      <c r="BC84" s="93"/>
      <c r="BD84" s="205"/>
      <c r="BE84" s="228"/>
      <c r="BF84" s="174"/>
      <c r="BG84" s="205"/>
      <c r="BH84" s="205"/>
      <c r="BI84" s="205"/>
      <c r="BJ84" s="205"/>
      <c r="BK84" s="205"/>
      <c r="BL84" s="205"/>
      <c r="BM84" s="205"/>
      <c r="BN84" s="205"/>
      <c r="BO84" s="205"/>
      <c r="BP84" s="205"/>
      <c r="BQ84" s="205"/>
    </row>
    <row r="85" spans="1:69" x14ac:dyDescent="0.3">
      <c r="A85" s="141"/>
      <c r="B85" s="205"/>
      <c r="C85" s="205"/>
      <c r="D85" s="205"/>
      <c r="E85" s="205"/>
      <c r="F85" s="205"/>
      <c r="G85" s="205"/>
      <c r="H85" s="205"/>
      <c r="I85" s="205"/>
      <c r="J85" s="205"/>
      <c r="K85" s="205"/>
      <c r="L85" s="205"/>
      <c r="M85" s="205"/>
      <c r="N85" s="205"/>
      <c r="O85" s="205"/>
      <c r="P85" s="205"/>
      <c r="Q85" s="174"/>
      <c r="R85" s="204"/>
      <c r="S85" s="205"/>
      <c r="T85" s="205"/>
      <c r="U85" s="205"/>
      <c r="V85" s="205"/>
      <c r="W85" s="205"/>
      <c r="X85" s="205"/>
      <c r="Y85" s="205"/>
      <c r="Z85" s="205"/>
      <c r="AA85" s="205"/>
      <c r="AB85" s="93"/>
      <c r="AC85" s="205"/>
      <c r="AD85" s="205"/>
      <c r="AE85" s="205"/>
      <c r="AF85" s="205"/>
      <c r="AG85" s="205"/>
      <c r="AH85" s="205"/>
      <c r="AI85" s="205"/>
      <c r="AJ85" s="205"/>
      <c r="AK85" s="205"/>
      <c r="AL85" s="205"/>
      <c r="AM85" s="228"/>
      <c r="AN85" s="174"/>
      <c r="AO85" s="205"/>
      <c r="AP85" s="205"/>
      <c r="AQ85" s="205"/>
      <c r="AR85" s="205"/>
      <c r="AS85" s="205"/>
      <c r="AT85" s="205"/>
      <c r="AU85" s="205"/>
      <c r="AV85" s="205"/>
      <c r="AW85" s="205"/>
      <c r="AX85" s="174"/>
      <c r="AY85" s="205"/>
      <c r="AZ85" s="205"/>
      <c r="BA85" s="205"/>
      <c r="BB85" s="174"/>
      <c r="BC85" s="93"/>
      <c r="BD85" s="205"/>
      <c r="BE85" s="228"/>
      <c r="BF85" s="174"/>
      <c r="BG85" s="205"/>
      <c r="BH85" s="205"/>
      <c r="BI85" s="205"/>
      <c r="BJ85" s="205"/>
      <c r="BK85" s="205"/>
      <c r="BL85" s="205"/>
      <c r="BM85" s="205"/>
      <c r="BN85" s="205"/>
      <c r="BO85" s="205"/>
      <c r="BP85" s="205"/>
      <c r="BQ85" s="205"/>
    </row>
    <row r="86" spans="1:69" x14ac:dyDescent="0.3">
      <c r="A86" s="141"/>
      <c r="B86" s="205"/>
      <c r="C86" s="205"/>
      <c r="D86" s="205"/>
      <c r="E86" s="205"/>
      <c r="F86" s="205"/>
      <c r="G86" s="205"/>
      <c r="H86" s="205"/>
      <c r="I86" s="205"/>
      <c r="J86" s="205"/>
      <c r="K86" s="205"/>
      <c r="L86" s="205"/>
      <c r="M86" s="205"/>
      <c r="N86" s="205"/>
      <c r="O86" s="205"/>
      <c r="P86" s="205"/>
      <c r="Q86" s="174"/>
      <c r="R86" s="204"/>
      <c r="S86" s="205"/>
      <c r="T86" s="205"/>
      <c r="U86" s="205"/>
      <c r="V86" s="205"/>
      <c r="W86" s="205"/>
      <c r="X86" s="205"/>
      <c r="Y86" s="205"/>
      <c r="Z86" s="205"/>
      <c r="AA86" s="205"/>
      <c r="AB86" s="93"/>
      <c r="AC86" s="205"/>
      <c r="AD86" s="205"/>
      <c r="AE86" s="205"/>
      <c r="AF86" s="205"/>
      <c r="AG86" s="205"/>
      <c r="AH86" s="205"/>
      <c r="AI86" s="205"/>
      <c r="AJ86" s="205"/>
      <c r="AK86" s="205"/>
      <c r="AL86" s="205"/>
      <c r="AM86" s="228"/>
      <c r="AN86" s="174"/>
      <c r="AO86" s="205"/>
      <c r="AP86" s="205"/>
      <c r="AQ86" s="205"/>
      <c r="AR86" s="205"/>
      <c r="AS86" s="205"/>
      <c r="AT86" s="205"/>
      <c r="AU86" s="205"/>
      <c r="AV86" s="205"/>
      <c r="AW86" s="205"/>
      <c r="AX86" s="174"/>
      <c r="AY86" s="205"/>
      <c r="AZ86" s="205"/>
      <c r="BA86" s="205"/>
      <c r="BB86" s="174"/>
      <c r="BC86" s="93"/>
      <c r="BD86" s="205"/>
      <c r="BE86" s="228"/>
      <c r="BF86" s="174"/>
      <c r="BG86" s="205"/>
      <c r="BH86" s="205"/>
      <c r="BI86" s="205"/>
      <c r="BJ86" s="205"/>
      <c r="BK86" s="205"/>
      <c r="BL86" s="205"/>
      <c r="BM86" s="205"/>
      <c r="BN86" s="205"/>
      <c r="BO86" s="205"/>
      <c r="BP86" s="205"/>
      <c r="BQ86" s="205"/>
    </row>
    <row r="87" spans="1:69" x14ac:dyDescent="0.3">
      <c r="A87" s="141"/>
      <c r="B87" s="205"/>
      <c r="C87" s="205"/>
      <c r="D87" s="205"/>
      <c r="E87" s="205"/>
      <c r="F87" s="205"/>
      <c r="G87" s="205"/>
      <c r="H87" s="205"/>
      <c r="I87" s="205"/>
      <c r="J87" s="205"/>
      <c r="K87" s="205"/>
      <c r="L87" s="205"/>
      <c r="M87" s="205"/>
      <c r="N87" s="205"/>
      <c r="O87" s="205"/>
      <c r="P87" s="205"/>
      <c r="Q87" s="174"/>
      <c r="R87" s="204"/>
      <c r="S87" s="205"/>
      <c r="T87" s="205"/>
      <c r="U87" s="205"/>
      <c r="V87" s="205"/>
      <c r="W87" s="205"/>
      <c r="X87" s="205"/>
      <c r="Y87" s="205"/>
      <c r="Z87" s="205"/>
      <c r="AA87" s="205"/>
      <c r="AB87" s="93"/>
      <c r="AC87" s="205"/>
      <c r="AD87" s="205"/>
      <c r="AE87" s="205"/>
      <c r="AF87" s="205"/>
      <c r="AG87" s="205"/>
      <c r="AH87" s="205"/>
      <c r="AI87" s="205"/>
      <c r="AJ87" s="205"/>
      <c r="AK87" s="205"/>
      <c r="AL87" s="205"/>
      <c r="AM87" s="228"/>
      <c r="AN87" s="174"/>
      <c r="AO87" s="205"/>
      <c r="AP87" s="205"/>
      <c r="AQ87" s="205"/>
      <c r="AR87" s="205"/>
      <c r="AS87" s="205"/>
      <c r="AT87" s="205"/>
      <c r="AU87" s="205"/>
      <c r="AV87" s="205"/>
      <c r="AW87" s="205"/>
      <c r="AX87" s="174"/>
      <c r="AY87" s="205"/>
      <c r="AZ87" s="205"/>
      <c r="BA87" s="205"/>
      <c r="BB87" s="174"/>
      <c r="BC87" s="93"/>
      <c r="BD87" s="205"/>
      <c r="BE87" s="228"/>
      <c r="BF87" s="174"/>
      <c r="BG87" s="205"/>
      <c r="BH87" s="205"/>
      <c r="BI87" s="205"/>
      <c r="BJ87" s="205"/>
      <c r="BK87" s="205"/>
      <c r="BL87" s="205"/>
      <c r="BM87" s="205"/>
      <c r="BN87" s="205"/>
      <c r="BO87" s="205"/>
      <c r="BP87" s="205"/>
      <c r="BQ87" s="205"/>
    </row>
    <row r="88" spans="1:69" x14ac:dyDescent="0.3">
      <c r="A88" s="141"/>
      <c r="B88" s="205"/>
      <c r="C88" s="205"/>
      <c r="D88" s="205"/>
      <c r="E88" s="205"/>
      <c r="F88" s="205"/>
      <c r="G88" s="205"/>
      <c r="H88" s="205"/>
      <c r="I88" s="205"/>
      <c r="J88" s="205"/>
      <c r="K88" s="205"/>
      <c r="L88" s="205"/>
      <c r="M88" s="205"/>
      <c r="N88" s="205"/>
      <c r="O88" s="205"/>
      <c r="P88" s="205"/>
      <c r="Q88" s="174"/>
      <c r="R88" s="204"/>
      <c r="S88" s="205"/>
      <c r="T88" s="205"/>
      <c r="U88" s="205"/>
      <c r="V88" s="205"/>
      <c r="W88" s="205"/>
      <c r="X88" s="205"/>
      <c r="Y88" s="205"/>
      <c r="Z88" s="205"/>
      <c r="AA88" s="205"/>
      <c r="AB88" s="93"/>
      <c r="AC88" s="205"/>
      <c r="AD88" s="205"/>
      <c r="AE88" s="205"/>
      <c r="AF88" s="205"/>
      <c r="AG88" s="205"/>
      <c r="AH88" s="205"/>
      <c r="AI88" s="205"/>
      <c r="AJ88" s="205"/>
      <c r="AK88" s="205"/>
      <c r="AL88" s="205"/>
      <c r="AM88" s="228"/>
      <c r="AN88" s="174"/>
      <c r="AO88" s="205"/>
      <c r="AP88" s="205"/>
      <c r="AQ88" s="205"/>
      <c r="AR88" s="205"/>
      <c r="AS88" s="205"/>
      <c r="AT88" s="205"/>
      <c r="AU88" s="205"/>
      <c r="AV88" s="205"/>
      <c r="AW88" s="205"/>
      <c r="AX88" s="174"/>
      <c r="AY88" s="205"/>
      <c r="AZ88" s="205"/>
      <c r="BA88" s="205"/>
      <c r="BB88" s="174"/>
      <c r="BC88" s="93"/>
      <c r="BD88" s="205"/>
      <c r="BE88" s="228"/>
      <c r="BF88" s="174"/>
      <c r="BG88" s="205"/>
      <c r="BH88" s="205"/>
      <c r="BI88" s="205"/>
      <c r="BJ88" s="205"/>
      <c r="BK88" s="205"/>
      <c r="BL88" s="205"/>
      <c r="BM88" s="205"/>
      <c r="BN88" s="205"/>
      <c r="BO88" s="205"/>
      <c r="BP88" s="205"/>
      <c r="BQ88" s="205"/>
    </row>
    <row r="89" spans="1:69" x14ac:dyDescent="0.3">
      <c r="A89" s="141"/>
      <c r="B89" s="205"/>
      <c r="C89" s="205"/>
      <c r="D89" s="205"/>
      <c r="E89" s="205"/>
      <c r="F89" s="205"/>
      <c r="G89" s="205"/>
      <c r="H89" s="205"/>
      <c r="I89" s="205"/>
      <c r="J89" s="205"/>
      <c r="K89" s="205"/>
      <c r="L89" s="205"/>
      <c r="M89" s="205"/>
      <c r="N89" s="205"/>
      <c r="O89" s="205"/>
      <c r="P89" s="205"/>
      <c r="Q89" s="174"/>
      <c r="R89" s="204"/>
      <c r="S89" s="205"/>
      <c r="T89" s="205"/>
      <c r="U89" s="205"/>
      <c r="V89" s="205"/>
      <c r="W89" s="205"/>
      <c r="X89" s="205"/>
      <c r="Y89" s="205"/>
      <c r="Z89" s="205"/>
      <c r="AA89" s="205"/>
      <c r="AB89" s="93"/>
      <c r="AC89" s="205"/>
      <c r="AD89" s="205"/>
      <c r="AE89" s="205"/>
      <c r="AF89" s="205"/>
      <c r="AG89" s="205"/>
      <c r="AH89" s="205"/>
      <c r="AI89" s="205"/>
      <c r="AJ89" s="205"/>
      <c r="AK89" s="205"/>
      <c r="AL89" s="205"/>
      <c r="AM89" s="228"/>
      <c r="AN89" s="174"/>
      <c r="AO89" s="205"/>
      <c r="AP89" s="205"/>
      <c r="AQ89" s="205"/>
      <c r="AR89" s="205"/>
      <c r="AS89" s="205"/>
      <c r="AT89" s="205"/>
      <c r="AU89" s="205"/>
      <c r="AV89" s="205"/>
      <c r="AW89" s="205"/>
      <c r="AX89" s="174"/>
      <c r="AY89" s="205"/>
      <c r="AZ89" s="205"/>
      <c r="BA89" s="205"/>
      <c r="BB89" s="174"/>
      <c r="BC89" s="93"/>
      <c r="BD89" s="205"/>
      <c r="BE89" s="228"/>
      <c r="BF89" s="174"/>
      <c r="BG89" s="205"/>
      <c r="BH89" s="205"/>
      <c r="BI89" s="205"/>
      <c r="BJ89" s="205"/>
      <c r="BK89" s="205"/>
      <c r="BL89" s="205"/>
      <c r="BM89" s="205"/>
      <c r="BN89" s="205"/>
      <c r="BO89" s="205"/>
      <c r="BP89" s="205"/>
      <c r="BQ89" s="205"/>
    </row>
    <row r="90" spans="1:69" x14ac:dyDescent="0.3">
      <c r="A90" s="141"/>
      <c r="B90" s="205"/>
      <c r="C90" s="205"/>
      <c r="D90" s="205"/>
      <c r="E90" s="205"/>
      <c r="F90" s="205"/>
      <c r="G90" s="205"/>
      <c r="H90" s="205"/>
      <c r="I90" s="205"/>
      <c r="J90" s="205"/>
      <c r="K90" s="205"/>
      <c r="L90" s="205"/>
      <c r="M90" s="205"/>
      <c r="N90" s="205"/>
      <c r="O90" s="205"/>
      <c r="P90" s="205"/>
      <c r="Q90" s="174"/>
      <c r="R90" s="204"/>
      <c r="S90" s="205"/>
      <c r="T90" s="205"/>
      <c r="U90" s="205"/>
      <c r="V90" s="205"/>
      <c r="W90" s="205"/>
      <c r="X90" s="205"/>
      <c r="Y90" s="205"/>
      <c r="Z90" s="205"/>
      <c r="AA90" s="205"/>
      <c r="AB90" s="93"/>
      <c r="AC90" s="205"/>
      <c r="AD90" s="205"/>
      <c r="AE90" s="205"/>
      <c r="AF90" s="205"/>
      <c r="AG90" s="205"/>
      <c r="AH90" s="205"/>
      <c r="AI90" s="205"/>
      <c r="AJ90" s="205"/>
      <c r="AK90" s="205"/>
      <c r="AL90" s="205"/>
      <c r="AM90" s="228"/>
      <c r="AN90" s="174"/>
      <c r="AO90" s="205"/>
      <c r="AP90" s="205"/>
      <c r="AQ90" s="205"/>
      <c r="AR90" s="205"/>
      <c r="AS90" s="205"/>
      <c r="AT90" s="205"/>
      <c r="AU90" s="205"/>
      <c r="AV90" s="205"/>
      <c r="AW90" s="205"/>
      <c r="AX90" s="174"/>
      <c r="AY90" s="205"/>
      <c r="AZ90" s="205"/>
      <c r="BA90" s="205"/>
      <c r="BB90" s="174"/>
      <c r="BC90" s="93"/>
      <c r="BD90" s="205"/>
      <c r="BE90" s="228"/>
      <c r="BF90" s="174"/>
      <c r="BG90" s="205"/>
      <c r="BH90" s="205"/>
      <c r="BI90" s="205"/>
      <c r="BJ90" s="205"/>
      <c r="BK90" s="205"/>
      <c r="BL90" s="205"/>
      <c r="BM90" s="205"/>
      <c r="BN90" s="205"/>
      <c r="BO90" s="205"/>
      <c r="BP90" s="205"/>
      <c r="BQ90" s="205"/>
    </row>
    <row r="91" spans="1:69" x14ac:dyDescent="0.3">
      <c r="A91" s="141"/>
      <c r="B91" s="205"/>
      <c r="C91" s="205"/>
      <c r="D91" s="205"/>
      <c r="E91" s="205"/>
      <c r="F91" s="205"/>
      <c r="G91" s="205"/>
      <c r="H91" s="205"/>
      <c r="I91" s="205"/>
      <c r="J91" s="205"/>
      <c r="K91" s="205"/>
      <c r="L91" s="205"/>
      <c r="M91" s="205"/>
      <c r="N91" s="205"/>
      <c r="O91" s="205"/>
      <c r="P91" s="205"/>
      <c r="Q91" s="174"/>
      <c r="R91" s="204"/>
      <c r="S91" s="205"/>
      <c r="T91" s="205"/>
      <c r="U91" s="205"/>
      <c r="V91" s="205"/>
      <c r="W91" s="205"/>
      <c r="X91" s="205"/>
      <c r="Y91" s="205"/>
      <c r="Z91" s="205"/>
      <c r="AA91" s="205"/>
      <c r="AB91" s="93"/>
      <c r="AC91" s="205"/>
      <c r="AD91" s="205"/>
      <c r="AE91" s="205"/>
      <c r="AF91" s="205"/>
      <c r="AG91" s="205"/>
      <c r="AH91" s="205"/>
      <c r="AI91" s="205"/>
      <c r="AJ91" s="205"/>
      <c r="AK91" s="205"/>
      <c r="AL91" s="205"/>
      <c r="AM91" s="228"/>
      <c r="AN91" s="174"/>
      <c r="AO91" s="205"/>
      <c r="AP91" s="205"/>
      <c r="AQ91" s="205"/>
      <c r="AR91" s="205"/>
      <c r="AS91" s="205"/>
      <c r="AT91" s="205"/>
      <c r="AU91" s="205"/>
      <c r="AV91" s="205"/>
      <c r="AW91" s="205"/>
      <c r="AX91" s="174"/>
      <c r="AY91" s="205"/>
      <c r="AZ91" s="205"/>
      <c r="BA91" s="205"/>
      <c r="BB91" s="174"/>
      <c r="BC91" s="93"/>
      <c r="BD91" s="205"/>
      <c r="BE91" s="228"/>
      <c r="BF91" s="174"/>
      <c r="BG91" s="205"/>
      <c r="BH91" s="205"/>
      <c r="BI91" s="205"/>
      <c r="BJ91" s="205"/>
      <c r="BK91" s="205"/>
      <c r="BL91" s="205"/>
      <c r="BM91" s="205"/>
      <c r="BN91" s="205"/>
      <c r="BO91" s="205"/>
      <c r="BP91" s="205"/>
      <c r="BQ91" s="205"/>
    </row>
    <row r="92" spans="1:69" x14ac:dyDescent="0.3">
      <c r="A92" s="141"/>
      <c r="B92" s="205"/>
      <c r="C92" s="205"/>
      <c r="D92" s="205"/>
      <c r="E92" s="205"/>
      <c r="F92" s="205"/>
      <c r="G92" s="205"/>
      <c r="H92" s="205"/>
      <c r="I92" s="205"/>
      <c r="J92" s="205"/>
      <c r="K92" s="205"/>
      <c r="L92" s="205"/>
      <c r="M92" s="205"/>
      <c r="N92" s="205"/>
      <c r="O92" s="205"/>
      <c r="P92" s="205"/>
      <c r="Q92" s="174"/>
      <c r="R92" s="204"/>
      <c r="S92" s="205"/>
      <c r="T92" s="205"/>
      <c r="U92" s="205"/>
      <c r="V92" s="205"/>
      <c r="W92" s="205"/>
      <c r="X92" s="205"/>
      <c r="Y92" s="205"/>
      <c r="Z92" s="205"/>
      <c r="AA92" s="205"/>
      <c r="AB92" s="93"/>
      <c r="AC92" s="205"/>
      <c r="AD92" s="205"/>
      <c r="AE92" s="205"/>
      <c r="AF92" s="205"/>
      <c r="AG92" s="205"/>
      <c r="AH92" s="205"/>
      <c r="AI92" s="205"/>
      <c r="AJ92" s="205"/>
      <c r="AK92" s="205"/>
      <c r="AL92" s="205"/>
      <c r="AM92" s="228"/>
      <c r="AN92" s="174"/>
      <c r="AO92" s="205"/>
      <c r="AP92" s="205"/>
      <c r="AQ92" s="205"/>
      <c r="AR92" s="205"/>
      <c r="AS92" s="205"/>
      <c r="AT92" s="205"/>
      <c r="AU92" s="205"/>
      <c r="AV92" s="205"/>
      <c r="AW92" s="205"/>
      <c r="AX92" s="174"/>
      <c r="AY92" s="205"/>
      <c r="AZ92" s="205"/>
      <c r="BA92" s="205"/>
      <c r="BB92" s="174"/>
      <c r="BC92" s="93"/>
      <c r="BD92" s="205"/>
      <c r="BE92" s="228"/>
      <c r="BF92" s="174"/>
      <c r="BG92" s="205"/>
      <c r="BH92" s="205"/>
      <c r="BI92" s="205"/>
      <c r="BJ92" s="205"/>
      <c r="BK92" s="205"/>
      <c r="BL92" s="205"/>
      <c r="BM92" s="205"/>
      <c r="BN92" s="205"/>
      <c r="BO92" s="205"/>
      <c r="BP92" s="205"/>
      <c r="BQ92" s="205"/>
    </row>
    <row r="93" spans="1:69" x14ac:dyDescent="0.3">
      <c r="A93" s="141"/>
      <c r="B93" s="205"/>
      <c r="C93" s="205"/>
      <c r="D93" s="205"/>
      <c r="E93" s="205"/>
      <c r="F93" s="205"/>
      <c r="G93" s="205"/>
      <c r="H93" s="205"/>
      <c r="I93" s="205"/>
      <c r="J93" s="205"/>
      <c r="K93" s="205"/>
      <c r="L93" s="205"/>
      <c r="M93" s="205"/>
      <c r="N93" s="205"/>
      <c r="O93" s="205"/>
      <c r="P93" s="205"/>
      <c r="Q93" s="174"/>
      <c r="R93" s="204"/>
      <c r="S93" s="205"/>
      <c r="T93" s="205"/>
      <c r="U93" s="205"/>
      <c r="V93" s="205"/>
      <c r="W93" s="205"/>
      <c r="X93" s="205"/>
      <c r="Y93" s="205"/>
      <c r="Z93" s="205"/>
      <c r="AA93" s="205"/>
      <c r="AB93" s="93"/>
      <c r="AC93" s="205"/>
      <c r="AD93" s="205"/>
      <c r="AE93" s="205"/>
      <c r="AF93" s="205"/>
      <c r="AG93" s="205"/>
      <c r="AH93" s="205"/>
      <c r="AI93" s="205"/>
      <c r="AJ93" s="205"/>
      <c r="AK93" s="205"/>
      <c r="AL93" s="205"/>
      <c r="AM93" s="228"/>
      <c r="AN93" s="174"/>
      <c r="AO93" s="205"/>
      <c r="AP93" s="205"/>
      <c r="AQ93" s="205"/>
      <c r="AR93" s="205"/>
      <c r="AS93" s="205"/>
      <c r="AT93" s="205"/>
      <c r="AU93" s="205"/>
      <c r="AV93" s="205"/>
      <c r="AW93" s="205"/>
      <c r="AX93" s="174"/>
      <c r="AY93" s="205"/>
      <c r="AZ93" s="205"/>
      <c r="BA93" s="205"/>
      <c r="BB93" s="174"/>
      <c r="BC93" s="93"/>
      <c r="BD93" s="205"/>
      <c r="BE93" s="228"/>
      <c r="BF93" s="174"/>
      <c r="BG93" s="205"/>
      <c r="BH93" s="205"/>
      <c r="BI93" s="205"/>
      <c r="BJ93" s="205"/>
      <c r="BK93" s="205"/>
      <c r="BL93" s="205"/>
      <c r="BM93" s="205"/>
      <c r="BN93" s="205"/>
      <c r="BO93" s="205"/>
      <c r="BP93" s="205"/>
      <c r="BQ93" s="205"/>
    </row>
    <row r="94" spans="1:69" x14ac:dyDescent="0.3">
      <c r="A94" s="141"/>
      <c r="B94" s="205"/>
      <c r="C94" s="205"/>
      <c r="D94" s="205"/>
      <c r="E94" s="205"/>
      <c r="F94" s="205"/>
      <c r="G94" s="205"/>
      <c r="H94" s="205"/>
      <c r="I94" s="205"/>
      <c r="J94" s="205"/>
      <c r="K94" s="205"/>
      <c r="L94" s="205"/>
      <c r="M94" s="205"/>
      <c r="N94" s="205"/>
      <c r="O94" s="205"/>
      <c r="P94" s="205"/>
      <c r="Q94" s="174"/>
      <c r="R94" s="204"/>
      <c r="S94" s="205"/>
      <c r="T94" s="205"/>
      <c r="U94" s="205"/>
      <c r="V94" s="205"/>
      <c r="W94" s="205"/>
      <c r="X94" s="205"/>
      <c r="Y94" s="205"/>
      <c r="Z94" s="205"/>
      <c r="AA94" s="205"/>
      <c r="AB94" s="93"/>
      <c r="AC94" s="205"/>
      <c r="AD94" s="205"/>
      <c r="AE94" s="205"/>
      <c r="AF94" s="205"/>
      <c r="AG94" s="205"/>
      <c r="AH94" s="205"/>
      <c r="AI94" s="205"/>
      <c r="AJ94" s="205"/>
      <c r="AK94" s="205"/>
      <c r="AL94" s="205"/>
      <c r="AM94" s="228"/>
      <c r="AN94" s="174"/>
      <c r="AO94" s="205"/>
      <c r="AP94" s="205"/>
      <c r="AQ94" s="205"/>
      <c r="AR94" s="205"/>
      <c r="AS94" s="205"/>
      <c r="AT94" s="205"/>
      <c r="AU94" s="205"/>
      <c r="AV94" s="205"/>
      <c r="AW94" s="205"/>
      <c r="AX94" s="174"/>
      <c r="AY94" s="205"/>
      <c r="AZ94" s="205"/>
      <c r="BA94" s="205"/>
      <c r="BB94" s="174"/>
      <c r="BC94" s="93"/>
      <c r="BD94" s="205"/>
      <c r="BE94" s="228"/>
      <c r="BF94" s="174"/>
      <c r="BG94" s="205"/>
      <c r="BH94" s="205"/>
      <c r="BI94" s="205"/>
      <c r="BJ94" s="205"/>
      <c r="BK94" s="205"/>
      <c r="BL94" s="205"/>
      <c r="BM94" s="205"/>
      <c r="BN94" s="205"/>
      <c r="BO94" s="205"/>
      <c r="BP94" s="205"/>
      <c r="BQ94" s="205"/>
    </row>
    <row r="95" spans="1:69" x14ac:dyDescent="0.3">
      <c r="A95" s="141"/>
      <c r="B95" s="205"/>
      <c r="C95" s="205"/>
      <c r="D95" s="205"/>
      <c r="E95" s="205"/>
      <c r="F95" s="205"/>
      <c r="G95" s="205"/>
      <c r="H95" s="205"/>
      <c r="I95" s="205"/>
      <c r="J95" s="205"/>
      <c r="K95" s="205"/>
      <c r="L95" s="205"/>
      <c r="M95" s="205"/>
      <c r="N95" s="205"/>
      <c r="O95" s="205"/>
      <c r="P95" s="205"/>
      <c r="Q95" s="174"/>
      <c r="R95" s="204"/>
      <c r="S95" s="205"/>
      <c r="T95" s="205"/>
      <c r="U95" s="205"/>
      <c r="V95" s="205"/>
      <c r="W95" s="205"/>
      <c r="X95" s="205"/>
      <c r="Y95" s="205"/>
      <c r="Z95" s="205"/>
      <c r="AA95" s="205"/>
      <c r="AB95" s="93"/>
      <c r="AC95" s="205"/>
      <c r="AD95" s="205"/>
      <c r="AE95" s="205"/>
      <c r="AF95" s="205"/>
      <c r="AG95" s="205"/>
      <c r="AH95" s="205"/>
      <c r="AI95" s="205"/>
      <c r="AJ95" s="205"/>
      <c r="AK95" s="205"/>
      <c r="AL95" s="205"/>
      <c r="AM95" s="228"/>
      <c r="AN95" s="174"/>
      <c r="AO95" s="205"/>
      <c r="AP95" s="205"/>
      <c r="AQ95" s="205"/>
      <c r="AR95" s="205"/>
      <c r="AS95" s="205"/>
      <c r="AT95" s="205"/>
      <c r="AU95" s="205"/>
      <c r="AV95" s="205"/>
      <c r="AW95" s="205"/>
      <c r="AX95" s="174"/>
      <c r="AY95" s="205"/>
      <c r="AZ95" s="205"/>
      <c r="BA95" s="205"/>
      <c r="BB95" s="174"/>
      <c r="BC95" s="93"/>
      <c r="BD95" s="205"/>
      <c r="BE95" s="228"/>
      <c r="BF95" s="174"/>
      <c r="BG95" s="205"/>
      <c r="BH95" s="205"/>
      <c r="BI95" s="205"/>
      <c r="BJ95" s="205"/>
      <c r="BK95" s="205"/>
      <c r="BL95" s="205"/>
      <c r="BM95" s="205"/>
      <c r="BN95" s="205"/>
      <c r="BO95" s="205"/>
      <c r="BP95" s="205"/>
      <c r="BQ95" s="205"/>
    </row>
    <row r="96" spans="1:69" x14ac:dyDescent="0.3">
      <c r="A96" s="141"/>
      <c r="B96" s="205"/>
      <c r="C96" s="205"/>
      <c r="D96" s="205"/>
      <c r="E96" s="205"/>
      <c r="F96" s="205"/>
      <c r="G96" s="205"/>
      <c r="H96" s="205"/>
      <c r="I96" s="205"/>
      <c r="J96" s="205"/>
      <c r="K96" s="205"/>
      <c r="L96" s="205"/>
      <c r="M96" s="205"/>
      <c r="N96" s="205"/>
      <c r="O96" s="205"/>
      <c r="P96" s="205"/>
      <c r="Q96" s="174"/>
      <c r="R96" s="204"/>
      <c r="S96" s="205"/>
      <c r="T96" s="205"/>
      <c r="U96" s="205"/>
      <c r="V96" s="205"/>
      <c r="W96" s="205"/>
      <c r="X96" s="205"/>
      <c r="Y96" s="205"/>
      <c r="Z96" s="205"/>
      <c r="AA96" s="205"/>
      <c r="AB96" s="93"/>
      <c r="AC96" s="205"/>
      <c r="AD96" s="205"/>
      <c r="AE96" s="205"/>
      <c r="AF96" s="205"/>
      <c r="AG96" s="205"/>
      <c r="AH96" s="205"/>
      <c r="AI96" s="205"/>
      <c r="AJ96" s="205"/>
      <c r="AK96" s="205"/>
      <c r="AL96" s="205"/>
      <c r="AM96" s="228"/>
      <c r="AN96" s="174"/>
      <c r="AO96" s="205"/>
      <c r="AP96" s="205"/>
      <c r="AQ96" s="205"/>
      <c r="AR96" s="205"/>
      <c r="AS96" s="205"/>
      <c r="AT96" s="205"/>
      <c r="AU96" s="205"/>
      <c r="AV96" s="205"/>
      <c r="AW96" s="205"/>
      <c r="AX96" s="174"/>
      <c r="AY96" s="205"/>
      <c r="AZ96" s="205"/>
      <c r="BA96" s="205"/>
      <c r="BB96" s="174"/>
      <c r="BC96" s="93"/>
      <c r="BD96" s="205"/>
      <c r="BE96" s="228"/>
      <c r="BF96" s="174"/>
      <c r="BG96" s="205"/>
      <c r="BH96" s="205"/>
      <c r="BI96" s="205"/>
      <c r="BJ96" s="205"/>
      <c r="BK96" s="205"/>
      <c r="BL96" s="205"/>
      <c r="BM96" s="205"/>
      <c r="BN96" s="205"/>
      <c r="BO96" s="205"/>
      <c r="BP96" s="205"/>
      <c r="BQ96" s="205"/>
    </row>
    <row r="97" spans="1:69" x14ac:dyDescent="0.3">
      <c r="A97" s="141"/>
      <c r="B97" s="205"/>
      <c r="C97" s="205"/>
      <c r="D97" s="205"/>
      <c r="E97" s="205"/>
      <c r="F97" s="205"/>
      <c r="G97" s="205"/>
      <c r="H97" s="205"/>
      <c r="I97" s="205"/>
      <c r="J97" s="205"/>
      <c r="K97" s="205"/>
      <c r="L97" s="205"/>
      <c r="M97" s="205"/>
      <c r="N97" s="205"/>
      <c r="O97" s="205"/>
      <c r="P97" s="205"/>
      <c r="Q97" s="174"/>
      <c r="R97" s="204"/>
      <c r="S97" s="205"/>
      <c r="T97" s="205"/>
      <c r="U97" s="205"/>
      <c r="V97" s="205"/>
      <c r="W97" s="205"/>
      <c r="X97" s="205"/>
      <c r="Y97" s="205"/>
      <c r="Z97" s="205"/>
      <c r="AA97" s="205"/>
      <c r="AB97" s="93"/>
      <c r="AC97" s="205"/>
      <c r="AD97" s="205"/>
      <c r="AE97" s="205"/>
      <c r="AF97" s="205"/>
      <c r="AG97" s="205"/>
      <c r="AH97" s="205"/>
      <c r="AI97" s="205"/>
      <c r="AJ97" s="205"/>
      <c r="AK97" s="205"/>
      <c r="AL97" s="205"/>
      <c r="AM97" s="228"/>
      <c r="AN97" s="174"/>
      <c r="AO97" s="205"/>
      <c r="AP97" s="205"/>
      <c r="AQ97" s="205"/>
      <c r="AR97" s="205"/>
      <c r="AS97" s="205"/>
      <c r="AT97" s="205"/>
      <c r="AU97" s="205"/>
      <c r="AV97" s="205"/>
      <c r="AW97" s="205"/>
      <c r="AX97" s="174"/>
      <c r="AY97" s="205"/>
      <c r="AZ97" s="205"/>
      <c r="BA97" s="205"/>
      <c r="BB97" s="174"/>
      <c r="BC97" s="93"/>
      <c r="BD97" s="205"/>
      <c r="BE97" s="228"/>
      <c r="BF97" s="174"/>
      <c r="BG97" s="205"/>
      <c r="BH97" s="205"/>
      <c r="BI97" s="205"/>
      <c r="BJ97" s="205"/>
      <c r="BK97" s="205"/>
      <c r="BL97" s="205"/>
      <c r="BM97" s="205"/>
      <c r="BN97" s="205"/>
      <c r="BO97" s="205"/>
      <c r="BP97" s="205"/>
      <c r="BQ97" s="205"/>
    </row>
    <row r="98" spans="1:69" x14ac:dyDescent="0.3">
      <c r="A98" s="141"/>
      <c r="B98" s="205"/>
      <c r="C98" s="205"/>
      <c r="D98" s="205"/>
      <c r="E98" s="205"/>
      <c r="F98" s="205"/>
      <c r="G98" s="205"/>
      <c r="H98" s="205"/>
      <c r="I98" s="205"/>
      <c r="J98" s="205"/>
      <c r="K98" s="205"/>
      <c r="L98" s="205"/>
      <c r="M98" s="205"/>
      <c r="N98" s="205"/>
      <c r="O98" s="205"/>
      <c r="P98" s="205"/>
      <c r="Q98" s="174"/>
      <c r="R98" s="204"/>
      <c r="S98" s="205"/>
      <c r="T98" s="205"/>
      <c r="U98" s="205"/>
      <c r="V98" s="205"/>
      <c r="W98" s="205"/>
      <c r="X98" s="205"/>
      <c r="Y98" s="205"/>
      <c r="Z98" s="205"/>
      <c r="AA98" s="205"/>
      <c r="AB98" s="93"/>
      <c r="AC98" s="205"/>
      <c r="AD98" s="205"/>
      <c r="AE98" s="205"/>
      <c r="AF98" s="205"/>
      <c r="AG98" s="205"/>
      <c r="AH98" s="205"/>
      <c r="AI98" s="205"/>
      <c r="AJ98" s="205"/>
      <c r="AK98" s="205"/>
      <c r="AL98" s="205"/>
      <c r="AM98" s="228"/>
      <c r="AN98" s="174"/>
      <c r="AO98" s="205"/>
      <c r="AP98" s="205"/>
      <c r="AQ98" s="205"/>
      <c r="AR98" s="205"/>
      <c r="AS98" s="205"/>
      <c r="AT98" s="205"/>
      <c r="AU98" s="205"/>
      <c r="AV98" s="205"/>
      <c r="AW98" s="205"/>
      <c r="AX98" s="174"/>
      <c r="AY98" s="205"/>
      <c r="AZ98" s="205"/>
      <c r="BA98" s="205"/>
      <c r="BB98" s="174"/>
      <c r="BC98" s="93"/>
      <c r="BD98" s="205"/>
      <c r="BE98" s="228"/>
      <c r="BF98" s="174"/>
      <c r="BG98" s="205"/>
      <c r="BH98" s="205"/>
      <c r="BI98" s="205"/>
      <c r="BJ98" s="205"/>
      <c r="BK98" s="205"/>
      <c r="BL98" s="205"/>
      <c r="BM98" s="205"/>
      <c r="BN98" s="205"/>
      <c r="BO98" s="205"/>
      <c r="BP98" s="205"/>
      <c r="BQ98" s="205"/>
    </row>
    <row r="99" spans="1:69" x14ac:dyDescent="0.3">
      <c r="A99" s="141"/>
      <c r="B99" s="205"/>
      <c r="C99" s="205"/>
      <c r="D99" s="205"/>
      <c r="E99" s="205"/>
      <c r="F99" s="205"/>
      <c r="G99" s="205"/>
      <c r="H99" s="205"/>
      <c r="I99" s="205"/>
      <c r="J99" s="205"/>
      <c r="K99" s="205"/>
      <c r="L99" s="205"/>
      <c r="M99" s="205"/>
      <c r="N99" s="205"/>
      <c r="O99" s="205"/>
      <c r="P99" s="205"/>
      <c r="Q99" s="174"/>
      <c r="R99" s="204"/>
      <c r="S99" s="205"/>
      <c r="T99" s="205"/>
      <c r="U99" s="205"/>
      <c r="V99" s="205"/>
      <c r="W99" s="205"/>
      <c r="X99" s="205"/>
      <c r="Y99" s="205"/>
      <c r="Z99" s="205"/>
      <c r="AA99" s="205"/>
      <c r="AB99" s="93"/>
      <c r="AC99" s="205"/>
      <c r="AD99" s="205"/>
      <c r="AE99" s="205"/>
      <c r="AF99" s="205"/>
      <c r="AG99" s="205"/>
      <c r="AH99" s="205"/>
      <c r="AI99" s="205"/>
      <c r="AJ99" s="205"/>
      <c r="AK99" s="205"/>
      <c r="AL99" s="205"/>
      <c r="AM99" s="228"/>
      <c r="AN99" s="174"/>
      <c r="AO99" s="205"/>
      <c r="AP99" s="205"/>
      <c r="AQ99" s="205"/>
      <c r="AR99" s="205"/>
      <c r="AS99" s="205"/>
      <c r="AT99" s="205"/>
      <c r="AU99" s="205"/>
      <c r="AV99" s="205"/>
      <c r="AW99" s="205"/>
      <c r="AX99" s="174"/>
      <c r="AY99" s="205"/>
      <c r="AZ99" s="205"/>
      <c r="BA99" s="205"/>
      <c r="BB99" s="174"/>
      <c r="BC99" s="93"/>
      <c r="BD99" s="205"/>
      <c r="BE99" s="228"/>
      <c r="BF99" s="174"/>
      <c r="BG99" s="205"/>
      <c r="BH99" s="205"/>
      <c r="BI99" s="205"/>
      <c r="BJ99" s="205"/>
      <c r="BK99" s="205"/>
      <c r="BL99" s="205"/>
      <c r="BM99" s="205"/>
      <c r="BN99" s="205"/>
      <c r="BO99" s="205"/>
      <c r="BP99" s="205"/>
      <c r="BQ99" s="205"/>
    </row>
    <row r="100" spans="1:69" x14ac:dyDescent="0.3">
      <c r="A100" s="141"/>
      <c r="B100" s="205"/>
      <c r="C100" s="205"/>
      <c r="D100" s="205"/>
      <c r="E100" s="205"/>
      <c r="F100" s="205"/>
      <c r="G100" s="205"/>
      <c r="H100" s="205"/>
      <c r="I100" s="205"/>
      <c r="J100" s="205"/>
      <c r="K100" s="205"/>
      <c r="L100" s="205"/>
      <c r="M100" s="205"/>
      <c r="N100" s="205"/>
      <c r="O100" s="205"/>
      <c r="P100" s="205"/>
      <c r="Q100" s="174"/>
      <c r="R100" s="204"/>
      <c r="S100" s="205"/>
      <c r="T100" s="205"/>
      <c r="U100" s="205"/>
      <c r="V100" s="205"/>
      <c r="W100" s="205"/>
      <c r="X100" s="205"/>
      <c r="Y100" s="205"/>
      <c r="Z100" s="205"/>
      <c r="AA100" s="205"/>
      <c r="AB100" s="93"/>
      <c r="AC100" s="205"/>
      <c r="AD100" s="205"/>
      <c r="AE100" s="205"/>
      <c r="AF100" s="205"/>
      <c r="AG100" s="205"/>
      <c r="AH100" s="205"/>
      <c r="AI100" s="205"/>
      <c r="AJ100" s="205"/>
      <c r="AK100" s="205"/>
      <c r="AL100" s="205"/>
      <c r="AM100" s="228"/>
      <c r="AN100" s="174"/>
      <c r="AO100" s="205"/>
      <c r="AP100" s="205"/>
      <c r="AQ100" s="205"/>
      <c r="AR100" s="205"/>
      <c r="AS100" s="205"/>
      <c r="AT100" s="205"/>
      <c r="AU100" s="205"/>
      <c r="AV100" s="205"/>
      <c r="AW100" s="205"/>
      <c r="AX100" s="174"/>
      <c r="AY100" s="205"/>
      <c r="AZ100" s="205"/>
      <c r="BA100" s="205"/>
      <c r="BB100" s="174"/>
      <c r="BC100" s="93"/>
      <c r="BD100" s="205"/>
      <c r="BE100" s="228"/>
      <c r="BF100" s="174"/>
      <c r="BG100" s="205"/>
      <c r="BH100" s="205"/>
      <c r="BI100" s="205"/>
      <c r="BJ100" s="205"/>
      <c r="BK100" s="205"/>
      <c r="BL100" s="205"/>
      <c r="BM100" s="205"/>
      <c r="BN100" s="205"/>
      <c r="BO100" s="205"/>
      <c r="BP100" s="205"/>
      <c r="BQ100" s="205"/>
    </row>
    <row r="101" spans="1:69" x14ac:dyDescent="0.3">
      <c r="A101" s="141"/>
      <c r="B101" s="205"/>
      <c r="C101" s="205"/>
      <c r="D101" s="205"/>
      <c r="E101" s="205"/>
      <c r="F101" s="205"/>
      <c r="G101" s="205"/>
      <c r="H101" s="205"/>
      <c r="I101" s="205"/>
      <c r="J101" s="205"/>
      <c r="K101" s="205"/>
      <c r="L101" s="205"/>
      <c r="M101" s="205"/>
      <c r="N101" s="205"/>
      <c r="O101" s="205"/>
      <c r="P101" s="205"/>
      <c r="Q101" s="174"/>
      <c r="R101" s="204"/>
      <c r="S101" s="205"/>
      <c r="T101" s="205"/>
      <c r="U101" s="205"/>
      <c r="V101" s="205"/>
      <c r="W101" s="205"/>
      <c r="X101" s="205"/>
      <c r="Y101" s="205"/>
      <c r="Z101" s="205"/>
      <c r="AA101" s="205"/>
      <c r="AB101" s="93"/>
      <c r="AC101" s="205"/>
      <c r="AD101" s="205"/>
      <c r="AE101" s="205"/>
      <c r="AF101" s="205"/>
      <c r="AG101" s="205"/>
      <c r="AH101" s="205"/>
      <c r="AI101" s="205"/>
      <c r="AJ101" s="205"/>
      <c r="AK101" s="205"/>
      <c r="AL101" s="205"/>
      <c r="AM101" s="228"/>
      <c r="AN101" s="174"/>
      <c r="AO101" s="205"/>
      <c r="AP101" s="205"/>
      <c r="AQ101" s="205"/>
      <c r="AR101" s="205"/>
      <c r="AS101" s="205"/>
      <c r="AT101" s="205"/>
      <c r="AU101" s="205"/>
      <c r="AV101" s="205"/>
      <c r="AW101" s="205"/>
      <c r="AX101" s="174"/>
      <c r="AY101" s="205"/>
      <c r="AZ101" s="205"/>
      <c r="BA101" s="205"/>
      <c r="BB101" s="174"/>
      <c r="BC101" s="93"/>
      <c r="BD101" s="205"/>
      <c r="BE101" s="228"/>
      <c r="BF101" s="174"/>
      <c r="BG101" s="205"/>
      <c r="BH101" s="205"/>
      <c r="BI101" s="205"/>
      <c r="BJ101" s="205"/>
      <c r="BK101" s="205"/>
      <c r="BL101" s="205"/>
      <c r="BM101" s="205"/>
      <c r="BN101" s="205"/>
      <c r="BO101" s="205"/>
      <c r="BP101" s="205"/>
      <c r="BQ101" s="205"/>
    </row>
    <row r="102" spans="1:69" x14ac:dyDescent="0.3">
      <c r="A102" s="141"/>
      <c r="B102" s="205"/>
      <c r="C102" s="205"/>
      <c r="D102" s="205"/>
      <c r="E102" s="205"/>
      <c r="F102" s="205"/>
      <c r="G102" s="205"/>
      <c r="H102" s="205"/>
      <c r="I102" s="205"/>
      <c r="J102" s="205"/>
      <c r="K102" s="205"/>
      <c r="L102" s="205"/>
      <c r="M102" s="205"/>
      <c r="N102" s="205"/>
      <c r="O102" s="205"/>
      <c r="P102" s="205"/>
      <c r="Q102" s="174"/>
      <c r="R102" s="204"/>
      <c r="S102" s="205"/>
      <c r="T102" s="205"/>
      <c r="U102" s="205"/>
      <c r="V102" s="205"/>
      <c r="W102" s="205"/>
      <c r="X102" s="205"/>
      <c r="Y102" s="205"/>
      <c r="Z102" s="205"/>
      <c r="AA102" s="205"/>
      <c r="AB102" s="93"/>
      <c r="AC102" s="205"/>
      <c r="AD102" s="205"/>
      <c r="AE102" s="205"/>
      <c r="AF102" s="205"/>
      <c r="AG102" s="205"/>
      <c r="AH102" s="205"/>
      <c r="AI102" s="205"/>
      <c r="AJ102" s="205"/>
      <c r="AK102" s="205"/>
      <c r="AL102" s="205"/>
      <c r="AM102" s="228"/>
      <c r="AN102" s="174"/>
      <c r="AO102" s="205"/>
      <c r="AP102" s="205"/>
      <c r="AQ102" s="205"/>
      <c r="AR102" s="205"/>
      <c r="AS102" s="205"/>
      <c r="AT102" s="205"/>
      <c r="AU102" s="205"/>
      <c r="AV102" s="205"/>
      <c r="AW102" s="205"/>
      <c r="AX102" s="174"/>
      <c r="AY102" s="205"/>
      <c r="AZ102" s="205"/>
      <c r="BA102" s="205"/>
      <c r="BB102" s="174"/>
      <c r="BC102" s="93"/>
      <c r="BD102" s="205"/>
      <c r="BE102" s="228"/>
      <c r="BF102" s="174"/>
      <c r="BG102" s="205"/>
      <c r="BH102" s="205"/>
      <c r="BI102" s="205"/>
      <c r="BJ102" s="205"/>
      <c r="BK102" s="205"/>
      <c r="BL102" s="205"/>
      <c r="BM102" s="205"/>
      <c r="BN102" s="205"/>
      <c r="BO102" s="205"/>
      <c r="BP102" s="205"/>
      <c r="BQ102" s="205"/>
    </row>
    <row r="103" spans="1:69" x14ac:dyDescent="0.3">
      <c r="A103" s="141"/>
      <c r="B103" s="205"/>
      <c r="C103" s="205"/>
      <c r="D103" s="205"/>
      <c r="E103" s="205"/>
      <c r="F103" s="205"/>
      <c r="G103" s="205"/>
      <c r="H103" s="205"/>
      <c r="I103" s="205"/>
      <c r="J103" s="205"/>
      <c r="K103" s="205"/>
      <c r="L103" s="205"/>
      <c r="M103" s="205"/>
      <c r="N103" s="205"/>
      <c r="O103" s="205"/>
      <c r="P103" s="205"/>
      <c r="Q103" s="174"/>
      <c r="R103" s="204"/>
      <c r="S103" s="205"/>
      <c r="T103" s="205"/>
      <c r="U103" s="205"/>
      <c r="V103" s="205"/>
      <c r="W103" s="205"/>
      <c r="X103" s="205"/>
      <c r="Y103" s="205"/>
      <c r="Z103" s="205"/>
      <c r="AA103" s="205"/>
      <c r="AB103" s="93"/>
      <c r="AC103" s="205"/>
      <c r="AD103" s="205"/>
      <c r="AE103" s="205"/>
      <c r="AF103" s="205"/>
      <c r="AG103" s="205"/>
      <c r="AH103" s="205"/>
      <c r="AI103" s="205"/>
      <c r="AJ103" s="205"/>
      <c r="AK103" s="205"/>
      <c r="AL103" s="205"/>
      <c r="AM103" s="228"/>
      <c r="AN103" s="174"/>
      <c r="AO103" s="205"/>
      <c r="AP103" s="205"/>
      <c r="AQ103" s="205"/>
      <c r="AR103" s="205"/>
      <c r="AS103" s="205"/>
      <c r="AT103" s="205"/>
      <c r="AU103" s="205"/>
      <c r="AV103" s="205"/>
      <c r="AW103" s="205"/>
      <c r="AX103" s="174"/>
      <c r="AY103" s="205"/>
      <c r="AZ103" s="205"/>
      <c r="BA103" s="205"/>
      <c r="BB103" s="174"/>
      <c r="BC103" s="93"/>
      <c r="BD103" s="205"/>
      <c r="BE103" s="228"/>
      <c r="BF103" s="174"/>
      <c r="BG103" s="205"/>
      <c r="BH103" s="205"/>
      <c r="BI103" s="205"/>
      <c r="BJ103" s="205"/>
      <c r="BK103" s="205"/>
      <c r="BL103" s="205"/>
      <c r="BM103" s="205"/>
      <c r="BN103" s="205"/>
      <c r="BO103" s="205"/>
      <c r="BP103" s="205"/>
      <c r="BQ103" s="205"/>
    </row>
    <row r="104" spans="1:69" x14ac:dyDescent="0.3">
      <c r="A104" s="141"/>
      <c r="B104" s="205"/>
      <c r="C104" s="205"/>
      <c r="D104" s="205"/>
      <c r="E104" s="205"/>
      <c r="F104" s="205"/>
      <c r="G104" s="205"/>
      <c r="H104" s="205"/>
      <c r="I104" s="205"/>
      <c r="J104" s="205"/>
      <c r="K104" s="205"/>
      <c r="L104" s="205"/>
      <c r="M104" s="205"/>
      <c r="N104" s="205"/>
      <c r="O104" s="205"/>
      <c r="P104" s="205"/>
      <c r="Q104" s="174"/>
      <c r="R104" s="204"/>
      <c r="S104" s="205"/>
      <c r="T104" s="205"/>
      <c r="U104" s="205"/>
      <c r="V104" s="205"/>
      <c r="W104" s="205"/>
      <c r="X104" s="205"/>
      <c r="Y104" s="205"/>
      <c r="Z104" s="205"/>
      <c r="AA104" s="205"/>
      <c r="AB104" s="93"/>
      <c r="AC104" s="205"/>
      <c r="AD104" s="205"/>
      <c r="AE104" s="205"/>
      <c r="AF104" s="205"/>
      <c r="AG104" s="205"/>
      <c r="AH104" s="205"/>
      <c r="AI104" s="205"/>
      <c r="AJ104" s="205"/>
      <c r="AK104" s="205"/>
      <c r="AL104" s="205"/>
      <c r="AM104" s="228"/>
      <c r="AN104" s="174"/>
      <c r="AO104" s="205"/>
      <c r="AP104" s="205"/>
      <c r="AQ104" s="205"/>
      <c r="AR104" s="205"/>
      <c r="AS104" s="205"/>
      <c r="AT104" s="205"/>
      <c r="AU104" s="205"/>
      <c r="AV104" s="205"/>
      <c r="AW104" s="205"/>
      <c r="AX104" s="174"/>
      <c r="AY104" s="205"/>
      <c r="AZ104" s="205"/>
      <c r="BA104" s="205"/>
      <c r="BB104" s="174"/>
      <c r="BC104" s="93"/>
      <c r="BD104" s="205"/>
      <c r="BE104" s="228"/>
      <c r="BF104" s="174"/>
      <c r="BG104" s="205"/>
      <c r="BH104" s="205"/>
      <c r="BI104" s="205"/>
      <c r="BJ104" s="205"/>
      <c r="BK104" s="205"/>
      <c r="BL104" s="205"/>
      <c r="BM104" s="205"/>
      <c r="BN104" s="205"/>
      <c r="BO104" s="205"/>
      <c r="BP104" s="205"/>
      <c r="BQ104" s="205"/>
    </row>
    <row r="105" spans="1:69" x14ac:dyDescent="0.3">
      <c r="A105" s="141"/>
      <c r="B105" s="205"/>
      <c r="C105" s="205"/>
      <c r="D105" s="205"/>
      <c r="E105" s="205"/>
      <c r="F105" s="205"/>
      <c r="G105" s="205"/>
      <c r="H105" s="205"/>
      <c r="I105" s="205"/>
      <c r="J105" s="205"/>
      <c r="K105" s="205"/>
      <c r="L105" s="205"/>
      <c r="M105" s="205"/>
      <c r="N105" s="205"/>
      <c r="O105" s="205"/>
      <c r="P105" s="205"/>
      <c r="Q105" s="174"/>
      <c r="R105" s="204"/>
      <c r="S105" s="205"/>
      <c r="T105" s="205"/>
      <c r="U105" s="205"/>
      <c r="V105" s="205"/>
      <c r="W105" s="205"/>
      <c r="X105" s="205"/>
      <c r="Y105" s="205"/>
      <c r="Z105" s="205"/>
      <c r="AA105" s="205"/>
      <c r="AB105" s="93"/>
      <c r="AC105" s="205"/>
      <c r="AD105" s="205"/>
      <c r="AE105" s="205"/>
      <c r="AF105" s="205"/>
      <c r="AG105" s="205"/>
      <c r="AH105" s="205"/>
      <c r="AI105" s="205"/>
      <c r="AJ105" s="205"/>
      <c r="AK105" s="205"/>
      <c r="AL105" s="205"/>
      <c r="AM105" s="228"/>
      <c r="AN105" s="174"/>
      <c r="AO105" s="205"/>
      <c r="AP105" s="205"/>
      <c r="AQ105" s="205"/>
      <c r="AR105" s="205"/>
      <c r="AS105" s="205"/>
      <c r="AT105" s="205"/>
      <c r="AU105" s="205"/>
      <c r="AV105" s="205"/>
      <c r="AW105" s="205"/>
      <c r="AX105" s="174"/>
      <c r="AY105" s="205"/>
      <c r="AZ105" s="205"/>
      <c r="BA105" s="205"/>
      <c r="BB105" s="174"/>
      <c r="BC105" s="93"/>
      <c r="BD105" s="205"/>
      <c r="BE105" s="228"/>
      <c r="BF105" s="174"/>
      <c r="BG105" s="205"/>
      <c r="BH105" s="205"/>
      <c r="BI105" s="205"/>
      <c r="BJ105" s="205"/>
      <c r="BK105" s="205"/>
      <c r="BL105" s="205"/>
      <c r="BM105" s="205"/>
      <c r="BN105" s="205"/>
      <c r="BO105" s="205"/>
      <c r="BP105" s="205"/>
      <c r="BQ105" s="205"/>
    </row>
    <row r="106" spans="1:69" x14ac:dyDescent="0.3">
      <c r="A106" s="141"/>
      <c r="B106" s="205"/>
      <c r="C106" s="205"/>
      <c r="D106" s="205"/>
      <c r="E106" s="205"/>
      <c r="F106" s="205"/>
      <c r="G106" s="205"/>
      <c r="H106" s="205"/>
      <c r="I106" s="205"/>
      <c r="J106" s="205"/>
      <c r="K106" s="205"/>
      <c r="L106" s="205"/>
      <c r="M106" s="205"/>
      <c r="N106" s="205"/>
      <c r="O106" s="205"/>
      <c r="P106" s="205"/>
      <c r="Q106" s="174"/>
      <c r="R106" s="204"/>
      <c r="S106" s="205"/>
      <c r="T106" s="205"/>
      <c r="U106" s="205"/>
      <c r="V106" s="205"/>
      <c r="W106" s="205"/>
      <c r="X106" s="205"/>
      <c r="Y106" s="205"/>
      <c r="Z106" s="205"/>
      <c r="AA106" s="205"/>
      <c r="AB106" s="93"/>
      <c r="AC106" s="205"/>
      <c r="AD106" s="205"/>
      <c r="AE106" s="205"/>
      <c r="AF106" s="205"/>
      <c r="AG106" s="205"/>
      <c r="AH106" s="205"/>
      <c r="AI106" s="205"/>
      <c r="AJ106" s="205"/>
      <c r="AK106" s="205"/>
      <c r="AL106" s="205"/>
      <c r="AM106" s="228"/>
      <c r="AN106" s="174"/>
      <c r="AO106" s="205"/>
      <c r="AP106" s="205"/>
      <c r="AQ106" s="205"/>
      <c r="AR106" s="205"/>
      <c r="AS106" s="205"/>
      <c r="AT106" s="205"/>
      <c r="AU106" s="205"/>
      <c r="AV106" s="205"/>
      <c r="AW106" s="205"/>
      <c r="AX106" s="174"/>
      <c r="AY106" s="205"/>
      <c r="AZ106" s="205"/>
      <c r="BA106" s="205"/>
      <c r="BB106" s="174"/>
      <c r="BC106" s="93"/>
      <c r="BD106" s="205"/>
      <c r="BE106" s="228"/>
      <c r="BF106" s="174"/>
      <c r="BG106" s="205"/>
      <c r="BH106" s="205"/>
      <c r="BI106" s="205"/>
      <c r="BJ106" s="205"/>
      <c r="BK106" s="205"/>
      <c r="BL106" s="205"/>
      <c r="BM106" s="205"/>
      <c r="BN106" s="205"/>
      <c r="BO106" s="205"/>
      <c r="BP106" s="205"/>
      <c r="BQ106" s="205"/>
    </row>
    <row r="107" spans="1:69" x14ac:dyDescent="0.3">
      <c r="A107" s="141"/>
      <c r="B107" s="205"/>
      <c r="C107" s="205"/>
      <c r="D107" s="205"/>
      <c r="E107" s="205"/>
      <c r="F107" s="205"/>
      <c r="G107" s="205"/>
      <c r="H107" s="205"/>
      <c r="I107" s="205"/>
      <c r="J107" s="205"/>
      <c r="K107" s="205"/>
      <c r="L107" s="205"/>
      <c r="M107" s="205"/>
      <c r="N107" s="205"/>
      <c r="O107" s="205"/>
      <c r="P107" s="205"/>
      <c r="Q107" s="174"/>
      <c r="R107" s="204"/>
      <c r="S107" s="205"/>
      <c r="T107" s="205"/>
      <c r="U107" s="205"/>
      <c r="V107" s="205"/>
      <c r="W107" s="205"/>
      <c r="X107" s="205"/>
      <c r="Y107" s="205"/>
      <c r="Z107" s="205"/>
      <c r="AA107" s="205"/>
      <c r="AB107" s="93"/>
      <c r="AC107" s="205"/>
      <c r="AD107" s="205"/>
      <c r="AE107" s="205"/>
      <c r="AF107" s="205"/>
      <c r="AG107" s="205"/>
      <c r="AH107" s="205"/>
      <c r="AI107" s="205"/>
      <c r="AJ107" s="205"/>
      <c r="AK107" s="205"/>
      <c r="AL107" s="205"/>
      <c r="AM107" s="228"/>
      <c r="AN107" s="174"/>
      <c r="AO107" s="205"/>
      <c r="AP107" s="205"/>
      <c r="AQ107" s="205"/>
      <c r="AR107" s="205"/>
      <c r="AS107" s="205"/>
      <c r="AT107" s="205"/>
      <c r="AU107" s="205"/>
      <c r="AV107" s="205"/>
      <c r="AW107" s="205"/>
      <c r="AX107" s="174"/>
      <c r="AY107" s="205"/>
      <c r="AZ107" s="205"/>
      <c r="BA107" s="205"/>
      <c r="BB107" s="174"/>
      <c r="BC107" s="93"/>
      <c r="BD107" s="205"/>
      <c r="BE107" s="228"/>
      <c r="BF107" s="174"/>
      <c r="BG107" s="205"/>
      <c r="BH107" s="205"/>
      <c r="BI107" s="205"/>
      <c r="BJ107" s="205"/>
      <c r="BK107" s="205"/>
      <c r="BL107" s="205"/>
      <c r="BM107" s="205"/>
      <c r="BN107" s="205"/>
      <c r="BO107" s="205"/>
      <c r="BP107" s="205"/>
      <c r="BQ107" s="205"/>
    </row>
    <row r="108" spans="1:69" x14ac:dyDescent="0.3">
      <c r="A108" s="141"/>
      <c r="B108" s="205"/>
      <c r="C108" s="205"/>
      <c r="D108" s="205"/>
      <c r="E108" s="205"/>
      <c r="F108" s="205"/>
      <c r="G108" s="205"/>
      <c r="H108" s="205"/>
      <c r="I108" s="205"/>
      <c r="J108" s="205"/>
      <c r="K108" s="205"/>
      <c r="L108" s="205"/>
      <c r="M108" s="205"/>
      <c r="N108" s="205"/>
      <c r="O108" s="205"/>
      <c r="P108" s="205"/>
      <c r="Q108" s="174"/>
      <c r="R108" s="204"/>
      <c r="S108" s="205"/>
      <c r="T108" s="205"/>
      <c r="U108" s="205"/>
      <c r="V108" s="205"/>
      <c r="W108" s="205"/>
      <c r="X108" s="205"/>
      <c r="Y108" s="205"/>
      <c r="Z108" s="205"/>
      <c r="AA108" s="205"/>
      <c r="AB108" s="93"/>
      <c r="AC108" s="205"/>
      <c r="AD108" s="205"/>
      <c r="AE108" s="205"/>
      <c r="AF108" s="205"/>
      <c r="AG108" s="205"/>
      <c r="AH108" s="205"/>
      <c r="AI108" s="205"/>
      <c r="AJ108" s="205"/>
      <c r="AK108" s="205"/>
      <c r="AL108" s="205"/>
      <c r="AM108" s="228"/>
      <c r="AN108" s="174"/>
      <c r="AO108" s="205"/>
      <c r="AP108" s="205"/>
      <c r="AQ108" s="205"/>
      <c r="AR108" s="205"/>
      <c r="AS108" s="205"/>
      <c r="AT108" s="205"/>
      <c r="AU108" s="205"/>
      <c r="AV108" s="205"/>
      <c r="AW108" s="205"/>
      <c r="AX108" s="174"/>
      <c r="AY108" s="205"/>
      <c r="AZ108" s="205"/>
      <c r="BA108" s="205"/>
      <c r="BB108" s="174"/>
      <c r="BC108" s="93"/>
      <c r="BD108" s="205"/>
      <c r="BE108" s="228"/>
      <c r="BF108" s="174"/>
      <c r="BG108" s="205"/>
      <c r="BH108" s="205"/>
      <c r="BI108" s="205"/>
      <c r="BJ108" s="205"/>
      <c r="BK108" s="205"/>
      <c r="BL108" s="205"/>
      <c r="BM108" s="205"/>
      <c r="BN108" s="205"/>
      <c r="BO108" s="205"/>
      <c r="BP108" s="205"/>
      <c r="BQ108" s="205"/>
    </row>
    <row r="109" spans="1:69" x14ac:dyDescent="0.3">
      <c r="A109" s="141"/>
      <c r="B109" s="205"/>
      <c r="C109" s="205"/>
      <c r="D109" s="205"/>
      <c r="E109" s="205"/>
      <c r="F109" s="205"/>
      <c r="G109" s="205"/>
      <c r="H109" s="205"/>
      <c r="I109" s="205"/>
      <c r="J109" s="205"/>
      <c r="K109" s="205"/>
      <c r="L109" s="205"/>
      <c r="M109" s="205"/>
      <c r="N109" s="205"/>
      <c r="O109" s="205"/>
      <c r="P109" s="205"/>
      <c r="Q109" s="174"/>
      <c r="R109" s="204"/>
      <c r="S109" s="205"/>
      <c r="T109" s="205"/>
      <c r="U109" s="205"/>
      <c r="V109" s="205"/>
      <c r="W109" s="205"/>
      <c r="X109" s="205"/>
      <c r="Y109" s="205"/>
      <c r="Z109" s="205"/>
      <c r="AA109" s="205"/>
      <c r="AB109" s="93"/>
      <c r="AC109" s="205"/>
      <c r="AD109" s="205"/>
      <c r="AE109" s="205"/>
      <c r="AF109" s="205"/>
      <c r="AG109" s="205"/>
      <c r="AH109" s="205"/>
      <c r="AI109" s="205"/>
      <c r="AJ109" s="205"/>
      <c r="AK109" s="205"/>
      <c r="AL109" s="205"/>
      <c r="AM109" s="228"/>
      <c r="AN109" s="174"/>
      <c r="AO109" s="205"/>
      <c r="AP109" s="205"/>
      <c r="AQ109" s="205"/>
      <c r="AR109" s="205"/>
      <c r="AS109" s="205"/>
      <c r="AT109" s="205"/>
      <c r="AU109" s="205"/>
      <c r="AV109" s="205"/>
      <c r="AW109" s="205"/>
      <c r="AX109" s="174"/>
      <c r="AY109" s="205"/>
      <c r="AZ109" s="205"/>
      <c r="BA109" s="205"/>
      <c r="BB109" s="174"/>
      <c r="BC109" s="93"/>
      <c r="BD109" s="205"/>
      <c r="BE109" s="228"/>
      <c r="BF109" s="174"/>
      <c r="BG109" s="205"/>
      <c r="BH109" s="205"/>
      <c r="BI109" s="205"/>
      <c r="BJ109" s="205"/>
      <c r="BK109" s="205"/>
      <c r="BL109" s="205"/>
      <c r="BM109" s="205"/>
      <c r="BN109" s="205"/>
      <c r="BO109" s="205"/>
      <c r="BP109" s="205"/>
      <c r="BQ109" s="205"/>
    </row>
    <row r="110" spans="1:69" x14ac:dyDescent="0.3">
      <c r="A110" s="141"/>
      <c r="B110" s="205"/>
      <c r="C110" s="205"/>
      <c r="D110" s="205"/>
      <c r="E110" s="205"/>
      <c r="F110" s="205"/>
      <c r="G110" s="205"/>
      <c r="H110" s="205"/>
      <c r="I110" s="205"/>
      <c r="J110" s="205"/>
      <c r="K110" s="205"/>
      <c r="L110" s="205"/>
      <c r="M110" s="205"/>
      <c r="N110" s="205"/>
      <c r="O110" s="205"/>
      <c r="P110" s="205"/>
      <c r="Q110" s="174"/>
      <c r="R110" s="204"/>
      <c r="S110" s="205"/>
      <c r="T110" s="205"/>
      <c r="U110" s="205"/>
      <c r="V110" s="205"/>
      <c r="W110" s="205"/>
      <c r="X110" s="205"/>
      <c r="Y110" s="205"/>
      <c r="Z110" s="205"/>
      <c r="AA110" s="205"/>
      <c r="AB110" s="93"/>
      <c r="AC110" s="205"/>
      <c r="AD110" s="205"/>
      <c r="AE110" s="205"/>
      <c r="AF110" s="205"/>
      <c r="AG110" s="205"/>
      <c r="AH110" s="205"/>
      <c r="AI110" s="205"/>
      <c r="AJ110" s="205"/>
      <c r="AK110" s="205"/>
      <c r="AL110" s="205"/>
      <c r="AM110" s="228"/>
      <c r="AN110" s="174"/>
      <c r="AO110" s="205"/>
      <c r="AP110" s="205"/>
      <c r="AQ110" s="205"/>
      <c r="AR110" s="205"/>
      <c r="AS110" s="205"/>
      <c r="AT110" s="205"/>
      <c r="AU110" s="205"/>
      <c r="AV110" s="205"/>
      <c r="AW110" s="205"/>
      <c r="AX110" s="174"/>
      <c r="AY110" s="205"/>
      <c r="AZ110" s="205"/>
      <c r="BA110" s="205"/>
      <c r="BB110" s="174"/>
      <c r="BC110" s="93"/>
      <c r="BD110" s="205"/>
      <c r="BE110" s="228"/>
      <c r="BF110" s="174"/>
      <c r="BG110" s="205"/>
      <c r="BH110" s="205"/>
      <c r="BI110" s="205"/>
      <c r="BJ110" s="205"/>
      <c r="BK110" s="205"/>
      <c r="BL110" s="205"/>
      <c r="BM110" s="205"/>
      <c r="BN110" s="205"/>
      <c r="BO110" s="205"/>
      <c r="BP110" s="205"/>
      <c r="BQ110" s="205"/>
    </row>
    <row r="111" spans="1:69" x14ac:dyDescent="0.3">
      <c r="A111" s="141"/>
      <c r="B111" s="205"/>
      <c r="C111" s="205"/>
      <c r="D111" s="205"/>
      <c r="E111" s="205"/>
      <c r="F111" s="205"/>
      <c r="G111" s="205"/>
      <c r="H111" s="205"/>
      <c r="I111" s="205"/>
      <c r="J111" s="205"/>
      <c r="K111" s="205"/>
      <c r="L111" s="205"/>
      <c r="M111" s="205"/>
      <c r="N111" s="205"/>
      <c r="O111" s="205"/>
      <c r="P111" s="205"/>
      <c r="Q111" s="174"/>
      <c r="R111" s="204"/>
      <c r="S111" s="205"/>
      <c r="T111" s="205"/>
      <c r="U111" s="205"/>
      <c r="V111" s="205"/>
      <c r="W111" s="205"/>
      <c r="X111" s="205"/>
      <c r="Y111" s="205"/>
      <c r="Z111" s="205"/>
      <c r="AA111" s="205"/>
      <c r="AB111" s="93"/>
      <c r="AC111" s="205"/>
      <c r="AD111" s="205"/>
      <c r="AE111" s="205"/>
      <c r="AF111" s="205"/>
      <c r="AG111" s="205"/>
      <c r="AH111" s="205"/>
      <c r="AI111" s="205"/>
      <c r="AJ111" s="205"/>
      <c r="AK111" s="205"/>
      <c r="AL111" s="205"/>
      <c r="AM111" s="228"/>
      <c r="AN111" s="174"/>
      <c r="AO111" s="205"/>
      <c r="AP111" s="205"/>
      <c r="AQ111" s="205"/>
      <c r="AR111" s="205"/>
      <c r="AS111" s="205"/>
      <c r="AT111" s="205"/>
      <c r="AU111" s="205"/>
      <c r="AV111" s="205"/>
      <c r="AW111" s="205"/>
      <c r="AX111" s="174"/>
      <c r="AY111" s="205"/>
      <c r="AZ111" s="205"/>
      <c r="BA111" s="205"/>
      <c r="BB111" s="174"/>
      <c r="BC111" s="93"/>
      <c r="BD111" s="205"/>
      <c r="BE111" s="228"/>
      <c r="BF111" s="174"/>
      <c r="BG111" s="205"/>
      <c r="BH111" s="205"/>
      <c r="BI111" s="205"/>
      <c r="BJ111" s="205"/>
      <c r="BK111" s="205"/>
      <c r="BL111" s="205"/>
      <c r="BM111" s="205"/>
      <c r="BN111" s="205"/>
      <c r="BO111" s="205"/>
      <c r="BP111" s="205"/>
      <c r="BQ111" s="205"/>
    </row>
    <row r="112" spans="1:69" x14ac:dyDescent="0.3">
      <c r="A112" s="141"/>
      <c r="B112" s="205"/>
      <c r="C112" s="205"/>
      <c r="D112" s="205"/>
      <c r="E112" s="205"/>
      <c r="F112" s="205"/>
      <c r="G112" s="205"/>
      <c r="H112" s="205"/>
      <c r="I112" s="205"/>
      <c r="J112" s="205"/>
      <c r="K112" s="205"/>
      <c r="L112" s="205"/>
      <c r="M112" s="205"/>
      <c r="N112" s="205"/>
      <c r="O112" s="205"/>
      <c r="P112" s="205"/>
      <c r="Q112" s="174"/>
      <c r="R112" s="204"/>
      <c r="S112" s="205"/>
      <c r="T112" s="205"/>
      <c r="U112" s="205"/>
      <c r="V112" s="205"/>
      <c r="W112" s="205"/>
      <c r="X112" s="205"/>
      <c r="Y112" s="205"/>
      <c r="Z112" s="205"/>
      <c r="AA112" s="205"/>
      <c r="AB112" s="93"/>
      <c r="AC112" s="205"/>
      <c r="AD112" s="205"/>
      <c r="AE112" s="205"/>
      <c r="AF112" s="205"/>
      <c r="AG112" s="205"/>
      <c r="AH112" s="205"/>
      <c r="AI112" s="205"/>
      <c r="AJ112" s="205"/>
      <c r="AK112" s="205"/>
      <c r="AL112" s="205"/>
      <c r="AM112" s="228"/>
      <c r="AN112" s="174"/>
      <c r="AO112" s="205"/>
      <c r="AP112" s="205"/>
      <c r="AQ112" s="205"/>
      <c r="AR112" s="205"/>
      <c r="AS112" s="205"/>
      <c r="AT112" s="205"/>
      <c r="AU112" s="205"/>
      <c r="AV112" s="205"/>
      <c r="AW112" s="205"/>
      <c r="AX112" s="174"/>
      <c r="AY112" s="205"/>
      <c r="AZ112" s="205"/>
      <c r="BA112" s="205"/>
      <c r="BB112" s="174"/>
      <c r="BC112" s="93"/>
      <c r="BD112" s="205"/>
      <c r="BE112" s="228"/>
      <c r="BF112" s="174"/>
      <c r="BG112" s="205"/>
      <c r="BH112" s="205"/>
      <c r="BI112" s="205"/>
      <c r="BJ112" s="205"/>
      <c r="BK112" s="205"/>
      <c r="BL112" s="205"/>
      <c r="BM112" s="205"/>
      <c r="BN112" s="205"/>
      <c r="BO112" s="205"/>
      <c r="BP112" s="205"/>
      <c r="BQ112" s="205"/>
    </row>
    <row r="113" spans="1:69" x14ac:dyDescent="0.3">
      <c r="A113" s="141"/>
      <c r="B113" s="205"/>
      <c r="C113" s="205"/>
      <c r="D113" s="205"/>
      <c r="E113" s="205"/>
      <c r="F113" s="205"/>
      <c r="G113" s="205"/>
      <c r="H113" s="205"/>
      <c r="I113" s="205"/>
      <c r="J113" s="205"/>
      <c r="K113" s="205"/>
      <c r="L113" s="205"/>
      <c r="M113" s="205"/>
      <c r="N113" s="205"/>
      <c r="O113" s="205"/>
      <c r="P113" s="205"/>
      <c r="Q113" s="174"/>
      <c r="R113" s="204"/>
      <c r="S113" s="205"/>
      <c r="T113" s="205"/>
      <c r="U113" s="205"/>
      <c r="V113" s="205"/>
      <c r="W113" s="205"/>
      <c r="X113" s="205"/>
      <c r="Y113" s="205"/>
      <c r="Z113" s="205"/>
      <c r="AA113" s="205"/>
      <c r="AB113" s="93"/>
      <c r="AC113" s="205"/>
      <c r="AD113" s="205"/>
      <c r="AE113" s="205"/>
      <c r="AF113" s="205"/>
      <c r="AG113" s="205"/>
      <c r="AH113" s="205"/>
      <c r="AI113" s="205"/>
      <c r="AJ113" s="205"/>
      <c r="AK113" s="205"/>
      <c r="AL113" s="205"/>
      <c r="AM113" s="228"/>
      <c r="AN113" s="174"/>
      <c r="AO113" s="205"/>
      <c r="AP113" s="205"/>
      <c r="AQ113" s="205"/>
      <c r="AR113" s="205"/>
      <c r="AS113" s="205"/>
      <c r="AT113" s="205"/>
      <c r="AU113" s="205"/>
      <c r="AV113" s="205"/>
      <c r="AW113" s="205"/>
      <c r="AX113" s="174"/>
      <c r="AY113" s="205"/>
      <c r="AZ113" s="205"/>
      <c r="BA113" s="205"/>
      <c r="BB113" s="174"/>
      <c r="BC113" s="93"/>
      <c r="BD113" s="205"/>
      <c r="BE113" s="228"/>
      <c r="BF113" s="174"/>
      <c r="BG113" s="205"/>
      <c r="BH113" s="205"/>
      <c r="BI113" s="205"/>
      <c r="BJ113" s="205"/>
      <c r="BK113" s="205"/>
      <c r="BL113" s="205"/>
      <c r="BM113" s="205"/>
      <c r="BN113" s="205"/>
      <c r="BO113" s="205"/>
      <c r="BP113" s="205"/>
      <c r="BQ113" s="205"/>
    </row>
    <row r="114" spans="1:69" x14ac:dyDescent="0.3">
      <c r="A114" s="141"/>
      <c r="B114" s="205"/>
      <c r="C114" s="205"/>
      <c r="D114" s="205"/>
      <c r="E114" s="205"/>
      <c r="F114" s="205"/>
      <c r="G114" s="205"/>
      <c r="H114" s="205"/>
      <c r="I114" s="205"/>
      <c r="J114" s="205"/>
      <c r="K114" s="205"/>
      <c r="L114" s="205"/>
      <c r="M114" s="205"/>
      <c r="N114" s="205"/>
      <c r="O114" s="205"/>
      <c r="P114" s="205"/>
      <c r="Q114" s="174"/>
      <c r="R114" s="204"/>
      <c r="S114" s="205"/>
      <c r="T114" s="205"/>
      <c r="U114" s="205"/>
      <c r="V114" s="205"/>
      <c r="W114" s="205"/>
      <c r="X114" s="205"/>
      <c r="Y114" s="205"/>
      <c r="Z114" s="205"/>
      <c r="AA114" s="205"/>
      <c r="AB114" s="93"/>
      <c r="AC114" s="205"/>
      <c r="AD114" s="205"/>
      <c r="AE114" s="205"/>
      <c r="AF114" s="205"/>
      <c r="AG114" s="205"/>
      <c r="AH114" s="205"/>
      <c r="AI114" s="205"/>
      <c r="AJ114" s="205"/>
      <c r="AK114" s="205"/>
      <c r="AL114" s="205"/>
      <c r="AM114" s="228"/>
      <c r="AN114" s="174"/>
      <c r="AO114" s="205"/>
      <c r="AP114" s="205"/>
      <c r="AQ114" s="205"/>
      <c r="AR114" s="205"/>
      <c r="AS114" s="205"/>
      <c r="AT114" s="205"/>
      <c r="AU114" s="205"/>
      <c r="AV114" s="205"/>
      <c r="AW114" s="205"/>
      <c r="AX114" s="174"/>
      <c r="AY114" s="205"/>
      <c r="AZ114" s="205"/>
      <c r="BA114" s="205"/>
      <c r="BB114" s="174"/>
      <c r="BC114" s="93"/>
      <c r="BD114" s="205"/>
      <c r="BE114" s="228"/>
      <c r="BF114" s="174"/>
      <c r="BG114" s="205"/>
      <c r="BH114" s="205"/>
      <c r="BI114" s="205"/>
      <c r="BJ114" s="205"/>
      <c r="BK114" s="205"/>
      <c r="BL114" s="205"/>
      <c r="BM114" s="205"/>
      <c r="BN114" s="205"/>
      <c r="BO114" s="205"/>
      <c r="BP114" s="205"/>
      <c r="BQ114" s="205"/>
    </row>
    <row r="115" spans="1:69" x14ac:dyDescent="0.3">
      <c r="A115" s="141"/>
      <c r="B115" s="205"/>
      <c r="C115" s="205"/>
      <c r="D115" s="205"/>
      <c r="E115" s="205"/>
      <c r="F115" s="205"/>
      <c r="G115" s="205"/>
      <c r="H115" s="205"/>
      <c r="I115" s="205"/>
      <c r="J115" s="205"/>
      <c r="K115" s="205"/>
      <c r="L115" s="205"/>
      <c r="M115" s="205"/>
      <c r="N115" s="205"/>
      <c r="O115" s="205"/>
      <c r="P115" s="205"/>
      <c r="Q115" s="174"/>
      <c r="R115" s="204"/>
      <c r="S115" s="205"/>
      <c r="T115" s="205"/>
      <c r="U115" s="205"/>
      <c r="V115" s="205"/>
      <c r="W115" s="205"/>
      <c r="X115" s="205"/>
      <c r="Y115" s="205"/>
      <c r="Z115" s="205"/>
      <c r="AA115" s="205"/>
      <c r="AB115" s="93"/>
      <c r="AC115" s="205"/>
      <c r="AD115" s="205"/>
      <c r="AE115" s="205"/>
      <c r="AF115" s="205"/>
      <c r="AG115" s="205"/>
      <c r="AH115" s="205"/>
      <c r="AI115" s="205"/>
      <c r="AJ115" s="205"/>
      <c r="AK115" s="205"/>
      <c r="AL115" s="205"/>
      <c r="AM115" s="228"/>
      <c r="AN115" s="174"/>
      <c r="AO115" s="205"/>
      <c r="AP115" s="205"/>
      <c r="AQ115" s="205"/>
      <c r="AR115" s="205"/>
      <c r="AS115" s="205"/>
      <c r="AT115" s="205"/>
      <c r="AU115" s="205"/>
      <c r="AV115" s="205"/>
      <c r="AW115" s="205"/>
      <c r="AX115" s="174"/>
      <c r="AY115" s="205"/>
      <c r="AZ115" s="205"/>
      <c r="BA115" s="205"/>
      <c r="BB115" s="174"/>
      <c r="BC115" s="93"/>
      <c r="BD115" s="205"/>
      <c r="BE115" s="228"/>
      <c r="BF115" s="174"/>
      <c r="BG115" s="205"/>
      <c r="BH115" s="205"/>
      <c r="BI115" s="205"/>
      <c r="BJ115" s="205"/>
      <c r="BK115" s="205"/>
      <c r="BL115" s="205"/>
      <c r="BM115" s="205"/>
      <c r="BN115" s="205"/>
      <c r="BO115" s="205"/>
      <c r="BP115" s="205"/>
      <c r="BQ115" s="205"/>
    </row>
    <row r="116" spans="1:69" x14ac:dyDescent="0.3">
      <c r="A116" s="141"/>
      <c r="B116" s="205"/>
      <c r="C116" s="205"/>
      <c r="D116" s="205"/>
      <c r="E116" s="205"/>
      <c r="F116" s="205"/>
      <c r="G116" s="205"/>
      <c r="H116" s="205"/>
      <c r="I116" s="205"/>
      <c r="J116" s="205"/>
      <c r="K116" s="205"/>
      <c r="L116" s="205"/>
      <c r="M116" s="205"/>
      <c r="N116" s="205"/>
      <c r="O116" s="205"/>
      <c r="P116" s="205"/>
      <c r="Q116" s="174"/>
      <c r="R116" s="204"/>
      <c r="S116" s="205"/>
      <c r="T116" s="205"/>
      <c r="U116" s="205"/>
      <c r="V116" s="205"/>
      <c r="W116" s="205"/>
      <c r="X116" s="205"/>
      <c r="Y116" s="205"/>
      <c r="Z116" s="205"/>
      <c r="AA116" s="205"/>
      <c r="AB116" s="93"/>
      <c r="AC116" s="205"/>
      <c r="AD116" s="205"/>
      <c r="AE116" s="205"/>
      <c r="AF116" s="205"/>
      <c r="AG116" s="205"/>
      <c r="AH116" s="205"/>
      <c r="AI116" s="205"/>
      <c r="AJ116" s="205"/>
      <c r="AK116" s="205"/>
      <c r="AL116" s="205"/>
      <c r="AM116" s="228"/>
      <c r="AN116" s="174"/>
      <c r="AO116" s="205"/>
      <c r="AP116" s="205"/>
      <c r="AQ116" s="205"/>
      <c r="AR116" s="205"/>
      <c r="AS116" s="205"/>
      <c r="AT116" s="205"/>
      <c r="AU116" s="205"/>
      <c r="AV116" s="205"/>
      <c r="AW116" s="205"/>
      <c r="AX116" s="174"/>
      <c r="AY116" s="205"/>
      <c r="AZ116" s="205"/>
      <c r="BA116" s="205"/>
      <c r="BB116" s="174"/>
      <c r="BC116" s="93"/>
      <c r="BD116" s="205"/>
      <c r="BE116" s="228"/>
      <c r="BF116" s="174"/>
      <c r="BG116" s="205"/>
      <c r="BH116" s="205"/>
      <c r="BI116" s="205"/>
      <c r="BJ116" s="205"/>
      <c r="BK116" s="205"/>
      <c r="BL116" s="205"/>
      <c r="BM116" s="205"/>
      <c r="BN116" s="205"/>
      <c r="BO116" s="205"/>
      <c r="BP116" s="205"/>
      <c r="BQ116" s="205"/>
    </row>
    <row r="117" spans="1:69" x14ac:dyDescent="0.3">
      <c r="A117" s="149"/>
      <c r="B117" s="207"/>
      <c r="C117" s="207"/>
      <c r="D117" s="207"/>
      <c r="E117" s="207"/>
      <c r="F117" s="207"/>
      <c r="G117" s="207"/>
      <c r="H117" s="207"/>
      <c r="I117" s="207"/>
      <c r="J117" s="207"/>
      <c r="K117" s="207"/>
      <c r="L117" s="207"/>
      <c r="M117" s="207"/>
      <c r="N117" s="207"/>
      <c r="O117" s="207"/>
      <c r="P117" s="205"/>
      <c r="Q117" s="174"/>
      <c r="R117" s="206"/>
      <c r="S117" s="207"/>
      <c r="T117" s="207"/>
      <c r="U117" s="207"/>
      <c r="V117" s="207"/>
      <c r="W117" s="207"/>
      <c r="X117" s="207"/>
      <c r="Y117" s="207"/>
      <c r="Z117" s="207"/>
      <c r="AA117" s="207"/>
      <c r="AB117" s="93"/>
      <c r="AC117" s="207"/>
      <c r="AD117" s="207"/>
      <c r="AE117" s="207"/>
      <c r="AF117" s="207"/>
      <c r="AG117" s="207"/>
      <c r="AH117" s="207"/>
      <c r="AI117" s="207"/>
      <c r="AJ117" s="207"/>
      <c r="AK117" s="207"/>
      <c r="AL117" s="207"/>
      <c r="AM117" s="228"/>
      <c r="AN117" s="174"/>
      <c r="AO117" s="207"/>
      <c r="AP117" s="207"/>
      <c r="AQ117" s="207"/>
      <c r="AR117" s="207"/>
      <c r="AS117" s="207"/>
      <c r="AT117" s="207"/>
      <c r="AU117" s="207"/>
      <c r="AV117" s="207"/>
      <c r="AW117" s="207"/>
      <c r="AX117" s="174"/>
      <c r="AY117" s="207"/>
      <c r="AZ117" s="207"/>
      <c r="BA117" s="207"/>
      <c r="BB117" s="174"/>
      <c r="BC117" s="93"/>
      <c r="BD117" s="207"/>
      <c r="BE117" s="228"/>
      <c r="BF117" s="174"/>
      <c r="BG117" s="207"/>
      <c r="BH117" s="207"/>
      <c r="BI117" s="207"/>
      <c r="BJ117" s="207"/>
      <c r="BK117" s="207"/>
      <c r="BL117" s="207"/>
      <c r="BM117" s="207"/>
      <c r="BN117" s="207"/>
      <c r="BO117" s="207"/>
      <c r="BP117" s="205"/>
      <c r="BQ117" s="207"/>
    </row>
  </sheetData>
  <sheetProtection password="8BC3" sheet="1" objects="1" scenarios="1"/>
  <mergeCells count="1">
    <mergeCell ref="S26:S27"/>
  </mergeCells>
  <hyperlinks>
    <hyperlink ref="F1" location="Guide" display="Guide"/>
    <hyperlink ref="F2" location="Input" display="Input"/>
  </hyperlinks>
  <pageMargins left="0.7" right="0.7" top="0.75" bottom="0.75" header="0.3" footer="0.3"/>
  <pageSetup paperSize="9" scale="31" orientation="portrait" r:id="rId1"/>
  <headerFooter>
    <oddFooter>&amp;LNova Scotia Exploration Economics Model&amp;Rwww.indeva.com</oddFooter>
  </headerFooter>
  <colBreaks count="1" manualBreakCount="1">
    <brk id="18" max="6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79998168889431442"/>
  </sheetPr>
  <dimension ref="A1:AG50"/>
  <sheetViews>
    <sheetView showGridLines="0" showZeros="0" zoomScale="75" zoomScaleNormal="75" workbookViewId="0">
      <pane xSplit="1" ySplit="10" topLeftCell="B11" activePane="bottomRight" state="frozen"/>
      <selection activeCell="D43" sqref="D43"/>
      <selection pane="topRight" activeCell="D43" sqref="D43"/>
      <selection pane="bottomLeft" activeCell="D43" sqref="D43"/>
      <selection pane="bottomRight" activeCell="B11" sqref="B11"/>
    </sheetView>
  </sheetViews>
  <sheetFormatPr defaultRowHeight="14.4" x14ac:dyDescent="0.3"/>
  <cols>
    <col min="2" max="2" width="13.88671875" customWidth="1"/>
    <col min="3" max="3" width="12" customWidth="1"/>
    <col min="4" max="4" width="12.5546875" customWidth="1"/>
    <col min="5" max="5" width="15.33203125" customWidth="1"/>
    <col min="6" max="6" width="14.44140625" customWidth="1"/>
    <col min="7" max="7" width="12.109375" hidden="1" customWidth="1"/>
    <col min="8" max="11" width="14.6640625" customWidth="1"/>
    <col min="12" max="12" width="11.5546875" customWidth="1"/>
    <col min="14" max="14" width="10.88671875" customWidth="1"/>
    <col min="15" max="16" width="12" customWidth="1"/>
    <col min="17" max="17" width="10.33203125" customWidth="1"/>
    <col min="19" max="19" width="11.88671875" customWidth="1"/>
    <col min="20" max="21" width="12" customWidth="1"/>
    <col min="22" max="22" width="10.88671875" customWidth="1"/>
    <col min="24" max="24" width="11" customWidth="1"/>
  </cols>
  <sheetData>
    <row r="1" spans="1:33" ht="18.75" x14ac:dyDescent="0.3">
      <c r="A1" s="229"/>
      <c r="B1" s="209" t="str">
        <f>Input!B8</f>
        <v>Prospect X</v>
      </c>
      <c r="C1" s="209" t="s">
        <v>346</v>
      </c>
      <c r="D1" s="210"/>
      <c r="E1" s="210"/>
      <c r="F1" s="144" t="s">
        <v>769</v>
      </c>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1"/>
    </row>
    <row r="2" spans="1:33" ht="18.75" x14ac:dyDescent="0.25">
      <c r="A2" s="212"/>
      <c r="B2" s="170"/>
      <c r="C2" s="170"/>
      <c r="D2" s="170"/>
      <c r="E2" s="170"/>
      <c r="F2" s="144" t="s">
        <v>143</v>
      </c>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213"/>
    </row>
    <row r="3" spans="1:33" ht="15.75" x14ac:dyDescent="0.25">
      <c r="A3" s="93"/>
      <c r="B3" s="230" t="s">
        <v>347</v>
      </c>
      <c r="C3" s="93"/>
      <c r="D3" s="93"/>
      <c r="E3" s="93"/>
      <c r="F3" s="93"/>
      <c r="G3" s="93"/>
      <c r="H3" s="93"/>
      <c r="I3" s="93"/>
      <c r="J3" s="93"/>
      <c r="K3" s="93"/>
      <c r="L3" s="93"/>
      <c r="M3" s="93"/>
      <c r="N3" s="134" t="s">
        <v>348</v>
      </c>
      <c r="O3" s="93"/>
      <c r="P3" s="93"/>
      <c r="Q3" s="93"/>
      <c r="R3" s="93"/>
      <c r="S3" s="230" t="s">
        <v>349</v>
      </c>
      <c r="T3" s="93"/>
      <c r="U3" s="93"/>
      <c r="V3" s="93"/>
      <c r="W3" s="93"/>
      <c r="X3" s="134" t="s">
        <v>350</v>
      </c>
      <c r="Y3" s="93"/>
      <c r="Z3" s="93"/>
      <c r="AA3" s="93"/>
      <c r="AB3" s="93"/>
      <c r="AC3" s="93"/>
      <c r="AD3" s="93"/>
      <c r="AE3" s="93"/>
      <c r="AF3" s="93"/>
      <c r="AG3" s="93"/>
    </row>
    <row r="4" spans="1:33" ht="15" x14ac:dyDescent="0.25">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row>
    <row r="5" spans="1:33" ht="15" x14ac:dyDescent="0.25">
      <c r="A5" s="140" t="s">
        <v>14</v>
      </c>
      <c r="B5" s="140" t="s">
        <v>340</v>
      </c>
      <c r="C5" s="140" t="s">
        <v>118</v>
      </c>
      <c r="D5" s="140" t="s">
        <v>129</v>
      </c>
      <c r="E5" s="140" t="s">
        <v>647</v>
      </c>
      <c r="F5" s="140" t="s">
        <v>647</v>
      </c>
      <c r="G5" s="140" t="s">
        <v>342</v>
      </c>
      <c r="H5" s="140" t="s">
        <v>647</v>
      </c>
      <c r="I5" s="140" t="s">
        <v>1058</v>
      </c>
      <c r="J5" s="140" t="s">
        <v>1058</v>
      </c>
      <c r="K5" s="140" t="s">
        <v>1058</v>
      </c>
      <c r="L5" s="140" t="s">
        <v>13</v>
      </c>
      <c r="M5" s="93"/>
      <c r="N5" s="140" t="s">
        <v>351</v>
      </c>
      <c r="O5" s="140" t="s">
        <v>647</v>
      </c>
      <c r="P5" s="140" t="s">
        <v>1058</v>
      </c>
      <c r="Q5" s="140" t="s">
        <v>13</v>
      </c>
      <c r="R5" s="93"/>
      <c r="S5" s="140" t="s">
        <v>351</v>
      </c>
      <c r="T5" s="140" t="s">
        <v>647</v>
      </c>
      <c r="U5" s="140" t="s">
        <v>1058</v>
      </c>
      <c r="V5" s="140" t="s">
        <v>13</v>
      </c>
      <c r="W5" s="93"/>
      <c r="X5" s="140" t="s">
        <v>13</v>
      </c>
      <c r="Y5" s="93"/>
      <c r="Z5" s="93"/>
      <c r="AA5" s="93"/>
      <c r="AB5" s="93"/>
      <c r="AC5" s="93"/>
      <c r="AD5" s="93"/>
      <c r="AE5" s="93"/>
      <c r="AF5" s="93"/>
      <c r="AG5" s="93"/>
    </row>
    <row r="6" spans="1:33" ht="15" x14ac:dyDescent="0.25">
      <c r="A6" s="141"/>
      <c r="B6" s="141" t="s">
        <v>352</v>
      </c>
      <c r="C6" s="141"/>
      <c r="D6" s="141"/>
      <c r="E6" s="141" t="s">
        <v>352</v>
      </c>
      <c r="F6" s="141" t="s">
        <v>353</v>
      </c>
      <c r="G6" s="141"/>
      <c r="H6" s="141" t="s">
        <v>15</v>
      </c>
      <c r="I6" s="141" t="s">
        <v>352</v>
      </c>
      <c r="J6" s="141" t="s">
        <v>353</v>
      </c>
      <c r="K6" s="141" t="s">
        <v>15</v>
      </c>
      <c r="L6" s="141" t="s">
        <v>15</v>
      </c>
      <c r="M6" s="93"/>
      <c r="N6" s="141" t="s">
        <v>15</v>
      </c>
      <c r="O6" s="141" t="s">
        <v>15</v>
      </c>
      <c r="P6" s="141" t="s">
        <v>15</v>
      </c>
      <c r="Q6" s="141" t="s">
        <v>15</v>
      </c>
      <c r="R6" s="93"/>
      <c r="S6" s="141" t="s">
        <v>15</v>
      </c>
      <c r="T6" s="141" t="s">
        <v>15</v>
      </c>
      <c r="U6" s="141" t="s">
        <v>15</v>
      </c>
      <c r="V6" s="141" t="s">
        <v>15</v>
      </c>
      <c r="W6" s="93"/>
      <c r="X6" s="141" t="s">
        <v>15</v>
      </c>
      <c r="Y6" s="93"/>
      <c r="Z6" s="93"/>
      <c r="AA6" s="93"/>
      <c r="AB6" s="93"/>
      <c r="AC6" s="93"/>
      <c r="AD6" s="93"/>
      <c r="AE6" s="93"/>
      <c r="AF6" s="93"/>
      <c r="AG6" s="93"/>
    </row>
    <row r="7" spans="1:33" ht="15" x14ac:dyDescent="0.25">
      <c r="A7" s="149"/>
      <c r="B7" s="149" t="s">
        <v>4</v>
      </c>
      <c r="C7" s="149" t="s">
        <v>354</v>
      </c>
      <c r="D7" s="149" t="s">
        <v>355</v>
      </c>
      <c r="E7" s="149" t="s">
        <v>648</v>
      </c>
      <c r="F7" s="149" t="s">
        <v>356</v>
      </c>
      <c r="G7" s="149" t="s">
        <v>15</v>
      </c>
      <c r="H7" s="149" t="s">
        <v>355</v>
      </c>
      <c r="I7" s="149" t="s">
        <v>648</v>
      </c>
      <c r="J7" s="149" t="s">
        <v>356</v>
      </c>
      <c r="K7" s="149" t="s">
        <v>355</v>
      </c>
      <c r="L7" s="149" t="s">
        <v>355</v>
      </c>
      <c r="M7" s="93"/>
      <c r="N7" s="149" t="s">
        <v>355</v>
      </c>
      <c r="O7" s="149" t="s">
        <v>355</v>
      </c>
      <c r="P7" s="149" t="s">
        <v>355</v>
      </c>
      <c r="Q7" s="149" t="s">
        <v>355</v>
      </c>
      <c r="R7" s="93"/>
      <c r="S7" s="148">
        <f>Development!BP88</f>
        <v>0.26249999999999996</v>
      </c>
      <c r="T7" s="148">
        <f>S7</f>
        <v>0.26249999999999996</v>
      </c>
      <c r="U7" s="148">
        <f>T7</f>
        <v>0.26249999999999996</v>
      </c>
      <c r="V7" s="149" t="s">
        <v>355</v>
      </c>
      <c r="W7" s="93"/>
      <c r="X7" s="149" t="s">
        <v>355</v>
      </c>
      <c r="Y7" s="93"/>
      <c r="Z7" s="93"/>
      <c r="AA7" s="93"/>
      <c r="AB7" s="93"/>
      <c r="AC7" s="93"/>
      <c r="AD7" s="93"/>
      <c r="AE7" s="93"/>
      <c r="AF7" s="93"/>
      <c r="AG7" s="93"/>
    </row>
    <row r="8" spans="1:33" ht="15" x14ac:dyDescent="0.25">
      <c r="A8" s="156" t="s">
        <v>13</v>
      </c>
      <c r="B8" s="231">
        <f>SUM(B11:B50)</f>
        <v>956.79</v>
      </c>
      <c r="C8" s="231">
        <f t="shared" ref="C8:V8" si="0">SUM(C11:C50)</f>
        <v>133.18744578634326</v>
      </c>
      <c r="D8" s="231">
        <f t="shared" si="0"/>
        <v>2627.9216828540193</v>
      </c>
      <c r="E8" s="231">
        <f t="shared" si="0"/>
        <v>299.99999999999994</v>
      </c>
      <c r="F8" s="231"/>
      <c r="G8" s="231">
        <f t="shared" si="0"/>
        <v>0</v>
      </c>
      <c r="H8" s="231">
        <f t="shared" si="0"/>
        <v>42116.423001496281</v>
      </c>
      <c r="I8" s="231"/>
      <c r="J8" s="231"/>
      <c r="K8" s="231"/>
      <c r="L8" s="231">
        <f t="shared" si="0"/>
        <v>44744.344684350304</v>
      </c>
      <c r="M8" s="157"/>
      <c r="N8" s="231">
        <f t="shared" si="0"/>
        <v>2594.1468886334851</v>
      </c>
      <c r="O8" s="231">
        <f t="shared" si="0"/>
        <v>41575.130797294943</v>
      </c>
      <c r="P8" s="231">
        <f t="shared" si="0"/>
        <v>0</v>
      </c>
      <c r="Q8" s="231">
        <f t="shared" si="0"/>
        <v>44169.277685928435</v>
      </c>
      <c r="R8" s="157"/>
      <c r="S8" s="231">
        <f t="shared" si="0"/>
        <v>680.96355826629008</v>
      </c>
      <c r="T8" s="231">
        <f t="shared" si="0"/>
        <v>10913.47183428992</v>
      </c>
      <c r="U8" s="231">
        <f>SUM(U11:U50)</f>
        <v>0</v>
      </c>
      <c r="V8" s="231">
        <f t="shared" si="0"/>
        <v>11594.435392556217</v>
      </c>
      <c r="W8" s="157"/>
      <c r="X8" s="231">
        <f>SUM(X11:X50)</f>
        <v>44169.277685928435</v>
      </c>
      <c r="Y8" s="93"/>
      <c r="Z8" s="93"/>
      <c r="AA8" s="93"/>
      <c r="AB8" s="93"/>
      <c r="AC8" s="93"/>
      <c r="AD8" s="93"/>
      <c r="AE8" s="93"/>
      <c r="AF8" s="93"/>
      <c r="AG8" s="93"/>
    </row>
    <row r="9" spans="1:33" ht="15" x14ac:dyDescent="0.25">
      <c r="A9" s="223"/>
      <c r="B9" s="232"/>
      <c r="C9" s="232"/>
      <c r="D9" s="232"/>
      <c r="E9" s="232"/>
      <c r="F9" s="232"/>
      <c r="G9" s="232"/>
      <c r="H9" s="232"/>
      <c r="I9" s="232"/>
      <c r="J9" s="232"/>
      <c r="K9" s="232"/>
      <c r="L9" s="232"/>
      <c r="M9" s="157"/>
      <c r="N9" s="157"/>
      <c r="O9" s="157"/>
      <c r="P9" s="157"/>
      <c r="Q9" s="201"/>
      <c r="R9" s="157"/>
      <c r="S9" s="201"/>
      <c r="T9" s="201"/>
      <c r="U9" s="201"/>
      <c r="V9" s="201"/>
      <c r="W9" s="157"/>
      <c r="X9" s="157"/>
      <c r="Y9" s="93"/>
      <c r="Z9" s="93"/>
      <c r="AA9" s="93"/>
      <c r="AB9" s="93"/>
      <c r="AC9" s="93"/>
      <c r="AD9" s="93"/>
      <c r="AE9" s="93"/>
      <c r="AF9" s="93"/>
      <c r="AG9" s="93"/>
    </row>
    <row r="10" spans="1:33" ht="15" x14ac:dyDescent="0.25">
      <c r="A10" s="93"/>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93"/>
      <c r="Z10" s="93"/>
      <c r="AA10" s="93"/>
      <c r="AB10" s="93"/>
      <c r="AC10" s="93"/>
      <c r="AD10" s="93"/>
      <c r="AE10" s="93"/>
      <c r="AF10" s="93"/>
      <c r="AG10" s="93"/>
    </row>
    <row r="11" spans="1:33" ht="15" x14ac:dyDescent="0.25">
      <c r="A11" s="158">
        <f>'Success Cash Flow'!A10</f>
        <v>2012</v>
      </c>
      <c r="B11" s="159">
        <f>Production!X31</f>
        <v>0</v>
      </c>
      <c r="C11" s="159">
        <f>'Selected Economics'!D11/'Selected Economics'!E11*Input!$B$28/1000*'Sensitivity Ranges'!$F$42</f>
        <v>1.9760000000000002</v>
      </c>
      <c r="D11" s="159">
        <f>C11*B11</f>
        <v>0</v>
      </c>
      <c r="E11" s="159">
        <f>Production!Y31</f>
        <v>0</v>
      </c>
      <c r="F11" s="159">
        <f>'Selected Economics'!C11/'Selected Economics'!E11*'Sensitivity Ranges'!$F$47</f>
        <v>101</v>
      </c>
      <c r="G11" s="159"/>
      <c r="H11" s="159">
        <f>F11*E11</f>
        <v>0</v>
      </c>
      <c r="I11" s="159">
        <f>Production!Z31</f>
        <v>0</v>
      </c>
      <c r="J11" s="159">
        <f>'Selected Economics'!B11/'Selected Economics'!E11*'Sensitivity Ranges'!$F$47</f>
        <v>108.82000000000001</v>
      </c>
      <c r="K11" s="159">
        <f>J11*I11</f>
        <v>0</v>
      </c>
      <c r="L11" s="159">
        <f>H11+D11+K11</f>
        <v>0</v>
      </c>
      <c r="M11" s="157"/>
      <c r="N11" s="159">
        <f>D11*Abandonment!H16</f>
        <v>0</v>
      </c>
      <c r="O11" s="159">
        <f>H11*Abandonment!H16</f>
        <v>0</v>
      </c>
      <c r="P11" s="159">
        <f>K11*Abandonment!H16</f>
        <v>0</v>
      </c>
      <c r="Q11" s="159">
        <f t="shared" ref="Q11:Q17" si="1">O11+N11+P11</f>
        <v>0</v>
      </c>
      <c r="R11" s="157"/>
      <c r="S11" s="159">
        <f>N11*S$7</f>
        <v>0</v>
      </c>
      <c r="T11" s="159">
        <f t="shared" ref="T11:U50" si="2">O11*T$7</f>
        <v>0</v>
      </c>
      <c r="U11" s="159">
        <f t="shared" si="2"/>
        <v>0</v>
      </c>
      <c r="V11" s="159">
        <f>SUM(S11:U11)</f>
        <v>0</v>
      </c>
      <c r="W11" s="157"/>
      <c r="X11" s="159">
        <f>L11*Abandonment!H16</f>
        <v>0</v>
      </c>
      <c r="Y11" s="93"/>
      <c r="Z11" s="93"/>
      <c r="AA11" s="93"/>
      <c r="AB11" s="93"/>
      <c r="AC11" s="93"/>
      <c r="AD11" s="93"/>
      <c r="AE11" s="93"/>
      <c r="AF11" s="93"/>
      <c r="AG11" s="93"/>
    </row>
    <row r="12" spans="1:33" ht="15" x14ac:dyDescent="0.25">
      <c r="A12" s="160">
        <f>A11+1</f>
        <v>2013</v>
      </c>
      <c r="B12" s="161">
        <f>Production!X32</f>
        <v>0</v>
      </c>
      <c r="C12" s="161">
        <f>'Selected Economics'!D12/'Selected Economics'!E12*Input!$B$28/1000*'Sensitivity Ranges'!$F$42</f>
        <v>2.0254000000000003</v>
      </c>
      <c r="D12" s="161">
        <f t="shared" ref="D12:D50" si="3">C12*B12</f>
        <v>0</v>
      </c>
      <c r="E12" s="161">
        <f>Production!Y32</f>
        <v>0</v>
      </c>
      <c r="F12" s="161">
        <f>'Selected Economics'!C12/'Selected Economics'!E12*'Sensitivity Ranges'!$F$47</f>
        <v>103.52499999999999</v>
      </c>
      <c r="G12" s="161"/>
      <c r="H12" s="161">
        <f t="shared" ref="H12:H50" si="4">F12*E12</f>
        <v>0</v>
      </c>
      <c r="I12" s="161">
        <f>Production!Z32</f>
        <v>0</v>
      </c>
      <c r="J12" s="161">
        <f>'Selected Economics'!B12/'Selected Economics'!E12*'Sensitivity Ranges'!$F$47</f>
        <v>111.54049999999999</v>
      </c>
      <c r="K12" s="161">
        <f t="shared" ref="K12:K50" si="5">J12*I12</f>
        <v>0</v>
      </c>
      <c r="L12" s="161">
        <f t="shared" ref="L12:L50" si="6">H12+D12+K12</f>
        <v>0</v>
      </c>
      <c r="M12" s="157"/>
      <c r="N12" s="161">
        <f>D12*Abandonment!H17</f>
        <v>0</v>
      </c>
      <c r="O12" s="161">
        <f>H12*Abandonment!H17</f>
        <v>0</v>
      </c>
      <c r="P12" s="161">
        <f>K12*Abandonment!H17</f>
        <v>0</v>
      </c>
      <c r="Q12" s="161">
        <f t="shared" si="1"/>
        <v>0</v>
      </c>
      <c r="R12" s="157"/>
      <c r="S12" s="161">
        <f t="shared" ref="S12:S50" si="7">N12*S$7</f>
        <v>0</v>
      </c>
      <c r="T12" s="161">
        <f t="shared" si="2"/>
        <v>0</v>
      </c>
      <c r="U12" s="161">
        <f t="shared" si="2"/>
        <v>0</v>
      </c>
      <c r="V12" s="161">
        <f t="shared" ref="V12:V50" si="8">SUM(S12:U12)</f>
        <v>0</v>
      </c>
      <c r="W12" s="157"/>
      <c r="X12" s="161">
        <f>L12*Abandonment!H17</f>
        <v>0</v>
      </c>
      <c r="Y12" s="93"/>
      <c r="Z12" s="93"/>
      <c r="AA12" s="93"/>
      <c r="AB12" s="93"/>
      <c r="AC12" s="93"/>
      <c r="AD12" s="93"/>
      <c r="AE12" s="93"/>
      <c r="AF12" s="93"/>
      <c r="AG12" s="93"/>
    </row>
    <row r="13" spans="1:33" ht="15" x14ac:dyDescent="0.25">
      <c r="A13" s="160">
        <f t="shared" ref="A13:A50" si="9">A12+1</f>
        <v>2014</v>
      </c>
      <c r="B13" s="161">
        <f>Production!X33</f>
        <v>0</v>
      </c>
      <c r="C13" s="161">
        <f>'Selected Economics'!D13/'Selected Economics'!E13*Input!$B$28/1000*'Sensitivity Ranges'!$F$42</f>
        <v>2.0760350000000001</v>
      </c>
      <c r="D13" s="161">
        <f t="shared" si="3"/>
        <v>0</v>
      </c>
      <c r="E13" s="161">
        <f>Production!Y33</f>
        <v>0</v>
      </c>
      <c r="F13" s="161">
        <f>'Selected Economics'!C13/'Selected Economics'!E13*'Sensitivity Ranges'!$F$47</f>
        <v>106.11312499999998</v>
      </c>
      <c r="G13" s="161"/>
      <c r="H13" s="161">
        <f t="shared" si="4"/>
        <v>0</v>
      </c>
      <c r="I13" s="161">
        <f>Production!Z33</f>
        <v>0</v>
      </c>
      <c r="J13" s="161">
        <f>'Selected Economics'!B13/'Selected Economics'!E13*'Sensitivity Ranges'!$F$47</f>
        <v>114.32901249999999</v>
      </c>
      <c r="K13" s="161">
        <f t="shared" si="5"/>
        <v>0</v>
      </c>
      <c r="L13" s="161">
        <f t="shared" si="6"/>
        <v>0</v>
      </c>
      <c r="M13" s="157"/>
      <c r="N13" s="161">
        <f>D13*Abandonment!H18</f>
        <v>0</v>
      </c>
      <c r="O13" s="161">
        <f>H13*Abandonment!H18</f>
        <v>0</v>
      </c>
      <c r="P13" s="161">
        <f>K13*Abandonment!H18</f>
        <v>0</v>
      </c>
      <c r="Q13" s="161">
        <f t="shared" si="1"/>
        <v>0</v>
      </c>
      <c r="R13" s="157"/>
      <c r="S13" s="161">
        <f t="shared" si="7"/>
        <v>0</v>
      </c>
      <c r="T13" s="161">
        <f t="shared" si="2"/>
        <v>0</v>
      </c>
      <c r="U13" s="161">
        <f t="shared" si="2"/>
        <v>0</v>
      </c>
      <c r="V13" s="161">
        <f t="shared" si="8"/>
        <v>0</v>
      </c>
      <c r="W13" s="157"/>
      <c r="X13" s="161">
        <f>L13*Abandonment!H18</f>
        <v>0</v>
      </c>
      <c r="Y13" s="93"/>
      <c r="Z13" s="93"/>
      <c r="AA13" s="93"/>
      <c r="AB13" s="93"/>
      <c r="AC13" s="93"/>
      <c r="AD13" s="93"/>
      <c r="AE13" s="93"/>
      <c r="AF13" s="93"/>
      <c r="AG13" s="93"/>
    </row>
    <row r="14" spans="1:33" ht="15" x14ac:dyDescent="0.25">
      <c r="A14" s="160">
        <f t="shared" si="9"/>
        <v>2015</v>
      </c>
      <c r="B14" s="161">
        <f>Production!X34</f>
        <v>0</v>
      </c>
      <c r="C14" s="161">
        <f>'Selected Economics'!D14/'Selected Economics'!E14*Input!$B$28/1000*'Sensitivity Ranges'!$F$42</f>
        <v>2.1279358749999995</v>
      </c>
      <c r="D14" s="161">
        <f t="shared" si="3"/>
        <v>0</v>
      </c>
      <c r="E14" s="161">
        <f>Production!Y34</f>
        <v>0</v>
      </c>
      <c r="F14" s="161">
        <f>'Selected Economics'!C14/'Selected Economics'!E14*'Sensitivity Ranges'!$F$47</f>
        <v>108.76595312499998</v>
      </c>
      <c r="G14" s="161"/>
      <c r="H14" s="161">
        <f t="shared" si="4"/>
        <v>0</v>
      </c>
      <c r="I14" s="161">
        <f>Production!Z34</f>
        <v>0</v>
      </c>
      <c r="J14" s="161">
        <f>'Selected Economics'!B14/'Selected Economics'!E14*'Sensitivity Ranges'!$F$47</f>
        <v>117.18723781249999</v>
      </c>
      <c r="K14" s="161">
        <f t="shared" si="5"/>
        <v>0</v>
      </c>
      <c r="L14" s="161">
        <f t="shared" si="6"/>
        <v>0</v>
      </c>
      <c r="M14" s="157"/>
      <c r="N14" s="161">
        <f>D14*Abandonment!H19</f>
        <v>0</v>
      </c>
      <c r="O14" s="161">
        <f>H14*Abandonment!H19</f>
        <v>0</v>
      </c>
      <c r="P14" s="161">
        <f>K14*Abandonment!H19</f>
        <v>0</v>
      </c>
      <c r="Q14" s="161">
        <f t="shared" si="1"/>
        <v>0</v>
      </c>
      <c r="R14" s="157"/>
      <c r="S14" s="161">
        <f t="shared" si="7"/>
        <v>0</v>
      </c>
      <c r="T14" s="161">
        <f t="shared" si="2"/>
        <v>0</v>
      </c>
      <c r="U14" s="161">
        <f t="shared" si="2"/>
        <v>0</v>
      </c>
      <c r="V14" s="161">
        <f t="shared" si="8"/>
        <v>0</v>
      </c>
      <c r="W14" s="157"/>
      <c r="X14" s="161">
        <f>L14*Abandonment!H19</f>
        <v>0</v>
      </c>
      <c r="Y14" s="93"/>
      <c r="Z14" s="93"/>
      <c r="AA14" s="93"/>
      <c r="AB14" s="93"/>
      <c r="AC14" s="93"/>
      <c r="AD14" s="93"/>
      <c r="AE14" s="93"/>
      <c r="AF14" s="93"/>
      <c r="AG14" s="93"/>
    </row>
    <row r="15" spans="1:33" ht="15" x14ac:dyDescent="0.25">
      <c r="A15" s="160">
        <f t="shared" si="9"/>
        <v>2016</v>
      </c>
      <c r="B15" s="161">
        <f>Production!X35</f>
        <v>0</v>
      </c>
      <c r="C15" s="161">
        <f>'Selected Economics'!D15/'Selected Economics'!E15*Input!$B$28/1000*'Sensitivity Ranges'!$F$42</f>
        <v>2.1811342718749991</v>
      </c>
      <c r="D15" s="161">
        <f t="shared" si="3"/>
        <v>0</v>
      </c>
      <c r="E15" s="161">
        <f>Production!Y35</f>
        <v>0</v>
      </c>
      <c r="F15" s="161">
        <f>'Selected Economics'!C15/'Selected Economics'!E15*'Sensitivity Ranges'!$F$47</f>
        <v>111.48510195312497</v>
      </c>
      <c r="G15" s="161"/>
      <c r="H15" s="161">
        <f t="shared" si="4"/>
        <v>0</v>
      </c>
      <c r="I15" s="161">
        <f>Production!Z35</f>
        <v>0</v>
      </c>
      <c r="J15" s="161">
        <f>'Selected Economics'!B15/'Selected Economics'!E15*'Sensitivity Ranges'!$F$47</f>
        <v>120.11691875781248</v>
      </c>
      <c r="K15" s="161">
        <f t="shared" si="5"/>
        <v>0</v>
      </c>
      <c r="L15" s="161">
        <f t="shared" si="6"/>
        <v>0</v>
      </c>
      <c r="M15" s="157"/>
      <c r="N15" s="161">
        <f>D15*Abandonment!H20</f>
        <v>0</v>
      </c>
      <c r="O15" s="161">
        <f>H15*Abandonment!H20</f>
        <v>0</v>
      </c>
      <c r="P15" s="161">
        <f>K15*Abandonment!H20</f>
        <v>0</v>
      </c>
      <c r="Q15" s="161">
        <f t="shared" si="1"/>
        <v>0</v>
      </c>
      <c r="R15" s="157"/>
      <c r="S15" s="161">
        <f t="shared" si="7"/>
        <v>0</v>
      </c>
      <c r="T15" s="161">
        <f t="shared" si="2"/>
        <v>0</v>
      </c>
      <c r="U15" s="161">
        <f t="shared" si="2"/>
        <v>0</v>
      </c>
      <c r="V15" s="161">
        <f t="shared" si="8"/>
        <v>0</v>
      </c>
      <c r="W15" s="157"/>
      <c r="X15" s="161">
        <f>L15*Abandonment!H20</f>
        <v>0</v>
      </c>
      <c r="Y15" s="93"/>
      <c r="Z15" s="93"/>
      <c r="AA15" s="93"/>
      <c r="AB15" s="93"/>
      <c r="AC15" s="93"/>
      <c r="AD15" s="93"/>
      <c r="AE15" s="93"/>
      <c r="AF15" s="93"/>
      <c r="AG15" s="93"/>
    </row>
    <row r="16" spans="1:33" ht="15" x14ac:dyDescent="0.25">
      <c r="A16" s="160">
        <f t="shared" si="9"/>
        <v>2017</v>
      </c>
      <c r="B16" s="161">
        <f>Production!X36</f>
        <v>0</v>
      </c>
      <c r="C16" s="161">
        <f>'Selected Economics'!D16/'Selected Economics'!E16*Input!$B$28/1000*'Sensitivity Ranges'!$F$42</f>
        <v>2.2356626286718746</v>
      </c>
      <c r="D16" s="161">
        <f t="shared" si="3"/>
        <v>0</v>
      </c>
      <c r="E16" s="161">
        <f>Production!Y36</f>
        <v>0</v>
      </c>
      <c r="F16" s="161">
        <f>'Selected Economics'!C16/'Selected Economics'!E16*'Sensitivity Ranges'!$F$47</f>
        <v>114.27222950195308</v>
      </c>
      <c r="G16" s="161"/>
      <c r="H16" s="161">
        <f t="shared" si="4"/>
        <v>0</v>
      </c>
      <c r="I16" s="161">
        <f>Production!Z36</f>
        <v>0</v>
      </c>
      <c r="J16" s="161">
        <f>'Selected Economics'!B16/'Selected Economics'!E16*'Sensitivity Ranges'!$F$47</f>
        <v>123.11984172675778</v>
      </c>
      <c r="K16" s="161">
        <f t="shared" si="5"/>
        <v>0</v>
      </c>
      <c r="L16" s="161">
        <f t="shared" si="6"/>
        <v>0</v>
      </c>
      <c r="M16" s="157"/>
      <c r="N16" s="161">
        <f>D16*Abandonment!H21</f>
        <v>0</v>
      </c>
      <c r="O16" s="161">
        <f>H16*Abandonment!H21</f>
        <v>0</v>
      </c>
      <c r="P16" s="161">
        <f>K16*Abandonment!H21</f>
        <v>0</v>
      </c>
      <c r="Q16" s="161">
        <f t="shared" si="1"/>
        <v>0</v>
      </c>
      <c r="R16" s="157"/>
      <c r="S16" s="161">
        <f t="shared" si="7"/>
        <v>0</v>
      </c>
      <c r="T16" s="161">
        <f t="shared" si="2"/>
        <v>0</v>
      </c>
      <c r="U16" s="161">
        <f t="shared" si="2"/>
        <v>0</v>
      </c>
      <c r="V16" s="161">
        <f t="shared" si="8"/>
        <v>0</v>
      </c>
      <c r="W16" s="157"/>
      <c r="X16" s="161">
        <f>L16*Abandonment!H21</f>
        <v>0</v>
      </c>
      <c r="Y16" s="93"/>
      <c r="Z16" s="93"/>
      <c r="AA16" s="93"/>
      <c r="AB16" s="93"/>
      <c r="AC16" s="93"/>
      <c r="AD16" s="93"/>
      <c r="AE16" s="93"/>
      <c r="AF16" s="93"/>
      <c r="AG16" s="93"/>
    </row>
    <row r="17" spans="1:33" ht="15" x14ac:dyDescent="0.25">
      <c r="A17" s="160">
        <f t="shared" si="9"/>
        <v>2018</v>
      </c>
      <c r="B17" s="161">
        <f>Production!X37</f>
        <v>9.2295618696678048</v>
      </c>
      <c r="C17" s="161">
        <f>'Selected Economics'!D17/'Selected Economics'!E17*Input!$B$28/1000*'Sensitivity Ranges'!$F$42</f>
        <v>2.291554194388671</v>
      </c>
      <c r="D17" s="161">
        <f t="shared" si="3"/>
        <v>21.150041214807004</v>
      </c>
      <c r="E17" s="161">
        <f>Production!Y37</f>
        <v>2.8939146112525647</v>
      </c>
      <c r="F17" s="161">
        <f>'Selected Economics'!C17/'Selected Economics'!E17*'Sensitivity Ranges'!$F$47</f>
        <v>117.12903523950189</v>
      </c>
      <c r="G17" s="161"/>
      <c r="H17" s="161">
        <f t="shared" si="4"/>
        <v>338.96142648151107</v>
      </c>
      <c r="I17" s="161">
        <f>Production!Z37</f>
        <v>0</v>
      </c>
      <c r="J17" s="161">
        <f>'Selected Economics'!B17/'Selected Economics'!E17*'Sensitivity Ranges'!$F$47</f>
        <v>126.19783776992671</v>
      </c>
      <c r="K17" s="161">
        <f t="shared" si="5"/>
        <v>0</v>
      </c>
      <c r="L17" s="161">
        <f t="shared" si="6"/>
        <v>360.11146769631807</v>
      </c>
      <c r="M17" s="157"/>
      <c r="N17" s="161">
        <f>D17*Abandonment!H22</f>
        <v>21.150041214807004</v>
      </c>
      <c r="O17" s="161">
        <f>H17*Abandonment!H22</f>
        <v>338.96142648151107</v>
      </c>
      <c r="P17" s="161">
        <f>K17*Abandonment!H22</f>
        <v>0</v>
      </c>
      <c r="Q17" s="161">
        <f t="shared" si="1"/>
        <v>360.11146769631807</v>
      </c>
      <c r="R17" s="157"/>
      <c r="S17" s="161">
        <f t="shared" si="7"/>
        <v>5.5518858188868379</v>
      </c>
      <c r="T17" s="161">
        <f t="shared" si="2"/>
        <v>88.977374451396642</v>
      </c>
      <c r="U17" s="161">
        <f t="shared" si="2"/>
        <v>0</v>
      </c>
      <c r="V17" s="161">
        <f t="shared" si="8"/>
        <v>94.529260270283487</v>
      </c>
      <c r="W17" s="157"/>
      <c r="X17" s="161">
        <f>L17*Abandonment!H22</f>
        <v>360.11146769631807</v>
      </c>
      <c r="Y17" s="93"/>
      <c r="Z17" s="93"/>
      <c r="AA17" s="93"/>
      <c r="AB17" s="93"/>
      <c r="AC17" s="93"/>
      <c r="AD17" s="93"/>
      <c r="AE17" s="93"/>
      <c r="AF17" s="93"/>
      <c r="AG17" s="93"/>
    </row>
    <row r="18" spans="1:33" ht="15" x14ac:dyDescent="0.25">
      <c r="A18" s="160">
        <f t="shared" si="9"/>
        <v>2019</v>
      </c>
      <c r="B18" s="161">
        <f>Production!X38</f>
        <v>94.455959015474221</v>
      </c>
      <c r="C18" s="161">
        <f>'Selected Economics'!D18/'Selected Economics'!E18*Input!$B$28/1000*'Sensitivity Ranges'!$F$42</f>
        <v>2.348843049248388</v>
      </c>
      <c r="D18" s="161">
        <f t="shared" si="3"/>
        <v>221.86222279358725</v>
      </c>
      <c r="E18" s="161">
        <f>Production!Y38</f>
        <v>29.616517422467069</v>
      </c>
      <c r="F18" s="161">
        <f>'Selected Economics'!C18/'Selected Economics'!E18*'Sensitivity Ranges'!$F$47</f>
        <v>120.05726112048944</v>
      </c>
      <c r="G18" s="161"/>
      <c r="H18" s="161">
        <f t="shared" si="4"/>
        <v>3555.677965668654</v>
      </c>
      <c r="I18" s="161">
        <f>Production!Z38</f>
        <v>0</v>
      </c>
      <c r="J18" s="161">
        <f>'Selected Economics'!B18/'Selected Economics'!E18*'Sensitivity Ranges'!$F$47</f>
        <v>129.35278371417488</v>
      </c>
      <c r="K18" s="161">
        <f t="shared" si="5"/>
        <v>0</v>
      </c>
      <c r="L18" s="161">
        <f t="shared" si="6"/>
        <v>3777.5401884622411</v>
      </c>
      <c r="M18" s="157"/>
      <c r="N18" s="161">
        <f>D18*Abandonment!H23</f>
        <v>221.86222279358725</v>
      </c>
      <c r="O18" s="161">
        <f>H18*Abandonment!H23</f>
        <v>3555.677965668654</v>
      </c>
      <c r="P18" s="161">
        <f>K18*Abandonment!H23</f>
        <v>0</v>
      </c>
      <c r="Q18" s="161">
        <f>O18+N18+P18</f>
        <v>3777.5401884622411</v>
      </c>
      <c r="R18" s="157"/>
      <c r="S18" s="161">
        <f t="shared" si="7"/>
        <v>58.238833483316647</v>
      </c>
      <c r="T18" s="161">
        <f t="shared" si="2"/>
        <v>933.36546598802147</v>
      </c>
      <c r="U18" s="161">
        <f t="shared" si="2"/>
        <v>0</v>
      </c>
      <c r="V18" s="161">
        <f t="shared" si="8"/>
        <v>991.60429947133809</v>
      </c>
      <c r="W18" s="157"/>
      <c r="X18" s="161">
        <f>L18*Abandonment!H23</f>
        <v>3777.5401884622411</v>
      </c>
      <c r="Y18" s="93"/>
      <c r="Z18" s="93"/>
      <c r="AA18" s="93"/>
      <c r="AB18" s="93"/>
      <c r="AC18" s="93"/>
      <c r="AD18" s="93"/>
      <c r="AE18" s="93"/>
      <c r="AF18" s="93"/>
      <c r="AG18" s="93"/>
    </row>
    <row r="19" spans="1:33" ht="15" x14ac:dyDescent="0.25">
      <c r="A19" s="160">
        <f t="shared" si="9"/>
        <v>2020</v>
      </c>
      <c r="B19" s="161">
        <f>Production!X39</f>
        <v>95.941134246575345</v>
      </c>
      <c r="C19" s="161">
        <f>'Selected Economics'!D19/'Selected Economics'!E19*Input!$B$28/1000*'Sensitivity Ranges'!$F$42</f>
        <v>2.4075641254795972</v>
      </c>
      <c r="D19" s="161">
        <f t="shared" si="3"/>
        <v>230.98443296987679</v>
      </c>
      <c r="E19" s="161">
        <f>Production!Y39</f>
        <v>30.082191780821915</v>
      </c>
      <c r="F19" s="161">
        <f>'Selected Economics'!C19/'Selected Economics'!E19*'Sensitivity Ranges'!$F$47</f>
        <v>123.05869264850166</v>
      </c>
      <c r="G19" s="161"/>
      <c r="H19" s="161">
        <f t="shared" si="4"/>
        <v>3701.8751925494471</v>
      </c>
      <c r="I19" s="161">
        <f>Production!Z39</f>
        <v>0</v>
      </c>
      <c r="J19" s="161">
        <f>'Selected Economics'!B19/'Selected Economics'!E19*'Sensitivity Ranges'!$F$47</f>
        <v>132.58660330702924</v>
      </c>
      <c r="K19" s="161">
        <f t="shared" si="5"/>
        <v>0</v>
      </c>
      <c r="L19" s="161">
        <f t="shared" si="6"/>
        <v>3932.8596255193238</v>
      </c>
      <c r="M19" s="157"/>
      <c r="N19" s="161">
        <f>D19*Abandonment!H24</f>
        <v>230.98443296987679</v>
      </c>
      <c r="O19" s="161">
        <f>H19*Abandonment!H24</f>
        <v>3701.8751925494471</v>
      </c>
      <c r="P19" s="161">
        <f>K19*Abandonment!H24</f>
        <v>0</v>
      </c>
      <c r="Q19" s="161">
        <f t="shared" ref="Q19:Q50" si="10">O19+N19+P19</f>
        <v>3932.8596255193238</v>
      </c>
      <c r="R19" s="157"/>
      <c r="S19" s="161">
        <f t="shared" si="7"/>
        <v>60.633413654592651</v>
      </c>
      <c r="T19" s="161">
        <f t="shared" si="2"/>
        <v>971.74223804422968</v>
      </c>
      <c r="U19" s="161">
        <f t="shared" si="2"/>
        <v>0</v>
      </c>
      <c r="V19" s="161">
        <f t="shared" si="8"/>
        <v>1032.3756516988224</v>
      </c>
      <c r="W19" s="157"/>
      <c r="X19" s="161">
        <f>L19*Abandonment!H24</f>
        <v>3932.8596255193238</v>
      </c>
      <c r="Y19" s="93"/>
      <c r="Z19" s="93"/>
      <c r="AA19" s="93"/>
      <c r="AB19" s="93"/>
      <c r="AC19" s="93"/>
      <c r="AD19" s="93"/>
      <c r="AE19" s="93"/>
      <c r="AF19" s="93"/>
      <c r="AG19" s="93"/>
    </row>
    <row r="20" spans="1:33" ht="15" x14ac:dyDescent="0.25">
      <c r="A20" s="160">
        <f t="shared" si="9"/>
        <v>2021</v>
      </c>
      <c r="B20" s="161">
        <f>Production!X40</f>
        <v>95.679000000000002</v>
      </c>
      <c r="C20" s="161">
        <f>'Selected Economics'!D20/'Selected Economics'!E20*Input!$B$28/1000*'Sensitivity Ranges'!$F$42</f>
        <v>2.4677532286165875</v>
      </c>
      <c r="D20" s="161">
        <f t="shared" si="3"/>
        <v>236.11216116080649</v>
      </c>
      <c r="E20" s="161">
        <f>Production!Y40</f>
        <v>29.999999999999996</v>
      </c>
      <c r="F20" s="161">
        <f>'Selected Economics'!C20/'Selected Economics'!E20*'Sensitivity Ranges'!$F$47</f>
        <v>126.13515996471419</v>
      </c>
      <c r="G20" s="161"/>
      <c r="H20" s="161">
        <f t="shared" si="4"/>
        <v>3784.0547989414254</v>
      </c>
      <c r="I20" s="161">
        <f>Production!Z40</f>
        <v>0</v>
      </c>
      <c r="J20" s="161">
        <f>'Selected Economics'!B20/'Selected Economics'!E20*'Sensitivity Ranges'!$F$47</f>
        <v>135.90126838970494</v>
      </c>
      <c r="K20" s="161">
        <f t="shared" si="5"/>
        <v>0</v>
      </c>
      <c r="L20" s="161">
        <f t="shared" si="6"/>
        <v>4020.1669601022318</v>
      </c>
      <c r="M20" s="157"/>
      <c r="N20" s="161">
        <f>D20*Abandonment!H25</f>
        <v>236.11216116080649</v>
      </c>
      <c r="O20" s="161">
        <f>H20*Abandonment!H25</f>
        <v>3784.0547989414254</v>
      </c>
      <c r="P20" s="161">
        <f>K20*Abandonment!H25</f>
        <v>0</v>
      </c>
      <c r="Q20" s="161">
        <f t="shared" si="10"/>
        <v>4020.1669601022318</v>
      </c>
      <c r="R20" s="157"/>
      <c r="S20" s="161">
        <f t="shared" si="7"/>
        <v>61.979442304711696</v>
      </c>
      <c r="T20" s="161">
        <f t="shared" si="2"/>
        <v>993.31438472212403</v>
      </c>
      <c r="U20" s="161">
        <f t="shared" si="2"/>
        <v>0</v>
      </c>
      <c r="V20" s="161">
        <f t="shared" si="8"/>
        <v>1055.2938270268357</v>
      </c>
      <c r="W20" s="157"/>
      <c r="X20" s="161">
        <f>L20*Abandonment!H25</f>
        <v>4020.1669601022318</v>
      </c>
      <c r="Y20" s="93"/>
      <c r="Z20" s="93"/>
      <c r="AA20" s="233"/>
      <c r="AB20" s="188"/>
      <c r="AC20" s="93"/>
      <c r="AD20" s="93"/>
      <c r="AE20" s="93"/>
      <c r="AF20" s="93"/>
      <c r="AG20" s="93"/>
    </row>
    <row r="21" spans="1:33" ht="15" x14ac:dyDescent="0.25">
      <c r="A21" s="160">
        <f t="shared" si="9"/>
        <v>2022</v>
      </c>
      <c r="B21" s="161">
        <f>Production!X41</f>
        <v>95.621204205075202</v>
      </c>
      <c r="C21" s="161">
        <f>'Selected Economics'!D21/'Selected Economics'!E21*Input!$B$28/1000*'Sensitivity Ranges'!$F$42</f>
        <v>2.5294470593320018</v>
      </c>
      <c r="D21" s="161">
        <f t="shared" si="3"/>
        <v>241.86877378631232</v>
      </c>
      <c r="E21" s="161">
        <f>Production!Y41</f>
        <v>29.981878219382054</v>
      </c>
      <c r="F21" s="161">
        <f>'Selected Economics'!C21/'Selected Economics'!E21*'Sensitivity Ranges'!$F$47</f>
        <v>129.28853896383202</v>
      </c>
      <c r="G21" s="161"/>
      <c r="H21" s="161">
        <f t="shared" si="4"/>
        <v>3876.3132303754433</v>
      </c>
      <c r="I21" s="161">
        <f>Production!Z41</f>
        <v>0</v>
      </c>
      <c r="J21" s="161">
        <f>'Selected Economics'!B21/'Selected Economics'!E21*'Sensitivity Ranges'!$F$47</f>
        <v>139.29880009944756</v>
      </c>
      <c r="K21" s="161">
        <f t="shared" si="5"/>
        <v>0</v>
      </c>
      <c r="L21" s="161">
        <f t="shared" si="6"/>
        <v>4118.1820041617557</v>
      </c>
      <c r="M21" s="157"/>
      <c r="N21" s="161">
        <f>D21*Abandonment!H26</f>
        <v>241.86877378631232</v>
      </c>
      <c r="O21" s="161">
        <f>H21*Abandonment!H26</f>
        <v>3876.3132303754433</v>
      </c>
      <c r="P21" s="161">
        <f>K21*Abandonment!H26</f>
        <v>0</v>
      </c>
      <c r="Q21" s="161">
        <f t="shared" si="10"/>
        <v>4118.1820041617557</v>
      </c>
      <c r="R21" s="157"/>
      <c r="S21" s="161">
        <f t="shared" si="7"/>
        <v>63.490553118906973</v>
      </c>
      <c r="T21" s="161">
        <f t="shared" si="2"/>
        <v>1017.5322229735536</v>
      </c>
      <c r="U21" s="161">
        <f t="shared" si="2"/>
        <v>0</v>
      </c>
      <c r="V21" s="161">
        <f t="shared" si="8"/>
        <v>1081.0227760924606</v>
      </c>
      <c r="W21" s="157"/>
      <c r="X21" s="161">
        <f>L21*Abandonment!H26</f>
        <v>4118.1820041617557</v>
      </c>
      <c r="Y21" s="93"/>
      <c r="Z21" s="93"/>
      <c r="AA21" s="93"/>
      <c r="AB21" s="93"/>
      <c r="AC21" s="93"/>
      <c r="AD21" s="93"/>
      <c r="AE21" s="93"/>
      <c r="AF21" s="93"/>
      <c r="AG21" s="93"/>
    </row>
    <row r="22" spans="1:33" ht="15" x14ac:dyDescent="0.25">
      <c r="A22" s="160">
        <f t="shared" si="9"/>
        <v>2023</v>
      </c>
      <c r="B22" s="161">
        <f>Production!X42</f>
        <v>87.077161000761478</v>
      </c>
      <c r="C22" s="161">
        <f>'Selected Economics'!D22/'Selected Economics'!E22*Input!$B$28/1000*'Sensitivity Ranges'!$F$42</f>
        <v>2.5926832358153016</v>
      </c>
      <c r="D22" s="161">
        <f t="shared" si="3"/>
        <v>225.76349554906426</v>
      </c>
      <c r="E22" s="161">
        <f>Production!Y42</f>
        <v>27.302906907710614</v>
      </c>
      <c r="F22" s="161">
        <f>'Selected Economics'!C22/'Selected Economics'!E22*'Sensitivity Ranges'!$F$47</f>
        <v>132.52075243792783</v>
      </c>
      <c r="G22" s="161"/>
      <c r="H22" s="161">
        <f t="shared" si="4"/>
        <v>3618.2017671525077</v>
      </c>
      <c r="I22" s="161">
        <f>Production!Z42</f>
        <v>0</v>
      </c>
      <c r="J22" s="161">
        <f>'Selected Economics'!B22/'Selected Economics'!E22*'Sensitivity Ranges'!$F$47</f>
        <v>142.78127010193373</v>
      </c>
      <c r="K22" s="161">
        <f t="shared" si="5"/>
        <v>0</v>
      </c>
      <c r="L22" s="161">
        <f t="shared" si="6"/>
        <v>3843.9652627015721</v>
      </c>
      <c r="M22" s="157"/>
      <c r="N22" s="161">
        <f>D22*Abandonment!H27</f>
        <v>225.76349554906426</v>
      </c>
      <c r="O22" s="161">
        <f>H22*Abandonment!H27</f>
        <v>3618.2017671525077</v>
      </c>
      <c r="P22" s="161">
        <f>K22*Abandonment!H27</f>
        <v>0</v>
      </c>
      <c r="Q22" s="161">
        <f t="shared" si="10"/>
        <v>3843.9652627015721</v>
      </c>
      <c r="R22" s="157"/>
      <c r="S22" s="161">
        <f t="shared" si="7"/>
        <v>59.26291758162936</v>
      </c>
      <c r="T22" s="161">
        <f t="shared" si="2"/>
        <v>949.77796387753313</v>
      </c>
      <c r="U22" s="161">
        <f t="shared" si="2"/>
        <v>0</v>
      </c>
      <c r="V22" s="161">
        <f t="shared" si="8"/>
        <v>1009.0408814591625</v>
      </c>
      <c r="W22" s="157"/>
      <c r="X22" s="161">
        <f>L22*Abandonment!H27</f>
        <v>3843.9652627015721</v>
      </c>
      <c r="Y22" s="93"/>
      <c r="Z22" s="93"/>
      <c r="AA22" s="93"/>
      <c r="AB22" s="93"/>
      <c r="AC22" s="93"/>
      <c r="AD22" s="93"/>
      <c r="AE22" s="93"/>
      <c r="AF22" s="93"/>
      <c r="AG22" s="93"/>
    </row>
    <row r="23" spans="1:33" ht="15" x14ac:dyDescent="0.25">
      <c r="A23" s="160">
        <f t="shared" si="9"/>
        <v>2024</v>
      </c>
      <c r="B23" s="161">
        <f>Production!X43</f>
        <v>74.202295853387355</v>
      </c>
      <c r="C23" s="161">
        <f>'Selected Economics'!D23/'Selected Economics'!E23*Input!$B$28/1000*'Sensitivity Ranges'!$F$42</f>
        <v>2.6575003167106837</v>
      </c>
      <c r="D23" s="161">
        <f t="shared" si="3"/>
        <v>197.19262473103674</v>
      </c>
      <c r="E23" s="161">
        <f>Production!Y43</f>
        <v>23.266013185773478</v>
      </c>
      <c r="F23" s="161">
        <f>'Selected Economics'!C23/'Selected Economics'!E23*'Sensitivity Ranges'!$F$47</f>
        <v>135.83377124887602</v>
      </c>
      <c r="G23" s="161"/>
      <c r="H23" s="161">
        <f t="shared" si="4"/>
        <v>3160.3103129496876</v>
      </c>
      <c r="I23" s="161">
        <f>Production!Z43</f>
        <v>0</v>
      </c>
      <c r="J23" s="161">
        <f>'Selected Economics'!B23/'Selected Economics'!E23*'Sensitivity Ranges'!$F$47</f>
        <v>146.35080185448206</v>
      </c>
      <c r="K23" s="161">
        <f t="shared" si="5"/>
        <v>0</v>
      </c>
      <c r="L23" s="161">
        <f t="shared" si="6"/>
        <v>3357.5029376807242</v>
      </c>
      <c r="M23" s="157"/>
      <c r="N23" s="161">
        <f>D23*Abandonment!H28</f>
        <v>197.19262473103674</v>
      </c>
      <c r="O23" s="161">
        <f>H23*Abandonment!H28</f>
        <v>3160.3103129496876</v>
      </c>
      <c r="P23" s="161">
        <f>K23*Abandonment!H28</f>
        <v>0</v>
      </c>
      <c r="Q23" s="161">
        <f t="shared" si="10"/>
        <v>3357.5029376807242</v>
      </c>
      <c r="R23" s="157"/>
      <c r="S23" s="161">
        <f t="shared" si="7"/>
        <v>51.763063991897134</v>
      </c>
      <c r="T23" s="161">
        <f t="shared" si="2"/>
        <v>829.58145714929287</v>
      </c>
      <c r="U23" s="161">
        <f t="shared" si="2"/>
        <v>0</v>
      </c>
      <c r="V23" s="161">
        <f t="shared" si="8"/>
        <v>881.34452114119006</v>
      </c>
      <c r="W23" s="157"/>
      <c r="X23" s="161">
        <f>L23*Abandonment!H28</f>
        <v>3357.5029376807242</v>
      </c>
      <c r="Y23" s="93"/>
      <c r="Z23" s="93"/>
      <c r="AA23" s="93"/>
      <c r="AB23" s="93"/>
      <c r="AC23" s="93"/>
      <c r="AD23" s="93"/>
      <c r="AE23" s="93"/>
      <c r="AF23" s="93"/>
      <c r="AG23" s="93"/>
    </row>
    <row r="24" spans="1:33" ht="15" x14ac:dyDescent="0.25">
      <c r="A24" s="160">
        <f t="shared" si="9"/>
        <v>2025</v>
      </c>
      <c r="B24" s="161">
        <f>Production!X44</f>
        <v>62.885242472639135</v>
      </c>
      <c r="C24" s="161">
        <f>'Selected Economics'!D24/'Selected Economics'!E24*Input!$B$28/1000*'Sensitivity Ranges'!$F$42</f>
        <v>2.7239378246284507</v>
      </c>
      <c r="D24" s="161">
        <f t="shared" si="3"/>
        <v>171.29549058215329</v>
      </c>
      <c r="E24" s="161">
        <f>Production!Y44</f>
        <v>19.717568893688</v>
      </c>
      <c r="F24" s="161">
        <f>'Selected Economics'!C24/'Selected Economics'!E24*'Sensitivity Ranges'!$F$47</f>
        <v>139.2296155300979</v>
      </c>
      <c r="G24" s="161"/>
      <c r="H24" s="161">
        <f t="shared" si="4"/>
        <v>2745.2695362563982</v>
      </c>
      <c r="I24" s="161">
        <f>Production!Z44</f>
        <v>0</v>
      </c>
      <c r="J24" s="161">
        <f>'Selected Economics'!B24/'Selected Economics'!E24*'Sensitivity Ranges'!$F$47</f>
        <v>150.00957190084407</v>
      </c>
      <c r="K24" s="161">
        <f t="shared" si="5"/>
        <v>0</v>
      </c>
      <c r="L24" s="161">
        <f t="shared" si="6"/>
        <v>2916.5650268385516</v>
      </c>
      <c r="M24" s="157"/>
      <c r="N24" s="161">
        <f>D24*Abandonment!H29</f>
        <v>171.29549058215329</v>
      </c>
      <c r="O24" s="161">
        <f>H24*Abandonment!H29</f>
        <v>2745.2695362563982</v>
      </c>
      <c r="P24" s="161">
        <f>K24*Abandonment!H29</f>
        <v>0</v>
      </c>
      <c r="Q24" s="161">
        <f t="shared" si="10"/>
        <v>2916.5650268385516</v>
      </c>
      <c r="R24" s="157"/>
      <c r="S24" s="161">
        <f t="shared" si="7"/>
        <v>44.965066277815232</v>
      </c>
      <c r="T24" s="161">
        <f t="shared" si="2"/>
        <v>720.63325326730444</v>
      </c>
      <c r="U24" s="161">
        <f t="shared" si="2"/>
        <v>0</v>
      </c>
      <c r="V24" s="161">
        <f t="shared" si="8"/>
        <v>765.59831954511969</v>
      </c>
      <c r="W24" s="157"/>
      <c r="X24" s="161">
        <f>L24*Abandonment!H29</f>
        <v>2916.5650268385516</v>
      </c>
      <c r="Y24" s="93"/>
      <c r="Z24" s="93"/>
      <c r="AA24" s="93"/>
      <c r="AB24" s="93"/>
      <c r="AC24" s="93"/>
      <c r="AD24" s="93"/>
      <c r="AE24" s="93"/>
      <c r="AF24" s="93"/>
      <c r="AG24" s="93"/>
    </row>
    <row r="25" spans="1:33" ht="15" x14ac:dyDescent="0.25">
      <c r="A25" s="160">
        <f t="shared" si="9"/>
        <v>2026</v>
      </c>
      <c r="B25" s="161">
        <f>Production!X45</f>
        <v>53.45245610174328</v>
      </c>
      <c r="C25" s="161">
        <f>'Selected Economics'!D25/'Selected Economics'!E25*Input!$B$28/1000*'Sensitivity Ranges'!$F$42</f>
        <v>2.7920362702441612</v>
      </c>
      <c r="D25" s="161">
        <f t="shared" si="3"/>
        <v>149.24119616970106</v>
      </c>
      <c r="E25" s="161">
        <f>Production!Y45</f>
        <v>16.759933559634803</v>
      </c>
      <c r="F25" s="161">
        <f>'Selected Economics'!C25/'Selected Economics'!E25*'Sensitivity Ranges'!$F$47</f>
        <v>142.71035591835033</v>
      </c>
      <c r="G25" s="161"/>
      <c r="H25" s="161">
        <f t="shared" si="4"/>
        <v>2391.8160834633868</v>
      </c>
      <c r="I25" s="161">
        <f>Production!Z45</f>
        <v>0</v>
      </c>
      <c r="J25" s="161">
        <f>'Selected Economics'!B25/'Selected Economics'!E25*'Sensitivity Ranges'!$F$47</f>
        <v>153.75981119836516</v>
      </c>
      <c r="K25" s="161">
        <f t="shared" si="5"/>
        <v>0</v>
      </c>
      <c r="L25" s="161">
        <f t="shared" si="6"/>
        <v>2541.057279633088</v>
      </c>
      <c r="M25" s="157"/>
      <c r="N25" s="161">
        <f>D25*Abandonment!H30</f>
        <v>149.24119616970106</v>
      </c>
      <c r="O25" s="161">
        <f>H25*Abandonment!H30</f>
        <v>2391.8160834633868</v>
      </c>
      <c r="P25" s="161">
        <f>K25*Abandonment!H30</f>
        <v>0</v>
      </c>
      <c r="Q25" s="161">
        <f t="shared" si="10"/>
        <v>2541.057279633088</v>
      </c>
      <c r="R25" s="157"/>
      <c r="S25" s="161">
        <f t="shared" si="7"/>
        <v>39.175813994546523</v>
      </c>
      <c r="T25" s="161">
        <f t="shared" si="2"/>
        <v>627.85172190913897</v>
      </c>
      <c r="U25" s="161">
        <f t="shared" si="2"/>
        <v>0</v>
      </c>
      <c r="V25" s="161">
        <f t="shared" si="8"/>
        <v>667.02753590368548</v>
      </c>
      <c r="W25" s="157"/>
      <c r="X25" s="161">
        <f>L25*Abandonment!H30</f>
        <v>2541.057279633088</v>
      </c>
      <c r="Y25" s="93"/>
      <c r="Z25" s="93"/>
      <c r="AA25" s="93"/>
      <c r="AB25" s="93"/>
      <c r="AC25" s="93"/>
      <c r="AD25" s="93"/>
      <c r="AE25" s="93"/>
      <c r="AF25" s="93"/>
      <c r="AG25" s="93"/>
    </row>
    <row r="26" spans="1:33" ht="15" x14ac:dyDescent="0.25">
      <c r="A26" s="160">
        <f t="shared" si="9"/>
        <v>2027</v>
      </c>
      <c r="B26" s="161">
        <f>Production!X46</f>
        <v>45.434587686481763</v>
      </c>
      <c r="C26" s="161">
        <f>'Selected Economics'!D26/'Selected Economics'!E26*Input!$B$28/1000*'Sensitivity Ranges'!$F$42</f>
        <v>2.8618371770002655</v>
      </c>
      <c r="D26" s="161">
        <f t="shared" si="3"/>
        <v>130.02639216285201</v>
      </c>
      <c r="E26" s="161">
        <f>Production!Y46</f>
        <v>14.245943525689574</v>
      </c>
      <c r="F26" s="161">
        <f>'Selected Economics'!C26/'Selected Economics'!E26*'Sensitivity Ranges'!$F$47</f>
        <v>146.27811481630908</v>
      </c>
      <c r="G26" s="161"/>
      <c r="H26" s="161">
        <f t="shared" si="4"/>
        <v>2083.8697627174747</v>
      </c>
      <c r="I26" s="161">
        <f>Production!Z46</f>
        <v>0</v>
      </c>
      <c r="J26" s="161">
        <f>'Selected Economics'!B26/'Selected Economics'!E26*'Sensitivity Ranges'!$F$47</f>
        <v>157.60380647832429</v>
      </c>
      <c r="K26" s="161">
        <f t="shared" si="5"/>
        <v>0</v>
      </c>
      <c r="L26" s="161">
        <f t="shared" si="6"/>
        <v>2213.8961548803268</v>
      </c>
      <c r="M26" s="157"/>
      <c r="N26" s="161">
        <f>D26*Abandonment!H31</f>
        <v>130.02639216285201</v>
      </c>
      <c r="O26" s="161">
        <f>H26*Abandonment!H31</f>
        <v>2083.8697627174747</v>
      </c>
      <c r="P26" s="161">
        <f>K26*Abandonment!H31</f>
        <v>0</v>
      </c>
      <c r="Q26" s="161">
        <f t="shared" si="10"/>
        <v>2213.8961548803268</v>
      </c>
      <c r="R26" s="157"/>
      <c r="S26" s="161">
        <f t="shared" si="7"/>
        <v>34.131927942748646</v>
      </c>
      <c r="T26" s="161">
        <f t="shared" si="2"/>
        <v>547.01581271333703</v>
      </c>
      <c r="U26" s="161">
        <f t="shared" si="2"/>
        <v>0</v>
      </c>
      <c r="V26" s="161">
        <f t="shared" si="8"/>
        <v>581.14774065608572</v>
      </c>
      <c r="W26" s="157"/>
      <c r="X26" s="161">
        <f>L26*Abandonment!H31</f>
        <v>2213.8961548803268</v>
      </c>
      <c r="Y26" s="93"/>
      <c r="Z26" s="93"/>
      <c r="AA26" s="93"/>
      <c r="AB26" s="93"/>
      <c r="AC26" s="93"/>
      <c r="AD26" s="93"/>
      <c r="AE26" s="93"/>
      <c r="AF26" s="93"/>
      <c r="AG26" s="93"/>
    </row>
    <row r="27" spans="1:33" ht="15" x14ac:dyDescent="0.25">
      <c r="A27" s="160">
        <f t="shared" si="9"/>
        <v>2028</v>
      </c>
      <c r="B27" s="161">
        <f>Production!X47</f>
        <v>38.716819413296101</v>
      </c>
      <c r="C27" s="161">
        <f>'Selected Economics'!D27/'Selected Economics'!E27*Input!$B$28/1000*'Sensitivity Ranges'!$F$42</f>
        <v>2.9333831064252718</v>
      </c>
      <c r="D27" s="161">
        <f t="shared" si="3"/>
        <v>113.57126400148078</v>
      </c>
      <c r="E27" s="161">
        <f>Production!Y47</f>
        <v>12.139597846955789</v>
      </c>
      <c r="F27" s="161">
        <f>'Selected Economics'!C27/'Selected Economics'!E27*'Sensitivity Ranges'!$F$47</f>
        <v>149.93506768671679</v>
      </c>
      <c r="G27" s="161"/>
      <c r="H27" s="161">
        <f t="shared" si="4"/>
        <v>1820.1514248728377</v>
      </c>
      <c r="I27" s="161">
        <f>Production!Z47</f>
        <v>0</v>
      </c>
      <c r="J27" s="161">
        <f>'Selected Economics'!B27/'Selected Economics'!E27*'Sensitivity Ranges'!$F$47</f>
        <v>161.54390164028237</v>
      </c>
      <c r="K27" s="161">
        <f t="shared" si="5"/>
        <v>0</v>
      </c>
      <c r="L27" s="161">
        <f t="shared" si="6"/>
        <v>1933.7226888743185</v>
      </c>
      <c r="M27" s="157"/>
      <c r="N27" s="161">
        <f>D27*Abandonment!H32</f>
        <v>113.57126400148078</v>
      </c>
      <c r="O27" s="161">
        <f>H27*Abandonment!H32</f>
        <v>1820.1514248728377</v>
      </c>
      <c r="P27" s="161">
        <f>K27*Abandonment!H32</f>
        <v>0</v>
      </c>
      <c r="Q27" s="161">
        <f t="shared" si="10"/>
        <v>1933.7226888743185</v>
      </c>
      <c r="R27" s="157"/>
      <c r="S27" s="161">
        <f t="shared" si="7"/>
        <v>29.812456800388702</v>
      </c>
      <c r="T27" s="161">
        <f t="shared" si="2"/>
        <v>477.78974902911978</v>
      </c>
      <c r="U27" s="161">
        <f t="shared" si="2"/>
        <v>0</v>
      </c>
      <c r="V27" s="161">
        <f t="shared" si="8"/>
        <v>507.60220582950848</v>
      </c>
      <c r="W27" s="157"/>
      <c r="X27" s="161">
        <f>L27*Abandonment!H32</f>
        <v>1933.7226888743185</v>
      </c>
      <c r="Y27" s="93"/>
      <c r="Z27" s="93"/>
      <c r="AA27" s="93"/>
      <c r="AB27" s="93"/>
      <c r="AC27" s="93"/>
      <c r="AD27" s="93"/>
      <c r="AE27" s="93"/>
      <c r="AF27" s="93"/>
      <c r="AG27" s="93"/>
    </row>
    <row r="28" spans="1:33" ht="15" x14ac:dyDescent="0.25">
      <c r="A28" s="160">
        <f t="shared" si="9"/>
        <v>2029</v>
      </c>
      <c r="B28" s="161">
        <f>Production!X48</f>
        <v>32.811876621515097</v>
      </c>
      <c r="C28" s="161">
        <f>'Selected Economics'!D28/'Selected Economics'!E28*Input!$B$28/1000*'Sensitivity Ranges'!$F$42</f>
        <v>3.0067176840859036</v>
      </c>
      <c r="D28" s="161">
        <f t="shared" si="3"/>
        <v>98.656049685954272</v>
      </c>
      <c r="E28" s="161">
        <f>Production!Y48</f>
        <v>10.288112319792774</v>
      </c>
      <c r="F28" s="161">
        <f>'Selected Economics'!C28/'Selected Economics'!E28*'Sensitivity Ranges'!$F$47</f>
        <v>153.6834443788847</v>
      </c>
      <c r="G28" s="161"/>
      <c r="H28" s="161">
        <f t="shared" si="4"/>
        <v>1581.1125374625913</v>
      </c>
      <c r="I28" s="161">
        <f>Production!Z48</f>
        <v>0</v>
      </c>
      <c r="J28" s="161">
        <f>'Selected Economics'!B28/'Selected Economics'!E28*'Sensitivity Ranges'!$F$47</f>
        <v>165.58249918128942</v>
      </c>
      <c r="K28" s="161">
        <f t="shared" si="5"/>
        <v>0</v>
      </c>
      <c r="L28" s="161">
        <f t="shared" si="6"/>
        <v>1679.7685871485455</v>
      </c>
      <c r="M28" s="157"/>
      <c r="N28" s="161">
        <f>D28*Abandonment!H33</f>
        <v>98.656049685954272</v>
      </c>
      <c r="O28" s="161">
        <f>H28*Abandonment!H33</f>
        <v>1581.1125374625913</v>
      </c>
      <c r="P28" s="161">
        <f>K28*Abandonment!H33</f>
        <v>0</v>
      </c>
      <c r="Q28" s="161">
        <f t="shared" si="10"/>
        <v>1679.7685871485455</v>
      </c>
      <c r="R28" s="157"/>
      <c r="S28" s="161">
        <f t="shared" si="7"/>
        <v>25.897213042562992</v>
      </c>
      <c r="T28" s="161">
        <f t="shared" si="2"/>
        <v>415.04204108393014</v>
      </c>
      <c r="U28" s="161">
        <f t="shared" si="2"/>
        <v>0</v>
      </c>
      <c r="V28" s="161">
        <f t="shared" si="8"/>
        <v>440.93925412649315</v>
      </c>
      <c r="W28" s="157"/>
      <c r="X28" s="161">
        <f>L28*Abandonment!H33</f>
        <v>1679.7685871485455</v>
      </c>
      <c r="Y28" s="93"/>
      <c r="Z28" s="93"/>
      <c r="AA28" s="93"/>
      <c r="AB28" s="93"/>
      <c r="AC28" s="93"/>
      <c r="AD28" s="93"/>
      <c r="AE28" s="93"/>
      <c r="AF28" s="93"/>
      <c r="AG28" s="93"/>
    </row>
    <row r="29" spans="1:33" ht="15" x14ac:dyDescent="0.25">
      <c r="A29" s="160">
        <f t="shared" si="9"/>
        <v>2030</v>
      </c>
      <c r="B29" s="161">
        <f>Production!X49</f>
        <v>27.890095128287822</v>
      </c>
      <c r="C29" s="161">
        <f>'Selected Economics'!D29/'Selected Economics'!E29*Input!$B$28/1000*'Sensitivity Ranges'!$F$42</f>
        <v>3.081885626188051</v>
      </c>
      <c r="D29" s="161">
        <f t="shared" si="3"/>
        <v>85.954083288887617</v>
      </c>
      <c r="E29" s="161">
        <f>Production!Y49</f>
        <v>8.7448954718238561</v>
      </c>
      <c r="F29" s="161">
        <f>'Selected Economics'!C29/'Selected Economics'!E29*'Sensitivity Ranges'!$F$47</f>
        <v>157.52553048835679</v>
      </c>
      <c r="G29" s="161"/>
      <c r="H29" s="161">
        <f t="shared" si="4"/>
        <v>1377.5442982642821</v>
      </c>
      <c r="I29" s="161">
        <f>Production!Z49</f>
        <v>0</v>
      </c>
      <c r="J29" s="161">
        <f>'Selected Economics'!B29/'Selected Economics'!E29*'Sensitivity Ranges'!$F$47</f>
        <v>169.72206166082162</v>
      </c>
      <c r="K29" s="161">
        <f t="shared" si="5"/>
        <v>0</v>
      </c>
      <c r="L29" s="161">
        <f t="shared" si="6"/>
        <v>1463.4983815531698</v>
      </c>
      <c r="M29" s="157"/>
      <c r="N29" s="161">
        <f>D29*Abandonment!H34</f>
        <v>85.954083288887617</v>
      </c>
      <c r="O29" s="161">
        <f>H29*Abandonment!H34</f>
        <v>1377.5442982642821</v>
      </c>
      <c r="P29" s="161">
        <f>K29*Abandonment!H34</f>
        <v>0</v>
      </c>
      <c r="Q29" s="161">
        <f t="shared" si="10"/>
        <v>1463.4983815531698</v>
      </c>
      <c r="R29" s="157"/>
      <c r="S29" s="161">
        <f t="shared" si="7"/>
        <v>22.562946863332996</v>
      </c>
      <c r="T29" s="161">
        <f t="shared" si="2"/>
        <v>361.60537829437402</v>
      </c>
      <c r="U29" s="161">
        <f t="shared" si="2"/>
        <v>0</v>
      </c>
      <c r="V29" s="161">
        <f t="shared" si="8"/>
        <v>384.16832515770705</v>
      </c>
      <c r="W29" s="157"/>
      <c r="X29" s="161">
        <f>L29*Abandonment!H34</f>
        <v>1463.4983815531698</v>
      </c>
      <c r="Y29" s="93"/>
      <c r="Z29" s="93"/>
      <c r="AA29" s="93"/>
      <c r="AB29" s="93"/>
      <c r="AC29" s="93"/>
      <c r="AD29" s="93"/>
      <c r="AE29" s="93"/>
      <c r="AF29" s="93"/>
      <c r="AG29" s="93"/>
    </row>
    <row r="30" spans="1:33" ht="15" x14ac:dyDescent="0.25">
      <c r="A30" s="160">
        <f t="shared" si="9"/>
        <v>2031</v>
      </c>
      <c r="B30" s="161">
        <f>Production!X50</f>
        <v>23.70658085904466</v>
      </c>
      <c r="C30" s="161">
        <f>'Selected Economics'!D30/'Selected Economics'!E30*Input!$B$28/1000*'Sensitivity Ranges'!$F$42</f>
        <v>3.1589327668427516</v>
      </c>
      <c r="D30" s="161">
        <f t="shared" si="3"/>
        <v>74.88749506544336</v>
      </c>
      <c r="E30" s="161">
        <f>Production!Y50</f>
        <v>7.43316115105028</v>
      </c>
      <c r="F30" s="161">
        <f>'Selected Economics'!C30/'Selected Economics'!E30*'Sensitivity Ranges'!$F$47</f>
        <v>161.46366875056572</v>
      </c>
      <c r="G30" s="161"/>
      <c r="H30" s="161">
        <f t="shared" si="4"/>
        <v>1200.1854698627562</v>
      </c>
      <c r="I30" s="161">
        <f>Production!Z50</f>
        <v>0</v>
      </c>
      <c r="J30" s="161">
        <f>'Selected Economics'!B30/'Selected Economics'!E30*'Sensitivity Ranges'!$F$47</f>
        <v>173.96511320234217</v>
      </c>
      <c r="K30" s="161">
        <f t="shared" si="5"/>
        <v>0</v>
      </c>
      <c r="L30" s="161">
        <f t="shared" si="6"/>
        <v>1275.0729649281996</v>
      </c>
      <c r="M30" s="157"/>
      <c r="N30" s="161">
        <f>D30*Abandonment!H35</f>
        <v>74.88749506544336</v>
      </c>
      <c r="O30" s="161">
        <f>H30*Abandonment!H35</f>
        <v>1200.1854698627562</v>
      </c>
      <c r="P30" s="161">
        <f>K30*Abandonment!H35</f>
        <v>0</v>
      </c>
      <c r="Q30" s="161">
        <f t="shared" si="10"/>
        <v>1275.0729649281996</v>
      </c>
      <c r="R30" s="157"/>
      <c r="S30" s="161">
        <f t="shared" si="7"/>
        <v>19.657967454678879</v>
      </c>
      <c r="T30" s="161">
        <f t="shared" si="2"/>
        <v>315.04868583897348</v>
      </c>
      <c r="U30" s="161">
        <f t="shared" si="2"/>
        <v>0</v>
      </c>
      <c r="V30" s="161">
        <f t="shared" si="8"/>
        <v>334.70665329365238</v>
      </c>
      <c r="W30" s="157"/>
      <c r="X30" s="161">
        <f>L30*Abandonment!H35</f>
        <v>1275.0729649281996</v>
      </c>
      <c r="Y30" s="93"/>
      <c r="Z30" s="93"/>
      <c r="AA30" s="93"/>
      <c r="AB30" s="93"/>
      <c r="AC30" s="93"/>
      <c r="AD30" s="93"/>
      <c r="AE30" s="93"/>
      <c r="AF30" s="93"/>
      <c r="AG30" s="93"/>
    </row>
    <row r="31" spans="1:33" ht="15" x14ac:dyDescent="0.25">
      <c r="A31" s="160">
        <f t="shared" si="9"/>
        <v>2032</v>
      </c>
      <c r="B31" s="161">
        <f>Production!X51</f>
        <v>20.201424878329469</v>
      </c>
      <c r="C31" s="161">
        <f>'Selected Economics'!D31/'Selected Economics'!E31*Input!$B$28/1000*'Sensitivity Ranges'!$F$42</f>
        <v>3.2379060860138207</v>
      </c>
      <c r="D31" s="161">
        <f t="shared" si="3"/>
        <v>65.410316559693996</v>
      </c>
      <c r="E31" s="161">
        <f>Production!Y51</f>
        <v>6.3341250049633055</v>
      </c>
      <c r="F31" s="161">
        <f>'Selected Economics'!C31/'Selected Economics'!E31*'Sensitivity Ranges'!$F$47</f>
        <v>165.50026046932985</v>
      </c>
      <c r="G31" s="161"/>
      <c r="H31" s="161">
        <f t="shared" si="4"/>
        <v>1048.2993381667222</v>
      </c>
      <c r="I31" s="161">
        <f>Production!Z51</f>
        <v>0</v>
      </c>
      <c r="J31" s="161">
        <f>'Selected Economics'!B31/'Selected Economics'!E31*'Sensitivity Ranges'!$F$47</f>
        <v>178.3142410324007</v>
      </c>
      <c r="K31" s="161">
        <f t="shared" si="5"/>
        <v>0</v>
      </c>
      <c r="L31" s="161">
        <f t="shared" si="6"/>
        <v>1113.7096547264161</v>
      </c>
      <c r="M31" s="157"/>
      <c r="N31" s="161">
        <f>D31*Abandonment!H36</f>
        <v>65.410316559693996</v>
      </c>
      <c r="O31" s="161">
        <f>H31*Abandonment!H36</f>
        <v>1048.2993381667222</v>
      </c>
      <c r="P31" s="161">
        <f>K31*Abandonment!H36</f>
        <v>0</v>
      </c>
      <c r="Q31" s="161">
        <f t="shared" si="10"/>
        <v>1113.7096547264161</v>
      </c>
      <c r="R31" s="157"/>
      <c r="S31" s="161">
        <f t="shared" si="7"/>
        <v>17.170208096919669</v>
      </c>
      <c r="T31" s="161">
        <f t="shared" si="2"/>
        <v>275.17857626876452</v>
      </c>
      <c r="U31" s="161">
        <f t="shared" si="2"/>
        <v>0</v>
      </c>
      <c r="V31" s="161">
        <f t="shared" si="8"/>
        <v>292.3487843656842</v>
      </c>
      <c r="W31" s="157"/>
      <c r="X31" s="161">
        <f>L31*Abandonment!H36</f>
        <v>1113.7096547264161</v>
      </c>
      <c r="Y31" s="93"/>
      <c r="Z31" s="93"/>
      <c r="AA31" s="93"/>
      <c r="AB31" s="93"/>
      <c r="AC31" s="93"/>
      <c r="AD31" s="93"/>
      <c r="AE31" s="93"/>
      <c r="AF31" s="93"/>
      <c r="AG31" s="93"/>
    </row>
    <row r="32" spans="1:33" ht="15" x14ac:dyDescent="0.25">
      <c r="A32" s="160">
        <f t="shared" si="9"/>
        <v>2033</v>
      </c>
      <c r="B32" s="161">
        <f>Production!X52</f>
        <v>17.120379998438526</v>
      </c>
      <c r="C32" s="161">
        <f>'Selected Economics'!D32/'Selected Economics'!E32*Input!$B$28/1000*'Sensitivity Ranges'!$F$42</f>
        <v>3.3188537381641661</v>
      </c>
      <c r="D32" s="161">
        <f t="shared" si="3"/>
        <v>56.82003715660872</v>
      </c>
      <c r="E32" s="161">
        <f>Production!Y52</f>
        <v>5.3680682276482381</v>
      </c>
      <c r="F32" s="161">
        <f>'Selected Economics'!C32/'Selected Economics'!E32*'Sensitivity Ranges'!$F$47</f>
        <v>169.63776698106307</v>
      </c>
      <c r="G32" s="161"/>
      <c r="H32" s="161">
        <f t="shared" si="4"/>
        <v>910.62710714024001</v>
      </c>
      <c r="I32" s="161">
        <f>Production!Z52</f>
        <v>0</v>
      </c>
      <c r="J32" s="161">
        <f>'Selected Economics'!B32/'Selected Economics'!E32*'Sensitivity Ranges'!$F$47</f>
        <v>182.7720970582107</v>
      </c>
      <c r="K32" s="161">
        <f t="shared" si="5"/>
        <v>0</v>
      </c>
      <c r="L32" s="161">
        <f t="shared" si="6"/>
        <v>967.44714429684871</v>
      </c>
      <c r="M32" s="157"/>
      <c r="N32" s="161">
        <f>D32*Abandonment!H37</f>
        <v>56.82003715660872</v>
      </c>
      <c r="O32" s="161">
        <f>H32*Abandonment!H37</f>
        <v>910.62710714024001</v>
      </c>
      <c r="P32" s="161">
        <f>K32*Abandonment!H37</f>
        <v>0</v>
      </c>
      <c r="Q32" s="161">
        <f t="shared" si="10"/>
        <v>967.44714429684871</v>
      </c>
      <c r="R32" s="157"/>
      <c r="S32" s="161">
        <f t="shared" si="7"/>
        <v>14.915259753609787</v>
      </c>
      <c r="T32" s="161">
        <f t="shared" si="2"/>
        <v>239.03961562431297</v>
      </c>
      <c r="U32" s="161">
        <f t="shared" si="2"/>
        <v>0</v>
      </c>
      <c r="V32" s="161">
        <f t="shared" si="8"/>
        <v>253.95487537792275</v>
      </c>
      <c r="W32" s="157"/>
      <c r="X32" s="161">
        <f>L32*Abandonment!H37</f>
        <v>967.44714429684871</v>
      </c>
      <c r="Y32" s="93"/>
      <c r="Z32" s="93"/>
      <c r="AA32" s="93"/>
      <c r="AB32" s="93"/>
      <c r="AC32" s="93"/>
      <c r="AD32" s="93"/>
      <c r="AE32" s="93"/>
      <c r="AF32" s="93"/>
      <c r="AG32" s="93"/>
    </row>
    <row r="33" spans="1:33" ht="15" x14ac:dyDescent="0.25">
      <c r="A33" s="160">
        <f t="shared" si="9"/>
        <v>2034</v>
      </c>
      <c r="B33" s="161">
        <f>Production!X53</f>
        <v>14.552322998672759</v>
      </c>
      <c r="C33" s="161">
        <f>'Selected Economics'!D33/'Selected Economics'!E33*Input!$B$28/1000*'Sensitivity Ranges'!$F$42</f>
        <v>3.4018250816182696</v>
      </c>
      <c r="D33" s="161">
        <f t="shared" si="3"/>
        <v>49.504457372695377</v>
      </c>
      <c r="E33" s="161">
        <f>Production!Y53</f>
        <v>4.5628579935010061</v>
      </c>
      <c r="F33" s="161">
        <f>'Selected Economics'!C33/'Selected Economics'!E33*'Sensitivity Ranges'!$F$47</f>
        <v>173.87871115558963</v>
      </c>
      <c r="G33" s="161"/>
      <c r="H33" s="161">
        <f t="shared" si="4"/>
        <v>793.38386709593465</v>
      </c>
      <c r="I33" s="161">
        <f>Production!Z53</f>
        <v>0</v>
      </c>
      <c r="J33" s="161">
        <f>'Selected Economics'!B33/'Selected Economics'!E33*'Sensitivity Ranges'!$F$47</f>
        <v>187.34139948466597</v>
      </c>
      <c r="K33" s="161">
        <f t="shared" si="5"/>
        <v>0</v>
      </c>
      <c r="L33" s="161">
        <f t="shared" si="6"/>
        <v>842.88832446863</v>
      </c>
      <c r="M33" s="157"/>
      <c r="N33" s="161">
        <f>D33*Abandonment!H38</f>
        <v>49.504457372695377</v>
      </c>
      <c r="O33" s="161">
        <f>H33*Abandonment!H38</f>
        <v>793.38386709593465</v>
      </c>
      <c r="P33" s="161">
        <f>K33*Abandonment!H38</f>
        <v>0</v>
      </c>
      <c r="Q33" s="161">
        <f t="shared" si="10"/>
        <v>842.88832446863</v>
      </c>
      <c r="R33" s="157"/>
      <c r="S33" s="161">
        <f t="shared" si="7"/>
        <v>12.994920060332534</v>
      </c>
      <c r="T33" s="161">
        <f t="shared" si="2"/>
        <v>208.2632651126828</v>
      </c>
      <c r="U33" s="161">
        <f t="shared" si="2"/>
        <v>0</v>
      </c>
      <c r="V33" s="161">
        <f t="shared" si="8"/>
        <v>221.25818517301533</v>
      </c>
      <c r="W33" s="157"/>
      <c r="X33" s="161">
        <f>L33*Abandonment!H38</f>
        <v>842.88832446863</v>
      </c>
      <c r="Y33" s="93"/>
      <c r="Z33" s="93"/>
      <c r="AA33" s="93"/>
      <c r="AB33" s="93"/>
      <c r="AC33" s="93"/>
      <c r="AD33" s="93"/>
      <c r="AE33" s="93"/>
      <c r="AF33" s="93"/>
      <c r="AG33" s="93"/>
    </row>
    <row r="34" spans="1:33" ht="15" x14ac:dyDescent="0.25">
      <c r="A34" s="160">
        <f t="shared" si="9"/>
        <v>2035</v>
      </c>
      <c r="B34" s="161">
        <f>Production!X54</f>
        <v>12.369474548871828</v>
      </c>
      <c r="C34" s="161">
        <f>'Selected Economics'!D34/'Selected Economics'!E34*Input!$B$28/1000*'Sensitivity Ranges'!$F$42</f>
        <v>3.4868707086587265</v>
      </c>
      <c r="D34" s="161">
        <f t="shared" si="3"/>
        <v>43.13075848596079</v>
      </c>
      <c r="E34" s="161">
        <f>Production!Y54</f>
        <v>3.8784292944758492</v>
      </c>
      <c r="F34" s="161">
        <f>'Selected Economics'!C34/'Selected Economics'!E34*'Sensitivity Ranges'!$F$47</f>
        <v>178.22567893447936</v>
      </c>
      <c r="G34" s="161"/>
      <c r="H34" s="161">
        <f t="shared" si="4"/>
        <v>691.23569420733202</v>
      </c>
      <c r="I34" s="161">
        <f>Production!Z54</f>
        <v>0</v>
      </c>
      <c r="J34" s="161">
        <f>'Selected Economics'!B34/'Selected Economics'!E34*'Sensitivity Ranges'!$F$47</f>
        <v>192.02493447178259</v>
      </c>
      <c r="K34" s="161">
        <f t="shared" si="5"/>
        <v>0</v>
      </c>
      <c r="L34" s="161">
        <f t="shared" si="6"/>
        <v>734.36645269329279</v>
      </c>
      <c r="M34" s="157"/>
      <c r="N34" s="161">
        <f>D34*Abandonment!H39</f>
        <v>43.13075848596079</v>
      </c>
      <c r="O34" s="161">
        <f>H34*Abandonment!H39</f>
        <v>691.23569420733202</v>
      </c>
      <c r="P34" s="161">
        <f>K34*Abandonment!H39</f>
        <v>0</v>
      </c>
      <c r="Q34" s="161">
        <f t="shared" si="10"/>
        <v>734.36645269329279</v>
      </c>
      <c r="R34" s="157"/>
      <c r="S34" s="161">
        <f t="shared" si="7"/>
        <v>11.321824102564705</v>
      </c>
      <c r="T34" s="161">
        <f t="shared" si="2"/>
        <v>181.44936972942463</v>
      </c>
      <c r="U34" s="161">
        <f t="shared" si="2"/>
        <v>0</v>
      </c>
      <c r="V34" s="161">
        <f t="shared" si="8"/>
        <v>192.77119383198934</v>
      </c>
      <c r="W34" s="157"/>
      <c r="X34" s="161">
        <f>L34*Abandonment!H39</f>
        <v>734.36645269329279</v>
      </c>
      <c r="Y34" s="93"/>
      <c r="Z34" s="93"/>
      <c r="AA34" s="93"/>
      <c r="AB34" s="93"/>
      <c r="AC34" s="93"/>
      <c r="AD34" s="93"/>
      <c r="AE34" s="93"/>
      <c r="AF34" s="93"/>
      <c r="AG34" s="93"/>
    </row>
    <row r="35" spans="1:33" ht="15" x14ac:dyDescent="0.25">
      <c r="A35" s="160">
        <f t="shared" si="9"/>
        <v>2036</v>
      </c>
      <c r="B35" s="161">
        <f>Production!X55</f>
        <v>10.540575731658373</v>
      </c>
      <c r="C35" s="161">
        <f>'Selected Economics'!D35/'Selected Economics'!E35*Input!$B$28/1000*'Sensitivity Ranges'!$F$42</f>
        <v>3.5740424763751943</v>
      </c>
      <c r="D35" s="161">
        <f t="shared" si="3"/>
        <v>37.672465390396567</v>
      </c>
      <c r="E35" s="161">
        <f>Production!Y55</f>
        <v>3.3049809461820376</v>
      </c>
      <c r="F35" s="161">
        <f>'Selected Economics'!C35/'Selected Economics'!E35*'Sensitivity Ranges'!$F$47</f>
        <v>182.68132090784133</v>
      </c>
      <c r="G35" s="161"/>
      <c r="H35" s="161">
        <f t="shared" si="4"/>
        <v>603.75828482378188</v>
      </c>
      <c r="I35" s="161">
        <f>Production!Z55</f>
        <v>0</v>
      </c>
      <c r="J35" s="161">
        <f>'Selected Economics'!B35/'Selected Economics'!E35*'Sensitivity Ranges'!$F$47</f>
        <v>196.82555783357714</v>
      </c>
      <c r="K35" s="161">
        <f t="shared" si="5"/>
        <v>0</v>
      </c>
      <c r="L35" s="161">
        <f t="shared" si="6"/>
        <v>641.43075021417849</v>
      </c>
      <c r="M35" s="157"/>
      <c r="N35" s="161">
        <f>D35*Abandonment!H40</f>
        <v>37.672465390396567</v>
      </c>
      <c r="O35" s="161">
        <f>H35*Abandonment!H40</f>
        <v>603.75828482378188</v>
      </c>
      <c r="P35" s="161">
        <f>K35*Abandonment!H40</f>
        <v>0</v>
      </c>
      <c r="Q35" s="161">
        <f t="shared" si="10"/>
        <v>641.43075021417849</v>
      </c>
      <c r="R35" s="157"/>
      <c r="S35" s="161">
        <f t="shared" si="7"/>
        <v>9.8890221649790977</v>
      </c>
      <c r="T35" s="161">
        <f t="shared" si="2"/>
        <v>158.48654976624272</v>
      </c>
      <c r="U35" s="161">
        <f t="shared" si="2"/>
        <v>0</v>
      </c>
      <c r="V35" s="161">
        <f t="shared" si="8"/>
        <v>168.37557193122183</v>
      </c>
      <c r="W35" s="157"/>
      <c r="X35" s="161">
        <f>L35*Abandonment!H40</f>
        <v>641.43075021417849</v>
      </c>
      <c r="Y35" s="93"/>
      <c r="Z35" s="93"/>
      <c r="AA35" s="93"/>
      <c r="AB35" s="93"/>
      <c r="AC35" s="93"/>
      <c r="AD35" s="93"/>
      <c r="AE35" s="93"/>
      <c r="AF35" s="93"/>
      <c r="AG35" s="93"/>
    </row>
    <row r="36" spans="1:33" ht="15" x14ac:dyDescent="0.25">
      <c r="A36" s="160">
        <f t="shared" si="9"/>
        <v>2037</v>
      </c>
      <c r="B36" s="161">
        <f>Production!X56</f>
        <v>8.9329670067922979</v>
      </c>
      <c r="C36" s="161">
        <f>'Selected Economics'!D36/'Selected Economics'!E36*Input!$B$28/1000*'Sensitivity Ranges'!$F$42</f>
        <v>3.6633935382845735</v>
      </c>
      <c r="D36" s="161">
        <f t="shared" si="3"/>
        <v>32.72497361039219</v>
      </c>
      <c r="E36" s="161">
        <f>Production!Y56</f>
        <v>2.8009177583771665</v>
      </c>
      <c r="F36" s="161">
        <f>'Selected Economics'!C36/'Selected Economics'!E36*'Sensitivity Ranges'!$F$47</f>
        <v>187.24835393053735</v>
      </c>
      <c r="G36" s="161"/>
      <c r="H36" s="161">
        <f t="shared" si="4"/>
        <v>524.46723975093494</v>
      </c>
      <c r="I36" s="161">
        <f>Production!Z56</f>
        <v>0</v>
      </c>
      <c r="J36" s="161">
        <f>'Selected Economics'!B36/'Selected Economics'!E36*'Sensitivity Ranges'!$F$47</f>
        <v>201.74619677941655</v>
      </c>
      <c r="K36" s="161">
        <f t="shared" si="5"/>
        <v>0</v>
      </c>
      <c r="L36" s="161">
        <f t="shared" si="6"/>
        <v>557.19221336132716</v>
      </c>
      <c r="M36" s="157"/>
      <c r="N36" s="161">
        <f>D36*Abandonment!H41</f>
        <v>32.72497361039219</v>
      </c>
      <c r="O36" s="161">
        <f>H36*Abandonment!H41</f>
        <v>524.46723975093494</v>
      </c>
      <c r="P36" s="161">
        <f>K36*Abandonment!H41</f>
        <v>0</v>
      </c>
      <c r="Q36" s="161">
        <f t="shared" si="10"/>
        <v>557.19221336132716</v>
      </c>
      <c r="R36" s="157"/>
      <c r="S36" s="161">
        <f t="shared" si="7"/>
        <v>8.5903055727279494</v>
      </c>
      <c r="T36" s="161">
        <f t="shared" si="2"/>
        <v>137.67265043462041</v>
      </c>
      <c r="U36" s="161">
        <f t="shared" si="2"/>
        <v>0</v>
      </c>
      <c r="V36" s="161">
        <f t="shared" si="8"/>
        <v>146.26295600734835</v>
      </c>
      <c r="W36" s="157"/>
      <c r="X36" s="161">
        <f>L36*Abandonment!H41</f>
        <v>557.19221336132716</v>
      </c>
      <c r="Y36" s="93"/>
      <c r="Z36" s="93"/>
      <c r="AA36" s="93"/>
      <c r="AB36" s="93"/>
      <c r="AC36" s="93"/>
      <c r="AD36" s="93"/>
      <c r="AE36" s="93"/>
      <c r="AF36" s="93"/>
      <c r="AG36" s="93"/>
    </row>
    <row r="37" spans="1:33" ht="15" x14ac:dyDescent="0.25">
      <c r="A37" s="160">
        <f t="shared" si="9"/>
        <v>2038</v>
      </c>
      <c r="B37" s="161">
        <f>Production!X57</f>
        <v>7.5930219557734819</v>
      </c>
      <c r="C37" s="161">
        <f>'Selected Economics'!D37/'Selected Economics'!E37*Input!$B$28/1000*'Sensitivity Ranges'!$F$42</f>
        <v>3.7549783767416876</v>
      </c>
      <c r="D37" s="161">
        <f t="shared" si="3"/>
        <v>28.511633258054303</v>
      </c>
      <c r="E37" s="161">
        <f>Production!Y57</f>
        <v>2.3807800946206004</v>
      </c>
      <c r="F37" s="161">
        <f>'Selected Economics'!C37/'Selected Economics'!E37*'Sensitivity Ranges'!$F$47</f>
        <v>191.92956277880074</v>
      </c>
      <c r="G37" s="161"/>
      <c r="H37" s="161">
        <f t="shared" si="4"/>
        <v>456.94208263300368</v>
      </c>
      <c r="I37" s="161">
        <f>Production!Z57</f>
        <v>0</v>
      </c>
      <c r="J37" s="161">
        <f>'Selected Economics'!B37/'Selected Economics'!E37*'Sensitivity Ranges'!$F$47</f>
        <v>206.78985169890191</v>
      </c>
      <c r="K37" s="161">
        <f t="shared" si="5"/>
        <v>0</v>
      </c>
      <c r="L37" s="161">
        <f t="shared" si="6"/>
        <v>485.45371589105798</v>
      </c>
      <c r="M37" s="157"/>
      <c r="N37" s="161">
        <f>D37*Abandonment!H42</f>
        <v>28.511633258054303</v>
      </c>
      <c r="O37" s="161">
        <f>H37*Abandonment!H42</f>
        <v>456.94208263300368</v>
      </c>
      <c r="P37" s="161">
        <f>K37*Abandonment!H42</f>
        <v>0</v>
      </c>
      <c r="Q37" s="161">
        <f t="shared" si="10"/>
        <v>485.45371589105798</v>
      </c>
      <c r="R37" s="157"/>
      <c r="S37" s="161">
        <f t="shared" si="7"/>
        <v>7.4843037302392537</v>
      </c>
      <c r="T37" s="161">
        <f t="shared" si="2"/>
        <v>119.94729669116344</v>
      </c>
      <c r="U37" s="161">
        <f t="shared" si="2"/>
        <v>0</v>
      </c>
      <c r="V37" s="161">
        <f t="shared" si="8"/>
        <v>127.43160042140269</v>
      </c>
      <c r="W37" s="157"/>
      <c r="X37" s="161">
        <f>L37*Abandonment!H42</f>
        <v>485.45371589105798</v>
      </c>
      <c r="Y37" s="93"/>
      <c r="Z37" s="93"/>
      <c r="AA37" s="93"/>
      <c r="AB37" s="93"/>
      <c r="AC37" s="93"/>
      <c r="AD37" s="93"/>
      <c r="AE37" s="93"/>
      <c r="AF37" s="93"/>
      <c r="AG37" s="93"/>
    </row>
    <row r="38" spans="1:33" ht="15" x14ac:dyDescent="0.25">
      <c r="A38" s="160">
        <f t="shared" si="9"/>
        <v>2039</v>
      </c>
      <c r="B38" s="161">
        <f>Production!X58</f>
        <v>6.4540686624074572</v>
      </c>
      <c r="C38" s="161">
        <f>'Selected Economics'!D38/'Selected Economics'!E38*Input!$B$28/1000*'Sensitivity Ranges'!$F$42</f>
        <v>3.8488528361602294</v>
      </c>
      <c r="D38" s="161">
        <f t="shared" si="3"/>
        <v>24.840760476079801</v>
      </c>
      <c r="E38" s="161">
        <f>Production!Y58</f>
        <v>2.0236630804275095</v>
      </c>
      <c r="F38" s="161">
        <f>'Selected Economics'!C38/'Selected Economics'!E38*'Sensitivity Ranges'!$F$47</f>
        <v>196.72780184827076</v>
      </c>
      <c r="G38" s="161"/>
      <c r="H38" s="161">
        <f t="shared" si="4"/>
        <v>398.11078949400428</v>
      </c>
      <c r="I38" s="161">
        <f>Production!Z58</f>
        <v>0</v>
      </c>
      <c r="J38" s="161">
        <f>'Selected Economics'!B38/'Selected Economics'!E38*'Sensitivity Ranges'!$F$47</f>
        <v>211.95959799137444</v>
      </c>
      <c r="K38" s="161">
        <f t="shared" si="5"/>
        <v>0</v>
      </c>
      <c r="L38" s="161">
        <f t="shared" si="6"/>
        <v>422.9515499700841</v>
      </c>
      <c r="M38" s="157"/>
      <c r="N38" s="161">
        <f>D38*Abandonment!H43</f>
        <v>24.840760476079801</v>
      </c>
      <c r="O38" s="161">
        <f>H38*Abandonment!H43</f>
        <v>398.11078949400428</v>
      </c>
      <c r="P38" s="161">
        <f>K38*Abandonment!H43</f>
        <v>0</v>
      </c>
      <c r="Q38" s="161">
        <f t="shared" si="10"/>
        <v>422.9515499700841</v>
      </c>
      <c r="R38" s="157"/>
      <c r="S38" s="161">
        <f t="shared" si="7"/>
        <v>6.5206996249709466</v>
      </c>
      <c r="T38" s="161">
        <f t="shared" si="2"/>
        <v>104.50408224217611</v>
      </c>
      <c r="U38" s="161">
        <f t="shared" si="2"/>
        <v>0</v>
      </c>
      <c r="V38" s="161">
        <f t="shared" si="8"/>
        <v>111.02478186714706</v>
      </c>
      <c r="W38" s="157"/>
      <c r="X38" s="161">
        <f>L38*Abandonment!H43</f>
        <v>422.9515499700841</v>
      </c>
      <c r="Y38" s="93"/>
      <c r="Z38" s="93"/>
      <c r="AA38" s="93"/>
      <c r="AB38" s="93"/>
      <c r="AC38" s="93"/>
      <c r="AD38" s="93"/>
      <c r="AE38" s="93"/>
      <c r="AF38" s="93"/>
      <c r="AG38" s="93"/>
    </row>
    <row r="39" spans="1:33" ht="15" x14ac:dyDescent="0.25">
      <c r="A39" s="160">
        <f t="shared" si="9"/>
        <v>2040</v>
      </c>
      <c r="B39" s="161">
        <f>Production!X59</f>
        <v>5.4997970402577145</v>
      </c>
      <c r="C39" s="161">
        <f>'Selected Economics'!D39/'Selected Economics'!E39*Input!$B$28/1000*'Sensitivity Ranges'!$F$42</f>
        <v>3.9450741570642345</v>
      </c>
      <c r="D39" s="161">
        <f t="shared" si="3"/>
        <v>21.697107172619074</v>
      </c>
      <c r="E39" s="161">
        <f>Production!Y59</f>
        <v>1.7244527138424464</v>
      </c>
      <c r="F39" s="161">
        <f>'Selected Economics'!C39/'Selected Economics'!E39*'Sensitivity Ranges'!$F$47</f>
        <v>201.64599689447749</v>
      </c>
      <c r="G39" s="161"/>
      <c r="H39" s="161">
        <f t="shared" si="4"/>
        <v>347.72898658014719</v>
      </c>
      <c r="I39" s="161">
        <f>Production!Z59</f>
        <v>0</v>
      </c>
      <c r="J39" s="161">
        <f>'Selected Economics'!B39/'Selected Economics'!E39*'Sensitivity Ranges'!$F$47</f>
        <v>217.25858794115877</v>
      </c>
      <c r="K39" s="161">
        <f t="shared" si="5"/>
        <v>0</v>
      </c>
      <c r="L39" s="161">
        <f t="shared" si="6"/>
        <v>369.42609375276629</v>
      </c>
      <c r="M39" s="157"/>
      <c r="N39" s="161">
        <f>D39*Abandonment!H44</f>
        <v>21.697107172619074</v>
      </c>
      <c r="O39" s="161">
        <f>H39*Abandonment!H44</f>
        <v>347.72898658014719</v>
      </c>
      <c r="P39" s="161">
        <f>K39*Abandonment!H44</f>
        <v>0</v>
      </c>
      <c r="Q39" s="161">
        <f t="shared" si="10"/>
        <v>369.42609375276629</v>
      </c>
      <c r="R39" s="157"/>
      <c r="S39" s="161">
        <f t="shared" si="7"/>
        <v>5.6954906328125059</v>
      </c>
      <c r="T39" s="161">
        <f t="shared" si="2"/>
        <v>91.278858977288621</v>
      </c>
      <c r="U39" s="161">
        <f t="shared" si="2"/>
        <v>0</v>
      </c>
      <c r="V39" s="161">
        <f t="shared" si="8"/>
        <v>96.974349610101129</v>
      </c>
      <c r="W39" s="157"/>
      <c r="X39" s="161">
        <f>L39*Abandonment!H44</f>
        <v>369.42609375276629</v>
      </c>
      <c r="Y39" s="93"/>
      <c r="Z39" s="93"/>
      <c r="AA39" s="93"/>
      <c r="AB39" s="93"/>
      <c r="AC39" s="93"/>
      <c r="AD39" s="93"/>
      <c r="AE39" s="93"/>
      <c r="AF39" s="93"/>
      <c r="AG39" s="93"/>
    </row>
    <row r="40" spans="1:33" x14ac:dyDescent="0.3">
      <c r="A40" s="160">
        <f t="shared" si="9"/>
        <v>2041</v>
      </c>
      <c r="B40" s="161">
        <f>Production!X60</f>
        <v>4.6609888070076799</v>
      </c>
      <c r="C40" s="161">
        <f>'Selected Economics'!D40/'Selected Economics'!E40*Input!$B$28/1000*'Sensitivity Ranges'!$F$42</f>
        <v>4.0437010109908398</v>
      </c>
      <c r="D40" s="161">
        <f t="shared" si="3"/>
        <v>18.847645151113944</v>
      </c>
      <c r="E40" s="161">
        <f>Production!Y60</f>
        <v>1.4614457112870158</v>
      </c>
      <c r="F40" s="161">
        <f>'Selected Economics'!C40/'Selected Economics'!E40*'Sensitivity Ranges'!$F$47</f>
        <v>206.6871468168394</v>
      </c>
      <c r="G40" s="161"/>
      <c r="H40" s="161">
        <f t="shared" si="4"/>
        <v>302.06204429361975</v>
      </c>
      <c r="I40" s="161">
        <f>Production!Z60</f>
        <v>0</v>
      </c>
      <c r="J40" s="161">
        <f>'Selected Economics'!B40/'Selected Economics'!E40*'Sensitivity Ranges'!$F$47</f>
        <v>222.69005263968771</v>
      </c>
      <c r="K40" s="161">
        <f t="shared" si="5"/>
        <v>0</v>
      </c>
      <c r="L40" s="161">
        <f t="shared" si="6"/>
        <v>320.90968944473371</v>
      </c>
      <c r="M40" s="157"/>
      <c r="N40" s="161">
        <f>D40*Abandonment!H45</f>
        <v>18.847645151113944</v>
      </c>
      <c r="O40" s="161">
        <f>H40*Abandonment!H45</f>
        <v>302.06204429361975</v>
      </c>
      <c r="P40" s="161">
        <f>K40*Abandonment!H45</f>
        <v>0</v>
      </c>
      <c r="Q40" s="161">
        <f t="shared" si="10"/>
        <v>320.90968944473371</v>
      </c>
      <c r="R40" s="157"/>
      <c r="S40" s="161">
        <f t="shared" si="7"/>
        <v>4.9475068521674093</v>
      </c>
      <c r="T40" s="161">
        <f t="shared" si="2"/>
        <v>79.291286627075166</v>
      </c>
      <c r="U40" s="161">
        <f t="shared" si="2"/>
        <v>0</v>
      </c>
      <c r="V40" s="161">
        <f t="shared" si="8"/>
        <v>84.238793479242574</v>
      </c>
      <c r="W40" s="157"/>
      <c r="X40" s="161">
        <f>L40*Abandonment!H45</f>
        <v>320.90968944473371</v>
      </c>
      <c r="Y40" s="93"/>
      <c r="Z40" s="93"/>
      <c r="AA40" s="93"/>
      <c r="AB40" s="93"/>
      <c r="AC40" s="93"/>
      <c r="AD40" s="93"/>
      <c r="AE40" s="93"/>
      <c r="AF40" s="93"/>
      <c r="AG40" s="93"/>
    </row>
    <row r="41" spans="1:33" x14ac:dyDescent="0.3">
      <c r="A41" s="160">
        <f t="shared" si="9"/>
        <v>2042</v>
      </c>
      <c r="B41" s="161">
        <f>Production!X61</f>
        <v>3.9618404859565151</v>
      </c>
      <c r="C41" s="161">
        <f>'Selected Economics'!D41/'Selected Economics'!E41*Input!$B$28/1000*'Sensitivity Ranges'!$F$42</f>
        <v>4.1447935362656096</v>
      </c>
      <c r="D41" s="161">
        <f t="shared" si="3"/>
        <v>16.421010837907964</v>
      </c>
      <c r="E41" s="161">
        <f>Production!Y61</f>
        <v>1.2422288545939593</v>
      </c>
      <c r="F41" s="161">
        <f>'Selected Economics'!C41/'Selected Economics'!E41*'Sensitivity Ranges'!$F$47</f>
        <v>211.85432548726038</v>
      </c>
      <c r="G41" s="161"/>
      <c r="H41" s="161">
        <f t="shared" si="4"/>
        <v>263.17155609081527</v>
      </c>
      <c r="I41" s="161">
        <f>Production!Z61</f>
        <v>0</v>
      </c>
      <c r="J41" s="161">
        <f>'Selected Economics'!B41/'Selected Economics'!E41*'Sensitivity Ranges'!$F$47</f>
        <v>228.2573039556799</v>
      </c>
      <c r="K41" s="161">
        <f t="shared" si="5"/>
        <v>0</v>
      </c>
      <c r="L41" s="161">
        <f t="shared" si="6"/>
        <v>279.59256692872322</v>
      </c>
      <c r="M41" s="157"/>
      <c r="N41" s="161">
        <f>D41*Abandonment!H46</f>
        <v>16.421010837907964</v>
      </c>
      <c r="O41" s="161">
        <f>H41*Abandonment!H46</f>
        <v>263.17155609081527</v>
      </c>
      <c r="P41" s="161">
        <f>K41*Abandonment!H46</f>
        <v>0</v>
      </c>
      <c r="Q41" s="161">
        <f t="shared" si="10"/>
        <v>279.59256692872322</v>
      </c>
      <c r="R41" s="157"/>
      <c r="S41" s="161">
        <f t="shared" si="7"/>
        <v>4.31051534495084</v>
      </c>
      <c r="T41" s="161">
        <f t="shared" si="2"/>
        <v>69.082533473838993</v>
      </c>
      <c r="U41" s="161">
        <f t="shared" si="2"/>
        <v>0</v>
      </c>
      <c r="V41" s="161">
        <f t="shared" si="8"/>
        <v>73.393048818789836</v>
      </c>
      <c r="W41" s="157"/>
      <c r="X41" s="161">
        <f>L41*Abandonment!H46</f>
        <v>279.59256692872322</v>
      </c>
      <c r="Y41" s="93"/>
      <c r="Z41" s="93"/>
      <c r="AA41" s="93"/>
      <c r="AB41" s="93"/>
      <c r="AC41" s="93"/>
      <c r="AD41" s="93"/>
      <c r="AE41" s="93"/>
      <c r="AF41" s="93"/>
      <c r="AG41" s="93"/>
    </row>
    <row r="42" spans="1:33" x14ac:dyDescent="0.3">
      <c r="A42" s="160">
        <f t="shared" si="9"/>
        <v>2043</v>
      </c>
      <c r="B42" s="161">
        <f>Production!X62</f>
        <v>3.3675644130630449</v>
      </c>
      <c r="C42" s="161">
        <f>'Selected Economics'!D42/'Selected Economics'!E42*Input!$B$28/1000*'Sensitivity Ranges'!$F$42</f>
        <v>4.2484133746722499</v>
      </c>
      <c r="D42" s="161">
        <f t="shared" si="3"/>
        <v>14.306805692527345</v>
      </c>
      <c r="E42" s="161">
        <f>Production!Y62</f>
        <v>1.0558945264048678</v>
      </c>
      <c r="F42" s="161">
        <f>'Selected Economics'!C42/'Selected Economics'!E42*'Sensitivity Ranges'!$F$47</f>
        <v>217.15068362444185</v>
      </c>
      <c r="G42" s="161"/>
      <c r="H42" s="161">
        <f t="shared" si="4"/>
        <v>229.2882182441233</v>
      </c>
      <c r="I42" s="161">
        <f>Production!Z62</f>
        <v>0</v>
      </c>
      <c r="J42" s="161">
        <f>'Selected Economics'!B42/'Selected Economics'!E42*'Sensitivity Ranges'!$F$47</f>
        <v>233.96373655457188</v>
      </c>
      <c r="K42" s="161">
        <f t="shared" si="5"/>
        <v>0</v>
      </c>
      <c r="L42" s="161">
        <f t="shared" si="6"/>
        <v>243.59502393665065</v>
      </c>
      <c r="M42" s="157"/>
      <c r="N42" s="161">
        <f>D42*Abandonment!H47</f>
        <v>0</v>
      </c>
      <c r="O42" s="161">
        <f>H42*Abandonment!H47</f>
        <v>0</v>
      </c>
      <c r="P42" s="161">
        <f>K42*Abandonment!H47</f>
        <v>0</v>
      </c>
      <c r="Q42" s="161">
        <f t="shared" si="10"/>
        <v>0</v>
      </c>
      <c r="R42" s="157"/>
      <c r="S42" s="161">
        <f t="shared" si="7"/>
        <v>0</v>
      </c>
      <c r="T42" s="161">
        <f t="shared" si="2"/>
        <v>0</v>
      </c>
      <c r="U42" s="161">
        <f t="shared" si="2"/>
        <v>0</v>
      </c>
      <c r="V42" s="161">
        <f t="shared" si="8"/>
        <v>0</v>
      </c>
      <c r="W42" s="157"/>
      <c r="X42" s="161">
        <f>L42*Abandonment!H47</f>
        <v>0</v>
      </c>
      <c r="Y42" s="93"/>
      <c r="Z42" s="93"/>
      <c r="AA42" s="93"/>
      <c r="AB42" s="93"/>
      <c r="AC42" s="93"/>
      <c r="AD42" s="93"/>
      <c r="AE42" s="93"/>
      <c r="AF42" s="93"/>
      <c r="AG42" s="93"/>
    </row>
    <row r="43" spans="1:33" x14ac:dyDescent="0.3">
      <c r="A43" s="160">
        <f t="shared" si="9"/>
        <v>2044</v>
      </c>
      <c r="B43" s="161">
        <f>Production!X63</f>
        <v>2.8696504113318202</v>
      </c>
      <c r="C43" s="161">
        <f>'Selected Economics'!D43/'Selected Economics'!E43*Input!$B$28/1000*'Sensitivity Ranges'!$F$42</f>
        <v>4.3546237090390552</v>
      </c>
      <c r="D43" s="161">
        <f t="shared" si="3"/>
        <v>12.496247717839221</v>
      </c>
      <c r="E43" s="161">
        <f>Production!Y63</f>
        <v>0.89977437410460603</v>
      </c>
      <c r="F43" s="161">
        <f>'Selected Economics'!C43/'Selected Economics'!E43*'Sensitivity Ranges'!$F$47</f>
        <v>222.57945071505287</v>
      </c>
      <c r="G43" s="161"/>
      <c r="H43" s="161">
        <f t="shared" si="4"/>
        <v>200.27128595568371</v>
      </c>
      <c r="I43" s="161">
        <f>Production!Z63</f>
        <v>0</v>
      </c>
      <c r="J43" s="161">
        <f>'Selected Economics'!B43/'Selected Economics'!E43*'Sensitivity Ranges'!$F$47</f>
        <v>239.81282996843615</v>
      </c>
      <c r="K43" s="161">
        <f t="shared" si="5"/>
        <v>0</v>
      </c>
      <c r="L43" s="161">
        <f t="shared" si="6"/>
        <v>212.76753367352293</v>
      </c>
      <c r="M43" s="157"/>
      <c r="N43" s="161">
        <f>D43*Abandonment!H48</f>
        <v>0</v>
      </c>
      <c r="O43" s="161">
        <f>H43*Abandonment!H48</f>
        <v>0</v>
      </c>
      <c r="P43" s="161">
        <f>K43*Abandonment!H48</f>
        <v>0</v>
      </c>
      <c r="Q43" s="161">
        <f t="shared" si="10"/>
        <v>0</v>
      </c>
      <c r="R43" s="157"/>
      <c r="S43" s="161">
        <f t="shared" si="7"/>
        <v>0</v>
      </c>
      <c r="T43" s="161">
        <f t="shared" si="2"/>
        <v>0</v>
      </c>
      <c r="U43" s="161">
        <f t="shared" si="2"/>
        <v>0</v>
      </c>
      <c r="V43" s="161">
        <f t="shared" si="8"/>
        <v>0</v>
      </c>
      <c r="W43" s="157"/>
      <c r="X43" s="161">
        <f>L43*Abandonment!H48</f>
        <v>0</v>
      </c>
      <c r="Y43" s="93"/>
      <c r="Z43" s="93"/>
      <c r="AA43" s="93"/>
      <c r="AB43" s="93"/>
      <c r="AC43" s="93"/>
      <c r="AD43" s="93"/>
      <c r="AE43" s="93"/>
      <c r="AF43" s="93"/>
      <c r="AG43" s="93"/>
    </row>
    <row r="44" spans="1:33" x14ac:dyDescent="0.3">
      <c r="A44" s="160">
        <f t="shared" si="9"/>
        <v>2045</v>
      </c>
      <c r="B44" s="161">
        <f>Production!X64</f>
        <v>1.5619485874898742</v>
      </c>
      <c r="C44" s="161">
        <f>'Selected Economics'!D44/'Selected Economics'!E44*Input!$B$28/1000*'Sensitivity Ranges'!$F$42</f>
        <v>4.4634893017650308</v>
      </c>
      <c r="D44" s="161">
        <f t="shared" si="3"/>
        <v>6.9717408101680549</v>
      </c>
      <c r="E44" s="161">
        <f>Production!Y64</f>
        <v>0.48974652352863451</v>
      </c>
      <c r="F44" s="161">
        <f>'Selected Economics'!C44/'Selected Economics'!E44*'Sensitivity Ranges'!$F$47</f>
        <v>228.1439369829292</v>
      </c>
      <c r="G44" s="161"/>
      <c r="H44" s="161">
        <f t="shared" si="4"/>
        <v>111.73270000152544</v>
      </c>
      <c r="I44" s="161">
        <f>Production!Z64</f>
        <v>0</v>
      </c>
      <c r="J44" s="161">
        <f>'Selected Economics'!B44/'Selected Economics'!E44*'Sensitivity Ranges'!$F$47</f>
        <v>245.80815071764704</v>
      </c>
      <c r="K44" s="161">
        <f t="shared" si="5"/>
        <v>0</v>
      </c>
      <c r="L44" s="161">
        <f t="shared" si="6"/>
        <v>118.7044408116935</v>
      </c>
      <c r="M44" s="157"/>
      <c r="N44" s="161">
        <f>D44*Abandonment!H49</f>
        <v>0</v>
      </c>
      <c r="O44" s="161">
        <f>H44*Abandonment!H49</f>
        <v>0</v>
      </c>
      <c r="P44" s="161">
        <f>K44*Abandonment!H49</f>
        <v>0</v>
      </c>
      <c r="Q44" s="161">
        <f t="shared" si="10"/>
        <v>0</v>
      </c>
      <c r="R44" s="157"/>
      <c r="S44" s="161">
        <f t="shared" si="7"/>
        <v>0</v>
      </c>
      <c r="T44" s="161">
        <f t="shared" si="2"/>
        <v>0</v>
      </c>
      <c r="U44" s="161">
        <f t="shared" si="2"/>
        <v>0</v>
      </c>
      <c r="V44" s="161">
        <f t="shared" si="8"/>
        <v>0</v>
      </c>
      <c r="W44" s="157"/>
      <c r="X44" s="161">
        <f>L44*Abandonment!H49</f>
        <v>0</v>
      </c>
      <c r="Y44" s="93"/>
      <c r="Z44" s="93"/>
      <c r="AA44" s="93"/>
      <c r="AB44" s="93"/>
      <c r="AC44" s="93"/>
      <c r="AD44" s="93"/>
      <c r="AE44" s="93"/>
      <c r="AF44" s="93"/>
      <c r="AG44" s="93"/>
    </row>
    <row r="45" spans="1:33" x14ac:dyDescent="0.3">
      <c r="A45" s="160">
        <f t="shared" si="9"/>
        <v>2046</v>
      </c>
      <c r="B45" s="161">
        <f>Production!X65</f>
        <v>0</v>
      </c>
      <c r="C45" s="161">
        <f>'Selected Economics'!D45/'Selected Economics'!E45*Input!$B$28/1000*'Sensitivity Ranges'!$F$42</f>
        <v>4.5750765343091562</v>
      </c>
      <c r="D45" s="161">
        <f t="shared" si="3"/>
        <v>0</v>
      </c>
      <c r="E45" s="161">
        <f>Production!Y65</f>
        <v>0</v>
      </c>
      <c r="F45" s="161">
        <f>'Selected Economics'!C45/'Selected Economics'!E45*'Sensitivity Ranges'!$F$47</f>
        <v>233.84753540750242</v>
      </c>
      <c r="G45" s="161"/>
      <c r="H45" s="161">
        <f t="shared" si="4"/>
        <v>0</v>
      </c>
      <c r="I45" s="161">
        <f>Production!Z65</f>
        <v>0</v>
      </c>
      <c r="J45" s="161">
        <f>'Selected Economics'!B45/'Selected Economics'!E45*'Sensitivity Ranges'!$F$47</f>
        <v>251.95335448558819</v>
      </c>
      <c r="K45" s="161">
        <f t="shared" si="5"/>
        <v>0</v>
      </c>
      <c r="L45" s="161">
        <f t="shared" si="6"/>
        <v>0</v>
      </c>
      <c r="M45" s="157"/>
      <c r="N45" s="161">
        <f>D45*Abandonment!H50</f>
        <v>0</v>
      </c>
      <c r="O45" s="161">
        <f>H45*Abandonment!H50</f>
        <v>0</v>
      </c>
      <c r="P45" s="161">
        <f>K45*Abandonment!H50</f>
        <v>0</v>
      </c>
      <c r="Q45" s="161">
        <f t="shared" si="10"/>
        <v>0</v>
      </c>
      <c r="R45" s="157"/>
      <c r="S45" s="161">
        <f t="shared" si="7"/>
        <v>0</v>
      </c>
      <c r="T45" s="161">
        <f t="shared" si="2"/>
        <v>0</v>
      </c>
      <c r="U45" s="161">
        <f t="shared" si="2"/>
        <v>0</v>
      </c>
      <c r="V45" s="161">
        <f t="shared" si="8"/>
        <v>0</v>
      </c>
      <c r="W45" s="157"/>
      <c r="X45" s="161">
        <f>L45*Abandonment!H50</f>
        <v>0</v>
      </c>
      <c r="Y45" s="93"/>
      <c r="Z45" s="93"/>
      <c r="AA45" s="93"/>
      <c r="AB45" s="93"/>
      <c r="AC45" s="93"/>
      <c r="AD45" s="93"/>
      <c r="AE45" s="93"/>
      <c r="AF45" s="93"/>
      <c r="AG45" s="93"/>
    </row>
    <row r="46" spans="1:33" x14ac:dyDescent="0.3">
      <c r="A46" s="160">
        <f t="shared" si="9"/>
        <v>2047</v>
      </c>
      <c r="B46" s="161">
        <f>Production!X66</f>
        <v>0</v>
      </c>
      <c r="C46" s="161">
        <f>'Selected Economics'!D46/'Selected Economics'!E46*Input!$B$28/1000*'Sensitivity Ranges'!$F$42</f>
        <v>4.6894534476668843</v>
      </c>
      <c r="D46" s="161">
        <f t="shared" si="3"/>
        <v>0</v>
      </c>
      <c r="E46" s="161">
        <f>Production!Y66</f>
        <v>0</v>
      </c>
      <c r="F46" s="161">
        <f>'Selected Economics'!C46/'Selected Economics'!E46*'Sensitivity Ranges'!$F$47</f>
        <v>239.69372379268995</v>
      </c>
      <c r="G46" s="161"/>
      <c r="H46" s="161">
        <f t="shared" si="4"/>
        <v>0</v>
      </c>
      <c r="I46" s="161">
        <f>Production!Z66</f>
        <v>0</v>
      </c>
      <c r="J46" s="161">
        <f>'Selected Economics'!B46/'Selected Economics'!E46*'Sensitivity Ranges'!$F$47</f>
        <v>258.25218834772789</v>
      </c>
      <c r="K46" s="161">
        <f t="shared" si="5"/>
        <v>0</v>
      </c>
      <c r="L46" s="161">
        <f t="shared" si="6"/>
        <v>0</v>
      </c>
      <c r="M46" s="157"/>
      <c r="N46" s="161">
        <f>D46*Abandonment!H51</f>
        <v>0</v>
      </c>
      <c r="O46" s="161">
        <f>H46*Abandonment!H51</f>
        <v>0</v>
      </c>
      <c r="P46" s="161">
        <f>K46*Abandonment!H51</f>
        <v>0</v>
      </c>
      <c r="Q46" s="161">
        <f t="shared" si="10"/>
        <v>0</v>
      </c>
      <c r="R46" s="157"/>
      <c r="S46" s="161">
        <f t="shared" si="7"/>
        <v>0</v>
      </c>
      <c r="T46" s="161">
        <f t="shared" si="2"/>
        <v>0</v>
      </c>
      <c r="U46" s="161">
        <f t="shared" si="2"/>
        <v>0</v>
      </c>
      <c r="V46" s="161">
        <f t="shared" si="8"/>
        <v>0</v>
      </c>
      <c r="W46" s="157"/>
      <c r="X46" s="161">
        <f>L46*Abandonment!H51</f>
        <v>0</v>
      </c>
      <c r="Y46" s="93"/>
      <c r="Z46" s="93"/>
      <c r="AA46" s="93"/>
      <c r="AB46" s="93"/>
      <c r="AC46" s="93"/>
      <c r="AD46" s="93"/>
      <c r="AE46" s="93"/>
      <c r="AF46" s="93"/>
      <c r="AG46" s="93"/>
    </row>
    <row r="47" spans="1:33" x14ac:dyDescent="0.3">
      <c r="A47" s="160">
        <f t="shared" si="9"/>
        <v>2048</v>
      </c>
      <c r="B47" s="161">
        <f>Production!X67</f>
        <v>0</v>
      </c>
      <c r="C47" s="161">
        <f>'Selected Economics'!D47/'Selected Economics'!E47*Input!$B$28/1000*'Sensitivity Ranges'!$F$42</f>
        <v>4.8066897838585563</v>
      </c>
      <c r="D47" s="161">
        <f t="shared" si="3"/>
        <v>0</v>
      </c>
      <c r="E47" s="161">
        <f>Production!Y67</f>
        <v>0</v>
      </c>
      <c r="F47" s="161">
        <f>'Selected Economics'!C47/'Selected Economics'!E47*'Sensitivity Ranges'!$F$47</f>
        <v>245.6860668875072</v>
      </c>
      <c r="G47" s="161"/>
      <c r="H47" s="161">
        <f t="shared" si="4"/>
        <v>0</v>
      </c>
      <c r="I47" s="161">
        <f>Production!Z67</f>
        <v>0</v>
      </c>
      <c r="J47" s="161">
        <f>'Selected Economics'!B47/'Selected Economics'!E47*'Sensitivity Ranges'!$F$47</f>
        <v>264.70849305642105</v>
      </c>
      <c r="K47" s="161">
        <f t="shared" si="5"/>
        <v>0</v>
      </c>
      <c r="L47" s="161">
        <f t="shared" si="6"/>
        <v>0</v>
      </c>
      <c r="M47" s="157"/>
      <c r="N47" s="161">
        <f>D47*Abandonment!H52</f>
        <v>0</v>
      </c>
      <c r="O47" s="161">
        <f>H47*Abandonment!H52</f>
        <v>0</v>
      </c>
      <c r="P47" s="161">
        <f>K47*Abandonment!H52</f>
        <v>0</v>
      </c>
      <c r="Q47" s="161">
        <f t="shared" si="10"/>
        <v>0</v>
      </c>
      <c r="R47" s="157"/>
      <c r="S47" s="161">
        <f t="shared" si="7"/>
        <v>0</v>
      </c>
      <c r="T47" s="161">
        <f t="shared" si="2"/>
        <v>0</v>
      </c>
      <c r="U47" s="161">
        <f t="shared" si="2"/>
        <v>0</v>
      </c>
      <c r="V47" s="161">
        <f t="shared" si="8"/>
        <v>0</v>
      </c>
      <c r="W47" s="157"/>
      <c r="X47" s="161">
        <f>L47*Abandonment!H52</f>
        <v>0</v>
      </c>
      <c r="Y47" s="93"/>
      <c r="Z47" s="93"/>
      <c r="AA47" s="93"/>
      <c r="AB47" s="93"/>
      <c r="AC47" s="93"/>
      <c r="AD47" s="93"/>
      <c r="AE47" s="93"/>
      <c r="AF47" s="93"/>
      <c r="AG47" s="93"/>
    </row>
    <row r="48" spans="1:33" x14ac:dyDescent="0.3">
      <c r="A48" s="160">
        <f t="shared" si="9"/>
        <v>2049</v>
      </c>
      <c r="B48" s="161">
        <f>Production!X68</f>
        <v>0</v>
      </c>
      <c r="C48" s="161">
        <f>'Selected Economics'!D48/'Selected Economics'!E48*Input!$B$28/1000*'Sensitivity Ranges'!$F$42</f>
        <v>4.9268570284550197</v>
      </c>
      <c r="D48" s="161">
        <f t="shared" si="3"/>
        <v>0</v>
      </c>
      <c r="E48" s="161">
        <f>Production!Y68</f>
        <v>0</v>
      </c>
      <c r="F48" s="161">
        <f>'Selected Economics'!C48/'Selected Economics'!E48*'Sensitivity Ranges'!$F$47</f>
        <v>251.82821855969485</v>
      </c>
      <c r="G48" s="161"/>
      <c r="H48" s="161">
        <f t="shared" si="4"/>
        <v>0</v>
      </c>
      <c r="I48" s="161">
        <f>Production!Z68</f>
        <v>0</v>
      </c>
      <c r="J48" s="161">
        <f>'Selected Economics'!B48/'Selected Economics'!E48*'Sensitivity Ranges'!$F$47</f>
        <v>271.32620538283157</v>
      </c>
      <c r="K48" s="161">
        <f t="shared" si="5"/>
        <v>0</v>
      </c>
      <c r="L48" s="161">
        <f t="shared" si="6"/>
        <v>0</v>
      </c>
      <c r="M48" s="157"/>
      <c r="N48" s="161">
        <f>D48*Abandonment!H53</f>
        <v>0</v>
      </c>
      <c r="O48" s="161">
        <f>H48*Abandonment!H53</f>
        <v>0</v>
      </c>
      <c r="P48" s="161">
        <f>K48*Abandonment!H53</f>
        <v>0</v>
      </c>
      <c r="Q48" s="161">
        <f t="shared" si="10"/>
        <v>0</v>
      </c>
      <c r="R48" s="157"/>
      <c r="S48" s="161">
        <f t="shared" si="7"/>
        <v>0</v>
      </c>
      <c r="T48" s="161">
        <f t="shared" si="2"/>
        <v>0</v>
      </c>
      <c r="U48" s="161">
        <f t="shared" si="2"/>
        <v>0</v>
      </c>
      <c r="V48" s="161">
        <f t="shared" si="8"/>
        <v>0</v>
      </c>
      <c r="W48" s="157"/>
      <c r="X48" s="161">
        <f>L48*Abandonment!H53</f>
        <v>0</v>
      </c>
      <c r="Y48" s="93"/>
      <c r="Z48" s="93"/>
      <c r="AA48" s="93"/>
      <c r="AB48" s="93"/>
      <c r="AC48" s="93"/>
      <c r="AD48" s="93"/>
      <c r="AE48" s="93"/>
      <c r="AF48" s="93"/>
      <c r="AG48" s="93"/>
    </row>
    <row r="49" spans="1:33" x14ac:dyDescent="0.3">
      <c r="A49" s="160">
        <f t="shared" si="9"/>
        <v>2050</v>
      </c>
      <c r="B49" s="161">
        <f>Production!X69</f>
        <v>0</v>
      </c>
      <c r="C49" s="161">
        <f>'Selected Economics'!D49/'Selected Economics'!E49*Input!$B$28/1000*'Sensitivity Ranges'!$F$42</f>
        <v>5.0500284541663953</v>
      </c>
      <c r="D49" s="161">
        <f t="shared" si="3"/>
        <v>0</v>
      </c>
      <c r="E49" s="161">
        <f>Production!Y69</f>
        <v>0</v>
      </c>
      <c r="F49" s="161">
        <f>'Selected Economics'!C49/'Selected Economics'!E49*'Sensitivity Ranges'!$F$47</f>
        <v>258.12392402368715</v>
      </c>
      <c r="G49" s="161"/>
      <c r="H49" s="161">
        <f t="shared" si="4"/>
        <v>0</v>
      </c>
      <c r="I49" s="161">
        <f>Production!Z69</f>
        <v>0</v>
      </c>
      <c r="J49" s="161">
        <f>'Selected Economics'!B49/'Selected Economics'!E49*'Sensitivity Ranges'!$F$47</f>
        <v>278.10936051740231</v>
      </c>
      <c r="K49" s="161">
        <f t="shared" si="5"/>
        <v>0</v>
      </c>
      <c r="L49" s="161">
        <f t="shared" si="6"/>
        <v>0</v>
      </c>
      <c r="M49" s="157"/>
      <c r="N49" s="161">
        <f>D49*Abandonment!H54</f>
        <v>0</v>
      </c>
      <c r="O49" s="161">
        <f>H49*Abandonment!H54</f>
        <v>0</v>
      </c>
      <c r="P49" s="161">
        <f>K49*Abandonment!H54</f>
        <v>0</v>
      </c>
      <c r="Q49" s="161">
        <f t="shared" si="10"/>
        <v>0</v>
      </c>
      <c r="R49" s="157"/>
      <c r="S49" s="161">
        <f t="shared" si="7"/>
        <v>0</v>
      </c>
      <c r="T49" s="161">
        <f t="shared" si="2"/>
        <v>0</v>
      </c>
      <c r="U49" s="161">
        <f t="shared" si="2"/>
        <v>0</v>
      </c>
      <c r="V49" s="161">
        <f t="shared" si="8"/>
        <v>0</v>
      </c>
      <c r="W49" s="157"/>
      <c r="X49" s="161">
        <f>L49*Abandonment!H54</f>
        <v>0</v>
      </c>
      <c r="Y49" s="93"/>
      <c r="Z49" s="93"/>
      <c r="AA49" s="93"/>
      <c r="AB49" s="93"/>
      <c r="AC49" s="93"/>
      <c r="AD49" s="93"/>
      <c r="AE49" s="93"/>
      <c r="AF49" s="93"/>
      <c r="AG49" s="93"/>
    </row>
    <row r="50" spans="1:33" x14ac:dyDescent="0.3">
      <c r="A50" s="162">
        <f t="shared" si="9"/>
        <v>2051</v>
      </c>
      <c r="B50" s="163">
        <f>Production!X70</f>
        <v>0</v>
      </c>
      <c r="C50" s="163">
        <f>'Selected Economics'!D50/'Selected Economics'!E50*Input!$B$28/1000*'Sensitivity Ranges'!$F$42</f>
        <v>5.1762791655205538</v>
      </c>
      <c r="D50" s="163">
        <f t="shared" si="3"/>
        <v>0</v>
      </c>
      <c r="E50" s="163">
        <f>Production!Y70</f>
        <v>0</v>
      </c>
      <c r="F50" s="163">
        <f>'Selected Economics'!C50/'Selected Economics'!E50*'Sensitivity Ranges'!$F$47</f>
        <v>264.57702212427932</v>
      </c>
      <c r="G50" s="163"/>
      <c r="H50" s="163">
        <f t="shared" si="4"/>
        <v>0</v>
      </c>
      <c r="I50" s="163">
        <f>Production!Z70</f>
        <v>0</v>
      </c>
      <c r="J50" s="163">
        <f>'Selected Economics'!B50/'Selected Economics'!E50*'Sensitivity Ranges'!$F$47</f>
        <v>285.06209453033733</v>
      </c>
      <c r="K50" s="163">
        <f t="shared" si="5"/>
        <v>0</v>
      </c>
      <c r="L50" s="163">
        <f t="shared" si="6"/>
        <v>0</v>
      </c>
      <c r="M50" s="157"/>
      <c r="N50" s="163">
        <f>D50*Abandonment!H55</f>
        <v>0</v>
      </c>
      <c r="O50" s="163">
        <f>H50*Abandonment!H55</f>
        <v>0</v>
      </c>
      <c r="P50" s="163">
        <f>K50*Abandonment!H55</f>
        <v>0</v>
      </c>
      <c r="Q50" s="163">
        <f t="shared" si="10"/>
        <v>0</v>
      </c>
      <c r="R50" s="157"/>
      <c r="S50" s="163">
        <f t="shared" si="7"/>
        <v>0</v>
      </c>
      <c r="T50" s="163">
        <f t="shared" si="2"/>
        <v>0</v>
      </c>
      <c r="U50" s="163">
        <f t="shared" si="2"/>
        <v>0</v>
      </c>
      <c r="V50" s="163">
        <f t="shared" si="8"/>
        <v>0</v>
      </c>
      <c r="W50" s="157"/>
      <c r="X50" s="163">
        <f>L50*Abandonment!H55</f>
        <v>0</v>
      </c>
      <c r="Y50" s="93"/>
      <c r="Z50" s="93"/>
      <c r="AA50" s="93"/>
      <c r="AB50" s="93"/>
      <c r="AC50" s="93"/>
      <c r="AD50" s="93"/>
      <c r="AE50" s="93"/>
      <c r="AF50" s="93"/>
      <c r="AG50" s="93"/>
    </row>
  </sheetData>
  <sheetProtection password="8BC3" sheet="1" objects="1" scenarios="1"/>
  <hyperlinks>
    <hyperlink ref="F1" location="Guide" display="Guide"/>
    <hyperlink ref="F2" location="Input" display="Input"/>
  </hyperlinks>
  <pageMargins left="0.7" right="0.7" top="0.75" bottom="0.75" header="0.3" footer="0.3"/>
  <pageSetup paperSize="9" scale="28" orientation="landscape" r:id="rId1"/>
  <headerFooter>
    <oddFooter>&amp;LNova Scotia Exploration Economics Model&amp;Rwww.indeva.com</oddFooter>
  </headerFooter>
  <colBreaks count="1" manualBreakCount="1">
    <brk id="2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79998168889431442"/>
  </sheetPr>
  <dimension ref="A1:AF100"/>
  <sheetViews>
    <sheetView showGridLines="0" showZeros="0" zoomScale="75" zoomScaleNormal="75" workbookViewId="0">
      <pane xSplit="1" ySplit="18" topLeftCell="B19" activePane="bottomRight" state="frozen"/>
      <selection activeCell="D43" sqref="D43"/>
      <selection pane="topRight" activeCell="D43" sqref="D43"/>
      <selection pane="bottomLeft" activeCell="D43" sqref="D43"/>
      <selection pane="bottomRight" activeCell="B19" sqref="B19"/>
    </sheetView>
  </sheetViews>
  <sheetFormatPr defaultRowHeight="14.4" x14ac:dyDescent="0.3"/>
  <cols>
    <col min="1" max="1" width="23.6640625" customWidth="1"/>
    <col min="2" max="2" width="11.109375" bestFit="1" customWidth="1"/>
    <col min="3" max="4" width="12.88671875" customWidth="1"/>
    <col min="5" max="5" width="11" customWidth="1"/>
    <col min="6" max="6" width="9.33203125" bestFit="1" customWidth="1"/>
    <col min="7" max="7" width="10.44140625" bestFit="1" customWidth="1"/>
    <col min="9" max="9" width="11.88671875" customWidth="1"/>
    <col min="11" max="11" width="10.44140625" bestFit="1" customWidth="1"/>
    <col min="13" max="13" width="10.44140625" bestFit="1" customWidth="1"/>
    <col min="15" max="15" width="11.33203125" customWidth="1"/>
    <col min="16" max="16" width="10.44140625" bestFit="1" customWidth="1"/>
    <col min="19" max="19" width="11.5546875" customWidth="1"/>
    <col min="21" max="21" width="9.33203125" bestFit="1" customWidth="1"/>
  </cols>
  <sheetData>
    <row r="1" spans="1:32" ht="18.75" x14ac:dyDescent="0.3">
      <c r="A1" s="143" t="str">
        <f>Input!B8</f>
        <v>Prospect X</v>
      </c>
      <c r="B1" s="143" t="s">
        <v>357</v>
      </c>
      <c r="C1" s="93"/>
      <c r="D1" s="93"/>
      <c r="E1" s="93"/>
      <c r="F1" s="144" t="s">
        <v>769</v>
      </c>
      <c r="G1" s="93"/>
      <c r="H1" s="93"/>
      <c r="I1" s="93"/>
      <c r="J1" s="93"/>
      <c r="K1" s="93"/>
      <c r="L1" s="93"/>
      <c r="M1" s="93"/>
      <c r="N1" s="93"/>
      <c r="O1" s="93"/>
      <c r="P1" s="93"/>
      <c r="Q1" s="93"/>
      <c r="R1" s="93"/>
      <c r="S1" s="93"/>
      <c r="T1" s="93"/>
      <c r="U1" s="93"/>
      <c r="V1" s="93"/>
      <c r="W1" s="93"/>
      <c r="X1" s="93"/>
      <c r="Y1" s="93"/>
      <c r="Z1" s="93"/>
      <c r="AA1" s="93"/>
      <c r="AB1" s="93"/>
      <c r="AC1" s="93"/>
      <c r="AD1" s="93"/>
      <c r="AE1" s="93"/>
      <c r="AF1" s="93"/>
    </row>
    <row r="2" spans="1:32" ht="18.75" x14ac:dyDescent="0.25">
      <c r="A2" s="93"/>
      <c r="B2" s="93"/>
      <c r="C2" s="93"/>
      <c r="D2" s="93"/>
      <c r="E2" s="93"/>
      <c r="F2" s="144" t="s">
        <v>143</v>
      </c>
      <c r="G2" s="93"/>
      <c r="H2" s="93"/>
      <c r="I2" s="93"/>
      <c r="J2" s="93"/>
      <c r="K2" s="93"/>
      <c r="L2" s="93"/>
      <c r="M2" s="93"/>
      <c r="N2" s="93"/>
      <c r="O2" s="93"/>
      <c r="P2" s="93"/>
      <c r="Q2" s="93"/>
      <c r="R2" s="93"/>
      <c r="S2" s="93"/>
      <c r="T2" s="93"/>
      <c r="U2" s="93"/>
      <c r="V2" s="93"/>
      <c r="W2" s="93"/>
      <c r="X2" s="93"/>
      <c r="Y2" s="93"/>
      <c r="Z2" s="93"/>
      <c r="AA2" s="93"/>
      <c r="AB2" s="93"/>
      <c r="AC2" s="93"/>
      <c r="AD2" s="93"/>
      <c r="AE2" s="93"/>
      <c r="AF2" s="93"/>
    </row>
    <row r="3" spans="1:32" ht="15" x14ac:dyDescent="0.25">
      <c r="A3" s="135" t="s">
        <v>867</v>
      </c>
      <c r="B3" s="183">
        <f>IF(Input!B14=Subsea,IF(Input!B30=Sweet,'Cost Assumptions'!O142,'Cost Assumptions'!O143),IF(Input!B14=Lists!O38,IF(Input!B30=Sweet,'Cost Assumptions'!O140,'Cost Assumptions'!O141),IF(Input!B15=Shore,0,IF(Input!B15=Direct_Pipeline_Tie_in,'Cost Assumptions'!O139,'Cost Assumptions'!O144))))</f>
        <v>0.4</v>
      </c>
      <c r="C3" s="135" t="s">
        <v>354</v>
      </c>
      <c r="D3" s="168"/>
      <c r="E3" s="93"/>
      <c r="F3" s="93"/>
      <c r="G3" s="93"/>
      <c r="H3" s="93"/>
      <c r="I3" s="93"/>
      <c r="J3" s="234"/>
      <c r="K3" s="93"/>
      <c r="L3" s="93"/>
      <c r="M3" s="93"/>
      <c r="N3" s="93"/>
      <c r="O3" s="93"/>
      <c r="P3" s="93"/>
      <c r="Q3" s="93"/>
      <c r="R3" s="93"/>
      <c r="S3" s="93"/>
      <c r="T3" s="93"/>
      <c r="U3" s="93"/>
      <c r="V3" s="93"/>
      <c r="W3" s="93"/>
      <c r="X3" s="93"/>
      <c r="Y3" s="93"/>
      <c r="Z3" s="93"/>
      <c r="AA3" s="93"/>
      <c r="AB3" s="93"/>
      <c r="AC3" s="93"/>
      <c r="AD3" s="93"/>
      <c r="AE3" s="93"/>
      <c r="AF3" s="93"/>
    </row>
    <row r="4" spans="1:32" ht="15" x14ac:dyDescent="0.25">
      <c r="A4" s="135" t="s">
        <v>358</v>
      </c>
      <c r="B4" s="135" t="str">
        <f>IF(Input!B14=Subsea,Lists!A73,IF(Input!B14=Lists!O38,Lists!A74,IF(Input!B11="Oil",IF(Input!B30=Sweet,"oil sweet","oil sour"),IF(Input!B30=Sweet,Lists!A75,Lists!A76))))</f>
        <v>oil sweet</v>
      </c>
      <c r="C4" s="135"/>
      <c r="D4" s="168"/>
      <c r="E4" s="93"/>
      <c r="F4" s="93"/>
      <c r="G4" s="93"/>
      <c r="H4" s="93"/>
      <c r="I4" s="93"/>
      <c r="J4" s="234"/>
      <c r="K4" s="93"/>
      <c r="L4" s="93"/>
      <c r="M4" s="93"/>
      <c r="N4" s="93"/>
      <c r="O4" s="93"/>
      <c r="P4" s="93"/>
      <c r="Q4" s="93"/>
      <c r="R4" s="93"/>
      <c r="S4" s="93"/>
      <c r="T4" s="93"/>
      <c r="U4" s="93"/>
      <c r="V4" s="93"/>
      <c r="W4" s="93"/>
      <c r="X4" s="93"/>
      <c r="Y4" s="93"/>
      <c r="Z4" s="93"/>
      <c r="AA4" s="93"/>
      <c r="AB4" s="93"/>
      <c r="AC4" s="93"/>
      <c r="AD4" s="93"/>
      <c r="AE4" s="93"/>
      <c r="AF4" s="93"/>
    </row>
    <row r="5" spans="1:32" ht="15" x14ac:dyDescent="0.25">
      <c r="A5" s="135" t="s">
        <v>359</v>
      </c>
      <c r="B5" s="135" t="str">
        <f>IF(OR(B4="Oil Sweet",B4="Oil Sour"),"",MATCH(B4,FacilityType,0))</f>
        <v/>
      </c>
      <c r="C5" s="135"/>
      <c r="D5" s="168"/>
      <c r="E5" s="93"/>
      <c r="F5" s="93"/>
      <c r="G5" s="93"/>
      <c r="H5" s="93"/>
      <c r="I5" s="93"/>
      <c r="J5" s="235"/>
      <c r="K5" s="93"/>
      <c r="L5" s="93"/>
      <c r="M5" s="93"/>
      <c r="N5" s="93"/>
      <c r="O5" s="93"/>
      <c r="P5" s="93"/>
      <c r="Q5" s="93"/>
      <c r="R5" s="93"/>
      <c r="S5" s="93"/>
      <c r="T5" s="93"/>
      <c r="U5" s="93"/>
      <c r="V5" s="93"/>
      <c r="W5" s="93"/>
      <c r="X5" s="93"/>
      <c r="Y5" s="93"/>
      <c r="Z5" s="93"/>
      <c r="AA5" s="93"/>
      <c r="AB5" s="93"/>
      <c r="AC5" s="93"/>
      <c r="AD5" s="93"/>
      <c r="AE5" s="93"/>
      <c r="AF5" s="93"/>
    </row>
    <row r="6" spans="1:32" ht="15" x14ac:dyDescent="0.25">
      <c r="A6" s="135" t="s">
        <v>360</v>
      </c>
      <c r="B6" s="183">
        <f>IF(OR(B4="oil sweet",B4="oil sour"),'Cost Assumptions'!O132/1000+IF(B4="oil sweet",'Cost Assumptions'!O133,'Cost Assumptions'!O134)*Production!B10/1000000,INDEX('Cost Assumptions'!O117:O120,Operations!B5,1)/1000+INDEX('Cost Assumptions'!O122:O125,Operations!B5,1)*Production!B10/1000000)</f>
        <v>12.020547945205479</v>
      </c>
      <c r="C6" s="135" t="s">
        <v>361</v>
      </c>
      <c r="D6" s="168"/>
      <c r="E6" s="93"/>
      <c r="F6" s="93"/>
      <c r="G6" s="93"/>
      <c r="H6" s="93"/>
      <c r="I6" s="93"/>
      <c r="J6" s="235"/>
      <c r="K6" s="93"/>
      <c r="L6" s="93"/>
      <c r="M6" s="93"/>
      <c r="N6" s="93"/>
      <c r="O6" s="93"/>
      <c r="P6" s="93"/>
      <c r="Q6" s="93"/>
      <c r="R6" s="93"/>
      <c r="S6" s="93"/>
      <c r="T6" s="93"/>
      <c r="U6" s="93"/>
      <c r="V6" s="93"/>
      <c r="W6" s="93"/>
      <c r="X6" s="93"/>
      <c r="Y6" s="93"/>
      <c r="Z6" s="93"/>
      <c r="AA6" s="93"/>
      <c r="AB6" s="93"/>
      <c r="AC6" s="93"/>
      <c r="AD6" s="93"/>
      <c r="AE6" s="93"/>
      <c r="AF6" s="93"/>
    </row>
    <row r="7" spans="1:32" ht="15" x14ac:dyDescent="0.25">
      <c r="A7" s="135" t="s">
        <v>362</v>
      </c>
      <c r="B7" s="183">
        <f>IF(B4="oil sweet",'Cost Assumptions'!O135,IF(B4="oil sour",'Cost Assumptions'!O136,INDEX('Cost Assumptions'!O127:O130,B5,1)))</f>
        <v>2.5</v>
      </c>
      <c r="C7" s="135" t="str">
        <f>IF(Input!B11="Oil",'Cost Assumptions'!B135,'Cost Assumptions'!B129)</f>
        <v>$/BBL</v>
      </c>
      <c r="D7" s="168"/>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row>
    <row r="8" spans="1:32" ht="15" x14ac:dyDescent="0.25">
      <c r="A8" s="135" t="s">
        <v>363</v>
      </c>
      <c r="B8" s="183">
        <f>IF(OR(Input!B15=Lists!$Q$36,Input!B15=Shuttle_Tanker,Input!B15=Satellite),0,'Cost Assumptions'!O147/1000+'Cost Assumptions'!O148*Input!B16/1000)</f>
        <v>3.25</v>
      </c>
      <c r="C8" s="135" t="s">
        <v>361</v>
      </c>
      <c r="D8" s="168"/>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row>
    <row r="9" spans="1:32" ht="15" x14ac:dyDescent="0.25">
      <c r="A9" s="135" t="s">
        <v>364</v>
      </c>
      <c r="B9" s="183">
        <f>IF('Cost Assumptions'!O153=0,0,'Cost Assumptions'!O151/1000/'Cost Assumptions'!O153)</f>
        <v>4</v>
      </c>
      <c r="C9" s="135" t="s">
        <v>365</v>
      </c>
      <c r="D9" s="168"/>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row>
    <row r="10" spans="1:32" ht="15" x14ac:dyDescent="0.25">
      <c r="A10" s="135" t="s">
        <v>366</v>
      </c>
      <c r="B10" s="183">
        <f>IF('Cost Assumptions'!O153=0,0,'Cost Assumptions'!O152/1000/'Cost Assumptions'!O153)</f>
        <v>0</v>
      </c>
      <c r="C10" s="135" t="s">
        <v>365</v>
      </c>
      <c r="D10" s="168"/>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row>
    <row r="11" spans="1:32" ht="15" x14ac:dyDescent="0.25">
      <c r="A11" s="135" t="s">
        <v>868</v>
      </c>
      <c r="B11" s="183">
        <f>IF(Input!B14=Rented_FPSU,'Cost Assumptions'!O83+'Cost Assumptions'!O84*Input!B12,0)</f>
        <v>0</v>
      </c>
      <c r="C11" s="168" t="s">
        <v>745</v>
      </c>
      <c r="D11" s="168"/>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row>
    <row r="12" spans="1:32" ht="15" x14ac:dyDescent="0.25">
      <c r="A12" s="135" t="s">
        <v>367</v>
      </c>
      <c r="B12" s="135">
        <f>IF(Overrides!C39=Lists!A37,1,0)</f>
        <v>0</v>
      </c>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row>
    <row r="13" spans="1:32" ht="15" x14ac:dyDescent="0.25">
      <c r="A13" s="93"/>
      <c r="B13" s="134" t="s">
        <v>368</v>
      </c>
      <c r="C13" s="93"/>
      <c r="D13" s="93"/>
      <c r="E13" s="93"/>
      <c r="F13" s="93"/>
      <c r="G13" s="93"/>
      <c r="H13" s="93"/>
      <c r="I13" s="134" t="s">
        <v>369</v>
      </c>
      <c r="J13" s="93"/>
      <c r="K13" s="134" t="s">
        <v>370</v>
      </c>
      <c r="L13" s="134"/>
      <c r="M13" s="134" t="s">
        <v>371</v>
      </c>
      <c r="N13" s="93"/>
      <c r="O13" s="93"/>
      <c r="P13" s="134" t="s">
        <v>372</v>
      </c>
      <c r="Q13" s="93"/>
      <c r="R13" s="93"/>
      <c r="S13" s="93"/>
      <c r="T13" s="93"/>
      <c r="U13" s="93"/>
      <c r="V13" s="93"/>
      <c r="W13" s="93"/>
      <c r="X13" s="93"/>
      <c r="Y13" s="93"/>
      <c r="Z13" s="93"/>
      <c r="AA13" s="93"/>
      <c r="AB13" s="93"/>
      <c r="AC13" s="93"/>
      <c r="AD13" s="93"/>
      <c r="AE13" s="93"/>
      <c r="AF13" s="93"/>
    </row>
    <row r="14" spans="1:32" ht="15" x14ac:dyDescent="0.25">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row>
    <row r="15" spans="1:32" ht="15" x14ac:dyDescent="0.25">
      <c r="A15" s="140" t="s">
        <v>14</v>
      </c>
      <c r="B15" s="140" t="s">
        <v>280</v>
      </c>
      <c r="C15" s="140" t="s">
        <v>373</v>
      </c>
      <c r="D15" s="140" t="s">
        <v>870</v>
      </c>
      <c r="E15" s="140" t="s">
        <v>165</v>
      </c>
      <c r="F15" s="140" t="s">
        <v>374</v>
      </c>
      <c r="G15" s="140" t="s">
        <v>13</v>
      </c>
      <c r="H15" s="93"/>
      <c r="I15" s="140" t="s">
        <v>13</v>
      </c>
      <c r="J15" s="93"/>
      <c r="K15" s="140" t="s">
        <v>13</v>
      </c>
      <c r="L15" s="223"/>
      <c r="M15" s="140" t="s">
        <v>13</v>
      </c>
      <c r="N15" s="93"/>
      <c r="O15" s="93"/>
      <c r="P15" s="156" t="s">
        <v>13</v>
      </c>
      <c r="Q15" s="93"/>
      <c r="R15" s="93"/>
      <c r="S15" s="139" t="s">
        <v>375</v>
      </c>
      <c r="T15" s="93"/>
      <c r="U15" s="93"/>
      <c r="V15" s="93"/>
      <c r="W15" s="93"/>
      <c r="X15" s="93"/>
      <c r="Y15" s="93"/>
      <c r="Z15" s="93"/>
      <c r="AA15" s="93"/>
      <c r="AB15" s="93"/>
      <c r="AC15" s="93"/>
      <c r="AD15" s="93"/>
      <c r="AE15" s="93"/>
      <c r="AF15" s="93"/>
    </row>
    <row r="16" spans="1:32" ht="15" x14ac:dyDescent="0.25">
      <c r="A16" s="149"/>
      <c r="B16" s="149"/>
      <c r="C16" s="149" t="s">
        <v>376</v>
      </c>
      <c r="D16" s="149"/>
      <c r="E16" s="149"/>
      <c r="F16" s="149"/>
      <c r="G16" s="149"/>
      <c r="H16" s="93"/>
      <c r="I16" s="149"/>
      <c r="J16" s="93"/>
      <c r="K16" s="149"/>
      <c r="L16" s="223"/>
      <c r="M16" s="149"/>
      <c r="N16" s="93"/>
      <c r="O16" s="135" t="s">
        <v>377</v>
      </c>
      <c r="P16" s="136">
        <f>Development!BP88</f>
        <v>0.26249999999999996</v>
      </c>
      <c r="Q16" s="93"/>
      <c r="R16" s="135" t="s">
        <v>309</v>
      </c>
      <c r="S16" s="236">
        <v>0.1</v>
      </c>
      <c r="T16" s="93" t="s">
        <v>869</v>
      </c>
      <c r="U16" s="93"/>
      <c r="V16" s="93"/>
      <c r="W16" s="93"/>
      <c r="X16" s="93"/>
      <c r="Y16" s="93"/>
      <c r="Z16" s="93"/>
      <c r="AA16" s="93"/>
      <c r="AB16" s="93"/>
      <c r="AC16" s="93"/>
      <c r="AD16" s="93"/>
      <c r="AE16" s="93"/>
      <c r="AF16" s="93"/>
    </row>
    <row r="17" spans="1:32" ht="15" x14ac:dyDescent="0.25">
      <c r="A17" s="167"/>
      <c r="B17" s="93"/>
      <c r="C17" s="93"/>
      <c r="D17" s="93"/>
      <c r="E17" s="93"/>
      <c r="F17" s="93"/>
      <c r="G17" s="93"/>
      <c r="H17" s="93"/>
      <c r="I17" s="93"/>
      <c r="J17" s="93"/>
      <c r="K17" s="93"/>
      <c r="L17" s="93"/>
      <c r="M17" s="93"/>
      <c r="N17" s="93"/>
      <c r="O17" s="93"/>
      <c r="P17" s="197"/>
      <c r="Q17" s="93"/>
      <c r="R17" s="93"/>
      <c r="S17" s="215"/>
      <c r="T17" s="93"/>
      <c r="U17" s="93"/>
      <c r="V17" s="93"/>
      <c r="W17" s="93"/>
      <c r="X17" s="93"/>
      <c r="Y17" s="93"/>
      <c r="Z17" s="93"/>
      <c r="AA17" s="93"/>
      <c r="AB17" s="93"/>
      <c r="AC17" s="93"/>
      <c r="AD17" s="93"/>
      <c r="AE17" s="93"/>
      <c r="AF17" s="93"/>
    </row>
    <row r="18" spans="1:32" ht="15" x14ac:dyDescent="0.25">
      <c r="A18" s="156" t="s">
        <v>13</v>
      </c>
      <c r="B18" s="152">
        <f>SUM(B19:B58)</f>
        <v>1071.9039707813777</v>
      </c>
      <c r="C18" s="152">
        <f>SUM(C19:C58)</f>
        <v>2785.065465723329</v>
      </c>
      <c r="D18" s="152"/>
      <c r="E18" s="152">
        <f>SUM(E19:E58)</f>
        <v>87.033295803854031</v>
      </c>
      <c r="F18" s="152">
        <f>SUM(F19:F58)</f>
        <v>1153.3065640405418</v>
      </c>
      <c r="G18" s="152">
        <f>SUM(G19:G58)</f>
        <v>5097.3092963491035</v>
      </c>
      <c r="H18" s="157"/>
      <c r="I18" s="152">
        <f>SUM(I19:I58)</f>
        <v>0</v>
      </c>
      <c r="J18" s="157"/>
      <c r="K18" s="152">
        <f>SUM(K19:K58)</f>
        <v>7928.4444429204095</v>
      </c>
      <c r="L18" s="201"/>
      <c r="M18" s="152">
        <f>SUM(M19:M58)</f>
        <v>7205.8416717192385</v>
      </c>
      <c r="N18" s="157"/>
      <c r="O18" s="157"/>
      <c r="P18" s="152">
        <f>SUM(P19:P58)</f>
        <v>1891.5334388262995</v>
      </c>
      <c r="Q18" s="157"/>
      <c r="R18" s="157"/>
      <c r="S18" s="152">
        <f>SUM(S19:S58)</f>
        <v>7926.4258388911649</v>
      </c>
      <c r="T18" s="93"/>
      <c r="U18" s="93"/>
      <c r="V18" s="93"/>
      <c r="W18" s="93"/>
      <c r="X18" s="93"/>
      <c r="Y18" s="93"/>
      <c r="Z18" s="93"/>
      <c r="AA18" s="93"/>
      <c r="AB18" s="93"/>
      <c r="AC18" s="93"/>
      <c r="AD18" s="93"/>
      <c r="AE18" s="93"/>
      <c r="AF18" s="93"/>
    </row>
    <row r="19" spans="1:32" ht="15" x14ac:dyDescent="0.25">
      <c r="A19" s="141">
        <f>'Success Cash Flow'!A10</f>
        <v>2012</v>
      </c>
      <c r="B19" s="161">
        <f>Production!N31*B$6+B$7*Production!G31</f>
        <v>0</v>
      </c>
      <c r="C19" s="161">
        <f>($B$9*Development!$B$23+(Development!$B$15-Development!$B$23)*Operations!$B$10)*Production!N31</f>
        <v>0</v>
      </c>
      <c r="D19" s="161">
        <f>$B$11*Production!M31/1000</f>
        <v>0</v>
      </c>
      <c r="E19" s="161">
        <f>$B$8*Production!N31</f>
        <v>0</v>
      </c>
      <c r="F19" s="161">
        <f>$B$3*IF(Input!$B$11="Gas",Production!G31,Production!K31)</f>
        <v>0</v>
      </c>
      <c r="G19" s="161">
        <f t="shared" ref="G19:G58" si="0">SUM(B19:F19)</f>
        <v>0</v>
      </c>
      <c r="H19" s="157"/>
      <c r="I19" s="159">
        <f>IF(Production!S31=0,0,INDEX(Overrides!$O$48:$O$88,Production!S31+1,1)*Production!$T$21+INDEX(Overrides!$O$48:$O$88,Production!S31,1)*Production!$T$22)</f>
        <v>0</v>
      </c>
      <c r="J19" s="157"/>
      <c r="K19" s="161">
        <f>IF($B$12=1,I19,G19)*'Selected Economics'!I11*'Sensitivity Ranges'!$F$44</f>
        <v>0</v>
      </c>
      <c r="L19" s="201"/>
      <c r="M19" s="159">
        <f>K19*Abandonment!H16</f>
        <v>0</v>
      </c>
      <c r="N19" s="157"/>
      <c r="O19" s="157"/>
      <c r="P19" s="159">
        <f>M19*P$16</f>
        <v>0</v>
      </c>
      <c r="Q19" s="157"/>
      <c r="R19" s="157"/>
      <c r="S19" s="237">
        <f>IF(G19&gt;0,M19*(1+$S$16)*(G19-D19)/G19+M19*(1+Development!$BL$88)*D19/G19,0)</f>
        <v>0</v>
      </c>
      <c r="T19" s="93"/>
      <c r="U19" s="93"/>
      <c r="V19" s="93"/>
      <c r="W19" s="93"/>
      <c r="X19" s="93"/>
      <c r="Y19" s="93"/>
      <c r="Z19" s="93"/>
      <c r="AA19" s="93"/>
      <c r="AB19" s="93"/>
      <c r="AC19" s="93"/>
      <c r="AD19" s="93"/>
      <c r="AE19" s="93"/>
      <c r="AF19" s="93"/>
    </row>
    <row r="20" spans="1:32" ht="15" x14ac:dyDescent="0.25">
      <c r="A20" s="141">
        <f>A19+1</f>
        <v>2013</v>
      </c>
      <c r="B20" s="161">
        <f>Production!N32*B$6+B$7*Production!G32</f>
        <v>0</v>
      </c>
      <c r="C20" s="161">
        <f>($B$9*Development!$B$23+(Development!$B$15-Development!$B$23)*Operations!$B$10)*Production!N32</f>
        <v>0</v>
      </c>
      <c r="D20" s="161">
        <f>$B$11*Production!M32/1000</f>
        <v>0</v>
      </c>
      <c r="E20" s="161">
        <f>$B$8*Production!N32</f>
        <v>0</v>
      </c>
      <c r="F20" s="161">
        <f>$B$3*IF(Input!$B$11="Gas",Production!G32,Production!K32)</f>
        <v>0</v>
      </c>
      <c r="G20" s="161">
        <f t="shared" si="0"/>
        <v>0</v>
      </c>
      <c r="H20" s="157"/>
      <c r="I20" s="161">
        <f>IF(Production!S32=0,0,INDEX(Overrides!$O$48:$O$88,Production!S32+1,1)*Production!$T$21+INDEX(Overrides!$O$48:$O$88,Production!S32,1)*Production!$T$22)</f>
        <v>0</v>
      </c>
      <c r="J20" s="157"/>
      <c r="K20" s="161">
        <f>IF($B$12=1,I20,G20)*'Selected Economics'!I12*'Sensitivity Ranges'!$F$44</f>
        <v>0</v>
      </c>
      <c r="L20" s="201"/>
      <c r="M20" s="161">
        <f>K20*Abandonment!H17</f>
        <v>0</v>
      </c>
      <c r="N20" s="157"/>
      <c r="O20" s="157"/>
      <c r="P20" s="161">
        <f t="shared" ref="P20:P58" si="1">M20*P$16</f>
        <v>0</v>
      </c>
      <c r="Q20" s="157"/>
      <c r="R20" s="157"/>
      <c r="S20" s="237">
        <f>IF(G20&gt;0,M20*(1+$S$16)*(G20-D20)/G20+M20*(1+Development!$BL$88)*D20/G20,0)</f>
        <v>0</v>
      </c>
      <c r="T20" s="93"/>
      <c r="U20" s="93"/>
      <c r="V20" s="93"/>
      <c r="W20" s="93"/>
      <c r="X20" s="93"/>
      <c r="Y20" s="93"/>
      <c r="Z20" s="93"/>
      <c r="AA20" s="93"/>
      <c r="AB20" s="93"/>
      <c r="AC20" s="93"/>
      <c r="AD20" s="93"/>
      <c r="AE20" s="93"/>
      <c r="AF20" s="93"/>
    </row>
    <row r="21" spans="1:32" ht="15" x14ac:dyDescent="0.25">
      <c r="A21" s="141">
        <f t="shared" ref="A21:A58" si="2">A20+1</f>
        <v>2014</v>
      </c>
      <c r="B21" s="161">
        <f>Production!N33*B$6+B$7*Production!G33</f>
        <v>0</v>
      </c>
      <c r="C21" s="161">
        <f>($B$9*Development!$B$23+(Development!$B$15-Development!$B$23)*Operations!$B$10)*Production!N33</f>
        <v>0</v>
      </c>
      <c r="D21" s="161">
        <f>$B$11*Production!M33/1000</f>
        <v>0</v>
      </c>
      <c r="E21" s="161">
        <f>$B$8*Production!N33</f>
        <v>0</v>
      </c>
      <c r="F21" s="161">
        <f>$B$3*IF(Input!$B$11="Gas",Production!G33,Production!K33)</f>
        <v>0</v>
      </c>
      <c r="G21" s="161">
        <f t="shared" si="0"/>
        <v>0</v>
      </c>
      <c r="H21" s="157"/>
      <c r="I21" s="161">
        <f>IF(Production!S33=0,0,INDEX(Overrides!$O$48:$O$88,Production!S33+1,1)*Production!$T$21+INDEX(Overrides!$O$48:$O$88,Production!S33,1)*Production!$T$22)</f>
        <v>0</v>
      </c>
      <c r="J21" s="157"/>
      <c r="K21" s="161">
        <f>IF($B$12=1,I21,G21)*'Selected Economics'!I13*'Sensitivity Ranges'!$F$44</f>
        <v>0</v>
      </c>
      <c r="L21" s="201"/>
      <c r="M21" s="161">
        <f>K21*Abandonment!H18</f>
        <v>0</v>
      </c>
      <c r="N21" s="157"/>
      <c r="O21" s="157"/>
      <c r="P21" s="161">
        <f t="shared" si="1"/>
        <v>0</v>
      </c>
      <c r="Q21" s="157"/>
      <c r="R21" s="157"/>
      <c r="S21" s="237">
        <f>IF(G21&gt;0,M21*(1+$S$16)*(G21-D21)/G21+M21*(1+Development!$BL$88)*D21/G21,0)</f>
        <v>0</v>
      </c>
      <c r="T21" s="93"/>
      <c r="U21" s="93"/>
      <c r="V21" s="93"/>
      <c r="W21" s="93"/>
      <c r="X21" s="93"/>
      <c r="Y21" s="93"/>
      <c r="Z21" s="93"/>
      <c r="AA21" s="93"/>
      <c r="AB21" s="93"/>
      <c r="AC21" s="93"/>
      <c r="AD21" s="93"/>
      <c r="AE21" s="93"/>
      <c r="AF21" s="93"/>
    </row>
    <row r="22" spans="1:32" ht="15" x14ac:dyDescent="0.25">
      <c r="A22" s="141">
        <f t="shared" si="2"/>
        <v>2015</v>
      </c>
      <c r="B22" s="161">
        <f>Production!N34*B$6+B$7*Production!G34</f>
        <v>0</v>
      </c>
      <c r="C22" s="161">
        <f>($B$9*Development!$B$23+(Development!$B$15-Development!$B$23)*Operations!$B$10)*Production!N34</f>
        <v>0</v>
      </c>
      <c r="D22" s="161">
        <f>$B$11*Production!M34/1000</f>
        <v>0</v>
      </c>
      <c r="E22" s="161">
        <f>$B$8*Production!N34</f>
        <v>0</v>
      </c>
      <c r="F22" s="161">
        <f>$B$3*IF(Input!$B$11="Gas",Production!G34,Production!K34)</f>
        <v>0</v>
      </c>
      <c r="G22" s="161">
        <f t="shared" si="0"/>
        <v>0</v>
      </c>
      <c r="H22" s="157"/>
      <c r="I22" s="161">
        <f>IF(Production!S34=0,0,INDEX(Overrides!$O$48:$O$88,Production!S34+1,1)*Production!$T$21+INDEX(Overrides!$O$48:$O$88,Production!S34,1)*Production!$T$22)</f>
        <v>0</v>
      </c>
      <c r="J22" s="157"/>
      <c r="K22" s="161">
        <f>IF($B$12=1,I22,G22)*'Selected Economics'!I14*'Sensitivity Ranges'!$F$44</f>
        <v>0</v>
      </c>
      <c r="L22" s="201"/>
      <c r="M22" s="161">
        <f>K22*Abandonment!H19</f>
        <v>0</v>
      </c>
      <c r="N22" s="157"/>
      <c r="O22" s="157"/>
      <c r="P22" s="161">
        <f t="shared" si="1"/>
        <v>0</v>
      </c>
      <c r="Q22" s="157"/>
      <c r="R22" s="157"/>
      <c r="S22" s="237">
        <f>IF(G22&gt;0,M22*(1+$S$16)*(G22-D22)/G22+M22*(1+Development!$BL$88)*D22/G22,0)</f>
        <v>0</v>
      </c>
      <c r="T22" s="93"/>
      <c r="U22" s="93"/>
      <c r="V22" s="93"/>
      <c r="W22" s="93"/>
      <c r="X22" s="93"/>
      <c r="Y22" s="93"/>
      <c r="Z22" s="93"/>
      <c r="AA22" s="93"/>
      <c r="AB22" s="93"/>
      <c r="AC22" s="93"/>
      <c r="AD22" s="93"/>
      <c r="AE22" s="93"/>
      <c r="AF22" s="93"/>
    </row>
    <row r="23" spans="1:32" ht="15" x14ac:dyDescent="0.25">
      <c r="A23" s="141">
        <f t="shared" si="2"/>
        <v>2016</v>
      </c>
      <c r="B23" s="161">
        <f>Production!N35*B$6+B$7*Production!G35</f>
        <v>0</v>
      </c>
      <c r="C23" s="161">
        <f>($B$9*Development!$B$23+(Development!$B$15-Development!$B$23)*Operations!$B$10)*Production!N35</f>
        <v>0</v>
      </c>
      <c r="D23" s="161">
        <f>$B$11*Production!M35/1000</f>
        <v>0</v>
      </c>
      <c r="E23" s="161">
        <f>$B$8*Production!N35</f>
        <v>0</v>
      </c>
      <c r="F23" s="161">
        <f>$B$3*IF(Input!$B$11="Gas",Production!G35,Production!K35)</f>
        <v>0</v>
      </c>
      <c r="G23" s="161">
        <f t="shared" si="0"/>
        <v>0</v>
      </c>
      <c r="H23" s="157"/>
      <c r="I23" s="161">
        <f>IF(Production!S35=0,0,INDEX(Overrides!$O$48:$O$88,Production!S35+1,1)*Production!$T$21+INDEX(Overrides!$O$48:$O$88,Production!S35,1)*Production!$T$22)</f>
        <v>0</v>
      </c>
      <c r="J23" s="157"/>
      <c r="K23" s="161">
        <f>IF($B$12=1,I23,G23)*'Selected Economics'!I15*'Sensitivity Ranges'!$F$44</f>
        <v>0</v>
      </c>
      <c r="L23" s="201"/>
      <c r="M23" s="161">
        <f>K23*Abandonment!H20</f>
        <v>0</v>
      </c>
      <c r="N23" s="157"/>
      <c r="O23" s="157"/>
      <c r="P23" s="161">
        <f t="shared" si="1"/>
        <v>0</v>
      </c>
      <c r="Q23" s="157"/>
      <c r="R23" s="157"/>
      <c r="S23" s="237">
        <f>IF(G23&gt;0,M23*(1+$S$16)*(G23-D23)/G23+M23*(1+Development!$BL$88)*D23/G23,0)</f>
        <v>0</v>
      </c>
      <c r="T23" s="93"/>
      <c r="U23" s="93"/>
      <c r="V23" s="93"/>
      <c r="W23" s="93"/>
      <c r="X23" s="93"/>
      <c r="Y23" s="93"/>
      <c r="Z23" s="93"/>
      <c r="AA23" s="93"/>
      <c r="AB23" s="93"/>
      <c r="AC23" s="93"/>
      <c r="AD23" s="93"/>
      <c r="AE23" s="93"/>
      <c r="AF23" s="93"/>
    </row>
    <row r="24" spans="1:32" ht="15" x14ac:dyDescent="0.25">
      <c r="A24" s="141">
        <f t="shared" si="2"/>
        <v>2017</v>
      </c>
      <c r="B24" s="161">
        <f>Production!N36*B$6+B$7*Production!G36</f>
        <v>0</v>
      </c>
      <c r="C24" s="161">
        <f>($B$9*Development!$B$23+(Development!$B$15-Development!$B$23)*Operations!$B$10)*Production!N36</f>
        <v>0</v>
      </c>
      <c r="D24" s="161">
        <f>$B$11*Production!M36/1000</f>
        <v>0</v>
      </c>
      <c r="E24" s="161">
        <f>$B$8*Production!N36</f>
        <v>0</v>
      </c>
      <c r="F24" s="161">
        <f>$B$3*IF(Input!$B$11="Gas",Production!G36,Production!K36)</f>
        <v>0</v>
      </c>
      <c r="G24" s="161">
        <f t="shared" si="0"/>
        <v>0</v>
      </c>
      <c r="H24" s="157"/>
      <c r="I24" s="161">
        <f>IF(Production!S36=0,0,INDEX(Overrides!$O$48:$O$88,Production!S36+1,1)*Production!$T$21+INDEX(Overrides!$O$48:$O$88,Production!S36,1)*Production!$T$22)</f>
        <v>0</v>
      </c>
      <c r="J24" s="157"/>
      <c r="K24" s="161">
        <f>IF($B$12=1,I24,G24)*'Selected Economics'!I16*'Sensitivity Ranges'!$F$44</f>
        <v>0</v>
      </c>
      <c r="L24" s="201"/>
      <c r="M24" s="161">
        <f>K24*Abandonment!H21</f>
        <v>0</v>
      </c>
      <c r="N24" s="157"/>
      <c r="O24" s="157"/>
      <c r="P24" s="161">
        <f t="shared" si="1"/>
        <v>0</v>
      </c>
      <c r="Q24" s="157"/>
      <c r="R24" s="157"/>
      <c r="S24" s="237">
        <f>IF(G24&gt;0,M24*(1+$S$16)*(G24-D24)/G24+M24*(1+Development!$BL$88)*D24/G24,0)</f>
        <v>0</v>
      </c>
      <c r="T24" s="93"/>
      <c r="U24" s="93"/>
      <c r="V24" s="93"/>
      <c r="W24" s="93"/>
      <c r="X24" s="93"/>
      <c r="Y24" s="93"/>
      <c r="Z24" s="93"/>
      <c r="AA24" s="93"/>
      <c r="AB24" s="93"/>
      <c r="AC24" s="93"/>
      <c r="AD24" s="93"/>
      <c r="AE24" s="93"/>
      <c r="AF24" s="93"/>
    </row>
    <row r="25" spans="1:32" ht="15" x14ac:dyDescent="0.25">
      <c r="A25" s="141">
        <f t="shared" si="2"/>
        <v>2018</v>
      </c>
      <c r="B25" s="161">
        <f>Production!N37*B$6+B$7*Production!G37</f>
        <v>9.1119679880676099</v>
      </c>
      <c r="C25" s="161">
        <f>($B$9*Development!$B$23+(Development!$B$15-Development!$B$23)*Operations!$B$10)*Production!N37</f>
        <v>16.241095890410957</v>
      </c>
      <c r="D25" s="161">
        <f>$B$11*Production!M37/1000</f>
        <v>0</v>
      </c>
      <c r="E25" s="161">
        <f>$B$8*Production!N37</f>
        <v>0.50753424657534241</v>
      </c>
      <c r="F25" s="161">
        <f>$B$3*IF(Input!$B$11="Gas",Production!G37,Production!K37)</f>
        <v>67.693232096057358</v>
      </c>
      <c r="G25" s="161">
        <f t="shared" si="0"/>
        <v>93.553830221111269</v>
      </c>
      <c r="H25" s="157"/>
      <c r="I25" s="161">
        <f>IF(Production!S37=0,0,INDEX(Overrides!$O$48:$O$88,Production!S37+1,1)*Production!$T$21+INDEX(Overrides!$O$48:$O$88,Production!S37,1)*Production!$T$22)</f>
        <v>0</v>
      </c>
      <c r="J25" s="157"/>
      <c r="K25" s="161">
        <f>IF($B$12=1,I25,G25)*'Selected Economics'!I17*'Sensitivity Ranges'!$F$44</f>
        <v>108.49376115602891</v>
      </c>
      <c r="L25" s="201"/>
      <c r="M25" s="161">
        <f>K25*Abandonment!H22</f>
        <v>108.49376115602891</v>
      </c>
      <c r="N25" s="157"/>
      <c r="O25" s="157"/>
      <c r="P25" s="161">
        <f t="shared" si="1"/>
        <v>28.479612303457586</v>
      </c>
      <c r="Q25" s="157"/>
      <c r="R25" s="157"/>
      <c r="S25" s="237">
        <f>IF(G25&gt;0,M25*(1+$S$16)*(G25-D25)/G25+M25*(1+Development!$BL$88)*D25/G25,0)</f>
        <v>119.3431372716318</v>
      </c>
      <c r="T25" s="93"/>
      <c r="U25" s="93"/>
      <c r="V25" s="93"/>
      <c r="W25" s="93"/>
      <c r="X25" s="93"/>
      <c r="Y25" s="93"/>
      <c r="Z25" s="93"/>
      <c r="AA25" s="93"/>
      <c r="AB25" s="93"/>
      <c r="AC25" s="93"/>
      <c r="AD25" s="93"/>
      <c r="AE25" s="93"/>
      <c r="AF25" s="93"/>
    </row>
    <row r="26" spans="1:32" ht="15" x14ac:dyDescent="0.25">
      <c r="A26" s="141">
        <f t="shared" si="2"/>
        <v>2019</v>
      </c>
      <c r="B26" s="161">
        <f>Production!N38*B$6+B$7*Production!G38</f>
        <v>86.061841501373152</v>
      </c>
      <c r="C26" s="161">
        <f>($B$9*Development!$B$23+(Development!$B$15-Development!$B$23)*Operations!$B$10)*Production!N38</f>
        <v>104</v>
      </c>
      <c r="D26" s="161">
        <f>$B$11*Production!M38/1000</f>
        <v>0</v>
      </c>
      <c r="E26" s="161">
        <f>$B$8*Production!N38</f>
        <v>3.25</v>
      </c>
      <c r="F26" s="161">
        <f>$B$3*IF(Input!$B$11="Gas",Production!G38,Production!K38)</f>
        <v>108.18710961568163</v>
      </c>
      <c r="G26" s="161">
        <f t="shared" si="0"/>
        <v>301.49895111705479</v>
      </c>
      <c r="H26" s="157"/>
      <c r="I26" s="161">
        <f>IF(Production!S38=0,0,INDEX(Overrides!$O$48:$O$88,Production!S38+1,1)*Production!$T$21+INDEX(Overrides!$O$48:$O$88,Production!S38,1)*Production!$T$22)</f>
        <v>0</v>
      </c>
      <c r="J26" s="157"/>
      <c r="K26" s="161">
        <f>IF($B$12=1,I26,G26)*'Selected Economics'!I18*'Sensitivity Ranges'!$F$44</f>
        <v>358.38750793875175</v>
      </c>
      <c r="L26" s="201"/>
      <c r="M26" s="161">
        <f>K26*Abandonment!H23</f>
        <v>358.38750793875175</v>
      </c>
      <c r="N26" s="157"/>
      <c r="O26" s="157"/>
      <c r="P26" s="161">
        <f t="shared" si="1"/>
        <v>94.076720833922323</v>
      </c>
      <c r="Q26" s="157"/>
      <c r="R26" s="157"/>
      <c r="S26" s="237">
        <f>IF(G26&gt;0,M26*(1+$S$16)*(G26-D26)/G26+M26*(1+Development!$BL$88)*D26/G26,0)</f>
        <v>394.22625873262695</v>
      </c>
      <c r="T26" s="93"/>
      <c r="U26" s="93"/>
      <c r="V26" s="93"/>
      <c r="W26" s="93"/>
      <c r="X26" s="93"/>
      <c r="Y26" s="93"/>
      <c r="Z26" s="93"/>
      <c r="AA26" s="93"/>
      <c r="AB26" s="93"/>
      <c r="AC26" s="93"/>
      <c r="AD26" s="93"/>
      <c r="AE26" s="93"/>
      <c r="AF26" s="93"/>
    </row>
    <row r="27" spans="1:32" ht="15" x14ac:dyDescent="0.25">
      <c r="A27" s="141">
        <f t="shared" si="2"/>
        <v>2020</v>
      </c>
      <c r="B27" s="161">
        <f>Production!N39*B$6+B$7*Production!G39</f>
        <v>87.226027397260268</v>
      </c>
      <c r="C27" s="161">
        <f>($B$9*Development!$B$23+(Development!$B$15-Development!$B$23)*Operations!$B$10)*Production!N39</f>
        <v>104</v>
      </c>
      <c r="D27" s="161">
        <f>$B$11*Production!M39/1000</f>
        <v>0</v>
      </c>
      <c r="E27" s="161">
        <f>$B$8*Production!N39</f>
        <v>3.25</v>
      </c>
      <c r="F27" s="161">
        <f>$B$3*IF(Input!$B$11="Gas",Production!G39,Production!K39)</f>
        <v>109.58794520547946</v>
      </c>
      <c r="G27" s="161">
        <f t="shared" si="0"/>
        <v>304.06397260273974</v>
      </c>
      <c r="H27" s="157"/>
      <c r="I27" s="161">
        <f>IF(Production!S39=0,0,INDEX(Overrides!$O$48:$O$88,Production!S39+1,1)*Production!$T$21+INDEX(Overrides!$O$48:$O$88,Production!S39,1)*Production!$T$22)</f>
        <v>0</v>
      </c>
      <c r="J27" s="157"/>
      <c r="K27" s="161">
        <f>IF($B$12=1,I27,G27)*'Selected Economics'!I19*'Sensitivity Ranges'!$F$44</f>
        <v>370.47242524755427</v>
      </c>
      <c r="L27" s="201"/>
      <c r="M27" s="161">
        <f>K27*Abandonment!H24</f>
        <v>370.47242524755427</v>
      </c>
      <c r="N27" s="157"/>
      <c r="O27" s="157"/>
      <c r="P27" s="161">
        <f t="shared" si="1"/>
        <v>97.249011627482986</v>
      </c>
      <c r="Q27" s="157"/>
      <c r="R27" s="157"/>
      <c r="S27" s="237">
        <f>IF(G27&gt;0,M27*(1+$S$16)*(G27-D27)/G27+M27*(1+Development!$BL$88)*D27/G27,0)</f>
        <v>407.51966777230973</v>
      </c>
      <c r="T27" s="93"/>
      <c r="U27" s="93"/>
      <c r="V27" s="93"/>
      <c r="W27" s="93"/>
      <c r="X27" s="93"/>
      <c r="Y27" s="93"/>
      <c r="Z27" s="93"/>
      <c r="AA27" s="93"/>
      <c r="AB27" s="93"/>
      <c r="AC27" s="93"/>
      <c r="AD27" s="93"/>
      <c r="AE27" s="93"/>
      <c r="AF27" s="93"/>
    </row>
    <row r="28" spans="1:32" ht="15" x14ac:dyDescent="0.25">
      <c r="A28" s="141">
        <f t="shared" si="2"/>
        <v>2021</v>
      </c>
      <c r="B28" s="161">
        <f>Production!N40*B$6+B$7*Production!G40</f>
        <v>87.020547945205465</v>
      </c>
      <c r="C28" s="161">
        <f>($B$9*Development!$B$23+(Development!$B$15-Development!$B$23)*Operations!$B$10)*Production!N40</f>
        <v>104</v>
      </c>
      <c r="D28" s="161">
        <f>$B$11*Production!M40/1000</f>
        <v>0</v>
      </c>
      <c r="E28" s="161">
        <f>$B$8*Production!N40</f>
        <v>3.25</v>
      </c>
      <c r="F28" s="161">
        <f>$B$3*IF(Input!$B$11="Gas",Production!G40,Production!K40)</f>
        <v>109.58794520547946</v>
      </c>
      <c r="G28" s="161">
        <f t="shared" si="0"/>
        <v>303.85849315068492</v>
      </c>
      <c r="H28" s="157"/>
      <c r="I28" s="161">
        <f>IF(Production!S40=0,0,INDEX(Overrides!$O$48:$O$88,Production!S40+1,1)*Production!$T$21+INDEX(Overrides!$O$48:$O$88,Production!S40,1)*Production!$T$22)</f>
        <v>0</v>
      </c>
      <c r="J28" s="157"/>
      <c r="K28" s="161">
        <f>IF($B$12=1,I28,G28)*'Selected Economics'!I20*'Sensitivity Ranges'!$F$44</f>
        <v>379.47762019998663</v>
      </c>
      <c r="L28" s="201"/>
      <c r="M28" s="161">
        <f>K28*Abandonment!H25</f>
        <v>379.47762019998663</v>
      </c>
      <c r="N28" s="157"/>
      <c r="O28" s="157"/>
      <c r="P28" s="161">
        <f t="shared" si="1"/>
        <v>99.612875302496477</v>
      </c>
      <c r="Q28" s="157"/>
      <c r="R28" s="157"/>
      <c r="S28" s="237">
        <f>IF(G28&gt;0,M28*(1+$S$16)*(G28-D28)/G28+M28*(1+Development!$BL$88)*D28/G28,0)</f>
        <v>417.42538221998535</v>
      </c>
      <c r="T28" s="93"/>
      <c r="U28" s="93"/>
      <c r="V28" s="93"/>
      <c r="W28" s="93"/>
      <c r="X28" s="93"/>
      <c r="Y28" s="93"/>
      <c r="Z28" s="93"/>
      <c r="AA28" s="93"/>
      <c r="AB28" s="93"/>
      <c r="AC28" s="93"/>
      <c r="AD28" s="93"/>
      <c r="AE28" s="93"/>
      <c r="AF28" s="93"/>
    </row>
    <row r="29" spans="1:32" ht="15" x14ac:dyDescent="0.25">
      <c r="A29" s="141">
        <f t="shared" si="2"/>
        <v>2022</v>
      </c>
      <c r="B29" s="161">
        <f>Production!N41*B$6+B$7*Production!G41</f>
        <v>86.975243493660614</v>
      </c>
      <c r="C29" s="161">
        <f>($B$9*Development!$B$23+(Development!$B$15-Development!$B$23)*Operations!$B$10)*Production!N41</f>
        <v>104</v>
      </c>
      <c r="D29" s="161">
        <f>$B$11*Production!M41/1000</f>
        <v>0</v>
      </c>
      <c r="E29" s="161">
        <f>$B$8*Production!N41</f>
        <v>3.25</v>
      </c>
      <c r="F29" s="161">
        <f>$B$3*IF(Input!$B$11="Gas",Production!G41,Production!K41)</f>
        <v>109.52174758209998</v>
      </c>
      <c r="G29" s="161">
        <f t="shared" si="0"/>
        <v>303.7469910757606</v>
      </c>
      <c r="H29" s="157"/>
      <c r="I29" s="161">
        <f>IF(Production!S41=0,0,INDEX(Overrides!$O$48:$O$88,Production!S41+1,1)*Production!$T$21+INDEX(Overrides!$O$48:$O$88,Production!S41,1)*Production!$T$22)</f>
        <v>0</v>
      </c>
      <c r="J29" s="157"/>
      <c r="K29" s="161">
        <f>IF($B$12=1,I29,G29)*'Selected Economics'!I21*'Sensitivity Ranges'!$F$44</f>
        <v>388.82182862222982</v>
      </c>
      <c r="L29" s="201"/>
      <c r="M29" s="161">
        <f>K29*Abandonment!H26</f>
        <v>388.82182862222982</v>
      </c>
      <c r="N29" s="157"/>
      <c r="O29" s="157"/>
      <c r="P29" s="161">
        <f t="shared" si="1"/>
        <v>102.06573001333531</v>
      </c>
      <c r="Q29" s="157"/>
      <c r="R29" s="157"/>
      <c r="S29" s="237">
        <f>IF(G29&gt;0,M29*(1+$S$16)*(G29-D29)/G29+M29*(1+Development!$BL$88)*D29/G29,0)</f>
        <v>427.70401148445285</v>
      </c>
      <c r="T29" s="93"/>
      <c r="U29" s="93"/>
      <c r="V29" s="93"/>
      <c r="W29" s="93"/>
      <c r="X29" s="93"/>
      <c r="Y29" s="93"/>
      <c r="Z29" s="93"/>
      <c r="AA29" s="93"/>
      <c r="AB29" s="93"/>
      <c r="AC29" s="93"/>
      <c r="AD29" s="93"/>
      <c r="AE29" s="93"/>
      <c r="AF29" s="93"/>
    </row>
    <row r="30" spans="1:32" ht="15" x14ac:dyDescent="0.25">
      <c r="A30" s="141">
        <f t="shared" si="2"/>
        <v>2023</v>
      </c>
      <c r="B30" s="161">
        <f>Production!N42*B$6+B$7*Production!G42</f>
        <v>80.277815214482018</v>
      </c>
      <c r="C30" s="161">
        <f>($B$9*Development!$B$23+(Development!$B$15-Development!$B$23)*Operations!$B$10)*Production!N42</f>
        <v>104</v>
      </c>
      <c r="D30" s="161">
        <f>$B$11*Production!M42/1000</f>
        <v>0</v>
      </c>
      <c r="E30" s="161">
        <f>$B$8*Production!N42</f>
        <v>3.25</v>
      </c>
      <c r="F30" s="161">
        <f>$B$3*IF(Input!$B$11="Gas",Production!G42,Production!K42)</f>
        <v>99.73564887174993</v>
      </c>
      <c r="G30" s="161">
        <f t="shared" si="0"/>
        <v>287.26346408623192</v>
      </c>
      <c r="H30" s="157"/>
      <c r="I30" s="161">
        <f>IF(Production!S42=0,0,INDEX(Overrides!$O$48:$O$88,Production!S42+1,1)*Production!$T$21+INDEX(Overrides!$O$48:$O$88,Production!S42,1)*Production!$T$22)</f>
        <v>0</v>
      </c>
      <c r="J30" s="157"/>
      <c r="K30" s="161">
        <f>IF($B$12=1,I30,G30)*'Selected Economics'!I22*'Sensitivity Ranges'!$F$44</f>
        <v>376.91455850131791</v>
      </c>
      <c r="L30" s="201"/>
      <c r="M30" s="161">
        <f>K30*Abandonment!H27</f>
        <v>376.91455850131791</v>
      </c>
      <c r="N30" s="157"/>
      <c r="O30" s="157"/>
      <c r="P30" s="161">
        <f t="shared" si="1"/>
        <v>98.940071606595936</v>
      </c>
      <c r="Q30" s="157"/>
      <c r="R30" s="157"/>
      <c r="S30" s="237">
        <f>IF(G30&gt;0,M30*(1+$S$16)*(G30-D30)/G30+M30*(1+Development!$BL$88)*D30/G30,0)</f>
        <v>414.60601435144974</v>
      </c>
      <c r="T30" s="93"/>
      <c r="U30" s="93"/>
      <c r="V30" s="93"/>
      <c r="W30" s="93"/>
      <c r="X30" s="93"/>
      <c r="Y30" s="93"/>
      <c r="Z30" s="93"/>
      <c r="AA30" s="93"/>
      <c r="AB30" s="93"/>
      <c r="AC30" s="93"/>
      <c r="AD30" s="93"/>
      <c r="AE30" s="93"/>
      <c r="AF30" s="93"/>
    </row>
    <row r="31" spans="1:32" ht="15" x14ac:dyDescent="0.25">
      <c r="A31" s="141">
        <f t="shared" si="2"/>
        <v>2024</v>
      </c>
      <c r="B31" s="161">
        <f>Production!N43*B$6+B$7*Production!G43</f>
        <v>70.185580909639171</v>
      </c>
      <c r="C31" s="161">
        <f>($B$9*Development!$B$23+(Development!$B$15-Development!$B$23)*Operations!$B$10)*Production!N43</f>
        <v>104</v>
      </c>
      <c r="D31" s="161">
        <f>$B$11*Production!M43/1000</f>
        <v>0</v>
      </c>
      <c r="E31" s="161">
        <f>$B$8*Production!N43</f>
        <v>3.25</v>
      </c>
      <c r="F31" s="161">
        <f>$B$3*IF(Input!$B$11="Gas",Production!G43,Production!K43)</f>
        <v>84.756941805616123</v>
      </c>
      <c r="G31" s="161">
        <f t="shared" si="0"/>
        <v>262.19252271525528</v>
      </c>
      <c r="H31" s="157"/>
      <c r="I31" s="161">
        <f>IF(Production!S43=0,0,INDEX(Overrides!$O$48:$O$88,Production!S43+1,1)*Production!$T$21+INDEX(Overrides!$O$48:$O$88,Production!S43,1)*Production!$T$22)</f>
        <v>0</v>
      </c>
      <c r="J31" s="157"/>
      <c r="K31" s="161">
        <f>IF($B$12=1,I31,G31)*'Selected Economics'!I23*'Sensitivity Ranges'!$F$44</f>
        <v>352.61979360069023</v>
      </c>
      <c r="L31" s="201"/>
      <c r="M31" s="161">
        <f>K31*Abandonment!H28</f>
        <v>352.61979360069023</v>
      </c>
      <c r="N31" s="157"/>
      <c r="O31" s="157"/>
      <c r="P31" s="161">
        <f t="shared" si="1"/>
        <v>92.562695820181176</v>
      </c>
      <c r="Q31" s="157"/>
      <c r="R31" s="157"/>
      <c r="S31" s="237">
        <f>IF(G31&gt;0,M31*(1+$S$16)*(G31-D31)/G31+M31*(1+Development!$BL$88)*D31/G31,0)</f>
        <v>387.88177296075929</v>
      </c>
      <c r="T31" s="93"/>
      <c r="U31" s="93"/>
      <c r="V31" s="93"/>
      <c r="W31" s="93"/>
      <c r="X31" s="93"/>
      <c r="Y31" s="93"/>
      <c r="Z31" s="93"/>
      <c r="AA31" s="93"/>
      <c r="AB31" s="93"/>
      <c r="AC31" s="93"/>
      <c r="AD31" s="93"/>
      <c r="AE31" s="93"/>
      <c r="AF31" s="93"/>
    </row>
    <row r="32" spans="1:32" ht="15" x14ac:dyDescent="0.25">
      <c r="A32" s="141">
        <f t="shared" si="2"/>
        <v>2025</v>
      </c>
      <c r="B32" s="161">
        <f>Production!N44*B$6+B$7*Production!G44</f>
        <v>61.314470179425477</v>
      </c>
      <c r="C32" s="161">
        <f>($B$9*Development!$B$23+(Development!$B$15-Development!$B$23)*Operations!$B$10)*Production!N44</f>
        <v>104</v>
      </c>
      <c r="D32" s="161">
        <f>$B$11*Production!M44/1000</f>
        <v>0</v>
      </c>
      <c r="E32" s="161">
        <f>$B$8*Production!N44</f>
        <v>3.25</v>
      </c>
      <c r="F32" s="161">
        <f>$B$3*IF(Input!$B$11="Gas",Production!G44,Production!K44)</f>
        <v>72.026928650224889</v>
      </c>
      <c r="G32" s="161">
        <f t="shared" si="0"/>
        <v>240.59139882965036</v>
      </c>
      <c r="H32" s="157"/>
      <c r="I32" s="161">
        <f>IF(Production!S44=0,0,INDEX(Overrides!$O$48:$O$88,Production!S44+1,1)*Production!$T$21+INDEX(Overrides!$O$48:$O$88,Production!S44,1)*Production!$T$22)</f>
        <v>0</v>
      </c>
      <c r="J32" s="157"/>
      <c r="K32" s="161">
        <f>IF($B$12=1,I32,G32)*'Selected Economics'!I24*'Sensitivity Ranges'!$F$44</f>
        <v>331.65790058317492</v>
      </c>
      <c r="L32" s="201"/>
      <c r="M32" s="161">
        <f>K32*Abandonment!H29</f>
        <v>331.65790058317492</v>
      </c>
      <c r="N32" s="157"/>
      <c r="O32" s="157"/>
      <c r="P32" s="161">
        <f t="shared" si="1"/>
        <v>87.060198903083403</v>
      </c>
      <c r="Q32" s="157"/>
      <c r="R32" s="157"/>
      <c r="S32" s="237">
        <f>IF(G32&gt;0,M32*(1+$S$16)*(G32-D32)/G32+M32*(1+Development!$BL$88)*D32/G32,0)</f>
        <v>364.82369064149242</v>
      </c>
      <c r="T32" s="93"/>
      <c r="U32" s="93"/>
      <c r="V32" s="93"/>
      <c r="W32" s="93"/>
      <c r="X32" s="93"/>
      <c r="Y32" s="93"/>
      <c r="Z32" s="93"/>
      <c r="AA32" s="93"/>
      <c r="AB32" s="93"/>
      <c r="AC32" s="93"/>
      <c r="AD32" s="93"/>
      <c r="AE32" s="93"/>
      <c r="AF32" s="93"/>
    </row>
    <row r="33" spans="1:32" ht="15" x14ac:dyDescent="0.25">
      <c r="A33" s="141">
        <f t="shared" si="2"/>
        <v>2026</v>
      </c>
      <c r="B33" s="161">
        <f>Production!N45*B$6+B$7*Production!G45</f>
        <v>53.920381844292486</v>
      </c>
      <c r="C33" s="161">
        <f>($B$9*Development!$B$23+(Development!$B$15-Development!$B$23)*Operations!$B$10)*Production!N45</f>
        <v>104</v>
      </c>
      <c r="D33" s="161">
        <f>$B$11*Production!M45/1000</f>
        <v>0</v>
      </c>
      <c r="E33" s="161">
        <f>$B$8*Production!N45</f>
        <v>3.25</v>
      </c>
      <c r="F33" s="161">
        <f>$B$3*IF(Input!$B$11="Gas",Production!G45,Production!K45)</f>
        <v>61.222889352691169</v>
      </c>
      <c r="G33" s="161">
        <f t="shared" si="0"/>
        <v>222.39327119698365</v>
      </c>
      <c r="H33" s="157"/>
      <c r="I33" s="161">
        <f>IF(Production!S45=0,0,INDEX(Overrides!$O$48:$O$88,Production!S45+1,1)*Production!$T$21+INDEX(Overrides!$O$48:$O$88,Production!S45,1)*Production!$T$22)</f>
        <v>0</v>
      </c>
      <c r="J33" s="157"/>
      <c r="K33" s="161">
        <f>IF($B$12=1,I33,G33)*'Selected Economics'!I25*'Sensitivity Ranges'!$F$44</f>
        <v>314.23587016205687</v>
      </c>
      <c r="L33" s="201"/>
      <c r="M33" s="161">
        <f>K33*Abandonment!H30</f>
        <v>314.23587016205687</v>
      </c>
      <c r="N33" s="157"/>
      <c r="O33" s="157"/>
      <c r="P33" s="161">
        <f t="shared" si="1"/>
        <v>82.486915917539918</v>
      </c>
      <c r="Q33" s="157"/>
      <c r="R33" s="157"/>
      <c r="S33" s="237">
        <f>IF(G33&gt;0,M33*(1+$S$16)*(G33-D33)/G33+M33*(1+Development!$BL$88)*D33/G33,0)</f>
        <v>345.65945717826258</v>
      </c>
      <c r="T33" s="93"/>
      <c r="U33" s="93"/>
      <c r="V33" s="93"/>
      <c r="W33" s="93"/>
      <c r="X33" s="93"/>
      <c r="Y33" s="93"/>
      <c r="Z33" s="93"/>
      <c r="AA33" s="93"/>
      <c r="AB33" s="93"/>
      <c r="AC33" s="93"/>
      <c r="AD33" s="93"/>
      <c r="AE33" s="93"/>
      <c r="AF33" s="93"/>
    </row>
    <row r="34" spans="1:32" ht="15" x14ac:dyDescent="0.25">
      <c r="A34" s="141">
        <f t="shared" si="2"/>
        <v>2027</v>
      </c>
      <c r="B34" s="161">
        <f>Production!N46*B$6+B$7*Production!G46</f>
        <v>47.635406759429415</v>
      </c>
      <c r="C34" s="161">
        <f>($B$9*Development!$B$23+(Development!$B$15-Development!$B$23)*Operations!$B$10)*Production!N46</f>
        <v>104</v>
      </c>
      <c r="D34" s="161">
        <f>$B$11*Production!M46/1000</f>
        <v>0</v>
      </c>
      <c r="E34" s="161">
        <f>$B$8*Production!N46</f>
        <v>3.25</v>
      </c>
      <c r="F34" s="161">
        <f>$B$3*IF(Input!$B$11="Gas",Production!G46,Production!K46)</f>
        <v>52.039455949787467</v>
      </c>
      <c r="G34" s="161">
        <f t="shared" si="0"/>
        <v>206.92486270921688</v>
      </c>
      <c r="H34" s="157"/>
      <c r="I34" s="161">
        <f>IF(Production!S46=0,0,INDEX(Overrides!$O$48:$O$88,Production!S46+1,1)*Production!$T$21+INDEX(Overrides!$O$48:$O$88,Production!S46,1)*Production!$T$22)</f>
        <v>0</v>
      </c>
      <c r="J34" s="157"/>
      <c r="K34" s="161">
        <f>IF($B$12=1,I34,G34)*'Selected Economics'!I26*'Sensitivity Ranges'!$F$44</f>
        <v>299.68889926463186</v>
      </c>
      <c r="L34" s="201"/>
      <c r="M34" s="161">
        <f>K34*Abandonment!H31</f>
        <v>299.68889926463186</v>
      </c>
      <c r="N34" s="157"/>
      <c r="O34" s="157"/>
      <c r="P34" s="161">
        <f t="shared" si="1"/>
        <v>78.668336056965856</v>
      </c>
      <c r="Q34" s="157"/>
      <c r="R34" s="157"/>
      <c r="S34" s="237">
        <f>IF(G34&gt;0,M34*(1+$S$16)*(G34-D34)/G34+M34*(1+Development!$BL$88)*D34/G34,0)</f>
        <v>329.65778919109505</v>
      </c>
      <c r="T34" s="93"/>
      <c r="U34" s="93"/>
      <c r="V34" s="93"/>
      <c r="W34" s="93"/>
      <c r="X34" s="93"/>
      <c r="Y34" s="93"/>
      <c r="Z34" s="93"/>
      <c r="AA34" s="93"/>
      <c r="AB34" s="93"/>
      <c r="AC34" s="93"/>
      <c r="AD34" s="93"/>
      <c r="AE34" s="93"/>
      <c r="AF34" s="93"/>
    </row>
    <row r="35" spans="1:32" ht="15" x14ac:dyDescent="0.25">
      <c r="A35" s="141">
        <f t="shared" si="2"/>
        <v>2028</v>
      </c>
      <c r="B35" s="161">
        <f>Production!N47*B$6+B$7*Production!G47</f>
        <v>42.369542562594951</v>
      </c>
      <c r="C35" s="161">
        <f>($B$9*Development!$B$23+(Development!$B$15-Development!$B$23)*Operations!$B$10)*Production!N47</f>
        <v>104</v>
      </c>
      <c r="D35" s="161">
        <f>$B$11*Production!M47/1000</f>
        <v>0</v>
      </c>
      <c r="E35" s="161">
        <f>$B$8*Production!N47</f>
        <v>3.25</v>
      </c>
      <c r="F35" s="161">
        <f>$B$3*IF(Input!$B$11="Gas",Production!G47,Production!K47)</f>
        <v>44.223957927057633</v>
      </c>
      <c r="G35" s="161">
        <f t="shared" si="0"/>
        <v>193.84350048965257</v>
      </c>
      <c r="H35" s="157"/>
      <c r="I35" s="161">
        <f>IF(Production!S47=0,0,INDEX(Overrides!$O$48:$O$88,Production!S47+1,1)*Production!$T$21+INDEX(Overrides!$O$48:$O$88,Production!S47,1)*Production!$T$22)</f>
        <v>0</v>
      </c>
      <c r="J35" s="157"/>
      <c r="K35" s="161">
        <f>IF($B$12=1,I35,G35)*'Selected Economics'!I27*'Sensitivity Ranges'!$F$44</f>
        <v>287.76176600540771</v>
      </c>
      <c r="L35" s="201"/>
      <c r="M35" s="161">
        <f>K35*Abandonment!H32</f>
        <v>287.76176600540771</v>
      </c>
      <c r="N35" s="157"/>
      <c r="O35" s="157"/>
      <c r="P35" s="161">
        <f t="shared" si="1"/>
        <v>75.537463576419512</v>
      </c>
      <c r="Q35" s="157"/>
      <c r="R35" s="157"/>
      <c r="S35" s="237">
        <f>IF(G35&gt;0,M35*(1+$S$16)*(G35-D35)/G35+M35*(1+Development!$BL$88)*D35/G35,0)</f>
        <v>316.5379426059485</v>
      </c>
      <c r="T35" s="93"/>
      <c r="U35" s="93"/>
      <c r="V35" s="93"/>
      <c r="W35" s="93"/>
      <c r="X35" s="93"/>
      <c r="Y35" s="93"/>
      <c r="Z35" s="93"/>
      <c r="AA35" s="93"/>
      <c r="AB35" s="93"/>
      <c r="AC35" s="93"/>
      <c r="AD35" s="93"/>
      <c r="AE35" s="93"/>
      <c r="AF35" s="93"/>
    </row>
    <row r="36" spans="1:32" ht="15" x14ac:dyDescent="0.25">
      <c r="A36" s="141">
        <f t="shared" si="2"/>
        <v>2029</v>
      </c>
      <c r="B36" s="161">
        <f>Production!N48*B$6+B$7*Production!G48</f>
        <v>37.740828744687413</v>
      </c>
      <c r="C36" s="161">
        <f>($B$9*Development!$B$23+(Development!$B$15-Development!$B$23)*Operations!$B$10)*Production!N48</f>
        <v>104</v>
      </c>
      <c r="D36" s="161">
        <f>$B$11*Production!M48/1000</f>
        <v>0</v>
      </c>
      <c r="E36" s="161">
        <f>$B$8*Production!N48</f>
        <v>3.25</v>
      </c>
      <c r="F36" s="161">
        <f>$B$3*IF(Input!$B$11="Gas",Production!G48,Production!K48)</f>
        <v>37.581769638975622</v>
      </c>
      <c r="G36" s="161">
        <f t="shared" si="0"/>
        <v>182.57259838366303</v>
      </c>
      <c r="H36" s="157"/>
      <c r="I36" s="161">
        <f>IF(Production!S48=0,0,INDEX(Overrides!$O$48:$O$88,Production!S48+1,1)*Production!$T$21+INDEX(Overrides!$O$48:$O$88,Production!S48,1)*Production!$T$22)</f>
        <v>0</v>
      </c>
      <c r="J36" s="157"/>
      <c r="K36" s="161">
        <f>IF($B$12=1,I36,G36)*'Selected Economics'!I28*'Sensitivity Ranges'!$F$44</f>
        <v>277.80579969113001</v>
      </c>
      <c r="L36" s="201"/>
      <c r="M36" s="161">
        <f>K36*Abandonment!H33</f>
        <v>277.80579969113001</v>
      </c>
      <c r="N36" s="157"/>
      <c r="O36" s="157"/>
      <c r="P36" s="161">
        <f t="shared" si="1"/>
        <v>72.924022418921609</v>
      </c>
      <c r="Q36" s="157"/>
      <c r="R36" s="157"/>
      <c r="S36" s="237">
        <f>IF(G36&gt;0,M36*(1+$S$16)*(G36-D36)/G36+M36*(1+Development!$BL$88)*D36/G36,0)</f>
        <v>305.58637966024304</v>
      </c>
      <c r="T36" s="93"/>
      <c r="U36" s="93"/>
      <c r="V36" s="93"/>
      <c r="W36" s="93"/>
      <c r="X36" s="93"/>
      <c r="Y36" s="93"/>
      <c r="Z36" s="93"/>
      <c r="AA36" s="93"/>
      <c r="AB36" s="93"/>
      <c r="AC36" s="93"/>
      <c r="AD36" s="93"/>
      <c r="AE36" s="93"/>
      <c r="AF36" s="93"/>
    </row>
    <row r="37" spans="1:32" ht="15" x14ac:dyDescent="0.25">
      <c r="A37" s="141">
        <f t="shared" si="2"/>
        <v>2030</v>
      </c>
      <c r="B37" s="161">
        <f>Production!N49*B$6+B$7*Production!G49</f>
        <v>33.882786624765117</v>
      </c>
      <c r="C37" s="161">
        <f>($B$9*Development!$B$23+(Development!$B$15-Development!$B$23)*Operations!$B$10)*Production!N49</f>
        <v>104</v>
      </c>
      <c r="D37" s="161">
        <f>$B$11*Production!M49/1000</f>
        <v>0</v>
      </c>
      <c r="E37" s="161">
        <f>$B$8*Production!N49</f>
        <v>3.25</v>
      </c>
      <c r="F37" s="161">
        <f>$B$3*IF(Input!$B$11="Gas",Production!G49,Production!K49)</f>
        <v>31.944504193129269</v>
      </c>
      <c r="G37" s="161">
        <f t="shared" si="0"/>
        <v>173.07729081789438</v>
      </c>
      <c r="H37" s="157"/>
      <c r="I37" s="161">
        <f>IF(Production!S49=0,0,INDEX(Overrides!$O$48:$O$88,Production!S49+1,1)*Production!$T$21+INDEX(Overrides!$O$48:$O$88,Production!S49,1)*Production!$T$22)</f>
        <v>0</v>
      </c>
      <c r="J37" s="157"/>
      <c r="K37" s="161">
        <f>IF($B$12=1,I37,G37)*'Selected Economics'!I29*'Sensitivity Ranges'!$F$44</f>
        <v>269.94150546115264</v>
      </c>
      <c r="L37" s="201"/>
      <c r="M37" s="161">
        <f>K37*Abandonment!H34</f>
        <v>269.94150546115264</v>
      </c>
      <c r="N37" s="157"/>
      <c r="O37" s="157"/>
      <c r="P37" s="161">
        <f t="shared" si="1"/>
        <v>70.859645183552558</v>
      </c>
      <c r="Q37" s="157"/>
      <c r="R37" s="157"/>
      <c r="S37" s="237">
        <f>IF(G37&gt;0,M37*(1+$S$16)*(G37-D37)/G37+M37*(1+Development!$BL$88)*D37/G37,0)</f>
        <v>296.93565600726794</v>
      </c>
      <c r="T37" s="93"/>
      <c r="U37" s="93"/>
      <c r="V37" s="93"/>
      <c r="W37" s="93"/>
      <c r="X37" s="93"/>
      <c r="Y37" s="93"/>
      <c r="Z37" s="93"/>
      <c r="AA37" s="93"/>
      <c r="AB37" s="93"/>
      <c r="AC37" s="93"/>
      <c r="AD37" s="93"/>
      <c r="AE37" s="93"/>
      <c r="AF37" s="93"/>
    </row>
    <row r="38" spans="1:32" ht="15" x14ac:dyDescent="0.25">
      <c r="A38" s="141">
        <f t="shared" si="2"/>
        <v>2031</v>
      </c>
      <c r="B38" s="161">
        <f>Production!N50*B$6+B$7*Production!G50</f>
        <v>30.603450822831178</v>
      </c>
      <c r="C38" s="161">
        <f>($B$9*Development!$B$23+(Development!$B$15-Development!$B$23)*Operations!$B$10)*Production!N50</f>
        <v>104</v>
      </c>
      <c r="D38" s="161">
        <f>$B$11*Production!M50/1000</f>
        <v>0</v>
      </c>
      <c r="E38" s="161">
        <f>$B$8*Production!N50</f>
        <v>3.25</v>
      </c>
      <c r="F38" s="161">
        <f>$B$3*IF(Input!$B$11="Gas",Production!G50,Production!K50)</f>
        <v>27.152828564159893</v>
      </c>
      <c r="G38" s="161">
        <f t="shared" si="0"/>
        <v>165.00627938699108</v>
      </c>
      <c r="H38" s="157"/>
      <c r="I38" s="161">
        <f>IF(Production!S50=0,0,INDEX(Overrides!$O$48:$O$88,Production!S50+1,1)*Production!$T$21+INDEX(Overrides!$O$48:$O$88,Production!S50,1)*Production!$T$22)</f>
        <v>0</v>
      </c>
      <c r="J38" s="157"/>
      <c r="K38" s="161">
        <f>IF($B$12=1,I38,G38)*'Selected Economics'!I30*'Sensitivity Ranges'!$F$44</f>
        <v>263.78731917529132</v>
      </c>
      <c r="L38" s="201"/>
      <c r="M38" s="161">
        <f>K38*Abandonment!H35</f>
        <v>263.78731917529132</v>
      </c>
      <c r="N38" s="157"/>
      <c r="O38" s="157"/>
      <c r="P38" s="161">
        <f t="shared" si="1"/>
        <v>69.244171283513964</v>
      </c>
      <c r="Q38" s="157"/>
      <c r="R38" s="157"/>
      <c r="S38" s="237">
        <f>IF(G38&gt;0,M38*(1+$S$16)*(G38-D38)/G38+M38*(1+Development!$BL$88)*D38/G38,0)</f>
        <v>290.16605109282045</v>
      </c>
      <c r="T38" s="93"/>
      <c r="U38" s="93"/>
      <c r="V38" s="93"/>
      <c r="W38" s="93"/>
      <c r="X38" s="93"/>
      <c r="Y38" s="93"/>
      <c r="Z38" s="93"/>
      <c r="AA38" s="93"/>
      <c r="AB38" s="93"/>
      <c r="AC38" s="93"/>
      <c r="AD38" s="93"/>
      <c r="AE38" s="93"/>
      <c r="AF38" s="93"/>
    </row>
    <row r="39" spans="1:32" ht="15" x14ac:dyDescent="0.25">
      <c r="A39" s="141">
        <f t="shared" si="2"/>
        <v>2032</v>
      </c>
      <c r="B39" s="161">
        <f>Production!N51*B$6+B$7*Production!G51</f>
        <v>27.855860457613744</v>
      </c>
      <c r="C39" s="161">
        <f>($B$9*Development!$B$23+(Development!$B$15-Development!$B$23)*Operations!$B$10)*Production!N51</f>
        <v>104</v>
      </c>
      <c r="D39" s="161">
        <f>$B$11*Production!M51/1000</f>
        <v>0</v>
      </c>
      <c r="E39" s="161">
        <f>$B$8*Production!N51</f>
        <v>3.25</v>
      </c>
      <c r="F39" s="161">
        <f>$B$3*IF(Input!$B$11="Gas",Production!G51,Production!K51)</f>
        <v>23.074905878736814</v>
      </c>
      <c r="G39" s="161">
        <f t="shared" si="0"/>
        <v>158.18076633635056</v>
      </c>
      <c r="H39" s="157"/>
      <c r="I39" s="161">
        <f>IF(Production!S51=0,0,INDEX(Overrides!$O$48:$O$88,Production!S51+1,1)*Production!$T$21+INDEX(Overrides!$O$48:$O$88,Production!S51,1)*Production!$T$22)</f>
        <v>0</v>
      </c>
      <c r="J39" s="157"/>
      <c r="K39" s="161">
        <f>IF($B$12=1,I39,G39)*'Selected Economics'!I31*'Sensitivity Ranges'!$F$44</f>
        <v>259.19760425647735</v>
      </c>
      <c r="L39" s="201"/>
      <c r="M39" s="161">
        <f>K39*Abandonment!H36</f>
        <v>259.19760425647735</v>
      </c>
      <c r="N39" s="157"/>
      <c r="O39" s="157"/>
      <c r="P39" s="161">
        <f t="shared" si="1"/>
        <v>68.039371117325288</v>
      </c>
      <c r="Q39" s="157"/>
      <c r="R39" s="157"/>
      <c r="S39" s="237">
        <f>IF(G39&gt;0,M39*(1+$S$16)*(G39-D39)/G39+M39*(1+Development!$BL$88)*D39/G39,0)</f>
        <v>285.11736468212513</v>
      </c>
      <c r="T39" s="93"/>
      <c r="U39" s="93"/>
      <c r="V39" s="93"/>
      <c r="W39" s="93"/>
      <c r="X39" s="93"/>
      <c r="Y39" s="93"/>
      <c r="Z39" s="93"/>
      <c r="AA39" s="93"/>
      <c r="AB39" s="93"/>
      <c r="AC39" s="93"/>
      <c r="AD39" s="93"/>
      <c r="AE39" s="93"/>
      <c r="AF39" s="93"/>
    </row>
    <row r="40" spans="1:32" ht="15" x14ac:dyDescent="0.25">
      <c r="A40" s="141">
        <f t="shared" si="2"/>
        <v>2033</v>
      </c>
      <c r="B40" s="161">
        <f>Production!N52*B$6+B$7*Production!G52</f>
        <v>25.440718514326072</v>
      </c>
      <c r="C40" s="161">
        <f>($B$9*Development!$B$23+(Development!$B$15-Development!$B$23)*Operations!$B$10)*Production!N52</f>
        <v>104</v>
      </c>
      <c r="D40" s="161">
        <f>$B$11*Production!M52/1000</f>
        <v>0</v>
      </c>
      <c r="E40" s="161">
        <f>$B$8*Production!N52</f>
        <v>3.25</v>
      </c>
      <c r="F40" s="161">
        <f>$B$3*IF(Input!$B$11="Gas",Production!G52,Production!K52)</f>
        <v>19.60918555969301</v>
      </c>
      <c r="G40" s="161">
        <f t="shared" si="0"/>
        <v>152.29990407401908</v>
      </c>
      <c r="H40" s="157"/>
      <c r="I40" s="161">
        <f>IF(Production!S52=0,0,INDEX(Overrides!$O$48:$O$88,Production!S52+1,1)*Production!$T$21+INDEX(Overrides!$O$48:$O$88,Production!S52,1)*Production!$T$22)</f>
        <v>0</v>
      </c>
      <c r="J40" s="157"/>
      <c r="K40" s="161">
        <f>IF($B$12=1,I40,G40)*'Selected Economics'!I32*'Sensitivity Ranges'!$F$44</f>
        <v>255.80015483709607</v>
      </c>
      <c r="L40" s="201"/>
      <c r="M40" s="161">
        <f>K40*Abandonment!H37</f>
        <v>255.80015483709607</v>
      </c>
      <c r="N40" s="157"/>
      <c r="O40" s="157"/>
      <c r="P40" s="161">
        <f t="shared" si="1"/>
        <v>67.147540644737703</v>
      </c>
      <c r="Q40" s="157"/>
      <c r="R40" s="157"/>
      <c r="S40" s="237">
        <f>IF(G40&gt;0,M40*(1+$S$16)*(G40-D40)/G40+M40*(1+Development!$BL$88)*D40/G40,0)</f>
        <v>281.38017032080569</v>
      </c>
      <c r="T40" s="93"/>
      <c r="U40" s="93"/>
      <c r="V40" s="93"/>
      <c r="W40" s="93"/>
      <c r="X40" s="93"/>
      <c r="Y40" s="93"/>
      <c r="Z40" s="93"/>
      <c r="AA40" s="93"/>
      <c r="AB40" s="93"/>
      <c r="AC40" s="93"/>
      <c r="AD40" s="93"/>
      <c r="AE40" s="93"/>
      <c r="AF40" s="93"/>
    </row>
    <row r="41" spans="1:32" ht="15" x14ac:dyDescent="0.25">
      <c r="A41" s="141">
        <f t="shared" si="2"/>
        <v>2034</v>
      </c>
      <c r="B41" s="161">
        <f>Production!N53*B$6+B$7*Production!G53</f>
        <v>23.427692928957995</v>
      </c>
      <c r="C41" s="161">
        <f>($B$9*Development!$B$23+(Development!$B$15-Development!$B$23)*Operations!$B$10)*Production!N53</f>
        <v>104</v>
      </c>
      <c r="D41" s="161">
        <f>$B$11*Production!M53/1000</f>
        <v>0</v>
      </c>
      <c r="E41" s="161">
        <f>$B$8*Production!N53</f>
        <v>3.25</v>
      </c>
      <c r="F41" s="161">
        <f>$B$3*IF(Input!$B$11="Gas",Production!G53,Production!K53)</f>
        <v>16.667807725739074</v>
      </c>
      <c r="G41" s="161">
        <f t="shared" si="0"/>
        <v>147.34550065469705</v>
      </c>
      <c r="H41" s="157"/>
      <c r="I41" s="161">
        <f>IF(Production!S53=0,0,INDEX(Overrides!$O$48:$O$88,Production!S53+1,1)*Production!$T$21+INDEX(Overrides!$O$48:$O$88,Production!S53,1)*Production!$T$22)</f>
        <v>0</v>
      </c>
      <c r="J41" s="157"/>
      <c r="K41" s="161">
        <f>IF($B$12=1,I41,G41)*'Selected Economics'!I33*'Sensitivity Ranges'!$F$44</f>
        <v>253.66579948924561</v>
      </c>
      <c r="L41" s="201"/>
      <c r="M41" s="161">
        <f>K41*Abandonment!H38</f>
        <v>253.66579948924561</v>
      </c>
      <c r="N41" s="157"/>
      <c r="O41" s="157"/>
      <c r="P41" s="161">
        <f t="shared" si="1"/>
        <v>66.587272365926964</v>
      </c>
      <c r="Q41" s="157"/>
      <c r="R41" s="157"/>
      <c r="S41" s="237">
        <f>IF(G41&gt;0,M41*(1+$S$16)*(G41-D41)/G41+M41*(1+Development!$BL$88)*D41/G41,0)</f>
        <v>279.03237943817021</v>
      </c>
      <c r="T41" s="93"/>
      <c r="U41" s="93"/>
      <c r="V41" s="93"/>
      <c r="W41" s="93"/>
      <c r="X41" s="93"/>
      <c r="Y41" s="93"/>
      <c r="Z41" s="93"/>
      <c r="AA41" s="93"/>
      <c r="AB41" s="93"/>
      <c r="AC41" s="93"/>
      <c r="AD41" s="93"/>
      <c r="AE41" s="93"/>
      <c r="AF41" s="93"/>
    </row>
    <row r="42" spans="1:32" ht="15" x14ac:dyDescent="0.25">
      <c r="A42" s="141">
        <f t="shared" si="2"/>
        <v>2035</v>
      </c>
      <c r="B42" s="161">
        <f>Production!N54*B$6+B$7*Production!G54</f>
        <v>21.716621181395102</v>
      </c>
      <c r="C42" s="161">
        <f>($B$9*Development!$B$23+(Development!$B$15-Development!$B$23)*Operations!$B$10)*Production!N54</f>
        <v>104</v>
      </c>
      <c r="D42" s="161">
        <f>$B$11*Production!M54/1000</f>
        <v>0</v>
      </c>
      <c r="E42" s="161">
        <f>$B$8*Production!N54</f>
        <v>3.25</v>
      </c>
      <c r="F42" s="161">
        <f>$B$3*IF(Input!$B$11="Gas",Production!G54,Production!K54)</f>
        <v>14.167636566878194</v>
      </c>
      <c r="G42" s="161">
        <f t="shared" si="0"/>
        <v>143.13425774827331</v>
      </c>
      <c r="H42" s="157"/>
      <c r="I42" s="161">
        <f>IF(Production!S54=0,0,INDEX(Overrides!$O$48:$O$88,Production!S54+1,1)*Production!$T$21+INDEX(Overrides!$O$48:$O$88,Production!S54,1)*Production!$T$22)</f>
        <v>0</v>
      </c>
      <c r="J42" s="157"/>
      <c r="K42" s="161">
        <f>IF($B$12=1,I42,G42)*'Selected Economics'!I34*'Sensitivity Ranges'!$F$44</f>
        <v>252.57624025711652</v>
      </c>
      <c r="L42" s="201"/>
      <c r="M42" s="161">
        <f>K42*Abandonment!H39</f>
        <v>252.57624025711652</v>
      </c>
      <c r="N42" s="157"/>
      <c r="O42" s="157"/>
      <c r="P42" s="161">
        <f t="shared" si="1"/>
        <v>66.301263067493082</v>
      </c>
      <c r="Q42" s="157"/>
      <c r="R42" s="157"/>
      <c r="S42" s="237">
        <f>IF(G42&gt;0,M42*(1+$S$16)*(G42-D42)/G42+M42*(1+Development!$BL$88)*D42/G42,0)</f>
        <v>277.83386428282819</v>
      </c>
      <c r="T42" s="93"/>
      <c r="U42" s="93"/>
      <c r="V42" s="93"/>
      <c r="W42" s="93"/>
      <c r="X42" s="93"/>
      <c r="Y42" s="93"/>
      <c r="Z42" s="93"/>
      <c r="AA42" s="93"/>
      <c r="AB42" s="93"/>
      <c r="AC42" s="93"/>
      <c r="AD42" s="93"/>
      <c r="AE42" s="93"/>
      <c r="AF42" s="93"/>
    </row>
    <row r="43" spans="1:32" ht="15" x14ac:dyDescent="0.25">
      <c r="A43" s="141">
        <f t="shared" si="2"/>
        <v>2036</v>
      </c>
      <c r="B43" s="161">
        <f>Production!N55*B$6+B$7*Production!G55</f>
        <v>20.283000310660572</v>
      </c>
      <c r="C43" s="161">
        <f>($B$9*Development!$B$23+(Development!$B$15-Development!$B$23)*Operations!$B$10)*Production!N55</f>
        <v>104</v>
      </c>
      <c r="D43" s="161">
        <f>$B$11*Production!M55/1000</f>
        <v>0</v>
      </c>
      <c r="E43" s="161">
        <f>$B$8*Production!N55</f>
        <v>3.25</v>
      </c>
      <c r="F43" s="161">
        <f>$B$3*IF(Input!$B$11="Gas",Production!G55,Production!K55)</f>
        <v>12.03988304689463</v>
      </c>
      <c r="G43" s="161">
        <f t="shared" si="0"/>
        <v>139.57288335755521</v>
      </c>
      <c r="H43" s="157"/>
      <c r="I43" s="161">
        <f>IF(Production!S55=0,0,INDEX(Overrides!$O$48:$O$88,Production!S55+1,1)*Production!$T$21+INDEX(Overrides!$O$48:$O$88,Production!S55,1)*Production!$T$22)</f>
        <v>0</v>
      </c>
      <c r="J43" s="157"/>
      <c r="K43" s="161">
        <f>IF($B$12=1,I43,G43)*'Selected Economics'!I35*'Sensitivity Ranges'!$F$44</f>
        <v>252.44909598687371</v>
      </c>
      <c r="L43" s="201"/>
      <c r="M43" s="161">
        <f>K43*Abandonment!H40</f>
        <v>252.44909598687371</v>
      </c>
      <c r="N43" s="157"/>
      <c r="O43" s="157"/>
      <c r="P43" s="161">
        <f t="shared" si="1"/>
        <v>66.26788769655434</v>
      </c>
      <c r="Q43" s="157"/>
      <c r="R43" s="157"/>
      <c r="S43" s="237">
        <f>IF(G43&gt;0,M43*(1+$S$16)*(G43-D43)/G43+M43*(1+Development!$BL$88)*D43/G43,0)</f>
        <v>277.69400558556111</v>
      </c>
      <c r="T43" s="93"/>
      <c r="U43" s="93"/>
      <c r="V43" s="93"/>
      <c r="W43" s="93"/>
      <c r="X43" s="93"/>
      <c r="Y43" s="93"/>
      <c r="Z43" s="93"/>
      <c r="AA43" s="93"/>
      <c r="AB43" s="93"/>
      <c r="AC43" s="93"/>
      <c r="AD43" s="93"/>
      <c r="AE43" s="93"/>
      <c r="AF43" s="93"/>
    </row>
    <row r="44" spans="1:32" ht="15" x14ac:dyDescent="0.25">
      <c r="A44" s="141">
        <f t="shared" si="2"/>
        <v>2037</v>
      </c>
      <c r="B44" s="161">
        <f>Production!N56*B$6+B$7*Production!G56</f>
        <v>19.022842341148397</v>
      </c>
      <c r="C44" s="161">
        <f>($B$9*Development!$B$23+(Development!$B$15-Development!$B$23)*Operations!$B$10)*Production!N56</f>
        <v>104</v>
      </c>
      <c r="D44" s="161">
        <f>$B$11*Production!M56/1000</f>
        <v>0</v>
      </c>
      <c r="E44" s="161">
        <f>$B$8*Production!N56</f>
        <v>3.25</v>
      </c>
      <c r="F44" s="161">
        <f>$B$3*IF(Input!$B$11="Gas",Production!G56,Production!K56)</f>
        <v>10.231560727669709</v>
      </c>
      <c r="G44" s="161">
        <f t="shared" si="0"/>
        <v>136.50440306881811</v>
      </c>
      <c r="H44" s="157"/>
      <c r="I44" s="161">
        <f>IF(Production!S56=0,0,INDEX(Overrides!$O$48:$O$88,Production!S56+1,1)*Production!$T$21+INDEX(Overrides!$O$48:$O$88,Production!S56,1)*Production!$T$22)</f>
        <v>0</v>
      </c>
      <c r="J44" s="157"/>
      <c r="K44" s="161">
        <f>IF($B$12=1,I44,G44)*'Selected Economics'!I36*'Sensitivity Ranges'!$F$44</f>
        <v>253.07153246442351</v>
      </c>
      <c r="L44" s="201"/>
      <c r="M44" s="161">
        <f>K44*Abandonment!H41</f>
        <v>253.07153246442351</v>
      </c>
      <c r="N44" s="157"/>
      <c r="O44" s="157"/>
      <c r="P44" s="161">
        <f t="shared" si="1"/>
        <v>66.431277271911156</v>
      </c>
      <c r="Q44" s="157"/>
      <c r="R44" s="157"/>
      <c r="S44" s="237">
        <f>IF(G44&gt;0,M44*(1+$S$16)*(G44-D44)/G44+M44*(1+Development!$BL$88)*D44/G44,0)</f>
        <v>278.37868571086591</v>
      </c>
      <c r="T44" s="93"/>
      <c r="U44" s="93"/>
      <c r="V44" s="93"/>
      <c r="W44" s="93"/>
      <c r="X44" s="93"/>
      <c r="Y44" s="93"/>
      <c r="Z44" s="93"/>
      <c r="AA44" s="93"/>
      <c r="AB44" s="93"/>
      <c r="AC44" s="93"/>
      <c r="AD44" s="93"/>
      <c r="AE44" s="93"/>
      <c r="AF44" s="93"/>
    </row>
    <row r="45" spans="1:32" ht="15" x14ac:dyDescent="0.25">
      <c r="A45" s="141">
        <f t="shared" si="2"/>
        <v>2038</v>
      </c>
      <c r="B45" s="161">
        <f>Production!N57*B$6+B$7*Production!G57</f>
        <v>17.972498181756979</v>
      </c>
      <c r="C45" s="161">
        <f>($B$9*Development!$B$23+(Development!$B$15-Development!$B$23)*Operations!$B$10)*Production!N57</f>
        <v>104</v>
      </c>
      <c r="D45" s="161">
        <f>$B$11*Production!M57/1000</f>
        <v>0</v>
      </c>
      <c r="E45" s="161">
        <f>$B$8*Production!N57</f>
        <v>3.25</v>
      </c>
      <c r="F45" s="161">
        <f>$B$3*IF(Input!$B$11="Gas",Production!G57,Production!K57)</f>
        <v>8.6968266185192853</v>
      </c>
      <c r="G45" s="161">
        <f t="shared" si="0"/>
        <v>133.91932480027626</v>
      </c>
      <c r="H45" s="157"/>
      <c r="I45" s="161">
        <f>IF(Production!S57=0,0,INDEX(Overrides!$O$48:$O$88,Production!S57+1,1)*Production!$T$21+INDEX(Overrides!$O$48:$O$88,Production!S57,1)*Production!$T$22)</f>
        <v>0</v>
      </c>
      <c r="J45" s="157"/>
      <c r="K45" s="161">
        <f>IF($B$12=1,I45,G45)*'Selected Economics'!I37*'Sensitivity Ranges'!$F$44</f>
        <v>254.4859154113785</v>
      </c>
      <c r="L45" s="201"/>
      <c r="M45" s="161">
        <f>K45*Abandonment!H42</f>
        <v>254.4859154113785</v>
      </c>
      <c r="N45" s="157"/>
      <c r="O45" s="157"/>
      <c r="P45" s="161">
        <f t="shared" si="1"/>
        <v>66.802552795486847</v>
      </c>
      <c r="Q45" s="157"/>
      <c r="R45" s="157"/>
      <c r="S45" s="237">
        <f>IF(G45&gt;0,M45*(1+$S$16)*(G45-D45)/G45+M45*(1+Development!$BL$88)*D45/G45,0)</f>
        <v>279.93450695251636</v>
      </c>
      <c r="T45" s="93"/>
      <c r="U45" s="93"/>
      <c r="V45" s="93"/>
      <c r="W45" s="93"/>
      <c r="X45" s="93"/>
      <c r="Y45" s="93"/>
      <c r="Z45" s="93"/>
      <c r="AA45" s="93"/>
      <c r="AB45" s="93"/>
      <c r="AC45" s="93"/>
      <c r="AD45" s="93"/>
      <c r="AE45" s="93"/>
      <c r="AF45" s="93"/>
    </row>
    <row r="46" spans="1:32" ht="15" x14ac:dyDescent="0.25">
      <c r="A46" s="141">
        <f t="shared" si="2"/>
        <v>2039</v>
      </c>
      <c r="B46" s="161">
        <f>Production!N58*B$6+B$7*Production!G58</f>
        <v>17.079705646274252</v>
      </c>
      <c r="C46" s="161">
        <f>($B$9*Development!$B$23+(Development!$B$15-Development!$B$23)*Operations!$B$10)*Production!N58</f>
        <v>104</v>
      </c>
      <c r="D46" s="161">
        <f>$B$11*Production!M58/1000</f>
        <v>0</v>
      </c>
      <c r="E46" s="161">
        <f>$B$8*Production!N58</f>
        <v>3.25</v>
      </c>
      <c r="F46" s="161">
        <f>$B$3*IF(Input!$B$11="Gas",Production!G58,Production!K58)</f>
        <v>7.3923026257413902</v>
      </c>
      <c r="G46" s="161">
        <f t="shared" si="0"/>
        <v>131.72200827201564</v>
      </c>
      <c r="H46" s="157"/>
      <c r="I46" s="161">
        <f>IF(Production!S58=0,0,INDEX(Overrides!$O$48:$O$88,Production!S58+1,1)*Production!$T$21+INDEX(Overrides!$O$48:$O$88,Production!S58,1)*Production!$T$22)</f>
        <v>0</v>
      </c>
      <c r="J46" s="157"/>
      <c r="K46" s="161">
        <f>IF($B$12=1,I46,G46)*'Selected Economics'!I38*'Sensitivity Ranges'!$F$44</f>
        <v>256.56813012270663</v>
      </c>
      <c r="L46" s="201"/>
      <c r="M46" s="161">
        <f>K46*Abandonment!H43</f>
        <v>256.56813012270663</v>
      </c>
      <c r="N46" s="157"/>
      <c r="O46" s="157"/>
      <c r="P46" s="161">
        <f t="shared" si="1"/>
        <v>67.349134157210486</v>
      </c>
      <c r="Q46" s="157"/>
      <c r="R46" s="157"/>
      <c r="S46" s="237">
        <f>IF(G46&gt;0,M46*(1+$S$16)*(G46-D46)/G46+M46*(1+Development!$BL$88)*D46/G46,0)</f>
        <v>282.22494313497731</v>
      </c>
      <c r="T46" s="93"/>
      <c r="U46" s="93"/>
      <c r="V46" s="93"/>
      <c r="W46" s="93"/>
      <c r="X46" s="93"/>
      <c r="Y46" s="93"/>
      <c r="Z46" s="93"/>
      <c r="AA46" s="93"/>
      <c r="AB46" s="93"/>
      <c r="AC46" s="93"/>
      <c r="AD46" s="93"/>
      <c r="AE46" s="93"/>
      <c r="AF46" s="93"/>
    </row>
    <row r="47" spans="1:32" ht="15" x14ac:dyDescent="0.25">
      <c r="A47" s="141">
        <f t="shared" si="2"/>
        <v>2040</v>
      </c>
      <c r="B47" s="161">
        <f>Production!N59*B$6+B$7*Production!G59</f>
        <v>16.331679729811594</v>
      </c>
      <c r="C47" s="161">
        <f>($B$9*Development!$B$23+(Development!$B$15-Development!$B$23)*Operations!$B$10)*Production!N59</f>
        <v>104</v>
      </c>
      <c r="D47" s="161">
        <f>$B$11*Production!M59/1000</f>
        <v>0</v>
      </c>
      <c r="E47" s="161">
        <f>$B$8*Production!N59</f>
        <v>3.25</v>
      </c>
      <c r="F47" s="161">
        <f>$B$3*IF(Input!$B$11="Gas",Production!G59,Production!K59)</f>
        <v>6.2820964273781712</v>
      </c>
      <c r="G47" s="161">
        <f t="shared" si="0"/>
        <v>129.86377615718976</v>
      </c>
      <c r="H47" s="157"/>
      <c r="I47" s="161">
        <f>IF(Production!S59=0,0,INDEX(Overrides!$O$48:$O$88,Production!S59+1,1)*Production!$T$21+INDEX(Overrides!$O$48:$O$88,Production!S59,1)*Production!$T$22)</f>
        <v>0</v>
      </c>
      <c r="J47" s="157"/>
      <c r="K47" s="161">
        <f>IF($B$12=1,I47,G47)*'Selected Economics'!I39*'Sensitivity Ranges'!$F$44</f>
        <v>259.27238221482975</v>
      </c>
      <c r="L47" s="201"/>
      <c r="M47" s="161">
        <f>K47*Abandonment!H44</f>
        <v>259.27238221482975</v>
      </c>
      <c r="N47" s="157"/>
      <c r="O47" s="157"/>
      <c r="P47" s="161">
        <f t="shared" si="1"/>
        <v>68.059000331392795</v>
      </c>
      <c r="Q47" s="157"/>
      <c r="R47" s="157"/>
      <c r="S47" s="237">
        <f>IF(G47&gt;0,M47*(1+$S$16)*(G47-D47)/G47+M47*(1+Development!$BL$88)*D47/G47,0)</f>
        <v>285.19962043631273</v>
      </c>
      <c r="T47" s="93"/>
      <c r="U47" s="93"/>
      <c r="V47" s="93"/>
      <c r="W47" s="93"/>
      <c r="X47" s="93"/>
      <c r="Y47" s="93"/>
      <c r="Z47" s="93"/>
      <c r="AA47" s="93"/>
      <c r="AB47" s="93"/>
      <c r="AC47" s="93"/>
      <c r="AD47" s="93"/>
      <c r="AE47" s="93"/>
      <c r="AF47" s="93"/>
    </row>
    <row r="48" spans="1:32" x14ac:dyDescent="0.3">
      <c r="A48" s="141">
        <f t="shared" si="2"/>
        <v>2041</v>
      </c>
      <c r="B48" s="161">
        <f>Production!N60*B$6+B$7*Production!G60</f>
        <v>15.674162223423018</v>
      </c>
      <c r="C48" s="161">
        <f>($B$9*Development!$B$23+(Development!$B$15-Development!$B$23)*Operations!$B$10)*Production!N60</f>
        <v>104</v>
      </c>
      <c r="D48" s="161">
        <f>$B$11*Production!M60/1000</f>
        <v>0</v>
      </c>
      <c r="E48" s="161">
        <f>$B$8*Production!N60</f>
        <v>3.25</v>
      </c>
      <c r="F48" s="161">
        <f>$B$3*IF(Input!$B$11="Gas",Production!G60,Production!K60)</f>
        <v>5.3385610843101485</v>
      </c>
      <c r="G48" s="161">
        <f t="shared" si="0"/>
        <v>128.26272330773318</v>
      </c>
      <c r="H48" s="157"/>
      <c r="I48" s="161">
        <f>IF(Production!S60=0,0,INDEX(Overrides!$O$48:$O$88,Production!S60+1,1)*Production!$T$21+INDEX(Overrides!$O$48:$O$88,Production!S60,1)*Production!$T$22)</f>
        <v>0</v>
      </c>
      <c r="J48" s="157"/>
      <c r="K48" s="161">
        <f>IF($B$12=1,I48,G48)*'Selected Economics'!I40*'Sensitivity Ranges'!$F$44</f>
        <v>262.47778538052569</v>
      </c>
      <c r="L48" s="201"/>
      <c r="M48" s="161">
        <f>K48*Abandonment!H45</f>
        <v>262.47778538052569</v>
      </c>
      <c r="N48" s="157"/>
      <c r="O48" s="157"/>
      <c r="P48" s="161">
        <f t="shared" si="1"/>
        <v>68.900418662387978</v>
      </c>
      <c r="Q48" s="157"/>
      <c r="R48" s="157"/>
      <c r="S48" s="237">
        <f>IF(G48&gt;0,M48*(1+$S$16)*(G48-D48)/G48+M48*(1+Development!$BL$88)*D48/G48,0)</f>
        <v>288.7255639185783</v>
      </c>
      <c r="T48" s="93"/>
      <c r="U48" s="93"/>
      <c r="V48" s="93"/>
      <c r="W48" s="93"/>
      <c r="X48" s="93"/>
      <c r="Y48" s="93"/>
      <c r="Z48" s="93"/>
      <c r="AA48" s="93"/>
      <c r="AB48" s="93"/>
      <c r="AC48" s="93"/>
      <c r="AD48" s="93"/>
      <c r="AE48" s="93"/>
      <c r="AF48" s="93"/>
    </row>
    <row r="49" spans="1:32" x14ac:dyDescent="0.3">
      <c r="A49" s="141">
        <f t="shared" si="2"/>
        <v>2042</v>
      </c>
      <c r="B49" s="161">
        <f>Production!N61*B$6+B$7*Production!G61</f>
        <v>15.126120081690377</v>
      </c>
      <c r="C49" s="161">
        <f>($B$9*Development!$B$23+(Development!$B$15-Development!$B$23)*Operations!$B$10)*Production!N61</f>
        <v>104</v>
      </c>
      <c r="D49" s="161">
        <f>$B$11*Production!M61/1000</f>
        <v>0</v>
      </c>
      <c r="E49" s="161">
        <f>$B$8*Production!N61</f>
        <v>3.25</v>
      </c>
      <c r="F49" s="161">
        <f>$B$3*IF(Input!$B$11="Gas",Production!G61,Production!K61)</f>
        <v>4.5377769216636112</v>
      </c>
      <c r="G49" s="161">
        <f t="shared" si="0"/>
        <v>126.91389700335398</v>
      </c>
      <c r="H49" s="157"/>
      <c r="I49" s="161">
        <f>IF(Production!S61=0,0,INDEX(Overrides!$O$48:$O$88,Production!S61+1,1)*Production!$T$21+INDEX(Overrides!$O$48:$O$88,Production!S61,1)*Production!$T$22)</f>
        <v>0</v>
      </c>
      <c r="J49" s="157"/>
      <c r="K49" s="161">
        <f>IF($B$12=1,I49,G49)*'Selected Economics'!I41*'Sensitivity Ranges'!$F$44</f>
        <v>266.21047568916032</v>
      </c>
      <c r="L49" s="201"/>
      <c r="M49" s="161">
        <f>K49*Abandonment!H46</f>
        <v>266.21047568916032</v>
      </c>
      <c r="N49" s="157"/>
      <c r="O49" s="157"/>
      <c r="P49" s="161">
        <f t="shared" si="1"/>
        <v>69.880249868404576</v>
      </c>
      <c r="Q49" s="157"/>
      <c r="R49" s="157"/>
      <c r="S49" s="237">
        <f>IF(G49&gt;0,M49*(1+$S$16)*(G49-D49)/G49+M49*(1+Development!$BL$88)*D49/G49,0)</f>
        <v>292.8315232580764</v>
      </c>
      <c r="T49" s="93"/>
      <c r="U49" s="93"/>
      <c r="V49" s="93"/>
      <c r="W49" s="93"/>
      <c r="X49" s="93"/>
      <c r="Y49" s="93"/>
      <c r="Z49" s="93"/>
      <c r="AA49" s="93"/>
      <c r="AB49" s="93"/>
      <c r="AC49" s="93"/>
      <c r="AD49" s="93"/>
      <c r="AE49" s="93"/>
      <c r="AF49" s="93"/>
    </row>
    <row r="50" spans="1:32" x14ac:dyDescent="0.3">
      <c r="A50" s="141">
        <f t="shared" si="2"/>
        <v>2043</v>
      </c>
      <c r="B50" s="161">
        <f>Production!N62*B$6+B$7*Production!G62</f>
        <v>14.660284261217647</v>
      </c>
      <c r="C50" s="161">
        <f>($B$9*Development!$B$23+(Development!$B$15-Development!$B$23)*Operations!$B$10)*Production!N62</f>
        <v>104</v>
      </c>
      <c r="D50" s="161">
        <f>$B$11*Production!M62/1000</f>
        <v>0</v>
      </c>
      <c r="E50" s="161">
        <f>$B$8*Production!N62</f>
        <v>3.25</v>
      </c>
      <c r="F50" s="161">
        <f>$B$3*IF(Input!$B$11="Gas",Production!G62,Production!K62)</f>
        <v>3.8571103834140779</v>
      </c>
      <c r="G50" s="161">
        <f t="shared" si="0"/>
        <v>125.76739464463172</v>
      </c>
      <c r="H50" s="157"/>
      <c r="I50" s="161">
        <f>IF(Production!S62=0,0,INDEX(Overrides!$O$48:$O$88,Production!S62+1,1)*Production!$T$21+INDEX(Overrides!$O$48:$O$88,Production!S62,1)*Production!$T$22)</f>
        <v>0</v>
      </c>
      <c r="J50" s="157"/>
      <c r="K50" s="161">
        <f>IF($B$12=1,I50,G50)*'Selected Economics'!I42*'Sensitivity Ranges'!$F$44</f>
        <v>270.40074974996776</v>
      </c>
      <c r="L50" s="201"/>
      <c r="M50" s="161">
        <f>K50*Abandonment!H47</f>
        <v>0</v>
      </c>
      <c r="N50" s="157"/>
      <c r="O50" s="157"/>
      <c r="P50" s="161">
        <f t="shared" si="1"/>
        <v>0</v>
      </c>
      <c r="Q50" s="157"/>
      <c r="R50" s="157"/>
      <c r="S50" s="237">
        <f>IF(G50&gt;0,M50*(1+$S$16)*(G50-D50)/G50+M50*(1+Development!$BL$88)*D50/G50,0)</f>
        <v>0</v>
      </c>
      <c r="T50" s="93"/>
      <c r="U50" s="93"/>
      <c r="V50" s="93"/>
      <c r="W50" s="93"/>
      <c r="X50" s="93"/>
      <c r="Y50" s="93"/>
      <c r="Z50" s="93"/>
      <c r="AA50" s="93"/>
      <c r="AB50" s="93"/>
      <c r="AC50" s="93"/>
      <c r="AD50" s="93"/>
      <c r="AE50" s="93"/>
      <c r="AF50" s="93"/>
    </row>
    <row r="51" spans="1:32" x14ac:dyDescent="0.3">
      <c r="A51" s="141">
        <f t="shared" si="2"/>
        <v>2044</v>
      </c>
      <c r="B51" s="161">
        <f>Production!N63*B$6+B$7*Production!G63</f>
        <v>14.269983880466993</v>
      </c>
      <c r="C51" s="161">
        <f>($B$9*Development!$B$23+(Development!$B$15-Development!$B$23)*Operations!$B$10)*Production!N63</f>
        <v>104</v>
      </c>
      <c r="D51" s="161">
        <f>$B$11*Production!M63/1000</f>
        <v>0</v>
      </c>
      <c r="E51" s="161">
        <f>$B$8*Production!N63</f>
        <v>3.25</v>
      </c>
      <c r="F51" s="161">
        <f>$B$3*IF(Input!$B$11="Gas",Production!G63,Production!K63)</f>
        <v>3.277833793664354</v>
      </c>
      <c r="G51" s="161">
        <f t="shared" si="0"/>
        <v>124.79781767413135</v>
      </c>
      <c r="H51" s="157"/>
      <c r="I51" s="161">
        <f>IF(Production!S63=0,0,INDEX(Overrides!$O$48:$O$88,Production!S63+1,1)*Production!$T$21+INDEX(Overrides!$O$48:$O$88,Production!S63,1)*Production!$T$22)</f>
        <v>0</v>
      </c>
      <c r="J51" s="157"/>
      <c r="K51" s="161">
        <f>IF($B$12=1,I51,G51)*'Selected Economics'!I43*'Sensitivity Ranges'!$F$44</f>
        <v>275.024056518272</v>
      </c>
      <c r="L51" s="201"/>
      <c r="M51" s="161">
        <f>K51*Abandonment!H48</f>
        <v>0</v>
      </c>
      <c r="N51" s="157"/>
      <c r="O51" s="157"/>
      <c r="P51" s="161">
        <f t="shared" si="1"/>
        <v>0</v>
      </c>
      <c r="Q51" s="157"/>
      <c r="R51" s="157"/>
      <c r="S51" s="237">
        <f>IF(G51&gt;0,M51*(1+$S$16)*(G51-D51)/G51+M51*(1+Development!$BL$88)*D51/G51,0)</f>
        <v>0</v>
      </c>
      <c r="T51" s="93"/>
      <c r="U51" s="93"/>
      <c r="V51" s="93"/>
      <c r="W51" s="93"/>
      <c r="X51" s="93"/>
      <c r="Y51" s="93"/>
      <c r="Z51" s="93"/>
      <c r="AA51" s="93"/>
      <c r="AB51" s="93"/>
      <c r="AC51" s="93"/>
      <c r="AD51" s="93"/>
      <c r="AE51" s="93"/>
      <c r="AF51" s="93"/>
    </row>
    <row r="52" spans="1:32" x14ac:dyDescent="0.3">
      <c r="A52" s="141">
        <f t="shared" si="2"/>
        <v>2045</v>
      </c>
      <c r="B52" s="161">
        <f>Production!N64*B$6+B$7*Production!G64</f>
        <v>8.7169090549208406</v>
      </c>
      <c r="C52" s="161">
        <f>($B$9*Development!$B$23+(Development!$B$15-Development!$B$23)*Operations!$B$10)*Production!N64</f>
        <v>64.824369832917995</v>
      </c>
      <c r="D52" s="161">
        <f>$B$11*Production!M64/1000</f>
        <v>0</v>
      </c>
      <c r="E52" s="161">
        <f>$B$8*Production!N64</f>
        <v>2.0257615572786873</v>
      </c>
      <c r="F52" s="161">
        <f>$B$3*IF(Input!$B$11="Gas",Production!G64,Production!K64)</f>
        <v>2.8701720220496032</v>
      </c>
      <c r="G52" s="161">
        <f t="shared" si="0"/>
        <v>78.437212467167129</v>
      </c>
      <c r="H52" s="157"/>
      <c r="I52" s="161">
        <f>IF(Production!S64=0,0,INDEX(Overrides!$O$48:$O$88,Production!S64+1,1)*Production!$T$21+INDEX(Overrides!$O$48:$O$88,Production!S64,1)*Production!$T$22)</f>
        <v>0</v>
      </c>
      <c r="J52" s="157"/>
      <c r="K52" s="161">
        <f>IF($B$12=1,I52,G52)*'Selected Economics'!I44*'Sensitivity Ranges'!$F$44</f>
        <v>177.17796493293073</v>
      </c>
      <c r="L52" s="201"/>
      <c r="M52" s="161">
        <f>K52*Abandonment!H49</f>
        <v>0</v>
      </c>
      <c r="N52" s="157"/>
      <c r="O52" s="157"/>
      <c r="P52" s="161">
        <f t="shared" si="1"/>
        <v>0</v>
      </c>
      <c r="Q52" s="157"/>
      <c r="R52" s="157"/>
      <c r="S52" s="237">
        <f>IF(G52&gt;0,M52*(1+$S$16)*(G52-D52)/G52+M52*(1+Development!$BL$88)*D52/G52,0)</f>
        <v>0</v>
      </c>
      <c r="T52" s="93"/>
      <c r="U52" s="93"/>
      <c r="V52" s="93"/>
      <c r="W52" s="93"/>
      <c r="X52" s="93"/>
      <c r="Y52" s="93"/>
      <c r="Z52" s="93"/>
      <c r="AA52" s="93"/>
      <c r="AB52" s="93"/>
      <c r="AC52" s="93"/>
      <c r="AD52" s="93"/>
      <c r="AE52" s="93"/>
      <c r="AF52" s="93"/>
    </row>
    <row r="53" spans="1:32" x14ac:dyDescent="0.3">
      <c r="A53" s="141">
        <f t="shared" si="2"/>
        <v>2046</v>
      </c>
      <c r="B53" s="161">
        <f>Production!N65*B$6+B$7*Production!G65</f>
        <v>0</v>
      </c>
      <c r="C53" s="161">
        <f>($B$9*Development!$B$23+(Development!$B$15-Development!$B$23)*Operations!$B$10)*Production!N65</f>
        <v>0</v>
      </c>
      <c r="D53" s="161">
        <f>$B$11*Production!M65/1000</f>
        <v>0</v>
      </c>
      <c r="E53" s="161">
        <f>$B$8*Production!N65</f>
        <v>0</v>
      </c>
      <c r="F53" s="161">
        <f>$B$3*IF(Input!$B$11="Gas",Production!G65,Production!K65)</f>
        <v>0</v>
      </c>
      <c r="G53" s="161">
        <f t="shared" si="0"/>
        <v>0</v>
      </c>
      <c r="H53" s="157"/>
      <c r="I53" s="161">
        <f>IF(Production!S65=0,0,INDEX(Overrides!$O$48:$O$88,Production!S65+1,1)*Production!$T$21+INDEX(Overrides!$O$48:$O$88,Production!S65,1)*Production!$T$22)</f>
        <v>0</v>
      </c>
      <c r="J53" s="157"/>
      <c r="K53" s="161">
        <f>IF($B$12=1,I53,G53)*'Selected Economics'!I45*'Sensitivity Ranges'!$F$44</f>
        <v>0</v>
      </c>
      <c r="L53" s="201"/>
      <c r="M53" s="161">
        <f>K53*Abandonment!H50</f>
        <v>0</v>
      </c>
      <c r="N53" s="157"/>
      <c r="O53" s="157"/>
      <c r="P53" s="161">
        <f t="shared" si="1"/>
        <v>0</v>
      </c>
      <c r="Q53" s="157"/>
      <c r="R53" s="157"/>
      <c r="S53" s="237">
        <f>IF(G53&gt;0,M53*(1+$S$16)*(G53-D53)/G53+M53*(1+Development!$BL$88)*D53/G53,0)</f>
        <v>0</v>
      </c>
      <c r="T53" s="93"/>
      <c r="U53" s="93"/>
      <c r="V53" s="93"/>
      <c r="W53" s="93"/>
      <c r="X53" s="93"/>
      <c r="Y53" s="93"/>
      <c r="Z53" s="93"/>
      <c r="AA53" s="93"/>
      <c r="AB53" s="93"/>
      <c r="AC53" s="93"/>
      <c r="AD53" s="93"/>
      <c r="AE53" s="93"/>
      <c r="AF53" s="93"/>
    </row>
    <row r="54" spans="1:32" x14ac:dyDescent="0.3">
      <c r="A54" s="141">
        <f t="shared" si="2"/>
        <v>2047</v>
      </c>
      <c r="B54" s="161">
        <f>Production!N66*B$6+B$7*Production!G66</f>
        <v>0</v>
      </c>
      <c r="C54" s="161">
        <f>($B$9*Development!$B$23+(Development!$B$15-Development!$B$23)*Operations!$B$10)*Production!N66</f>
        <v>0</v>
      </c>
      <c r="D54" s="161">
        <f>$B$11*Production!M66/1000</f>
        <v>0</v>
      </c>
      <c r="E54" s="161">
        <f>$B$8*Production!N66</f>
        <v>0</v>
      </c>
      <c r="F54" s="161">
        <f>$B$3*IF(Input!$B$11="Gas",Production!G66,Production!K66)</f>
        <v>0</v>
      </c>
      <c r="G54" s="161">
        <f t="shared" si="0"/>
        <v>0</v>
      </c>
      <c r="H54" s="157"/>
      <c r="I54" s="161">
        <f>IF(Production!S66=0,0,INDEX(Overrides!$O$48:$O$88,Production!S66+1,1)*Production!$T$21+INDEX(Overrides!$O$48:$O$88,Production!S66,1)*Production!$T$22)</f>
        <v>0</v>
      </c>
      <c r="J54" s="157"/>
      <c r="K54" s="161">
        <f>IF($B$12=1,I54,G54)*'Selected Economics'!I46*'Sensitivity Ranges'!$F$44</f>
        <v>0</v>
      </c>
      <c r="L54" s="201"/>
      <c r="M54" s="161">
        <f>K54*Abandonment!H51</f>
        <v>0</v>
      </c>
      <c r="N54" s="157"/>
      <c r="O54" s="157"/>
      <c r="P54" s="161">
        <f t="shared" si="1"/>
        <v>0</v>
      </c>
      <c r="Q54" s="157"/>
      <c r="R54" s="157"/>
      <c r="S54" s="237">
        <f>IF(G54&gt;0,M54*(1+$S$16)*(G54-D54)/G54+M54*(1+Development!$BL$88)*D54/G54,0)</f>
        <v>0</v>
      </c>
      <c r="T54" s="93"/>
      <c r="U54" s="93"/>
      <c r="V54" s="93"/>
      <c r="W54" s="93"/>
      <c r="X54" s="93"/>
      <c r="Y54" s="93"/>
      <c r="Z54" s="93"/>
      <c r="AA54" s="93"/>
      <c r="AB54" s="93"/>
      <c r="AC54" s="93"/>
      <c r="AD54" s="93"/>
      <c r="AE54" s="93"/>
      <c r="AF54" s="93"/>
    </row>
    <row r="55" spans="1:32" x14ac:dyDescent="0.3">
      <c r="A55" s="141">
        <f t="shared" si="2"/>
        <v>2048</v>
      </c>
      <c r="B55" s="161">
        <f>Production!N67*B$6+B$7*Production!G67</f>
        <v>0</v>
      </c>
      <c r="C55" s="161">
        <f>($B$9*Development!$B$23+(Development!$B$15-Development!$B$23)*Operations!$B$10)*Production!N67</f>
        <v>0</v>
      </c>
      <c r="D55" s="161">
        <f>$B$11*Production!M67/1000</f>
        <v>0</v>
      </c>
      <c r="E55" s="161">
        <f>$B$8*Production!N67</f>
        <v>0</v>
      </c>
      <c r="F55" s="161">
        <f>$B$3*IF(Input!$B$11="Gas",Production!G67,Production!K67)</f>
        <v>0</v>
      </c>
      <c r="G55" s="161">
        <f t="shared" si="0"/>
        <v>0</v>
      </c>
      <c r="H55" s="157"/>
      <c r="I55" s="161">
        <f>IF(Production!S67=0,0,INDEX(Overrides!$O$48:$O$88,Production!S67+1,1)*Production!$T$21+INDEX(Overrides!$O$48:$O$88,Production!S67,1)*Production!$T$22)</f>
        <v>0</v>
      </c>
      <c r="J55" s="157"/>
      <c r="K55" s="161">
        <f>IF($B$12=1,I55,G55)*'Selected Economics'!I47*'Sensitivity Ranges'!$F$44</f>
        <v>0</v>
      </c>
      <c r="L55" s="201"/>
      <c r="M55" s="161">
        <f>K55*Abandonment!H52</f>
        <v>0</v>
      </c>
      <c r="N55" s="157"/>
      <c r="O55" s="157"/>
      <c r="P55" s="161">
        <f t="shared" si="1"/>
        <v>0</v>
      </c>
      <c r="Q55" s="157"/>
      <c r="R55" s="157"/>
      <c r="S55" s="237">
        <f>IF(G55&gt;0,M55*(1+$S$16)*(G55-D55)/G55+M55*(1+Development!$BL$88)*D55/G55,0)</f>
        <v>0</v>
      </c>
      <c r="T55" s="93"/>
      <c r="U55" s="93"/>
      <c r="V55" s="93"/>
      <c r="W55" s="93"/>
      <c r="X55" s="93"/>
      <c r="Y55" s="93"/>
      <c r="Z55" s="93"/>
      <c r="AA55" s="93"/>
      <c r="AB55" s="93"/>
      <c r="AC55" s="93"/>
      <c r="AD55" s="93"/>
      <c r="AE55" s="93"/>
      <c r="AF55" s="93"/>
    </row>
    <row r="56" spans="1:32" x14ac:dyDescent="0.3">
      <c r="A56" s="141">
        <f t="shared" si="2"/>
        <v>2049</v>
      </c>
      <c r="B56" s="161">
        <f>Production!N68*B$6+B$7*Production!G68</f>
        <v>0</v>
      </c>
      <c r="C56" s="161">
        <f>($B$9*Development!$B$23+(Development!$B$15-Development!$B$23)*Operations!$B$10)*Production!N68</f>
        <v>0</v>
      </c>
      <c r="D56" s="161">
        <f>$B$11*Production!M68/1000</f>
        <v>0</v>
      </c>
      <c r="E56" s="161">
        <f>$B$8*Production!N68</f>
        <v>0</v>
      </c>
      <c r="F56" s="161">
        <f>$B$3*IF(Input!$B$11="Gas",Production!G68,Production!K68)</f>
        <v>0</v>
      </c>
      <c r="G56" s="161">
        <f t="shared" si="0"/>
        <v>0</v>
      </c>
      <c r="H56" s="157"/>
      <c r="I56" s="161">
        <f>IF(Production!S68=0,0,INDEX(Overrides!$O$48:$O$88,Production!S68+1,1)*Production!$T$21+INDEX(Overrides!$O$48:$O$88,Production!S68,1)*Production!$T$22)</f>
        <v>0</v>
      </c>
      <c r="J56" s="157"/>
      <c r="K56" s="161">
        <f>IF($B$12=1,I56,G56)*'Selected Economics'!I48*'Sensitivity Ranges'!$F$44</f>
        <v>0</v>
      </c>
      <c r="L56" s="201"/>
      <c r="M56" s="161">
        <f>K56*Abandonment!H53</f>
        <v>0</v>
      </c>
      <c r="N56" s="157"/>
      <c r="O56" s="157"/>
      <c r="P56" s="161">
        <f t="shared" si="1"/>
        <v>0</v>
      </c>
      <c r="Q56" s="157"/>
      <c r="R56" s="157"/>
      <c r="S56" s="237">
        <f>IF(G56&gt;0,M56*(1+$S$16)*(G56-D56)/G56+M56*(1+Development!$BL$88)*D56/G56,0)</f>
        <v>0</v>
      </c>
      <c r="T56" s="93"/>
      <c r="U56" s="93"/>
      <c r="V56" s="93"/>
      <c r="W56" s="93"/>
      <c r="X56" s="93"/>
      <c r="Y56" s="93"/>
      <c r="Z56" s="93"/>
      <c r="AA56" s="93"/>
      <c r="AB56" s="93"/>
      <c r="AC56" s="93"/>
      <c r="AD56" s="93"/>
      <c r="AE56" s="93"/>
      <c r="AF56" s="93"/>
    </row>
    <row r="57" spans="1:32" x14ac:dyDescent="0.3">
      <c r="A57" s="141">
        <f t="shared" si="2"/>
        <v>2050</v>
      </c>
      <c r="B57" s="161">
        <f>Production!N69*B$6+B$7*Production!G69</f>
        <v>0</v>
      </c>
      <c r="C57" s="161">
        <f>($B$9*Development!$B$23+(Development!$B$15-Development!$B$23)*Operations!$B$10)*Production!N69</f>
        <v>0</v>
      </c>
      <c r="D57" s="161">
        <f>$B$11*Production!M69/1000</f>
        <v>0</v>
      </c>
      <c r="E57" s="161">
        <f>$B$8*Production!N69</f>
        <v>0</v>
      </c>
      <c r="F57" s="161">
        <f>$B$3*IF(Input!$B$11="Gas",Production!G69,Production!K69)</f>
        <v>0</v>
      </c>
      <c r="G57" s="161">
        <f t="shared" si="0"/>
        <v>0</v>
      </c>
      <c r="H57" s="157"/>
      <c r="I57" s="161">
        <f>IF(Production!S69=0,0,INDEX(Overrides!$O$48:$O$88,Production!S69+1,1)*Production!$T$21+INDEX(Overrides!$O$48:$O$88,Production!S69,1)*Production!$T$22)</f>
        <v>0</v>
      </c>
      <c r="J57" s="157"/>
      <c r="K57" s="161">
        <f>IF($B$12=1,I57,G57)*'Selected Economics'!I49*'Sensitivity Ranges'!$F$44</f>
        <v>0</v>
      </c>
      <c r="L57" s="201"/>
      <c r="M57" s="161">
        <f>K57*Abandonment!H54</f>
        <v>0</v>
      </c>
      <c r="N57" s="157"/>
      <c r="O57" s="157"/>
      <c r="P57" s="161">
        <f t="shared" si="1"/>
        <v>0</v>
      </c>
      <c r="Q57" s="157"/>
      <c r="R57" s="157"/>
      <c r="S57" s="237">
        <f>IF(G57&gt;0,M57*(1+$S$16)*(G57-D57)/G57+M57*(1+Development!$BL$88)*D57/G57,0)</f>
        <v>0</v>
      </c>
      <c r="T57" s="93"/>
      <c r="U57" s="93"/>
      <c r="V57" s="93"/>
      <c r="W57" s="93"/>
      <c r="X57" s="93"/>
      <c r="Y57" s="93"/>
      <c r="Z57" s="93"/>
      <c r="AA57" s="93"/>
      <c r="AB57" s="93"/>
      <c r="AC57" s="93"/>
      <c r="AD57" s="93"/>
      <c r="AE57" s="93"/>
      <c r="AF57" s="93"/>
    </row>
    <row r="58" spans="1:32" x14ac:dyDescent="0.3">
      <c r="A58" s="149">
        <f t="shared" si="2"/>
        <v>2051</v>
      </c>
      <c r="B58" s="163">
        <f>Production!N70*B$6+B$7*Production!G70</f>
        <v>0</v>
      </c>
      <c r="C58" s="163">
        <f>($B$9*Development!$B$23+(Development!$B$15-Development!$B$23)*Operations!$B$10)*Production!N70</f>
        <v>0</v>
      </c>
      <c r="D58" s="163">
        <f>$B$11*Production!M70/1000</f>
        <v>0</v>
      </c>
      <c r="E58" s="163">
        <f>$B$8*Production!N70</f>
        <v>0</v>
      </c>
      <c r="F58" s="163">
        <f>$B$3*IF(Input!$B$11="Gas",Production!G70,Production!K70)</f>
        <v>0</v>
      </c>
      <c r="G58" s="163">
        <f t="shared" si="0"/>
        <v>0</v>
      </c>
      <c r="H58" s="157"/>
      <c r="I58" s="163">
        <f>IF(Production!S70=0,0,INDEX(Overrides!$O$48:$O$88,Production!S70+1,1)*Production!$T$21+INDEX(Overrides!$O$48:$O$88,Production!S70,1)*Production!$T$22)</f>
        <v>0</v>
      </c>
      <c r="J58" s="157"/>
      <c r="K58" s="161">
        <f>IF($B$12=1,I58,G58)*'Selected Economics'!I50*'Sensitivity Ranges'!$F$44</f>
        <v>0</v>
      </c>
      <c r="L58" s="201"/>
      <c r="M58" s="163">
        <f>K58*Abandonment!H55</f>
        <v>0</v>
      </c>
      <c r="N58" s="157"/>
      <c r="O58" s="157"/>
      <c r="P58" s="163">
        <f t="shared" si="1"/>
        <v>0</v>
      </c>
      <c r="Q58" s="157"/>
      <c r="R58" s="157"/>
      <c r="S58" s="238">
        <f>IF(G58&gt;0,M58*(1+$S$16)*(G58-D58)/G58+M58*(1+Development!$BL$88)*D58/G58,0)</f>
        <v>0</v>
      </c>
      <c r="T58" s="93"/>
      <c r="U58" s="93"/>
      <c r="V58" s="93"/>
      <c r="W58" s="93"/>
      <c r="X58" s="93"/>
      <c r="Y58" s="93"/>
      <c r="Z58" s="93"/>
      <c r="AA58" s="93"/>
      <c r="AB58" s="93"/>
      <c r="AC58" s="93"/>
      <c r="AD58" s="93"/>
      <c r="AE58" s="93"/>
      <c r="AF58" s="93"/>
    </row>
    <row r="59" spans="1:32"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row>
    <row r="60" spans="1:32"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row>
    <row r="61" spans="1:32"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row>
    <row r="62" spans="1:32"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row>
    <row r="63" spans="1:32"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row>
    <row r="64" spans="1:32"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row>
    <row r="65" spans="1:32"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row>
    <row r="66" spans="1:32"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row>
    <row r="67" spans="1:32"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row>
    <row r="68" spans="1:32"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row>
    <row r="69" spans="1:32"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row>
    <row r="70" spans="1:32"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row>
    <row r="71" spans="1:32"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row>
    <row r="72" spans="1:32"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row>
    <row r="73" spans="1:32"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row>
    <row r="74" spans="1:32"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row>
    <row r="75" spans="1:32"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row>
    <row r="76" spans="1:32"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row>
    <row r="77" spans="1:32"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row>
    <row r="78" spans="1:32"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row>
    <row r="79" spans="1:32"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row>
    <row r="80" spans="1:32"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row>
    <row r="81" spans="1:32"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row>
    <row r="82" spans="1:32"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row>
    <row r="83" spans="1:32"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row>
    <row r="84" spans="1:32"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row>
    <row r="85" spans="1:32"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row>
    <row r="86" spans="1:32"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row>
    <row r="87" spans="1:32"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row>
    <row r="88" spans="1:32"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row>
    <row r="89" spans="1:32"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row>
    <row r="90" spans="1:32"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row>
    <row r="92" spans="1:32"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row>
    <row r="93" spans="1:32"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row>
    <row r="94" spans="1:32"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row>
    <row r="95" spans="1:32"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row>
    <row r="96" spans="1:32"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row>
    <row r="97" spans="1:32"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row>
    <row r="98" spans="1:32"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row>
    <row r="99" spans="1:32"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row>
    <row r="100" spans="1:32"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row>
  </sheetData>
  <sheetProtection password="8BC3" sheet="1" objects="1" scenarios="1"/>
  <hyperlinks>
    <hyperlink ref="F1" location="Guide" display="Guide"/>
    <hyperlink ref="F2" location="Input" display="Input"/>
  </hyperlinks>
  <pageMargins left="0.7" right="0.7" top="0.75" bottom="0.75" header="0.3" footer="0.3"/>
  <pageSetup paperSize="9" scale="37" orientation="portrait" r:id="rId1"/>
  <headerFooter>
    <oddFooter>&amp;LNova Scotia Exploration Economics Model&amp;Rwww.indeva.com</oddFooter>
  </headerFooter>
  <colBreaks count="1" manualBreakCount="1">
    <brk id="2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79998168889431442"/>
  </sheetPr>
  <dimension ref="A1:Z55"/>
  <sheetViews>
    <sheetView showGridLines="0" showZeros="0" zoomScale="75" zoomScaleNormal="75" workbookViewId="0">
      <pane xSplit="1" ySplit="15" topLeftCell="B16" activePane="bottomRight" state="frozen"/>
      <selection activeCell="D43" sqref="D43"/>
      <selection pane="topRight" activeCell="D43" sqref="D43"/>
      <selection pane="bottomLeft" activeCell="D43" sqref="D43"/>
      <selection pane="bottomRight" activeCell="B16" sqref="B16"/>
    </sheetView>
  </sheetViews>
  <sheetFormatPr defaultRowHeight="14.4" x14ac:dyDescent="0.3"/>
  <cols>
    <col min="1" max="1" width="13.6640625" customWidth="1"/>
    <col min="2" max="2" width="11.88671875" customWidth="1"/>
    <col min="3" max="3" width="11" customWidth="1"/>
    <col min="4" max="4" width="12.6640625" customWidth="1"/>
    <col min="5" max="6" width="11.109375" customWidth="1"/>
    <col min="10" max="10" width="10.88671875" customWidth="1"/>
    <col min="11" max="11" width="13.33203125" customWidth="1"/>
    <col min="12" max="12" width="12.6640625" bestFit="1" customWidth="1"/>
  </cols>
  <sheetData>
    <row r="1" spans="1:26" ht="18.75" x14ac:dyDescent="0.3">
      <c r="A1" s="143" t="str">
        <f>Input!B8</f>
        <v>Prospect X</v>
      </c>
      <c r="B1" s="143"/>
      <c r="C1" s="143" t="s">
        <v>378</v>
      </c>
      <c r="D1" s="93"/>
      <c r="E1" s="93"/>
      <c r="F1" s="93"/>
      <c r="G1" s="93"/>
      <c r="H1" s="144" t="s">
        <v>769</v>
      </c>
      <c r="I1" s="93"/>
      <c r="J1" s="93"/>
      <c r="K1" s="135" t="s">
        <v>170</v>
      </c>
      <c r="L1" s="152">
        <f>IF(Input!B14=Subsea,0,IF(Input!B14=Fixed_Platform,'Cost Assumptions'!O103+'Cost Assumptions'!O104*Input!B13,IF(Input!B14=Jack_up,'Cost Assumptions'!O105,IF(Input!B14=FPSU,'Cost Assumptions'!O107,IF(Input!B14=Tethered___Semi,'Cost Assumptions'!O106,0)))))</f>
        <v>5000</v>
      </c>
      <c r="M1" s="93"/>
      <c r="N1" s="93"/>
      <c r="O1" s="93"/>
      <c r="P1" s="93"/>
      <c r="Q1" s="93"/>
      <c r="R1" s="93"/>
      <c r="S1" s="93"/>
      <c r="T1" s="93"/>
      <c r="U1" s="93"/>
      <c r="V1" s="93"/>
      <c r="W1" s="93"/>
      <c r="X1" s="93"/>
      <c r="Y1" s="93"/>
      <c r="Z1" s="93"/>
    </row>
    <row r="2" spans="1:26" ht="18.75" x14ac:dyDescent="0.25">
      <c r="A2" s="93"/>
      <c r="B2" s="93"/>
      <c r="C2" s="93"/>
      <c r="D2" s="93"/>
      <c r="E2" s="93"/>
      <c r="F2" s="93"/>
      <c r="G2" s="93"/>
      <c r="H2" s="144" t="s">
        <v>143</v>
      </c>
      <c r="I2" s="93"/>
      <c r="J2" s="93"/>
      <c r="K2" s="135" t="s">
        <v>737</v>
      </c>
      <c r="L2" s="152">
        <f>Development!B28*'Cost Assumptions'!O108</f>
        <v>9000</v>
      </c>
      <c r="M2" s="93"/>
      <c r="N2" s="93"/>
      <c r="O2" s="93"/>
      <c r="P2" s="93"/>
      <c r="Q2" s="93"/>
      <c r="R2" s="93"/>
      <c r="S2" s="93"/>
      <c r="T2" s="93"/>
      <c r="U2" s="93"/>
      <c r="V2" s="93"/>
      <c r="W2" s="93"/>
      <c r="X2" s="93"/>
      <c r="Y2" s="93"/>
      <c r="Z2" s="93"/>
    </row>
    <row r="3" spans="1:26" ht="15" x14ac:dyDescent="0.25">
      <c r="A3" s="135" t="s">
        <v>379</v>
      </c>
      <c r="B3" s="135">
        <f>Development!C6</f>
        <v>2016</v>
      </c>
      <c r="C3" s="93"/>
      <c r="D3" s="93"/>
      <c r="E3" s="93"/>
      <c r="F3" s="93"/>
      <c r="G3" s="93"/>
      <c r="H3" s="93"/>
      <c r="I3" s="93"/>
      <c r="J3" s="93"/>
      <c r="K3" s="135" t="s">
        <v>738</v>
      </c>
      <c r="L3" s="152">
        <f>(Development!B15-Development!B23)*'Cost Assumptions'!O109</f>
        <v>0</v>
      </c>
      <c r="M3" s="93"/>
      <c r="N3" s="93"/>
      <c r="O3" s="93"/>
      <c r="P3" s="93"/>
      <c r="Q3" s="93"/>
      <c r="R3" s="93"/>
      <c r="S3" s="93"/>
      <c r="T3" s="93"/>
      <c r="U3" s="93"/>
      <c r="V3" s="93"/>
      <c r="W3" s="93"/>
      <c r="X3" s="93"/>
      <c r="Y3" s="93"/>
      <c r="Z3" s="93"/>
    </row>
    <row r="4" spans="1:26" ht="15" x14ac:dyDescent="0.25">
      <c r="A4" s="135" t="s">
        <v>380</v>
      </c>
      <c r="B4" s="135">
        <f>IF(AND(Input!B9=Lists!A12,MAX(Abandonment!F16:F55)&lt;0),Abandonment!B3,INDEX(A16:A55,MATCH(MAX(F16:F55),F16:F55,0),1)+1)</f>
        <v>2043</v>
      </c>
      <c r="C4" s="135" t="str">
        <f>IF(B3&gt;=B4,Lists!A84,Lists!A83)</f>
        <v>Economic</v>
      </c>
      <c r="D4" s="93"/>
      <c r="E4" s="174"/>
      <c r="F4" s="93"/>
      <c r="G4" s="239"/>
      <c r="H4" s="93"/>
      <c r="I4" s="93"/>
      <c r="J4" s="93"/>
      <c r="K4" s="135" t="s">
        <v>739</v>
      </c>
      <c r="L4" s="152">
        <f>Development!B23*'Cost Assumptions'!O110</f>
        <v>91000</v>
      </c>
      <c r="M4" s="93"/>
      <c r="N4" s="93"/>
      <c r="O4" s="93"/>
      <c r="P4" s="93"/>
      <c r="Q4" s="93"/>
      <c r="R4" s="93"/>
      <c r="S4" s="93"/>
      <c r="T4" s="93"/>
      <c r="U4" s="93"/>
      <c r="V4" s="93"/>
      <c r="W4" s="93"/>
      <c r="X4" s="93"/>
      <c r="Y4" s="93"/>
      <c r="Z4" s="93"/>
    </row>
    <row r="5" spans="1:26" ht="15" x14ac:dyDescent="0.25">
      <c r="A5" s="135" t="s">
        <v>381</v>
      </c>
      <c r="B5" s="183">
        <f>IF(Overrides!C90=Lists!A37,Overrides!C92,L6/1000)</f>
        <v>167.5</v>
      </c>
      <c r="C5" s="93"/>
      <c r="D5" s="93"/>
      <c r="E5" s="93"/>
      <c r="F5" s="174"/>
      <c r="G5" s="93"/>
      <c r="H5" s="93"/>
      <c r="I5" s="93"/>
      <c r="J5" s="93"/>
      <c r="K5" s="135" t="s">
        <v>172</v>
      </c>
      <c r="L5" s="152">
        <f>IF(Input!B15=Shore,'Cost Assumptions'!O111,IF(OR(Input!B15=Direct_Pipeline_Tie_in,Input!B15=Satellite),'Cost Assumptions'!O112,0))*Input!B16</f>
        <v>62500</v>
      </c>
      <c r="M5" s="93"/>
      <c r="N5" s="93"/>
      <c r="O5" s="93"/>
      <c r="P5" s="93"/>
      <c r="Q5" s="93"/>
      <c r="R5" s="93"/>
      <c r="S5" s="93"/>
      <c r="T5" s="93"/>
      <c r="U5" s="93"/>
      <c r="V5" s="93"/>
      <c r="W5" s="93"/>
      <c r="X5" s="93"/>
      <c r="Y5" s="93"/>
      <c r="Z5" s="93"/>
    </row>
    <row r="6" spans="1:26" ht="15" x14ac:dyDescent="0.25">
      <c r="A6" s="135" t="s">
        <v>382</v>
      </c>
      <c r="B6" s="183">
        <f>IF(B4=B3,0,B5)</f>
        <v>167.5</v>
      </c>
      <c r="C6" s="93"/>
      <c r="D6" s="93"/>
      <c r="E6" s="93"/>
      <c r="F6" s="93"/>
      <c r="G6" s="93"/>
      <c r="H6" s="93"/>
      <c r="I6" s="93"/>
      <c r="J6" s="93"/>
      <c r="K6" s="135" t="s">
        <v>13</v>
      </c>
      <c r="L6" s="152">
        <f>SUM(L1:L5)</f>
        <v>167500</v>
      </c>
      <c r="M6" s="93"/>
      <c r="N6" s="93"/>
      <c r="O6" s="93"/>
      <c r="P6" s="93"/>
      <c r="Q6" s="93"/>
      <c r="R6" s="93"/>
      <c r="S6" s="93"/>
      <c r="T6" s="93"/>
      <c r="U6" s="93"/>
      <c r="V6" s="93"/>
      <c r="W6" s="93"/>
      <c r="X6" s="93"/>
      <c r="Y6" s="93"/>
      <c r="Z6" s="93"/>
    </row>
    <row r="7" spans="1:26" ht="15" x14ac:dyDescent="0.25">
      <c r="A7" s="135" t="s">
        <v>383</v>
      </c>
      <c r="B7" s="135">
        <f>B4-Production!B4</f>
        <v>25</v>
      </c>
      <c r="C7" s="93"/>
      <c r="D7" s="93"/>
      <c r="E7" s="93"/>
      <c r="F7" s="174"/>
      <c r="G7" s="93"/>
      <c r="H7" s="93"/>
      <c r="I7" s="93"/>
      <c r="J7" s="93"/>
      <c r="K7" s="93"/>
      <c r="L7" s="93"/>
      <c r="M7" s="93"/>
      <c r="N7" s="93"/>
      <c r="O7" s="93"/>
      <c r="P7" s="93"/>
      <c r="Q7" s="93"/>
      <c r="R7" s="93"/>
      <c r="S7" s="93"/>
      <c r="T7" s="93"/>
      <c r="U7" s="93"/>
      <c r="V7" s="93"/>
      <c r="W7" s="93"/>
      <c r="X7" s="93"/>
      <c r="Y7" s="93"/>
      <c r="Z7" s="93"/>
    </row>
    <row r="8" spans="1:26" ht="15" x14ac:dyDescent="0.25">
      <c r="A8" s="93"/>
      <c r="B8" s="93"/>
      <c r="C8" s="93"/>
      <c r="D8" s="93"/>
      <c r="E8" s="93"/>
      <c r="F8" s="93"/>
      <c r="G8" s="93"/>
      <c r="H8" s="93"/>
      <c r="I8" s="93"/>
      <c r="J8" s="93"/>
      <c r="K8" s="93"/>
      <c r="L8" s="93"/>
      <c r="M8" s="93"/>
      <c r="N8" s="93"/>
      <c r="O8" s="93"/>
      <c r="P8" s="93"/>
      <c r="Q8" s="93"/>
      <c r="R8" s="93"/>
      <c r="S8" s="93"/>
      <c r="T8" s="93"/>
      <c r="U8" s="93"/>
      <c r="V8" s="93"/>
      <c r="W8" s="93"/>
      <c r="X8" s="93"/>
      <c r="Y8" s="93"/>
      <c r="Z8" s="93"/>
    </row>
    <row r="9" spans="1:26" ht="15" x14ac:dyDescent="0.25">
      <c r="A9" s="134" t="s">
        <v>384</v>
      </c>
      <c r="B9" s="93"/>
      <c r="C9" s="93"/>
      <c r="D9" s="93"/>
      <c r="E9" s="93"/>
      <c r="F9" s="93"/>
      <c r="G9" s="93"/>
      <c r="H9" s="93"/>
      <c r="I9" s="93"/>
      <c r="J9" s="93"/>
      <c r="K9" s="93"/>
      <c r="L9" s="93"/>
      <c r="M9" s="93"/>
      <c r="N9" s="93"/>
      <c r="O9" s="93"/>
      <c r="P9" s="93"/>
      <c r="Q9" s="93"/>
      <c r="R9" s="93"/>
      <c r="S9" s="93"/>
      <c r="T9" s="93"/>
      <c r="U9" s="93"/>
      <c r="V9" s="93"/>
      <c r="W9" s="93"/>
      <c r="X9" s="93"/>
      <c r="Y9" s="93"/>
      <c r="Z9" s="93"/>
    </row>
    <row r="10" spans="1:26" ht="15" x14ac:dyDescent="0.25">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26" ht="15" x14ac:dyDescent="0.25">
      <c r="A11" s="140"/>
      <c r="B11" s="140"/>
      <c r="C11" s="140"/>
      <c r="D11" s="140"/>
      <c r="E11" s="140"/>
      <c r="F11" s="140" t="s">
        <v>385</v>
      </c>
      <c r="G11" s="140" t="s">
        <v>59</v>
      </c>
      <c r="H11" s="140" t="s">
        <v>59</v>
      </c>
      <c r="I11" s="93"/>
      <c r="J11" s="93"/>
      <c r="K11" s="140" t="s">
        <v>386</v>
      </c>
      <c r="L11" s="93"/>
      <c r="M11" s="93"/>
      <c r="N11" s="93"/>
      <c r="O11" s="93"/>
      <c r="P11" s="93"/>
      <c r="Q11" s="93"/>
      <c r="R11" s="93"/>
      <c r="S11" s="93"/>
      <c r="T11" s="93"/>
      <c r="U11" s="93"/>
      <c r="V11" s="93"/>
      <c r="W11" s="93"/>
      <c r="X11" s="93"/>
      <c r="Y11" s="93"/>
      <c r="Z11" s="93"/>
    </row>
    <row r="12" spans="1:26" ht="15" x14ac:dyDescent="0.25">
      <c r="A12" s="149" t="s">
        <v>14</v>
      </c>
      <c r="B12" s="149" t="s">
        <v>15</v>
      </c>
      <c r="C12" s="149" t="s">
        <v>17</v>
      </c>
      <c r="D12" s="149" t="s">
        <v>18</v>
      </c>
      <c r="E12" s="149" t="s">
        <v>387</v>
      </c>
      <c r="F12" s="149" t="s">
        <v>387</v>
      </c>
      <c r="G12" s="149" t="s">
        <v>42</v>
      </c>
      <c r="H12" s="149" t="s">
        <v>388</v>
      </c>
      <c r="I12" s="93"/>
      <c r="J12" s="93"/>
      <c r="K12" s="141" t="s">
        <v>381</v>
      </c>
      <c r="L12" s="93"/>
      <c r="M12" s="93"/>
      <c r="N12" s="93"/>
      <c r="O12" s="93"/>
      <c r="P12" s="93"/>
      <c r="Q12" s="93"/>
      <c r="R12" s="93"/>
      <c r="S12" s="93"/>
      <c r="T12" s="93"/>
      <c r="U12" s="93"/>
      <c r="V12" s="93"/>
      <c r="W12" s="93"/>
      <c r="X12" s="93"/>
      <c r="Y12" s="93"/>
      <c r="Z12" s="93"/>
    </row>
    <row r="13" spans="1:26" ht="15" x14ac:dyDescent="0.25">
      <c r="A13" s="93"/>
      <c r="B13" s="93"/>
      <c r="C13" s="93"/>
      <c r="D13" s="93"/>
      <c r="E13" s="93"/>
      <c r="F13" s="93"/>
      <c r="G13" s="93"/>
      <c r="H13" s="93"/>
      <c r="I13" s="93"/>
      <c r="J13" s="135" t="s">
        <v>377</v>
      </c>
      <c r="K13" s="148">
        <f>Development!BP88</f>
        <v>0.26249999999999996</v>
      </c>
      <c r="L13" s="93"/>
      <c r="M13" s="93"/>
      <c r="N13" s="93"/>
      <c r="O13" s="93"/>
      <c r="P13" s="93"/>
      <c r="Q13" s="93"/>
      <c r="R13" s="93"/>
      <c r="S13" s="93"/>
      <c r="T13" s="93"/>
      <c r="U13" s="93"/>
      <c r="V13" s="93"/>
      <c r="W13" s="93"/>
      <c r="X13" s="93"/>
      <c r="Y13" s="93"/>
      <c r="Z13" s="93"/>
    </row>
    <row r="14" spans="1:26" ht="15" x14ac:dyDescent="0.25">
      <c r="A14" s="156" t="s">
        <v>13</v>
      </c>
      <c r="B14" s="231">
        <f>SUM(B16:B55)</f>
        <v>44744.344684350304</v>
      </c>
      <c r="C14" s="231">
        <f>SUM(C16:C55)</f>
        <v>5457.67333880554</v>
      </c>
      <c r="D14" s="231">
        <f>SUM(D16:D55)</f>
        <v>7928.4444429204095</v>
      </c>
      <c r="E14" s="231">
        <f>SUM(E16:E55)</f>
        <v>31358.226902624348</v>
      </c>
      <c r="F14" s="157"/>
      <c r="G14" s="157"/>
      <c r="H14" s="157"/>
      <c r="I14" s="157"/>
      <c r="J14" s="157"/>
      <c r="K14" s="157"/>
      <c r="L14" s="93"/>
      <c r="M14" s="93"/>
      <c r="N14" s="93"/>
      <c r="O14" s="93"/>
      <c r="P14" s="93"/>
      <c r="Q14" s="93"/>
      <c r="R14" s="93"/>
      <c r="S14" s="93"/>
      <c r="T14" s="93"/>
      <c r="U14" s="93"/>
      <c r="V14" s="93"/>
      <c r="W14" s="93"/>
      <c r="X14" s="93"/>
      <c r="Y14" s="93"/>
      <c r="Z14" s="93"/>
    </row>
    <row r="15" spans="1:26" ht="15" x14ac:dyDescent="0.25">
      <c r="A15" s="93"/>
      <c r="B15" s="157"/>
      <c r="C15" s="157"/>
      <c r="D15" s="157"/>
      <c r="E15" s="157"/>
      <c r="F15" s="157"/>
      <c r="G15" s="157"/>
      <c r="H15" s="157"/>
      <c r="I15" s="157"/>
      <c r="J15" s="157"/>
      <c r="K15" s="157"/>
      <c r="L15" s="93"/>
      <c r="M15" s="93"/>
      <c r="N15" s="93"/>
      <c r="O15" s="93"/>
      <c r="P15" s="93"/>
      <c r="Q15" s="93"/>
      <c r="R15" s="93"/>
      <c r="S15" s="93"/>
      <c r="T15" s="93"/>
      <c r="U15" s="93"/>
      <c r="V15" s="93"/>
      <c r="W15" s="93"/>
      <c r="X15" s="93"/>
      <c r="Y15" s="93"/>
      <c r="Z15" s="93"/>
    </row>
    <row r="16" spans="1:26" ht="15" x14ac:dyDescent="0.25">
      <c r="A16" s="158">
        <f>'Success Cash Flow'!A10</f>
        <v>2012</v>
      </c>
      <c r="B16" s="159">
        <f>Revenue!L11</f>
        <v>0</v>
      </c>
      <c r="C16" s="159">
        <f>Development!AT91</f>
        <v>0</v>
      </c>
      <c r="D16" s="159">
        <f>Operations!K19</f>
        <v>0</v>
      </c>
      <c r="E16" s="159">
        <f t="shared" ref="E16:E55" si="0">B16-SUM(C16:D16)</f>
        <v>0</v>
      </c>
      <c r="F16" s="159">
        <f>F15+E16</f>
        <v>0</v>
      </c>
      <c r="G16" s="159">
        <f>IF(A16=$B$4,$B$6*'Selected Economics'!I11,0)</f>
        <v>0</v>
      </c>
      <c r="H16" s="159">
        <f>IF(A16&lt;$B$4,1,0)</f>
        <v>1</v>
      </c>
      <c r="I16" s="157"/>
      <c r="J16" s="157"/>
      <c r="K16" s="159">
        <f>$K$13*G16</f>
        <v>0</v>
      </c>
      <c r="L16" s="93"/>
      <c r="M16" s="93"/>
      <c r="N16" s="93"/>
      <c r="O16" s="93"/>
      <c r="P16" s="93"/>
      <c r="Q16" s="93"/>
      <c r="R16" s="93"/>
      <c r="S16" s="93"/>
      <c r="T16" s="93"/>
      <c r="U16" s="93"/>
      <c r="V16" s="93"/>
      <c r="W16" s="93"/>
      <c r="X16" s="93"/>
      <c r="Y16" s="93"/>
      <c r="Z16" s="93"/>
    </row>
    <row r="17" spans="1:26" ht="15" x14ac:dyDescent="0.25">
      <c r="A17" s="160">
        <f>A16+1</f>
        <v>2013</v>
      </c>
      <c r="B17" s="161">
        <f>Revenue!L12</f>
        <v>0</v>
      </c>
      <c r="C17" s="161">
        <f>Development!AT92</f>
        <v>0</v>
      </c>
      <c r="D17" s="161">
        <f>Operations!K20</f>
        <v>0</v>
      </c>
      <c r="E17" s="161">
        <f t="shared" si="0"/>
        <v>0</v>
      </c>
      <c r="F17" s="161">
        <f>F16+E17</f>
        <v>0</v>
      </c>
      <c r="G17" s="161">
        <f>IF(A17=$B$4,$B$6*'Selected Economics'!I12,0)</f>
        <v>0</v>
      </c>
      <c r="H17" s="161">
        <f t="shared" ref="H17:H55" si="1">IF(A17&lt;$B$4,1,0)</f>
        <v>1</v>
      </c>
      <c r="I17" s="157"/>
      <c r="J17" s="157"/>
      <c r="K17" s="161">
        <f t="shared" ref="K17:K55" si="2">$K$13*G17</f>
        <v>0</v>
      </c>
      <c r="L17" s="93"/>
      <c r="M17" s="93"/>
      <c r="N17" s="93"/>
      <c r="O17" s="93"/>
      <c r="P17" s="93"/>
      <c r="Q17" s="93"/>
      <c r="R17" s="93"/>
      <c r="S17" s="93"/>
      <c r="T17" s="93"/>
      <c r="U17" s="93"/>
      <c r="V17" s="93"/>
      <c r="W17" s="93"/>
      <c r="X17" s="93"/>
      <c r="Y17" s="93"/>
      <c r="Z17" s="93"/>
    </row>
    <row r="18" spans="1:26" ht="15" x14ac:dyDescent="0.25">
      <c r="A18" s="160">
        <f t="shared" ref="A18:A55" si="3">A17+1</f>
        <v>2014</v>
      </c>
      <c r="B18" s="161">
        <f>Revenue!L13</f>
        <v>0</v>
      </c>
      <c r="C18" s="161">
        <f>Development!AT93</f>
        <v>2.5193987500000001</v>
      </c>
      <c r="D18" s="161">
        <f>Operations!K21</f>
        <v>0</v>
      </c>
      <c r="E18" s="161">
        <f t="shared" si="0"/>
        <v>-2.5193987500000001</v>
      </c>
      <c r="F18" s="161">
        <f t="shared" ref="F18:F55" si="4">F17+E18</f>
        <v>-2.5193987500000001</v>
      </c>
      <c r="G18" s="161">
        <f>IF(A18=$B$4,$B$6*'Selected Economics'!I13,0)</f>
        <v>0</v>
      </c>
      <c r="H18" s="161">
        <f t="shared" si="1"/>
        <v>1</v>
      </c>
      <c r="I18" s="157"/>
      <c r="J18" s="157"/>
      <c r="K18" s="161">
        <f t="shared" si="2"/>
        <v>0</v>
      </c>
      <c r="L18" s="93"/>
      <c r="M18" s="93"/>
      <c r="N18" s="93"/>
      <c r="O18" s="93"/>
      <c r="P18" s="93"/>
      <c r="Q18" s="93"/>
      <c r="R18" s="93"/>
      <c r="S18" s="93"/>
      <c r="T18" s="93"/>
      <c r="U18" s="93"/>
      <c r="V18" s="93"/>
      <c r="W18" s="93"/>
      <c r="X18" s="93"/>
      <c r="Y18" s="93"/>
      <c r="Z18" s="93"/>
    </row>
    <row r="19" spans="1:26" ht="15" x14ac:dyDescent="0.25">
      <c r="A19" s="160">
        <f t="shared" si="3"/>
        <v>2015</v>
      </c>
      <c r="B19" s="161">
        <f>Revenue!L14</f>
        <v>0</v>
      </c>
      <c r="C19" s="161">
        <f>Development!AT94</f>
        <v>9.1557240937499991</v>
      </c>
      <c r="D19" s="161">
        <f>Operations!K22</f>
        <v>0</v>
      </c>
      <c r="E19" s="161">
        <f t="shared" si="0"/>
        <v>-9.1557240937499991</v>
      </c>
      <c r="F19" s="161">
        <f t="shared" si="4"/>
        <v>-11.67512284375</v>
      </c>
      <c r="G19" s="161">
        <f>IF(A19=$B$4,$B$6*'Selected Economics'!I14,0)</f>
        <v>0</v>
      </c>
      <c r="H19" s="161">
        <f t="shared" si="1"/>
        <v>1</v>
      </c>
      <c r="I19" s="157"/>
      <c r="J19" s="157"/>
      <c r="K19" s="161">
        <f t="shared" si="2"/>
        <v>0</v>
      </c>
      <c r="L19" s="93"/>
      <c r="M19" s="93"/>
      <c r="N19" s="93"/>
      <c r="O19" s="93"/>
      <c r="P19" s="93"/>
      <c r="Q19" s="93"/>
      <c r="R19" s="93"/>
      <c r="S19" s="93"/>
      <c r="T19" s="93"/>
      <c r="U19" s="93"/>
      <c r="V19" s="93"/>
      <c r="W19" s="93"/>
      <c r="X19" s="93"/>
      <c r="Y19" s="93"/>
      <c r="Z19" s="93"/>
    </row>
    <row r="20" spans="1:26" ht="15" x14ac:dyDescent="0.25">
      <c r="A20" s="160">
        <f t="shared" si="3"/>
        <v>2016</v>
      </c>
      <c r="B20" s="161">
        <f>Revenue!L15</f>
        <v>0</v>
      </c>
      <c r="C20" s="161">
        <f>Development!AT95</f>
        <v>103.42562911396331</v>
      </c>
      <c r="D20" s="161">
        <f>Operations!K23</f>
        <v>0</v>
      </c>
      <c r="E20" s="161">
        <f t="shared" si="0"/>
        <v>-103.42562911396331</v>
      </c>
      <c r="F20" s="161">
        <f t="shared" si="4"/>
        <v>-115.10075195771331</v>
      </c>
      <c r="G20" s="161">
        <f>IF(A20=$B$4,$B$6*'Selected Economics'!I15,0)</f>
        <v>0</v>
      </c>
      <c r="H20" s="161">
        <f t="shared" si="1"/>
        <v>1</v>
      </c>
      <c r="I20" s="157"/>
      <c r="J20" s="157"/>
      <c r="K20" s="161">
        <f t="shared" si="2"/>
        <v>0</v>
      </c>
      <c r="L20" s="93"/>
      <c r="M20" s="93"/>
      <c r="N20" s="93"/>
      <c r="O20" s="93"/>
      <c r="P20" s="93"/>
      <c r="Q20" s="93"/>
      <c r="R20" s="93"/>
      <c r="S20" s="93"/>
      <c r="T20" s="93"/>
      <c r="U20" s="93"/>
      <c r="V20" s="93"/>
      <c r="W20" s="93"/>
      <c r="X20" s="93"/>
      <c r="Y20" s="93"/>
      <c r="Z20" s="93"/>
    </row>
    <row r="21" spans="1:26" ht="15" x14ac:dyDescent="0.25">
      <c r="A21" s="160">
        <f t="shared" si="3"/>
        <v>2017</v>
      </c>
      <c r="B21" s="161">
        <f>Revenue!L16</f>
        <v>0</v>
      </c>
      <c r="C21" s="161">
        <f>Development!AT96</f>
        <v>1220.1315226286367</v>
      </c>
      <c r="D21" s="161">
        <f>Operations!K24</f>
        <v>0</v>
      </c>
      <c r="E21" s="161">
        <f t="shared" si="0"/>
        <v>-1220.1315226286367</v>
      </c>
      <c r="F21" s="161">
        <f t="shared" si="4"/>
        <v>-1335.2322745863501</v>
      </c>
      <c r="G21" s="161">
        <f>IF(A21=$B$4,$B$6*'Selected Economics'!I16,0)</f>
        <v>0</v>
      </c>
      <c r="H21" s="161">
        <f t="shared" si="1"/>
        <v>1</v>
      </c>
      <c r="I21" s="157"/>
      <c r="J21" s="157"/>
      <c r="K21" s="161">
        <f t="shared" si="2"/>
        <v>0</v>
      </c>
      <c r="L21" s="93"/>
      <c r="M21" s="93"/>
      <c r="N21" s="93"/>
      <c r="O21" s="93"/>
      <c r="P21" s="93"/>
      <c r="Q21" s="93"/>
      <c r="R21" s="93"/>
      <c r="S21" s="93"/>
      <c r="T21" s="93"/>
      <c r="U21" s="93"/>
      <c r="V21" s="93"/>
      <c r="W21" s="93"/>
      <c r="X21" s="93"/>
      <c r="Y21" s="93"/>
      <c r="Z21" s="93"/>
    </row>
    <row r="22" spans="1:26" ht="15" x14ac:dyDescent="0.25">
      <c r="A22" s="160">
        <f t="shared" si="3"/>
        <v>2018</v>
      </c>
      <c r="B22" s="161">
        <f>Revenue!L17</f>
        <v>360.11146769631807</v>
      </c>
      <c r="C22" s="161">
        <f>Development!AT97</f>
        <v>3505.8450902289278</v>
      </c>
      <c r="D22" s="161">
        <f>Operations!K25</f>
        <v>108.49376115602891</v>
      </c>
      <c r="E22" s="161">
        <f t="shared" si="0"/>
        <v>-3254.2273836886388</v>
      </c>
      <c r="F22" s="161">
        <f t="shared" si="4"/>
        <v>-4589.4596582749891</v>
      </c>
      <c r="G22" s="161">
        <f>IF(A22=$B$4,$B$6*'Selected Economics'!I17,0)</f>
        <v>0</v>
      </c>
      <c r="H22" s="161">
        <f t="shared" si="1"/>
        <v>1</v>
      </c>
      <c r="I22" s="157"/>
      <c r="J22" s="157"/>
      <c r="K22" s="161">
        <f t="shared" si="2"/>
        <v>0</v>
      </c>
      <c r="L22" s="93"/>
      <c r="M22" s="93"/>
      <c r="N22" s="93"/>
      <c r="O22" s="93"/>
      <c r="P22" s="93"/>
      <c r="Q22" s="93"/>
      <c r="R22" s="93"/>
      <c r="S22" s="93"/>
      <c r="T22" s="93"/>
      <c r="U22" s="93"/>
      <c r="V22" s="93"/>
      <c r="W22" s="93"/>
      <c r="X22" s="93"/>
      <c r="Y22" s="93"/>
      <c r="Z22" s="93"/>
    </row>
    <row r="23" spans="1:26" ht="15" x14ac:dyDescent="0.25">
      <c r="A23" s="160">
        <f t="shared" si="3"/>
        <v>2019</v>
      </c>
      <c r="B23" s="161">
        <f>Revenue!L18</f>
        <v>3777.5401884622411</v>
      </c>
      <c r="C23" s="161">
        <f>Development!AT98</f>
        <v>616.59597399026154</v>
      </c>
      <c r="D23" s="161">
        <f>Operations!K26</f>
        <v>358.38750793875175</v>
      </c>
      <c r="E23" s="161">
        <f t="shared" si="0"/>
        <v>2802.556706533228</v>
      </c>
      <c r="F23" s="161">
        <f t="shared" si="4"/>
        <v>-1786.9029517417612</v>
      </c>
      <c r="G23" s="161">
        <f>IF(A23=$B$4,$B$6*'Selected Economics'!I18,0)</f>
        <v>0</v>
      </c>
      <c r="H23" s="161">
        <f t="shared" si="1"/>
        <v>1</v>
      </c>
      <c r="I23" s="157"/>
      <c r="J23" s="157"/>
      <c r="K23" s="161">
        <f t="shared" si="2"/>
        <v>0</v>
      </c>
      <c r="L23" s="93"/>
      <c r="M23" s="93"/>
      <c r="N23" s="93"/>
      <c r="O23" s="93"/>
      <c r="P23" s="93"/>
      <c r="Q23" s="93"/>
      <c r="R23" s="93"/>
      <c r="S23" s="93"/>
      <c r="T23" s="93"/>
      <c r="U23" s="93"/>
      <c r="V23" s="93"/>
      <c r="W23" s="93"/>
      <c r="X23" s="93"/>
      <c r="Y23" s="93"/>
      <c r="Z23" s="93"/>
    </row>
    <row r="24" spans="1:26" ht="15" x14ac:dyDescent="0.25">
      <c r="A24" s="160">
        <f t="shared" si="3"/>
        <v>2020</v>
      </c>
      <c r="B24" s="161">
        <f>Revenue!L19</f>
        <v>3932.8596255193238</v>
      </c>
      <c r="C24" s="161">
        <f>Development!AT99</f>
        <v>0</v>
      </c>
      <c r="D24" s="161">
        <f>Operations!K27</f>
        <v>370.47242524755427</v>
      </c>
      <c r="E24" s="161">
        <f t="shared" si="0"/>
        <v>3562.3872002717694</v>
      </c>
      <c r="F24" s="161">
        <f t="shared" si="4"/>
        <v>1775.4842485300082</v>
      </c>
      <c r="G24" s="161">
        <f>IF(A24=$B$4,$B$6*'Selected Economics'!I19,0)</f>
        <v>0</v>
      </c>
      <c r="H24" s="161">
        <f t="shared" si="1"/>
        <v>1</v>
      </c>
      <c r="I24" s="157"/>
      <c r="J24" s="157"/>
      <c r="K24" s="161">
        <f t="shared" si="2"/>
        <v>0</v>
      </c>
      <c r="L24" s="93"/>
      <c r="M24" s="93"/>
      <c r="N24" s="93"/>
      <c r="O24" s="93"/>
      <c r="P24" s="93"/>
      <c r="Q24" s="93"/>
      <c r="R24" s="93"/>
      <c r="S24" s="93"/>
      <c r="T24" s="93"/>
      <c r="U24" s="93"/>
      <c r="V24" s="93"/>
      <c r="W24" s="93"/>
      <c r="X24" s="93"/>
      <c r="Y24" s="93"/>
      <c r="Z24" s="93"/>
    </row>
    <row r="25" spans="1:26" ht="15" x14ac:dyDescent="0.25">
      <c r="A25" s="160">
        <f t="shared" si="3"/>
        <v>2021</v>
      </c>
      <c r="B25" s="161">
        <f>Revenue!L20</f>
        <v>4020.1669601022318</v>
      </c>
      <c r="C25" s="161">
        <f>Development!AT100</f>
        <v>0</v>
      </c>
      <c r="D25" s="161">
        <f>Operations!K28</f>
        <v>379.47762019998663</v>
      </c>
      <c r="E25" s="161">
        <f t="shared" si="0"/>
        <v>3640.6893399022451</v>
      </c>
      <c r="F25" s="161">
        <f t="shared" si="4"/>
        <v>5416.1735884322534</v>
      </c>
      <c r="G25" s="161">
        <f>IF(A25=$B$4,$B$6*'Selected Economics'!I20,0)</f>
        <v>0</v>
      </c>
      <c r="H25" s="161">
        <f t="shared" si="1"/>
        <v>1</v>
      </c>
      <c r="I25" s="157"/>
      <c r="J25" s="157"/>
      <c r="K25" s="161">
        <f t="shared" si="2"/>
        <v>0</v>
      </c>
      <c r="L25" s="93"/>
      <c r="M25" s="93"/>
      <c r="N25" s="93"/>
      <c r="O25" s="93"/>
      <c r="P25" s="93"/>
      <c r="Q25" s="93"/>
      <c r="R25" s="93"/>
      <c r="S25" s="93"/>
      <c r="T25" s="93"/>
      <c r="U25" s="93"/>
      <c r="V25" s="93"/>
      <c r="W25" s="93"/>
      <c r="X25" s="93"/>
      <c r="Y25" s="93"/>
      <c r="Z25" s="93"/>
    </row>
    <row r="26" spans="1:26" ht="15" x14ac:dyDescent="0.25">
      <c r="A26" s="160">
        <f t="shared" si="3"/>
        <v>2022</v>
      </c>
      <c r="B26" s="161">
        <f>Revenue!L21</f>
        <v>4118.1820041617557</v>
      </c>
      <c r="C26" s="161">
        <f>Development!AT101</f>
        <v>0</v>
      </c>
      <c r="D26" s="161">
        <f>Operations!K29</f>
        <v>388.82182862222982</v>
      </c>
      <c r="E26" s="161">
        <f t="shared" si="0"/>
        <v>3729.3601755395257</v>
      </c>
      <c r="F26" s="161">
        <f t="shared" si="4"/>
        <v>9145.53376397178</v>
      </c>
      <c r="G26" s="161">
        <f>IF(A26=$B$4,$B$6*'Selected Economics'!I21,0)</f>
        <v>0</v>
      </c>
      <c r="H26" s="161">
        <f t="shared" si="1"/>
        <v>1</v>
      </c>
      <c r="I26" s="157"/>
      <c r="J26" s="157"/>
      <c r="K26" s="161">
        <f t="shared" si="2"/>
        <v>0</v>
      </c>
      <c r="L26" s="93"/>
      <c r="M26" s="93"/>
      <c r="N26" s="93"/>
      <c r="O26" s="93"/>
      <c r="P26" s="93"/>
      <c r="Q26" s="93"/>
      <c r="R26" s="93"/>
      <c r="S26" s="93"/>
      <c r="T26" s="93"/>
      <c r="U26" s="93"/>
      <c r="V26" s="93"/>
      <c r="W26" s="93"/>
      <c r="X26" s="93"/>
      <c r="Y26" s="93"/>
      <c r="Z26" s="93"/>
    </row>
    <row r="27" spans="1:26" ht="15" x14ac:dyDescent="0.25">
      <c r="A27" s="160">
        <f t="shared" si="3"/>
        <v>2023</v>
      </c>
      <c r="B27" s="161">
        <f>Revenue!L22</f>
        <v>3843.9652627015721</v>
      </c>
      <c r="C27" s="161">
        <f>Development!AT102</f>
        <v>0</v>
      </c>
      <c r="D27" s="161">
        <f>Operations!K30</f>
        <v>376.91455850131791</v>
      </c>
      <c r="E27" s="161">
        <f t="shared" si="0"/>
        <v>3467.0507042002541</v>
      </c>
      <c r="F27" s="161">
        <f t="shared" si="4"/>
        <v>12612.584468172034</v>
      </c>
      <c r="G27" s="161">
        <f>IF(A27=$B$4,$B$6*'Selected Economics'!I22,0)</f>
        <v>0</v>
      </c>
      <c r="H27" s="161">
        <f t="shared" si="1"/>
        <v>1</v>
      </c>
      <c r="I27" s="157"/>
      <c r="J27" s="157"/>
      <c r="K27" s="161">
        <f t="shared" si="2"/>
        <v>0</v>
      </c>
      <c r="L27" s="93"/>
      <c r="M27" s="93"/>
      <c r="N27" s="93"/>
      <c r="O27" s="93"/>
      <c r="P27" s="93"/>
      <c r="Q27" s="93"/>
      <c r="R27" s="93"/>
      <c r="S27" s="93"/>
      <c r="T27" s="93"/>
      <c r="U27" s="93"/>
      <c r="V27" s="93"/>
      <c r="W27" s="93"/>
      <c r="X27" s="93"/>
      <c r="Y27" s="93"/>
      <c r="Z27" s="93"/>
    </row>
    <row r="28" spans="1:26" ht="15" x14ac:dyDescent="0.25">
      <c r="A28" s="160">
        <f t="shared" si="3"/>
        <v>2024</v>
      </c>
      <c r="B28" s="161">
        <f>Revenue!L23</f>
        <v>3357.5029376807242</v>
      </c>
      <c r="C28" s="161">
        <f>Development!AT103</f>
        <v>0</v>
      </c>
      <c r="D28" s="161">
        <f>Operations!K31</f>
        <v>352.61979360069023</v>
      </c>
      <c r="E28" s="161">
        <f t="shared" si="0"/>
        <v>3004.8831440800341</v>
      </c>
      <c r="F28" s="161">
        <f t="shared" si="4"/>
        <v>15617.467612252069</v>
      </c>
      <c r="G28" s="161">
        <f>IF(A28=$B$4,$B$6*'Selected Economics'!I23,0)</f>
        <v>0</v>
      </c>
      <c r="H28" s="161">
        <f t="shared" si="1"/>
        <v>1</v>
      </c>
      <c r="I28" s="157"/>
      <c r="J28" s="157"/>
      <c r="K28" s="161">
        <f t="shared" si="2"/>
        <v>0</v>
      </c>
      <c r="L28" s="93"/>
      <c r="M28" s="93"/>
      <c r="N28" s="93"/>
      <c r="O28" s="93"/>
      <c r="P28" s="93"/>
      <c r="Q28" s="93"/>
      <c r="R28" s="93"/>
      <c r="S28" s="93"/>
      <c r="T28" s="93"/>
      <c r="U28" s="93"/>
      <c r="V28" s="93"/>
      <c r="W28" s="93"/>
      <c r="X28" s="93"/>
      <c r="Y28" s="93"/>
      <c r="Z28" s="93"/>
    </row>
    <row r="29" spans="1:26" ht="15" x14ac:dyDescent="0.25">
      <c r="A29" s="160">
        <f t="shared" si="3"/>
        <v>2025</v>
      </c>
      <c r="B29" s="161">
        <f>Revenue!L24</f>
        <v>2916.5650268385516</v>
      </c>
      <c r="C29" s="161">
        <f>Development!AT104</f>
        <v>0</v>
      </c>
      <c r="D29" s="161">
        <f>Operations!K32</f>
        <v>331.65790058317492</v>
      </c>
      <c r="E29" s="161">
        <f t="shared" si="0"/>
        <v>2584.9071262553766</v>
      </c>
      <c r="F29" s="161">
        <f t="shared" si="4"/>
        <v>18202.374738507446</v>
      </c>
      <c r="G29" s="161">
        <f>IF(A29=$B$4,$B$6*'Selected Economics'!I24,0)</f>
        <v>0</v>
      </c>
      <c r="H29" s="161">
        <f t="shared" si="1"/>
        <v>1</v>
      </c>
      <c r="I29" s="157"/>
      <c r="J29" s="157"/>
      <c r="K29" s="161">
        <f t="shared" si="2"/>
        <v>0</v>
      </c>
      <c r="L29" s="93"/>
      <c r="M29" s="93"/>
      <c r="N29" s="93"/>
      <c r="O29" s="93"/>
      <c r="P29" s="93"/>
      <c r="Q29" s="93"/>
      <c r="R29" s="93"/>
      <c r="S29" s="93"/>
      <c r="T29" s="93"/>
      <c r="U29" s="93"/>
      <c r="V29" s="93"/>
      <c r="W29" s="93"/>
      <c r="X29" s="93"/>
      <c r="Y29" s="93"/>
      <c r="Z29" s="93"/>
    </row>
    <row r="30" spans="1:26" ht="15" x14ac:dyDescent="0.25">
      <c r="A30" s="160">
        <f t="shared" si="3"/>
        <v>2026</v>
      </c>
      <c r="B30" s="161">
        <f>Revenue!L25</f>
        <v>2541.057279633088</v>
      </c>
      <c r="C30" s="161">
        <f>Development!AT105</f>
        <v>0</v>
      </c>
      <c r="D30" s="161">
        <f>Operations!K33</f>
        <v>314.23587016205687</v>
      </c>
      <c r="E30" s="161">
        <f t="shared" si="0"/>
        <v>2226.8214094710311</v>
      </c>
      <c r="F30" s="161">
        <f t="shared" si="4"/>
        <v>20429.196147978477</v>
      </c>
      <c r="G30" s="161">
        <f>IF(A30=$B$4,$B$6*'Selected Economics'!I25,0)</f>
        <v>0</v>
      </c>
      <c r="H30" s="161">
        <f t="shared" si="1"/>
        <v>1</v>
      </c>
      <c r="I30" s="157"/>
      <c r="J30" s="157"/>
      <c r="K30" s="161">
        <f t="shared" si="2"/>
        <v>0</v>
      </c>
      <c r="L30" s="93"/>
      <c r="M30" s="93"/>
      <c r="N30" s="93"/>
      <c r="O30" s="93"/>
      <c r="P30" s="93"/>
      <c r="Q30" s="93"/>
      <c r="R30" s="93"/>
      <c r="S30" s="93"/>
      <c r="T30" s="93"/>
      <c r="U30" s="93"/>
      <c r="V30" s="93"/>
      <c r="W30" s="93"/>
      <c r="X30" s="93"/>
      <c r="Y30" s="93"/>
      <c r="Z30" s="93"/>
    </row>
    <row r="31" spans="1:26" ht="15" x14ac:dyDescent="0.25">
      <c r="A31" s="160">
        <f t="shared" si="3"/>
        <v>2027</v>
      </c>
      <c r="B31" s="161">
        <f>Revenue!L26</f>
        <v>2213.8961548803268</v>
      </c>
      <c r="C31" s="161">
        <f>Development!AT106</f>
        <v>0</v>
      </c>
      <c r="D31" s="161">
        <f>Operations!K34</f>
        <v>299.68889926463186</v>
      </c>
      <c r="E31" s="161">
        <f t="shared" si="0"/>
        <v>1914.207255615695</v>
      </c>
      <c r="F31" s="161">
        <f t="shared" si="4"/>
        <v>22343.403403594173</v>
      </c>
      <c r="G31" s="161">
        <f>IF(A31=$B$4,$B$6*'Selected Economics'!I26,0)</f>
        <v>0</v>
      </c>
      <c r="H31" s="161">
        <f t="shared" si="1"/>
        <v>1</v>
      </c>
      <c r="I31" s="157"/>
      <c r="J31" s="157"/>
      <c r="K31" s="161">
        <f t="shared" si="2"/>
        <v>0</v>
      </c>
      <c r="L31" s="93"/>
      <c r="M31" s="93"/>
      <c r="N31" s="93"/>
      <c r="O31" s="93"/>
      <c r="P31" s="93"/>
      <c r="Q31" s="93"/>
      <c r="R31" s="93"/>
      <c r="S31" s="93"/>
      <c r="T31" s="93"/>
      <c r="U31" s="93"/>
      <c r="V31" s="93"/>
      <c r="W31" s="93"/>
      <c r="X31" s="93"/>
      <c r="Y31" s="93"/>
      <c r="Z31" s="93"/>
    </row>
    <row r="32" spans="1:26" ht="15" x14ac:dyDescent="0.25">
      <c r="A32" s="160">
        <f t="shared" si="3"/>
        <v>2028</v>
      </c>
      <c r="B32" s="161">
        <f>Revenue!L27</f>
        <v>1933.7226888743185</v>
      </c>
      <c r="C32" s="161">
        <f>Development!AT107</f>
        <v>0</v>
      </c>
      <c r="D32" s="161">
        <f>Operations!K35</f>
        <v>287.76176600540771</v>
      </c>
      <c r="E32" s="161">
        <f t="shared" si="0"/>
        <v>1645.9609228689108</v>
      </c>
      <c r="F32" s="161">
        <f t="shared" si="4"/>
        <v>23989.364326463085</v>
      </c>
      <c r="G32" s="161">
        <f>IF(A32=$B$4,$B$6*'Selected Economics'!I27,0)</f>
        <v>0</v>
      </c>
      <c r="H32" s="161">
        <f t="shared" si="1"/>
        <v>1</v>
      </c>
      <c r="I32" s="157"/>
      <c r="J32" s="157"/>
      <c r="K32" s="161">
        <f t="shared" si="2"/>
        <v>0</v>
      </c>
      <c r="L32" s="93"/>
      <c r="M32" s="93"/>
      <c r="N32" s="93"/>
      <c r="O32" s="93"/>
      <c r="P32" s="93"/>
      <c r="Q32" s="93"/>
      <c r="R32" s="93"/>
      <c r="S32" s="93"/>
      <c r="T32" s="93"/>
      <c r="U32" s="93"/>
      <c r="V32" s="93"/>
      <c r="W32" s="93"/>
      <c r="X32" s="93"/>
      <c r="Y32" s="93"/>
      <c r="Z32" s="93"/>
    </row>
    <row r="33" spans="1:26" ht="15" x14ac:dyDescent="0.25">
      <c r="A33" s="160">
        <f t="shared" si="3"/>
        <v>2029</v>
      </c>
      <c r="B33" s="161">
        <f>Revenue!L28</f>
        <v>1679.7685871485455</v>
      </c>
      <c r="C33" s="161">
        <f>Development!AT108</f>
        <v>0</v>
      </c>
      <c r="D33" s="161">
        <f>Operations!K36</f>
        <v>277.80579969113001</v>
      </c>
      <c r="E33" s="161">
        <f t="shared" si="0"/>
        <v>1401.9627874574155</v>
      </c>
      <c r="F33" s="161">
        <f t="shared" si="4"/>
        <v>25391.327113920499</v>
      </c>
      <c r="G33" s="161">
        <f>IF(A33=$B$4,$B$6*'Selected Economics'!I28,0)</f>
        <v>0</v>
      </c>
      <c r="H33" s="161">
        <f t="shared" si="1"/>
        <v>1</v>
      </c>
      <c r="I33" s="157"/>
      <c r="J33" s="157"/>
      <c r="K33" s="161">
        <f t="shared" si="2"/>
        <v>0</v>
      </c>
      <c r="L33" s="93"/>
      <c r="M33" s="93"/>
      <c r="N33" s="93"/>
      <c r="O33" s="93"/>
      <c r="P33" s="93"/>
      <c r="Q33" s="93"/>
      <c r="R33" s="93"/>
      <c r="S33" s="93"/>
      <c r="T33" s="93"/>
      <c r="U33" s="93"/>
      <c r="V33" s="93"/>
      <c r="W33" s="93"/>
      <c r="X33" s="93"/>
      <c r="Y33" s="93"/>
      <c r="Z33" s="93"/>
    </row>
    <row r="34" spans="1:26" ht="15" x14ac:dyDescent="0.25">
      <c r="A34" s="160">
        <f t="shared" si="3"/>
        <v>2030</v>
      </c>
      <c r="B34" s="161">
        <f>Revenue!L29</f>
        <v>1463.4983815531698</v>
      </c>
      <c r="C34" s="161">
        <f>Development!AT109</f>
        <v>0</v>
      </c>
      <c r="D34" s="161">
        <f>Operations!K37</f>
        <v>269.94150546115264</v>
      </c>
      <c r="E34" s="161">
        <f t="shared" si="0"/>
        <v>1193.5568760920171</v>
      </c>
      <c r="F34" s="161">
        <f t="shared" si="4"/>
        <v>26584.883990012517</v>
      </c>
      <c r="G34" s="161">
        <f>IF(A34=$B$4,$B$6*'Selected Economics'!I29,0)</f>
        <v>0</v>
      </c>
      <c r="H34" s="161">
        <f t="shared" si="1"/>
        <v>1</v>
      </c>
      <c r="I34" s="157"/>
      <c r="J34" s="157"/>
      <c r="K34" s="161">
        <f t="shared" si="2"/>
        <v>0</v>
      </c>
      <c r="L34" s="93"/>
      <c r="M34" s="93"/>
      <c r="N34" s="93"/>
      <c r="O34" s="93"/>
      <c r="P34" s="93"/>
      <c r="Q34" s="93"/>
      <c r="R34" s="93"/>
      <c r="S34" s="93"/>
      <c r="T34" s="93"/>
      <c r="U34" s="93"/>
      <c r="V34" s="93"/>
      <c r="W34" s="93"/>
      <c r="X34" s="93"/>
      <c r="Y34" s="93"/>
      <c r="Z34" s="93"/>
    </row>
    <row r="35" spans="1:26" ht="15" x14ac:dyDescent="0.25">
      <c r="A35" s="160">
        <f t="shared" si="3"/>
        <v>2031</v>
      </c>
      <c r="B35" s="161">
        <f>Revenue!L30</f>
        <v>1275.0729649281996</v>
      </c>
      <c r="C35" s="161">
        <f>Development!AT110</f>
        <v>0</v>
      </c>
      <c r="D35" s="161">
        <f>Operations!K38</f>
        <v>263.78731917529132</v>
      </c>
      <c r="E35" s="161">
        <f t="shared" si="0"/>
        <v>1011.2856457529083</v>
      </c>
      <c r="F35" s="161">
        <f t="shared" si="4"/>
        <v>27596.169635765425</v>
      </c>
      <c r="G35" s="161">
        <f>IF(A35=$B$4,$B$6*'Selected Economics'!I30,0)</f>
        <v>0</v>
      </c>
      <c r="H35" s="161">
        <f t="shared" si="1"/>
        <v>1</v>
      </c>
      <c r="I35" s="157"/>
      <c r="J35" s="157"/>
      <c r="K35" s="161">
        <f t="shared" si="2"/>
        <v>0</v>
      </c>
      <c r="L35" s="93"/>
      <c r="M35" s="93"/>
      <c r="N35" s="93"/>
      <c r="O35" s="93"/>
      <c r="P35" s="93"/>
      <c r="Q35" s="93"/>
      <c r="R35" s="93"/>
      <c r="S35" s="93"/>
      <c r="T35" s="93"/>
      <c r="U35" s="93"/>
      <c r="V35" s="93"/>
      <c r="W35" s="93"/>
      <c r="X35" s="93"/>
      <c r="Y35" s="93"/>
      <c r="Z35" s="93"/>
    </row>
    <row r="36" spans="1:26" ht="15" x14ac:dyDescent="0.25">
      <c r="A36" s="160">
        <f t="shared" si="3"/>
        <v>2032</v>
      </c>
      <c r="B36" s="161">
        <f>Revenue!L31</f>
        <v>1113.7096547264161</v>
      </c>
      <c r="C36" s="161">
        <f>Development!AT111</f>
        <v>0</v>
      </c>
      <c r="D36" s="161">
        <f>Operations!K39</f>
        <v>259.19760425647735</v>
      </c>
      <c r="E36" s="161">
        <f t="shared" si="0"/>
        <v>854.5120504699388</v>
      </c>
      <c r="F36" s="161">
        <f t="shared" si="4"/>
        <v>28450.681686235363</v>
      </c>
      <c r="G36" s="161">
        <f>IF(A36=$B$4,$B$6*'Selected Economics'!I31,0)</f>
        <v>0</v>
      </c>
      <c r="H36" s="161">
        <f t="shared" si="1"/>
        <v>1</v>
      </c>
      <c r="I36" s="157"/>
      <c r="J36" s="157"/>
      <c r="K36" s="161">
        <f t="shared" si="2"/>
        <v>0</v>
      </c>
      <c r="L36" s="93"/>
      <c r="M36" s="93"/>
      <c r="N36" s="93"/>
      <c r="O36" s="93"/>
      <c r="P36" s="93"/>
      <c r="Q36" s="93"/>
      <c r="R36" s="93"/>
      <c r="S36" s="93"/>
      <c r="T36" s="93"/>
      <c r="U36" s="93"/>
      <c r="V36" s="93"/>
      <c r="W36" s="93"/>
      <c r="X36" s="93"/>
      <c r="Y36" s="93"/>
      <c r="Z36" s="93"/>
    </row>
    <row r="37" spans="1:26" ht="15" x14ac:dyDescent="0.25">
      <c r="A37" s="160">
        <f t="shared" si="3"/>
        <v>2033</v>
      </c>
      <c r="B37" s="161">
        <f>Revenue!L32</f>
        <v>967.44714429684871</v>
      </c>
      <c r="C37" s="161">
        <f>Development!AT112</f>
        <v>0</v>
      </c>
      <c r="D37" s="161">
        <f>Operations!K40</f>
        <v>255.80015483709607</v>
      </c>
      <c r="E37" s="161">
        <f t="shared" si="0"/>
        <v>711.6469894597526</v>
      </c>
      <c r="F37" s="161">
        <f t="shared" si="4"/>
        <v>29162.328675695117</v>
      </c>
      <c r="G37" s="161">
        <f>IF(A37=$B$4,$B$6*'Selected Economics'!I32,0)</f>
        <v>0</v>
      </c>
      <c r="H37" s="161">
        <f t="shared" si="1"/>
        <v>1</v>
      </c>
      <c r="I37" s="157"/>
      <c r="J37" s="157"/>
      <c r="K37" s="161">
        <f t="shared" si="2"/>
        <v>0</v>
      </c>
      <c r="L37" s="93"/>
      <c r="M37" s="93"/>
      <c r="N37" s="93"/>
      <c r="O37" s="93"/>
      <c r="P37" s="93"/>
      <c r="Q37" s="93"/>
      <c r="R37" s="93"/>
      <c r="S37" s="93"/>
      <c r="T37" s="93"/>
      <c r="U37" s="93"/>
      <c r="V37" s="93"/>
      <c r="W37" s="93"/>
      <c r="X37" s="93"/>
      <c r="Y37" s="93"/>
      <c r="Z37" s="93"/>
    </row>
    <row r="38" spans="1:26" ht="15" x14ac:dyDescent="0.25">
      <c r="A38" s="160">
        <f t="shared" si="3"/>
        <v>2034</v>
      </c>
      <c r="B38" s="161">
        <f>Revenue!L33</f>
        <v>842.88832446863</v>
      </c>
      <c r="C38" s="161">
        <f>Development!AT113</f>
        <v>0</v>
      </c>
      <c r="D38" s="161">
        <f>Operations!K41</f>
        <v>253.66579948924561</v>
      </c>
      <c r="E38" s="161">
        <f t="shared" si="0"/>
        <v>589.22252497938439</v>
      </c>
      <c r="F38" s="161">
        <f t="shared" si="4"/>
        <v>29751.551200674501</v>
      </c>
      <c r="G38" s="161">
        <f>IF(A38=$B$4,$B$6*'Selected Economics'!I33,0)</f>
        <v>0</v>
      </c>
      <c r="H38" s="161">
        <f t="shared" si="1"/>
        <v>1</v>
      </c>
      <c r="I38" s="157"/>
      <c r="J38" s="157"/>
      <c r="K38" s="161">
        <f t="shared" si="2"/>
        <v>0</v>
      </c>
      <c r="L38" s="93"/>
      <c r="M38" s="93"/>
      <c r="N38" s="93"/>
      <c r="O38" s="93"/>
      <c r="P38" s="93"/>
      <c r="Q38" s="93"/>
      <c r="R38" s="93"/>
      <c r="S38" s="93"/>
      <c r="T38" s="93"/>
      <c r="U38" s="93"/>
      <c r="V38" s="93"/>
      <c r="W38" s="93"/>
      <c r="X38" s="93"/>
      <c r="Y38" s="93"/>
      <c r="Z38" s="93"/>
    </row>
    <row r="39" spans="1:26" ht="15" x14ac:dyDescent="0.25">
      <c r="A39" s="160">
        <f t="shared" si="3"/>
        <v>2035</v>
      </c>
      <c r="B39" s="161">
        <f>Revenue!L34</f>
        <v>734.36645269329279</v>
      </c>
      <c r="C39" s="161">
        <f>Development!AT114</f>
        <v>0</v>
      </c>
      <c r="D39" s="161">
        <f>Operations!K42</f>
        <v>252.57624025711652</v>
      </c>
      <c r="E39" s="161">
        <f t="shared" si="0"/>
        <v>481.79021243617626</v>
      </c>
      <c r="F39" s="161">
        <f t="shared" si="4"/>
        <v>30233.341413110677</v>
      </c>
      <c r="G39" s="161">
        <f>IF(A39=$B$4,$B$6*'Selected Economics'!I34,0)</f>
        <v>0</v>
      </c>
      <c r="H39" s="161">
        <f t="shared" si="1"/>
        <v>1</v>
      </c>
      <c r="I39" s="157"/>
      <c r="J39" s="157"/>
      <c r="K39" s="161">
        <f t="shared" si="2"/>
        <v>0</v>
      </c>
      <c r="L39" s="93"/>
      <c r="M39" s="93"/>
      <c r="N39" s="93"/>
      <c r="O39" s="93"/>
      <c r="P39" s="93"/>
      <c r="Q39" s="93"/>
      <c r="R39" s="93"/>
      <c r="S39" s="93"/>
      <c r="T39" s="93"/>
      <c r="U39" s="93"/>
      <c r="V39" s="93"/>
      <c r="W39" s="93"/>
      <c r="X39" s="93"/>
      <c r="Y39" s="93"/>
      <c r="Z39" s="93"/>
    </row>
    <row r="40" spans="1:26" ht="15" x14ac:dyDescent="0.25">
      <c r="A40" s="160">
        <f t="shared" si="3"/>
        <v>2036</v>
      </c>
      <c r="B40" s="161">
        <f>Revenue!L35</f>
        <v>641.43075021417849</v>
      </c>
      <c r="C40" s="161">
        <f>Development!AT115</f>
        <v>0</v>
      </c>
      <c r="D40" s="161">
        <f>Operations!K43</f>
        <v>252.44909598687371</v>
      </c>
      <c r="E40" s="161">
        <f t="shared" si="0"/>
        <v>388.98165422730477</v>
      </c>
      <c r="F40" s="161">
        <f t="shared" si="4"/>
        <v>30622.32306733798</v>
      </c>
      <c r="G40" s="161">
        <f>IF(A40=$B$4,$B$6*'Selected Economics'!I35,0)</f>
        <v>0</v>
      </c>
      <c r="H40" s="161">
        <f t="shared" si="1"/>
        <v>1</v>
      </c>
      <c r="I40" s="157"/>
      <c r="J40" s="157"/>
      <c r="K40" s="161">
        <f t="shared" si="2"/>
        <v>0</v>
      </c>
      <c r="L40" s="93"/>
      <c r="M40" s="93"/>
      <c r="N40" s="93"/>
      <c r="O40" s="93"/>
      <c r="P40" s="93"/>
      <c r="Q40" s="93"/>
      <c r="R40" s="93"/>
      <c r="S40" s="93"/>
      <c r="T40" s="93"/>
      <c r="U40" s="93"/>
      <c r="V40" s="93"/>
      <c r="W40" s="93"/>
      <c r="X40" s="93"/>
      <c r="Y40" s="93"/>
      <c r="Z40" s="93"/>
    </row>
    <row r="41" spans="1:26" ht="15" x14ac:dyDescent="0.25">
      <c r="A41" s="160">
        <f t="shared" si="3"/>
        <v>2037</v>
      </c>
      <c r="B41" s="161">
        <f>Revenue!L36</f>
        <v>557.19221336132716</v>
      </c>
      <c r="C41" s="161">
        <f>Development!AT116</f>
        <v>0</v>
      </c>
      <c r="D41" s="161">
        <f>Operations!K44</f>
        <v>253.07153246442351</v>
      </c>
      <c r="E41" s="161">
        <f t="shared" si="0"/>
        <v>304.12068089690365</v>
      </c>
      <c r="F41" s="161">
        <f t="shared" si="4"/>
        <v>30926.443748234884</v>
      </c>
      <c r="G41" s="161">
        <f>IF(A41=$B$4,$B$6*'Selected Economics'!I36,0)</f>
        <v>0</v>
      </c>
      <c r="H41" s="161">
        <f t="shared" si="1"/>
        <v>1</v>
      </c>
      <c r="I41" s="157"/>
      <c r="J41" s="157"/>
      <c r="K41" s="161">
        <f t="shared" si="2"/>
        <v>0</v>
      </c>
      <c r="L41" s="93"/>
      <c r="M41" s="93"/>
      <c r="N41" s="93"/>
      <c r="O41" s="93"/>
      <c r="P41" s="93"/>
      <c r="Q41" s="93"/>
      <c r="R41" s="93"/>
      <c r="S41" s="93"/>
      <c r="T41" s="93"/>
      <c r="U41" s="93"/>
      <c r="V41" s="93"/>
      <c r="W41" s="93"/>
      <c r="X41" s="93"/>
      <c r="Y41" s="93"/>
      <c r="Z41" s="93"/>
    </row>
    <row r="42" spans="1:26" ht="15" x14ac:dyDescent="0.25">
      <c r="A42" s="160">
        <f t="shared" si="3"/>
        <v>2038</v>
      </c>
      <c r="B42" s="161">
        <f>Revenue!L37</f>
        <v>485.45371589105798</v>
      </c>
      <c r="C42" s="161">
        <f>Development!AT117</f>
        <v>0</v>
      </c>
      <c r="D42" s="161">
        <f>Operations!K45</f>
        <v>254.4859154113785</v>
      </c>
      <c r="E42" s="161">
        <f t="shared" si="0"/>
        <v>230.96780047967948</v>
      </c>
      <c r="F42" s="161">
        <f t="shared" si="4"/>
        <v>31157.411548714565</v>
      </c>
      <c r="G42" s="161">
        <f>IF(A42=$B$4,$B$6*'Selected Economics'!I37,0)</f>
        <v>0</v>
      </c>
      <c r="H42" s="161">
        <f t="shared" si="1"/>
        <v>1</v>
      </c>
      <c r="I42" s="157"/>
      <c r="J42" s="157"/>
      <c r="K42" s="161">
        <f t="shared" si="2"/>
        <v>0</v>
      </c>
      <c r="L42" s="93"/>
      <c r="M42" s="93"/>
      <c r="N42" s="93"/>
      <c r="O42" s="93"/>
      <c r="P42" s="93"/>
      <c r="Q42" s="93"/>
      <c r="R42" s="93"/>
      <c r="S42" s="93"/>
      <c r="T42" s="93"/>
      <c r="U42" s="93"/>
      <c r="V42" s="93"/>
      <c r="W42" s="93"/>
      <c r="X42" s="93"/>
      <c r="Y42" s="93"/>
      <c r="Z42" s="93"/>
    </row>
    <row r="43" spans="1:26" ht="15" x14ac:dyDescent="0.25">
      <c r="A43" s="160">
        <f t="shared" si="3"/>
        <v>2039</v>
      </c>
      <c r="B43" s="161">
        <f>Revenue!L38</f>
        <v>422.9515499700841</v>
      </c>
      <c r="C43" s="161">
        <f>Development!AT118</f>
        <v>0</v>
      </c>
      <c r="D43" s="161">
        <f>Operations!K46</f>
        <v>256.56813012270663</v>
      </c>
      <c r="E43" s="161">
        <f t="shared" si="0"/>
        <v>166.38341984737747</v>
      </c>
      <c r="F43" s="161">
        <f t="shared" si="4"/>
        <v>31323.794968561942</v>
      </c>
      <c r="G43" s="161">
        <f>IF(A43=$B$4,$B$6*'Selected Economics'!I38,0)</f>
        <v>0</v>
      </c>
      <c r="H43" s="161">
        <f t="shared" si="1"/>
        <v>1</v>
      </c>
      <c r="I43" s="157"/>
      <c r="J43" s="157"/>
      <c r="K43" s="161">
        <f t="shared" si="2"/>
        <v>0</v>
      </c>
      <c r="L43" s="93"/>
      <c r="M43" s="93"/>
      <c r="N43" s="93"/>
      <c r="O43" s="93"/>
      <c r="P43" s="93"/>
      <c r="Q43" s="93"/>
      <c r="R43" s="93"/>
      <c r="S43" s="93"/>
      <c r="T43" s="93"/>
      <c r="U43" s="93"/>
      <c r="V43" s="93"/>
      <c r="W43" s="93"/>
      <c r="X43" s="93"/>
      <c r="Y43" s="93"/>
      <c r="Z43" s="93"/>
    </row>
    <row r="44" spans="1:26" ht="15" x14ac:dyDescent="0.25">
      <c r="A44" s="160">
        <f t="shared" si="3"/>
        <v>2040</v>
      </c>
      <c r="B44" s="161">
        <f>Revenue!L39</f>
        <v>369.42609375276629</v>
      </c>
      <c r="C44" s="161">
        <f>Development!AT119</f>
        <v>0</v>
      </c>
      <c r="D44" s="161">
        <f>Operations!K47</f>
        <v>259.27238221482975</v>
      </c>
      <c r="E44" s="161">
        <f t="shared" si="0"/>
        <v>110.15371153793654</v>
      </c>
      <c r="F44" s="161">
        <f t="shared" si="4"/>
        <v>31433.948680099878</v>
      </c>
      <c r="G44" s="161">
        <f>IF(A44=$B$4,$B$6*'Selected Economics'!I39,0)</f>
        <v>0</v>
      </c>
      <c r="H44" s="161">
        <f t="shared" si="1"/>
        <v>1</v>
      </c>
      <c r="I44" s="157"/>
      <c r="J44" s="157"/>
      <c r="K44" s="161">
        <f t="shared" si="2"/>
        <v>0</v>
      </c>
      <c r="L44" s="93"/>
      <c r="M44" s="93"/>
      <c r="N44" s="93"/>
      <c r="O44" s="93"/>
      <c r="P44" s="93"/>
      <c r="Q44" s="93"/>
      <c r="R44" s="93"/>
      <c r="S44" s="93"/>
      <c r="T44" s="93"/>
      <c r="U44" s="93"/>
      <c r="V44" s="93"/>
      <c r="W44" s="93"/>
      <c r="X44" s="93"/>
      <c r="Y44" s="93"/>
      <c r="Z44" s="93"/>
    </row>
    <row r="45" spans="1:26" x14ac:dyDescent="0.3">
      <c r="A45" s="160">
        <f t="shared" si="3"/>
        <v>2041</v>
      </c>
      <c r="B45" s="161">
        <f>Revenue!L40</f>
        <v>320.90968944473371</v>
      </c>
      <c r="C45" s="161">
        <f>Development!AT120</f>
        <v>0</v>
      </c>
      <c r="D45" s="161">
        <f>Operations!K48</f>
        <v>262.47778538052569</v>
      </c>
      <c r="E45" s="161">
        <f t="shared" si="0"/>
        <v>58.431904064208027</v>
      </c>
      <c r="F45" s="161">
        <f t="shared" si="4"/>
        <v>31492.380584164086</v>
      </c>
      <c r="G45" s="161">
        <f>IF(A45=$B$4,$B$6*'Selected Economics'!I40,0)</f>
        <v>0</v>
      </c>
      <c r="H45" s="161">
        <f t="shared" si="1"/>
        <v>1</v>
      </c>
      <c r="I45" s="157"/>
      <c r="J45" s="157"/>
      <c r="K45" s="161">
        <f t="shared" si="2"/>
        <v>0</v>
      </c>
      <c r="L45" s="93"/>
      <c r="M45" s="93"/>
      <c r="N45" s="93"/>
      <c r="O45" s="93"/>
      <c r="P45" s="93"/>
      <c r="Q45" s="93"/>
      <c r="R45" s="93"/>
      <c r="S45" s="93"/>
      <c r="T45" s="93"/>
      <c r="U45" s="93"/>
      <c r="V45" s="93"/>
      <c r="W45" s="93"/>
      <c r="X45" s="93"/>
      <c r="Y45" s="93"/>
      <c r="Z45" s="93"/>
    </row>
    <row r="46" spans="1:26" x14ac:dyDescent="0.3">
      <c r="A46" s="160">
        <f t="shared" si="3"/>
        <v>2042</v>
      </c>
      <c r="B46" s="161">
        <f>Revenue!L41</f>
        <v>279.59256692872322</v>
      </c>
      <c r="C46" s="161">
        <f>Development!AT121</f>
        <v>0</v>
      </c>
      <c r="D46" s="161">
        <f>Operations!K49</f>
        <v>266.21047568916032</v>
      </c>
      <c r="E46" s="161">
        <f t="shared" si="0"/>
        <v>13.382091239562897</v>
      </c>
      <c r="F46" s="161">
        <f t="shared" si="4"/>
        <v>31505.76267540365</v>
      </c>
      <c r="G46" s="161">
        <f>IF(A46=$B$4,$B$6*'Selected Economics'!I41,0)</f>
        <v>0</v>
      </c>
      <c r="H46" s="161">
        <f t="shared" si="1"/>
        <v>1</v>
      </c>
      <c r="I46" s="157"/>
      <c r="J46" s="157"/>
      <c r="K46" s="161">
        <f t="shared" si="2"/>
        <v>0</v>
      </c>
      <c r="L46" s="93"/>
      <c r="M46" s="93"/>
      <c r="N46" s="93"/>
      <c r="O46" s="93"/>
      <c r="P46" s="93"/>
      <c r="Q46" s="93"/>
      <c r="R46" s="93"/>
      <c r="S46" s="93"/>
      <c r="T46" s="93"/>
      <c r="U46" s="93"/>
      <c r="V46" s="93"/>
      <c r="W46" s="93"/>
      <c r="X46" s="93"/>
      <c r="Y46" s="93"/>
      <c r="Z46" s="93"/>
    </row>
    <row r="47" spans="1:26" x14ac:dyDescent="0.3">
      <c r="A47" s="160">
        <f t="shared" si="3"/>
        <v>2043</v>
      </c>
      <c r="B47" s="161">
        <f>Revenue!L42</f>
        <v>243.59502393665065</v>
      </c>
      <c r="C47" s="161">
        <f>Development!AT122</f>
        <v>0</v>
      </c>
      <c r="D47" s="161">
        <f>Operations!K50</f>
        <v>270.40074974996776</v>
      </c>
      <c r="E47" s="161">
        <f t="shared" si="0"/>
        <v>-26.80572581331711</v>
      </c>
      <c r="F47" s="161">
        <f t="shared" si="4"/>
        <v>31478.956949590334</v>
      </c>
      <c r="G47" s="161">
        <f>IF(A47=$B$4,$B$6*'Selected Economics'!I42,0)</f>
        <v>360.12613373360404</v>
      </c>
      <c r="H47" s="161">
        <f t="shared" si="1"/>
        <v>0</v>
      </c>
      <c r="I47" s="157"/>
      <c r="J47" s="157"/>
      <c r="K47" s="161">
        <f t="shared" si="2"/>
        <v>94.533110105071046</v>
      </c>
      <c r="L47" s="93"/>
      <c r="M47" s="93"/>
      <c r="N47" s="93"/>
      <c r="O47" s="93"/>
      <c r="P47" s="93"/>
      <c r="Q47" s="93"/>
      <c r="R47" s="93"/>
      <c r="S47" s="93"/>
      <c r="T47" s="93"/>
      <c r="U47" s="93"/>
      <c r="V47" s="93"/>
      <c r="W47" s="93"/>
      <c r="X47" s="93"/>
      <c r="Y47" s="93"/>
      <c r="Z47" s="93"/>
    </row>
    <row r="48" spans="1:26" x14ac:dyDescent="0.3">
      <c r="A48" s="160">
        <f t="shared" si="3"/>
        <v>2044</v>
      </c>
      <c r="B48" s="161">
        <f>Revenue!L43</f>
        <v>212.76753367352293</v>
      </c>
      <c r="C48" s="161">
        <f>Development!AT123</f>
        <v>0</v>
      </c>
      <c r="D48" s="161">
        <f>Operations!K51</f>
        <v>275.024056518272</v>
      </c>
      <c r="E48" s="161">
        <f t="shared" si="0"/>
        <v>-62.256522844749071</v>
      </c>
      <c r="F48" s="161">
        <f t="shared" si="4"/>
        <v>31416.700426745585</v>
      </c>
      <c r="G48" s="161">
        <f>IF(A48=$B$4,$B$6*'Selected Economics'!I43,0)</f>
        <v>0</v>
      </c>
      <c r="H48" s="161">
        <f t="shared" si="1"/>
        <v>0</v>
      </c>
      <c r="I48" s="157"/>
      <c r="J48" s="157"/>
      <c r="K48" s="161">
        <f t="shared" si="2"/>
        <v>0</v>
      </c>
      <c r="L48" s="93"/>
      <c r="M48" s="93"/>
      <c r="N48" s="93"/>
      <c r="O48" s="93"/>
      <c r="P48" s="93"/>
      <c r="Q48" s="93"/>
      <c r="R48" s="93"/>
      <c r="S48" s="93"/>
      <c r="T48" s="93"/>
      <c r="U48" s="93"/>
      <c r="V48" s="93"/>
      <c r="W48" s="93"/>
      <c r="X48" s="93"/>
      <c r="Y48" s="93"/>
      <c r="Z48" s="93"/>
    </row>
    <row r="49" spans="1:26" x14ac:dyDescent="0.3">
      <c r="A49" s="160">
        <f t="shared" si="3"/>
        <v>2045</v>
      </c>
      <c r="B49" s="161">
        <f>Revenue!L44</f>
        <v>118.7044408116935</v>
      </c>
      <c r="C49" s="161">
        <f>Development!AT124</f>
        <v>0</v>
      </c>
      <c r="D49" s="161">
        <f>Operations!K52</f>
        <v>177.17796493293073</v>
      </c>
      <c r="E49" s="161">
        <f t="shared" si="0"/>
        <v>-58.473524121237233</v>
      </c>
      <c r="F49" s="161">
        <f t="shared" si="4"/>
        <v>31358.226902624348</v>
      </c>
      <c r="G49" s="161">
        <f>IF(A49=$B$4,$B$6*'Selected Economics'!I44,0)</f>
        <v>0</v>
      </c>
      <c r="H49" s="161">
        <f t="shared" si="1"/>
        <v>0</v>
      </c>
      <c r="I49" s="157"/>
      <c r="J49" s="157"/>
      <c r="K49" s="161">
        <f t="shared" si="2"/>
        <v>0</v>
      </c>
      <c r="L49" s="93"/>
      <c r="M49" s="93"/>
      <c r="N49" s="93"/>
      <c r="O49" s="93"/>
      <c r="P49" s="93"/>
      <c r="Q49" s="93"/>
      <c r="R49" s="93"/>
      <c r="S49" s="93"/>
      <c r="T49" s="93"/>
      <c r="U49" s="93"/>
      <c r="V49" s="93"/>
      <c r="W49" s="93"/>
      <c r="X49" s="93"/>
      <c r="Y49" s="93"/>
      <c r="Z49" s="93"/>
    </row>
    <row r="50" spans="1:26" x14ac:dyDescent="0.3">
      <c r="A50" s="160">
        <f t="shared" si="3"/>
        <v>2046</v>
      </c>
      <c r="B50" s="161">
        <f>Revenue!L45</f>
        <v>0</v>
      </c>
      <c r="C50" s="161">
        <f>Development!AT125</f>
        <v>0</v>
      </c>
      <c r="D50" s="161">
        <f>Operations!K53</f>
        <v>0</v>
      </c>
      <c r="E50" s="161">
        <f t="shared" si="0"/>
        <v>0</v>
      </c>
      <c r="F50" s="161">
        <f t="shared" si="4"/>
        <v>31358.226902624348</v>
      </c>
      <c r="G50" s="161">
        <f>IF(A50=$B$4,$B$6*'Selected Economics'!I45,0)</f>
        <v>0</v>
      </c>
      <c r="H50" s="161">
        <f t="shared" si="1"/>
        <v>0</v>
      </c>
      <c r="I50" s="157"/>
      <c r="J50" s="157"/>
      <c r="K50" s="161">
        <f t="shared" si="2"/>
        <v>0</v>
      </c>
      <c r="L50" s="93"/>
      <c r="M50" s="93"/>
      <c r="N50" s="93"/>
      <c r="O50" s="93"/>
      <c r="P50" s="93"/>
      <c r="Q50" s="93"/>
      <c r="R50" s="93"/>
      <c r="S50" s="93"/>
      <c r="T50" s="93"/>
      <c r="U50" s="93"/>
      <c r="V50" s="93"/>
      <c r="W50" s="93"/>
      <c r="X50" s="93"/>
      <c r="Y50" s="93"/>
      <c r="Z50" s="93"/>
    </row>
    <row r="51" spans="1:26" x14ac:dyDescent="0.3">
      <c r="A51" s="160">
        <f t="shared" si="3"/>
        <v>2047</v>
      </c>
      <c r="B51" s="161">
        <f>Revenue!L46</f>
        <v>0</v>
      </c>
      <c r="C51" s="161">
        <f>Development!AT126</f>
        <v>0</v>
      </c>
      <c r="D51" s="161">
        <f>Operations!K54</f>
        <v>0</v>
      </c>
      <c r="E51" s="161">
        <f t="shared" si="0"/>
        <v>0</v>
      </c>
      <c r="F51" s="161">
        <f t="shared" si="4"/>
        <v>31358.226902624348</v>
      </c>
      <c r="G51" s="161">
        <f>IF(A51=$B$4,$B$6*'Selected Economics'!I46,0)</f>
        <v>0</v>
      </c>
      <c r="H51" s="161">
        <f t="shared" si="1"/>
        <v>0</v>
      </c>
      <c r="I51" s="157"/>
      <c r="J51" s="157"/>
      <c r="K51" s="161">
        <f t="shared" si="2"/>
        <v>0</v>
      </c>
      <c r="L51" s="93"/>
      <c r="M51" s="93"/>
      <c r="N51" s="93"/>
      <c r="O51" s="93"/>
      <c r="P51" s="93"/>
      <c r="Q51" s="93"/>
      <c r="R51" s="93"/>
      <c r="S51" s="93"/>
      <c r="T51" s="93"/>
      <c r="U51" s="93"/>
      <c r="V51" s="93"/>
      <c r="W51" s="93"/>
      <c r="X51" s="93"/>
      <c r="Y51" s="93"/>
      <c r="Z51" s="93"/>
    </row>
    <row r="52" spans="1:26" x14ac:dyDescent="0.3">
      <c r="A52" s="160">
        <f t="shared" si="3"/>
        <v>2048</v>
      </c>
      <c r="B52" s="161">
        <f>Revenue!L47</f>
        <v>0</v>
      </c>
      <c r="C52" s="161">
        <f>Development!AT127</f>
        <v>0</v>
      </c>
      <c r="D52" s="161">
        <f>Operations!K55</f>
        <v>0</v>
      </c>
      <c r="E52" s="161">
        <f t="shared" si="0"/>
        <v>0</v>
      </c>
      <c r="F52" s="161">
        <f t="shared" si="4"/>
        <v>31358.226902624348</v>
      </c>
      <c r="G52" s="161">
        <f>IF(A52=$B$4,$B$6*'Selected Economics'!I47,0)</f>
        <v>0</v>
      </c>
      <c r="H52" s="161">
        <f t="shared" si="1"/>
        <v>0</v>
      </c>
      <c r="I52" s="157"/>
      <c r="J52" s="157"/>
      <c r="K52" s="161">
        <f t="shared" si="2"/>
        <v>0</v>
      </c>
      <c r="L52" s="93"/>
      <c r="M52" s="93"/>
      <c r="N52" s="93"/>
      <c r="O52" s="93"/>
      <c r="P52" s="93"/>
      <c r="Q52" s="93"/>
      <c r="R52" s="93"/>
      <c r="S52" s="93"/>
      <c r="T52" s="93"/>
      <c r="U52" s="93"/>
      <c r="V52" s="93"/>
      <c r="W52" s="93"/>
      <c r="X52" s="93"/>
      <c r="Y52" s="93"/>
      <c r="Z52" s="93"/>
    </row>
    <row r="53" spans="1:26" x14ac:dyDescent="0.3">
      <c r="A53" s="160">
        <f t="shared" si="3"/>
        <v>2049</v>
      </c>
      <c r="B53" s="161">
        <f>Revenue!L48</f>
        <v>0</v>
      </c>
      <c r="C53" s="161">
        <f>Development!AT128</f>
        <v>0</v>
      </c>
      <c r="D53" s="161">
        <f>Operations!K56</f>
        <v>0</v>
      </c>
      <c r="E53" s="161">
        <f t="shared" si="0"/>
        <v>0</v>
      </c>
      <c r="F53" s="161">
        <f t="shared" si="4"/>
        <v>31358.226902624348</v>
      </c>
      <c r="G53" s="161">
        <f>IF(A53=$B$4,$B$6*'Selected Economics'!I48,0)</f>
        <v>0</v>
      </c>
      <c r="H53" s="161">
        <f t="shared" si="1"/>
        <v>0</v>
      </c>
      <c r="I53" s="157"/>
      <c r="J53" s="157"/>
      <c r="K53" s="161">
        <f t="shared" si="2"/>
        <v>0</v>
      </c>
      <c r="L53" s="93"/>
      <c r="M53" s="93"/>
      <c r="N53" s="93"/>
      <c r="O53" s="93"/>
      <c r="P53" s="93"/>
      <c r="Q53" s="93"/>
      <c r="R53" s="93"/>
      <c r="S53" s="93"/>
      <c r="T53" s="93"/>
      <c r="U53" s="93"/>
      <c r="V53" s="93"/>
      <c r="W53" s="93"/>
      <c r="X53" s="93"/>
      <c r="Y53" s="93"/>
      <c r="Z53" s="93"/>
    </row>
    <row r="54" spans="1:26" x14ac:dyDescent="0.3">
      <c r="A54" s="160">
        <f t="shared" si="3"/>
        <v>2050</v>
      </c>
      <c r="B54" s="161">
        <f>Revenue!L49</f>
        <v>0</v>
      </c>
      <c r="C54" s="161">
        <f>Development!AT129</f>
        <v>0</v>
      </c>
      <c r="D54" s="161">
        <f>Operations!K57</f>
        <v>0</v>
      </c>
      <c r="E54" s="161">
        <f t="shared" si="0"/>
        <v>0</v>
      </c>
      <c r="F54" s="161">
        <f t="shared" si="4"/>
        <v>31358.226902624348</v>
      </c>
      <c r="G54" s="161">
        <f>IF(A54=$B$4,$B$6*'Selected Economics'!I49,0)</f>
        <v>0</v>
      </c>
      <c r="H54" s="161">
        <f t="shared" si="1"/>
        <v>0</v>
      </c>
      <c r="I54" s="157"/>
      <c r="J54" s="157"/>
      <c r="K54" s="161">
        <f t="shared" si="2"/>
        <v>0</v>
      </c>
      <c r="L54" s="93"/>
      <c r="M54" s="93"/>
      <c r="N54" s="93"/>
      <c r="O54" s="93"/>
      <c r="P54" s="93"/>
      <c r="Q54" s="93"/>
      <c r="R54" s="93"/>
      <c r="S54" s="93"/>
      <c r="T54" s="93"/>
      <c r="U54" s="93"/>
      <c r="V54" s="93"/>
      <c r="W54" s="93"/>
      <c r="X54" s="93"/>
      <c r="Y54" s="93"/>
      <c r="Z54" s="93"/>
    </row>
    <row r="55" spans="1:26" x14ac:dyDescent="0.3">
      <c r="A55" s="162">
        <f t="shared" si="3"/>
        <v>2051</v>
      </c>
      <c r="B55" s="163">
        <f>Revenue!L50</f>
        <v>0</v>
      </c>
      <c r="C55" s="163">
        <f>Development!AT130</f>
        <v>0</v>
      </c>
      <c r="D55" s="163">
        <f>Operations!K58</f>
        <v>0</v>
      </c>
      <c r="E55" s="163">
        <f t="shared" si="0"/>
        <v>0</v>
      </c>
      <c r="F55" s="163">
        <f t="shared" si="4"/>
        <v>31358.226902624348</v>
      </c>
      <c r="G55" s="163">
        <f>IF(A55=$B$4,$B$6*'Selected Economics'!I50,0)</f>
        <v>0</v>
      </c>
      <c r="H55" s="163">
        <f t="shared" si="1"/>
        <v>0</v>
      </c>
      <c r="I55" s="157"/>
      <c r="J55" s="157"/>
      <c r="K55" s="163">
        <f t="shared" si="2"/>
        <v>0</v>
      </c>
      <c r="L55" s="93"/>
      <c r="M55" s="93"/>
      <c r="N55" s="93"/>
      <c r="O55" s="93"/>
      <c r="P55" s="93"/>
      <c r="Q55" s="93"/>
      <c r="R55" s="93"/>
      <c r="S55" s="93"/>
      <c r="T55" s="93"/>
      <c r="U55" s="93"/>
      <c r="V55" s="93"/>
      <c r="W55" s="93"/>
      <c r="X55" s="93"/>
      <c r="Y55" s="93"/>
      <c r="Z55" s="93"/>
    </row>
  </sheetData>
  <sheetProtection password="8BC3" sheet="1" objects="1" scenarios="1"/>
  <hyperlinks>
    <hyperlink ref="H1" location="Guide" display="Guide"/>
    <hyperlink ref="H2" location="Input" display="Input"/>
  </hyperlinks>
  <pageMargins left="0.7" right="0.7" top="0.75" bottom="0.75" header="0.3" footer="0.3"/>
  <pageSetup paperSize="9" scale="64" orientation="portrait" r:id="rId1"/>
  <headerFooter>
    <oddFooter>&amp;LNova Scotia Exploration Economics Model&amp;Rwww.indeva.com</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79998168889431442"/>
    <pageSetUpPr fitToPage="1"/>
  </sheetPr>
  <dimension ref="A1:BB52"/>
  <sheetViews>
    <sheetView showGridLine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activeCell="C11" sqref="C11"/>
    </sheetView>
  </sheetViews>
  <sheetFormatPr defaultRowHeight="14.4" x14ac:dyDescent="0.3"/>
  <cols>
    <col min="1" max="1" width="21.109375" customWidth="1"/>
    <col min="2" max="2" width="11.5546875" bestFit="1" customWidth="1"/>
    <col min="3" max="4" width="10" customWidth="1"/>
    <col min="5" max="5" width="10.33203125" customWidth="1"/>
    <col min="6" max="6" width="14" customWidth="1"/>
    <col min="7" max="7" width="11.109375" customWidth="1"/>
    <col min="8" max="8" width="11" customWidth="1"/>
    <col min="9" max="9" width="14" customWidth="1"/>
    <col min="10" max="10" width="11.109375" customWidth="1"/>
    <col min="11" max="11" width="10.44140625" customWidth="1"/>
    <col min="12" max="12" width="11.33203125" customWidth="1"/>
    <col min="13" max="13" width="10.6640625" bestFit="1" customWidth="1"/>
    <col min="14" max="14" width="10.6640625" customWidth="1"/>
    <col min="15" max="16" width="10.5546875" customWidth="1"/>
    <col min="17" max="17" width="12.5546875" customWidth="1"/>
    <col min="18" max="18" width="9.88671875" customWidth="1"/>
    <col min="19" max="19" width="14" customWidth="1"/>
    <col min="20" max="20" width="15.109375" customWidth="1"/>
    <col min="21" max="22" width="9.33203125" bestFit="1" customWidth="1"/>
    <col min="23" max="23" width="11.33203125" customWidth="1"/>
    <col min="24" max="24" width="14" customWidth="1"/>
    <col min="25" max="25" width="15.109375" customWidth="1"/>
    <col min="26" max="26" width="12.109375" customWidth="1"/>
    <col min="27" max="27" width="11.33203125" customWidth="1"/>
    <col min="28" max="28" width="14.109375" customWidth="1"/>
    <col min="29" max="29" width="14.5546875" customWidth="1"/>
    <col min="30" max="31" width="9.109375" customWidth="1"/>
    <col min="32" max="32" width="11.88671875" customWidth="1"/>
    <col min="33" max="33" width="12.5546875" customWidth="1"/>
    <col min="34" max="34" width="10.5546875" customWidth="1"/>
    <col min="35" max="35" width="11" bestFit="1" customWidth="1"/>
    <col min="36" max="37" width="11.5546875" customWidth="1"/>
    <col min="38" max="39" width="11.6640625" bestFit="1" customWidth="1"/>
    <col min="40" max="40" width="12.33203125" style="4" customWidth="1"/>
    <col min="43" max="43" width="15" customWidth="1"/>
    <col min="44" max="44" width="16.33203125" customWidth="1"/>
    <col min="45" max="45" width="17" customWidth="1"/>
    <col min="46" max="46" width="17.44140625" customWidth="1"/>
    <col min="48" max="48" width="13.109375" customWidth="1"/>
    <col min="49" max="49" width="11.6640625" customWidth="1"/>
    <col min="50" max="50" width="13" customWidth="1"/>
    <col min="51" max="51" width="14.109375" customWidth="1"/>
  </cols>
  <sheetData>
    <row r="1" spans="1:54" ht="18.75" x14ac:dyDescent="0.3">
      <c r="A1" s="143" t="str">
        <f>Input!B8</f>
        <v>Prospect X</v>
      </c>
      <c r="B1" s="143" t="s">
        <v>10</v>
      </c>
      <c r="C1" s="143"/>
      <c r="D1" s="93"/>
      <c r="E1" s="93"/>
      <c r="F1" s="144" t="s">
        <v>769</v>
      </c>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row>
    <row r="2" spans="1:54" ht="18.75" x14ac:dyDescent="0.25">
      <c r="A2" s="93"/>
      <c r="B2" s="93"/>
      <c r="C2" s="93"/>
      <c r="D2" s="93"/>
      <c r="E2" s="93"/>
      <c r="F2" s="144" t="s">
        <v>143</v>
      </c>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row>
    <row r="3" spans="1:54" ht="15" x14ac:dyDescent="0.25">
      <c r="A3" s="93">
        <v>1</v>
      </c>
      <c r="B3" s="93">
        <f>A3+1</f>
        <v>2</v>
      </c>
      <c r="C3" s="93">
        <f t="shared" ref="C3:AJ3" si="0">B3+1</f>
        <v>3</v>
      </c>
      <c r="D3" s="93">
        <f t="shared" si="0"/>
        <v>4</v>
      </c>
      <c r="E3" s="93">
        <f t="shared" si="0"/>
        <v>5</v>
      </c>
      <c r="F3" s="93">
        <f t="shared" si="0"/>
        <v>6</v>
      </c>
      <c r="G3" s="93">
        <f t="shared" si="0"/>
        <v>7</v>
      </c>
      <c r="H3" s="93">
        <f t="shared" si="0"/>
        <v>8</v>
      </c>
      <c r="I3" s="93">
        <f t="shared" si="0"/>
        <v>9</v>
      </c>
      <c r="J3" s="93">
        <f t="shared" si="0"/>
        <v>10</v>
      </c>
      <c r="K3" s="93">
        <f t="shared" si="0"/>
        <v>11</v>
      </c>
      <c r="L3" s="93">
        <f>K3+1</f>
        <v>12</v>
      </c>
      <c r="M3" s="93">
        <f t="shared" si="0"/>
        <v>13</v>
      </c>
      <c r="N3" s="93">
        <f t="shared" si="0"/>
        <v>14</v>
      </c>
      <c r="O3" s="93">
        <f t="shared" si="0"/>
        <v>15</v>
      </c>
      <c r="P3" s="93">
        <f t="shared" si="0"/>
        <v>16</v>
      </c>
      <c r="Q3" s="93">
        <f t="shared" si="0"/>
        <v>17</v>
      </c>
      <c r="R3" s="93">
        <f t="shared" si="0"/>
        <v>18</v>
      </c>
      <c r="S3" s="93">
        <f t="shared" si="0"/>
        <v>19</v>
      </c>
      <c r="T3" s="93">
        <f t="shared" si="0"/>
        <v>20</v>
      </c>
      <c r="U3" s="93">
        <f t="shared" si="0"/>
        <v>21</v>
      </c>
      <c r="V3" s="93">
        <f t="shared" si="0"/>
        <v>22</v>
      </c>
      <c r="W3" s="93">
        <f t="shared" si="0"/>
        <v>23</v>
      </c>
      <c r="X3" s="93">
        <f t="shared" si="0"/>
        <v>24</v>
      </c>
      <c r="Y3" s="93">
        <f t="shared" si="0"/>
        <v>25</v>
      </c>
      <c r="Z3" s="93">
        <f t="shared" si="0"/>
        <v>26</v>
      </c>
      <c r="AA3" s="93">
        <f t="shared" si="0"/>
        <v>27</v>
      </c>
      <c r="AB3" s="93">
        <f t="shared" si="0"/>
        <v>28</v>
      </c>
      <c r="AC3" s="93">
        <f t="shared" si="0"/>
        <v>29</v>
      </c>
      <c r="AD3" s="93">
        <f t="shared" si="0"/>
        <v>30</v>
      </c>
      <c r="AE3" s="93">
        <f t="shared" si="0"/>
        <v>31</v>
      </c>
      <c r="AF3" s="93">
        <f t="shared" si="0"/>
        <v>32</v>
      </c>
      <c r="AG3" s="93">
        <f t="shared" si="0"/>
        <v>33</v>
      </c>
      <c r="AH3" s="93">
        <f t="shared" si="0"/>
        <v>34</v>
      </c>
      <c r="AI3" s="93">
        <f t="shared" si="0"/>
        <v>35</v>
      </c>
      <c r="AJ3" s="93">
        <f t="shared" si="0"/>
        <v>36</v>
      </c>
      <c r="AK3" s="176" t="s">
        <v>11</v>
      </c>
      <c r="AL3" s="240">
        <f>VLOOKUP(Abandonment!B4,$A$12:$AG$51,33)</f>
        <v>360.12613373360404</v>
      </c>
      <c r="AM3" s="93"/>
      <c r="AN3" s="93"/>
      <c r="AO3" s="93"/>
      <c r="AP3" s="93"/>
      <c r="AQ3" s="93"/>
      <c r="AR3" s="93"/>
      <c r="AS3" s="93"/>
      <c r="AT3" s="93"/>
      <c r="AU3" s="93"/>
      <c r="AV3" s="93"/>
      <c r="AW3" s="93"/>
      <c r="AX3" s="93"/>
      <c r="AY3" s="93"/>
      <c r="AZ3" s="93"/>
      <c r="BA3" s="93"/>
      <c r="BB3" s="93"/>
    </row>
    <row r="4" spans="1:54" ht="15" x14ac:dyDescent="0.25">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176" t="s">
        <v>12</v>
      </c>
      <c r="AL4" s="183">
        <f>SUM(AK12:AK51)</f>
        <v>75.160820686464504</v>
      </c>
      <c r="AM4" s="93"/>
      <c r="AN4" s="93"/>
      <c r="AO4" s="93"/>
      <c r="AP4" s="93"/>
      <c r="AQ4" s="93"/>
      <c r="AR4" s="93"/>
      <c r="AS4" s="93"/>
      <c r="AT4" s="93"/>
      <c r="AU4" s="93"/>
      <c r="AV4" s="93"/>
      <c r="AW4" s="93"/>
      <c r="AX4" s="93"/>
      <c r="AY4" s="93"/>
      <c r="AZ4" s="93"/>
      <c r="BA4" s="93"/>
      <c r="BB4" s="93"/>
    </row>
    <row r="5" spans="1:54" ht="15" x14ac:dyDescent="0.25">
      <c r="A5" s="140" t="s">
        <v>14</v>
      </c>
      <c r="B5" s="140" t="s">
        <v>15</v>
      </c>
      <c r="C5" s="140" t="s">
        <v>16</v>
      </c>
      <c r="D5" s="140" t="s">
        <v>17</v>
      </c>
      <c r="E5" s="140" t="s">
        <v>18</v>
      </c>
      <c r="F5" s="140" t="s">
        <v>19</v>
      </c>
      <c r="G5" s="140" t="s">
        <v>20</v>
      </c>
      <c r="H5" s="140" t="s">
        <v>21</v>
      </c>
      <c r="I5" s="140" t="s">
        <v>22</v>
      </c>
      <c r="J5" s="140" t="s">
        <v>23</v>
      </c>
      <c r="K5" s="140" t="s">
        <v>24</v>
      </c>
      <c r="L5" s="584" t="s">
        <v>25</v>
      </c>
      <c r="M5" s="585"/>
      <c r="N5" s="586"/>
      <c r="O5" s="589" t="s">
        <v>26</v>
      </c>
      <c r="P5" s="590"/>
      <c r="Q5" s="591"/>
      <c r="R5" s="140" t="s">
        <v>27</v>
      </c>
      <c r="S5" s="589" t="s">
        <v>28</v>
      </c>
      <c r="T5" s="590"/>
      <c r="U5" s="590"/>
      <c r="V5" s="591"/>
      <c r="W5" s="140" t="s">
        <v>29</v>
      </c>
      <c r="X5" s="589" t="s">
        <v>30</v>
      </c>
      <c r="Y5" s="590"/>
      <c r="Z5" s="590"/>
      <c r="AA5" s="591"/>
      <c r="AB5" s="589" t="s">
        <v>31</v>
      </c>
      <c r="AC5" s="590"/>
      <c r="AD5" s="590"/>
      <c r="AE5" s="591"/>
      <c r="AF5" s="140" t="s">
        <v>32</v>
      </c>
      <c r="AG5" s="140" t="s">
        <v>33</v>
      </c>
      <c r="AH5" s="140" t="s">
        <v>34</v>
      </c>
      <c r="AI5" s="140" t="s">
        <v>35</v>
      </c>
      <c r="AJ5" s="140" t="s">
        <v>36</v>
      </c>
      <c r="AK5" s="140" t="s">
        <v>37</v>
      </c>
      <c r="AL5" s="140" t="s">
        <v>38</v>
      </c>
      <c r="AM5" s="140" t="s">
        <v>39</v>
      </c>
      <c r="AN5" s="93"/>
      <c r="AO5" s="93"/>
      <c r="AP5" s="93"/>
      <c r="AQ5" s="584" t="s">
        <v>40</v>
      </c>
      <c r="AR5" s="585"/>
      <c r="AS5" s="585"/>
      <c r="AT5" s="586"/>
      <c r="AU5" s="93"/>
      <c r="AV5" s="93"/>
      <c r="AW5" s="93"/>
      <c r="AX5" s="93"/>
      <c r="AY5" s="93"/>
      <c r="AZ5" s="93"/>
      <c r="BA5" s="93"/>
      <c r="BB5" s="93"/>
    </row>
    <row r="6" spans="1:54" ht="15" x14ac:dyDescent="0.25">
      <c r="A6" s="141"/>
      <c r="B6" s="141"/>
      <c r="C6" s="141" t="s">
        <v>41</v>
      </c>
      <c r="D6" s="141" t="s">
        <v>41</v>
      </c>
      <c r="E6" s="141" t="s">
        <v>41</v>
      </c>
      <c r="F6" s="141" t="s">
        <v>42</v>
      </c>
      <c r="G6" s="141" t="s">
        <v>43</v>
      </c>
      <c r="H6" s="141" t="s">
        <v>44</v>
      </c>
      <c r="I6" s="141" t="s">
        <v>45</v>
      </c>
      <c r="J6" s="141" t="s">
        <v>20</v>
      </c>
      <c r="K6" s="141" t="s">
        <v>46</v>
      </c>
      <c r="L6" s="156" t="s">
        <v>47</v>
      </c>
      <c r="M6" s="156" t="s">
        <v>48</v>
      </c>
      <c r="N6" s="156" t="s">
        <v>49</v>
      </c>
      <c r="O6" s="140" t="s">
        <v>47</v>
      </c>
      <c r="P6" s="140" t="s">
        <v>48</v>
      </c>
      <c r="Q6" s="140" t="s">
        <v>49</v>
      </c>
      <c r="R6" s="141" t="s">
        <v>23</v>
      </c>
      <c r="S6" s="140" t="s">
        <v>50</v>
      </c>
      <c r="T6" s="140" t="s">
        <v>51</v>
      </c>
      <c r="U6" s="140" t="s">
        <v>52</v>
      </c>
      <c r="V6" s="140" t="s">
        <v>53</v>
      </c>
      <c r="W6" s="141" t="s">
        <v>15</v>
      </c>
      <c r="X6" s="156" t="s">
        <v>50</v>
      </c>
      <c r="Y6" s="156" t="s">
        <v>51</v>
      </c>
      <c r="Z6" s="156" t="s">
        <v>52</v>
      </c>
      <c r="AA6" s="156" t="s">
        <v>53</v>
      </c>
      <c r="AB6" s="156" t="s">
        <v>50</v>
      </c>
      <c r="AC6" s="156" t="s">
        <v>51</v>
      </c>
      <c r="AD6" s="156" t="s">
        <v>52</v>
      </c>
      <c r="AE6" s="156" t="s">
        <v>53</v>
      </c>
      <c r="AF6" s="141" t="s">
        <v>54</v>
      </c>
      <c r="AG6" s="141" t="s">
        <v>55</v>
      </c>
      <c r="AH6" s="141" t="s">
        <v>55</v>
      </c>
      <c r="AI6" s="141" t="s">
        <v>56</v>
      </c>
      <c r="AJ6" s="141" t="s">
        <v>38</v>
      </c>
      <c r="AK6" s="141" t="s">
        <v>58</v>
      </c>
      <c r="AL6" s="141" t="s">
        <v>37</v>
      </c>
      <c r="AM6" s="141" t="s">
        <v>59</v>
      </c>
      <c r="AN6" s="93"/>
      <c r="AO6" s="93"/>
      <c r="AP6" s="93"/>
      <c r="AQ6" s="140" t="s">
        <v>60</v>
      </c>
      <c r="AR6" s="140" t="s">
        <v>47</v>
      </c>
      <c r="AS6" s="140" t="s">
        <v>48</v>
      </c>
      <c r="AT6" s="140" t="s">
        <v>49</v>
      </c>
      <c r="AU6" s="93"/>
      <c r="AV6" s="93"/>
      <c r="AW6" s="93"/>
      <c r="AX6" s="93"/>
      <c r="AY6" s="93"/>
      <c r="AZ6" s="93"/>
      <c r="BA6" s="93"/>
      <c r="BB6" s="93"/>
    </row>
    <row r="7" spans="1:54" ht="15" x14ac:dyDescent="0.25">
      <c r="A7" s="149"/>
      <c r="B7" s="149"/>
      <c r="C7" s="149"/>
      <c r="D7" s="241"/>
      <c r="E7" s="241"/>
      <c r="F7" s="149"/>
      <c r="G7" s="149" t="s">
        <v>38</v>
      </c>
      <c r="H7" s="149"/>
      <c r="I7" s="149" t="s">
        <v>61</v>
      </c>
      <c r="J7" s="149"/>
      <c r="K7" s="149"/>
      <c r="L7" s="136">
        <v>0.05</v>
      </c>
      <c r="M7" s="136">
        <v>0.2</v>
      </c>
      <c r="N7" s="136">
        <v>0.45</v>
      </c>
      <c r="O7" s="149"/>
      <c r="P7" s="149"/>
      <c r="Q7" s="149"/>
      <c r="R7" s="242"/>
      <c r="S7" s="242"/>
      <c r="T7" s="242"/>
      <c r="U7" s="242"/>
      <c r="V7" s="242"/>
      <c r="W7" s="242"/>
      <c r="X7" s="243">
        <v>0.02</v>
      </c>
      <c r="Y7" s="243">
        <v>0.05</v>
      </c>
      <c r="Z7" s="243">
        <v>0.2</v>
      </c>
      <c r="AA7" s="244">
        <f>IF(Input!B34="Yes",0.2,0.35)</f>
        <v>0.35</v>
      </c>
      <c r="AB7" s="243">
        <v>0.02</v>
      </c>
      <c r="AC7" s="243">
        <v>0.05</v>
      </c>
      <c r="AD7" s="243">
        <v>0.2</v>
      </c>
      <c r="AE7" s="244">
        <f>IF(Input!G37="Yes",0.2,0.35)</f>
        <v>0.35</v>
      </c>
      <c r="AF7" s="149"/>
      <c r="AG7" s="149"/>
      <c r="AH7" s="149"/>
      <c r="AI7" s="149"/>
      <c r="AJ7" s="149"/>
      <c r="AK7" s="149"/>
      <c r="AL7" s="149"/>
      <c r="AM7" s="149" t="s">
        <v>62</v>
      </c>
      <c r="AN7" s="93"/>
      <c r="AO7" s="93"/>
      <c r="AP7" s="93"/>
      <c r="AQ7" s="149"/>
      <c r="AR7" s="149"/>
      <c r="AS7" s="149"/>
      <c r="AT7" s="149"/>
      <c r="AU7" s="93"/>
      <c r="AV7" s="93"/>
      <c r="AW7" s="93"/>
      <c r="AX7" s="93"/>
      <c r="AY7" s="93"/>
      <c r="AZ7" s="93"/>
      <c r="BA7" s="93"/>
      <c r="BB7" s="93"/>
    </row>
    <row r="8" spans="1:54" ht="15" x14ac:dyDescent="0.25">
      <c r="A8" s="167"/>
      <c r="B8" s="93"/>
      <c r="C8" s="93"/>
      <c r="D8" s="215"/>
      <c r="E8" s="215"/>
      <c r="F8" s="93"/>
      <c r="G8" s="93"/>
      <c r="H8" s="93"/>
      <c r="I8" s="93"/>
      <c r="J8" s="93"/>
      <c r="K8" s="93"/>
      <c r="L8" s="197"/>
      <c r="M8" s="197"/>
      <c r="N8" s="197"/>
      <c r="O8" s="93"/>
      <c r="P8" s="93"/>
      <c r="Q8" s="93"/>
      <c r="R8" s="93"/>
      <c r="S8" s="93"/>
      <c r="T8" s="93"/>
      <c r="U8" s="93"/>
      <c r="V8" s="93"/>
      <c r="W8" s="93"/>
      <c r="X8" s="215"/>
      <c r="Y8" s="215"/>
      <c r="Z8" s="215"/>
      <c r="AA8" s="171"/>
      <c r="AB8" s="171"/>
      <c r="AC8" s="171"/>
      <c r="AD8" s="171"/>
      <c r="AE8" s="171"/>
      <c r="AF8" s="93"/>
      <c r="AG8" s="93"/>
      <c r="AH8" s="93"/>
      <c r="AI8" s="93"/>
      <c r="AJ8" s="93"/>
      <c r="AK8" s="93"/>
      <c r="AL8" s="93"/>
      <c r="AM8" s="93"/>
      <c r="AN8" s="93"/>
      <c r="AO8" s="93"/>
      <c r="AP8" s="93"/>
      <c r="AQ8" s="93"/>
      <c r="AR8" s="93"/>
      <c r="AS8" s="93"/>
      <c r="AT8" s="93"/>
      <c r="AU8" s="93"/>
      <c r="AV8" s="93"/>
      <c r="AW8" s="93"/>
      <c r="AX8" s="93"/>
      <c r="AY8" s="93"/>
      <c r="AZ8" s="93"/>
      <c r="BA8" s="93"/>
      <c r="BB8" s="93"/>
    </row>
    <row r="9" spans="1:54" ht="15" x14ac:dyDescent="0.25">
      <c r="A9" s="156" t="s">
        <v>13</v>
      </c>
      <c r="B9" s="152">
        <f>SUM(B12:B51)</f>
        <v>44169.277685928435</v>
      </c>
      <c r="C9" s="152">
        <f t="shared" ref="C9:H9" si="1">SUM(C12:C51)</f>
        <v>277.73160340908566</v>
      </c>
      <c r="D9" s="152">
        <f t="shared" si="1"/>
        <v>5512.2500721935949</v>
      </c>
      <c r="E9" s="152">
        <f t="shared" si="1"/>
        <v>7926.4258388911649</v>
      </c>
      <c r="F9" s="152">
        <f t="shared" si="1"/>
        <v>360.12613373360404</v>
      </c>
      <c r="G9" s="152">
        <f t="shared" si="1"/>
        <v>161.41022563355767</v>
      </c>
      <c r="H9" s="152">
        <f t="shared" si="1"/>
        <v>14237.943873861004</v>
      </c>
      <c r="I9" s="152"/>
      <c r="J9" s="152"/>
      <c r="K9" s="152"/>
      <c r="L9" s="152">
        <f>SUM(L12:L51)</f>
        <v>651.8828549429337</v>
      </c>
      <c r="M9" s="152">
        <f>SUM(M12:M51)</f>
        <v>1955.6485648288008</v>
      </c>
      <c r="N9" s="152">
        <f>SUM(N12:N51)</f>
        <v>4128.5914146385794</v>
      </c>
      <c r="O9" s="152"/>
      <c r="P9" s="152"/>
      <c r="Q9" s="152"/>
      <c r="R9" s="152"/>
      <c r="S9" s="152"/>
      <c r="T9" s="152"/>
      <c r="U9" s="152"/>
      <c r="V9" s="152"/>
      <c r="W9" s="152">
        <f t="shared" ref="W9:AF9" si="2">SUM(W12:W51)</f>
        <v>30092.744037700977</v>
      </c>
      <c r="X9" s="152">
        <f t="shared" si="2"/>
        <v>883.38555371856842</v>
      </c>
      <c r="Y9" s="152">
        <f t="shared" si="2"/>
        <v>2208.4638842964214</v>
      </c>
      <c r="Z9" s="152">
        <f t="shared" si="2"/>
        <v>7121.7319789649573</v>
      </c>
      <c r="AA9" s="152">
        <f t="shared" si="2"/>
        <v>12424.16243099345</v>
      </c>
      <c r="AB9" s="152"/>
      <c r="AC9" s="152"/>
      <c r="AD9" s="152"/>
      <c r="AE9" s="152"/>
      <c r="AF9" s="152">
        <f t="shared" si="2"/>
        <v>9846.1900674090848</v>
      </c>
      <c r="AG9" s="152"/>
      <c r="AH9" s="152"/>
      <c r="AI9" s="152">
        <f>SUM(AI12:AI51)</f>
        <v>360.12613373360404</v>
      </c>
      <c r="AJ9" s="152">
        <f>SUM(AJ12:AJ51)</f>
        <v>9771.0292467226209</v>
      </c>
      <c r="AK9" s="152">
        <f>SUM(AK12:AK51)</f>
        <v>75.160820686464504</v>
      </c>
      <c r="AL9" s="152">
        <f>SUM(AL12:AL51)</f>
        <v>75.160820686464504</v>
      </c>
      <c r="AM9" s="152">
        <f>SUM(AM12:AM51)</f>
        <v>9771.0292467226209</v>
      </c>
      <c r="AN9" s="93"/>
      <c r="AO9" s="93"/>
      <c r="AP9" s="93"/>
      <c r="AQ9" s="245">
        <f>MAX(AQ13:AQ51)</f>
        <v>44044</v>
      </c>
      <c r="AR9" s="245">
        <f>MAX(AR13:AR51)</f>
        <v>44136</v>
      </c>
      <c r="AS9" s="245">
        <f>MAX(AS13:AS51)</f>
        <v>44256</v>
      </c>
      <c r="AT9" s="245">
        <f>MAX(AT13:AT51)</f>
        <v>44470</v>
      </c>
      <c r="AU9" s="93"/>
      <c r="AV9" s="93"/>
      <c r="AW9" s="93"/>
      <c r="AX9" s="93"/>
      <c r="AY9" s="93"/>
      <c r="AZ9" s="93"/>
      <c r="BA9" s="93"/>
      <c r="BB9" s="93"/>
    </row>
    <row r="10" spans="1:54" ht="15" x14ac:dyDescent="0.25">
      <c r="A10" s="167"/>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93"/>
      <c r="AO10" s="93"/>
      <c r="AP10" s="93"/>
      <c r="AQ10" s="93"/>
      <c r="AR10" s="93"/>
      <c r="AS10" s="93"/>
      <c r="AT10" s="93"/>
      <c r="AU10" s="93"/>
      <c r="AV10" s="93"/>
      <c r="AW10" s="93"/>
      <c r="AX10" s="93"/>
      <c r="AY10" s="93"/>
      <c r="AZ10" s="93"/>
      <c r="BA10" s="93"/>
      <c r="BB10" s="93"/>
    </row>
    <row r="11" spans="1:54" ht="15" x14ac:dyDescent="0.25">
      <c r="A11" s="156" t="s">
        <v>63</v>
      </c>
      <c r="B11" s="152"/>
      <c r="C11" s="152">
        <f>IF(Overrides!C95=Lists!A37,Overrides!C100,IF(noteco=1,0,Exploration!V23))</f>
        <v>11</v>
      </c>
      <c r="D11" s="152"/>
      <c r="E11" s="152"/>
      <c r="F11" s="152"/>
      <c r="G11" s="152"/>
      <c r="H11" s="152">
        <f>SUM(C11:G11)</f>
        <v>11</v>
      </c>
      <c r="I11" s="152">
        <f>I8+H11-B11</f>
        <v>11</v>
      </c>
      <c r="J11" s="152"/>
      <c r="K11" s="152"/>
      <c r="L11" s="152"/>
      <c r="M11" s="152"/>
      <c r="N11" s="152"/>
      <c r="O11" s="152">
        <f>$I11</f>
        <v>11</v>
      </c>
      <c r="P11" s="152">
        <f>$I11</f>
        <v>11</v>
      </c>
      <c r="Q11" s="152">
        <f>$I11</f>
        <v>11</v>
      </c>
      <c r="R11" s="152">
        <v>0</v>
      </c>
      <c r="S11" s="152"/>
      <c r="T11" s="152"/>
      <c r="U11" s="152"/>
      <c r="V11" s="152"/>
      <c r="W11" s="152"/>
      <c r="X11" s="152"/>
      <c r="Y11" s="152"/>
      <c r="Z11" s="152"/>
      <c r="AA11" s="152"/>
      <c r="AB11" s="152"/>
      <c r="AC11" s="152"/>
      <c r="AD11" s="152"/>
      <c r="AE11" s="152"/>
      <c r="AF11" s="152"/>
      <c r="AG11" s="152"/>
      <c r="AH11" s="152"/>
      <c r="AI11" s="152"/>
      <c r="AJ11" s="152"/>
      <c r="AK11" s="152"/>
      <c r="AL11" s="152"/>
      <c r="AM11" s="152"/>
      <c r="AN11" s="93"/>
      <c r="AO11" s="93"/>
      <c r="AP11" s="93"/>
      <c r="AQ11" s="93"/>
      <c r="AR11" s="93"/>
      <c r="AS11" s="93"/>
      <c r="AT11" s="93"/>
      <c r="AU11" s="93"/>
      <c r="AV11" s="93"/>
      <c r="AW11" s="93"/>
      <c r="AX11" s="93"/>
      <c r="AY11" s="93"/>
      <c r="AZ11" s="93"/>
      <c r="BA11" s="93"/>
      <c r="BB11" s="93"/>
    </row>
    <row r="12" spans="1:54" ht="15" x14ac:dyDescent="0.25">
      <c r="A12" s="140">
        <f>'Success Cash Flow'!A10</f>
        <v>2012</v>
      </c>
      <c r="B12" s="159">
        <f>'Success Cash Flow'!E10</f>
        <v>0</v>
      </c>
      <c r="C12" s="159">
        <f>IF(noteco=Lists!A$84,0,Exploration!AB35)</f>
        <v>67.729090909089635</v>
      </c>
      <c r="D12" s="159">
        <f>Development!BL91</f>
        <v>0</v>
      </c>
      <c r="E12" s="159">
        <f>Operations!S19</f>
        <v>0</v>
      </c>
      <c r="F12" s="159">
        <f>Abandonment!G16</f>
        <v>0</v>
      </c>
      <c r="G12" s="159">
        <f t="shared" ref="G12:G51" si="3">IF(I11&lt;0,0,X12)</f>
        <v>0</v>
      </c>
      <c r="H12" s="159">
        <f>SUM(C12:G12)</f>
        <v>67.729090909089635</v>
      </c>
      <c r="I12" s="159">
        <f>I11+H12-B12</f>
        <v>78.729090909089635</v>
      </c>
      <c r="J12" s="159">
        <f>IF(A12&lt;Development!$C$6,0,IF(A12=Development!C$6,Development!$D$6,IF(I12&lt;0,IF(I11&gt;0,ROUNDDOWN(-I11/(I12-I11)*12,0),0),12)))</f>
        <v>0</v>
      </c>
      <c r="K12" s="159">
        <f>IF(OR(A12&lt;Development!$C$6,A12&gt;Abandonment!$B$4),0,(J12*I11-(I11-I12)*J12*(J12+1)/24)/12)</f>
        <v>0</v>
      </c>
      <c r="L12" s="159">
        <f>$K12*(L$7+'Selected Economics'!$G11)</f>
        <v>0</v>
      </c>
      <c r="M12" s="159">
        <f>$K12*(M$7+'Selected Economics'!$G11)</f>
        <v>0</v>
      </c>
      <c r="N12" s="159">
        <f>$K12*(N$7+'Selected Economics'!$G11)</f>
        <v>0</v>
      </c>
      <c r="O12" s="159">
        <f t="shared" ref="O12:O28" si="4">$H12-$B12+L12+O11</f>
        <v>78.729090909089635</v>
      </c>
      <c r="P12" s="159">
        <f t="shared" ref="P12:Q27" si="5">$H12-$B12+M12+P11</f>
        <v>78.729090909089635</v>
      </c>
      <c r="Q12" s="159">
        <f t="shared" si="5"/>
        <v>78.729090909089635</v>
      </c>
      <c r="R12" s="159">
        <f>IF(A12=Production!$B$4,Production!$B$5,IF(A12&lt;Production!$B$4,0,12+R11))</f>
        <v>0</v>
      </c>
      <c r="S12" s="159">
        <f>MIN($R12,IF(O12&lt;0,MAX(IF(Input!$B$33="Yes",MIN(12,24-R11),0),IF(AND(O11&gt;0,O12&lt;0),ROUNDDOWN(-O11/(O12-O11)*12,0)+0.5),0),12))</f>
        <v>0</v>
      </c>
      <c r="T12" s="159">
        <f>MAX(0,MIN($R12,IF(P12&lt;0,MAX(IF(Input!$B$33="Yes",MIN(12,36-R11),0),IF(AND(P11&gt;0,P12&lt;0),ROUNDDOWN(-P11/(P12-P11)*12,0)+0.5),0),12))-S12)</f>
        <v>0</v>
      </c>
      <c r="U12" s="159">
        <f>MAX(0,MIN($R12,IF(AND(Q11&gt;0,Q12&lt;0),ROUNDDOWN(-Q11/(Q12-Q11)*12,0)+0.5,IF(AND(Q12&gt;0,MIN(Q$11:Q11)&gt;=0),12,0)))-SUM(S12:T12))</f>
        <v>0</v>
      </c>
      <c r="V12" s="159">
        <f t="shared" ref="V12:V51" si="6">MAX(0,MIN(R12,12)-SUM(S12:U12))</f>
        <v>0</v>
      </c>
      <c r="W12" s="159">
        <f>B12-C12-D12-E12-F12</f>
        <v>-67.729090909089635</v>
      </c>
      <c r="X12" s="159">
        <f>X$7*$B12</f>
        <v>0</v>
      </c>
      <c r="Y12" s="159">
        <f t="shared" ref="Y12:Y51" si="7">Y$7*$B12</f>
        <v>0</v>
      </c>
      <c r="Z12" s="159">
        <f>MAX($Y12,Z$7*$W12)</f>
        <v>0</v>
      </c>
      <c r="AA12" s="159">
        <f t="shared" ref="AA12:AA51" si="8">MAX($Y12,AA$7*$W12)</f>
        <v>0</v>
      </c>
      <c r="AB12" s="159">
        <f>IF($R12=0,0,X12*S12/MIN($R12,12))</f>
        <v>0</v>
      </c>
      <c r="AC12" s="159">
        <f t="shared" ref="AC12:AE51" si="9">IF($R12=0,0,Y12*T12/MIN($R12,12))</f>
        <v>0</v>
      </c>
      <c r="AD12" s="159">
        <f t="shared" si="9"/>
        <v>0</v>
      </c>
      <c r="AE12" s="159">
        <f t="shared" si="9"/>
        <v>0</v>
      </c>
      <c r="AF12" s="159">
        <f>SUM(AB12:AE12)</f>
        <v>0</v>
      </c>
      <c r="AG12" s="159">
        <f>IF(A12=Abandonment!$B$4,-W12,0)</f>
        <v>0</v>
      </c>
      <c r="AH12" s="159">
        <f>IF(W12&gt;0,W12,0)</f>
        <v>0</v>
      </c>
      <c r="AI12" s="159">
        <f>MIN(AH12,MAX(0,$AL$3-SUM(AI13:AI$52)))</f>
        <v>0</v>
      </c>
      <c r="AJ12" s="159">
        <f>IF(AI12&lt;=0,AF12,MAX((AH12-AI12)/AH12*AF12,(X12*S12+Y12*(MIN(12,R12)-S12))/MIN(12,R12)))</f>
        <v>0</v>
      </c>
      <c r="AK12" s="159">
        <f t="shared" ref="AK12:AK51" si="10">AF12-AJ12</f>
        <v>0</v>
      </c>
      <c r="AL12" s="159">
        <f>IF($A12=Abandonment!$B$4,LossRec,0)</f>
        <v>0</v>
      </c>
      <c r="AM12" s="159">
        <f t="shared" ref="AM12:AM51" si="11">AF12-AL12</f>
        <v>0</v>
      </c>
      <c r="AN12" s="93"/>
      <c r="AO12" s="93"/>
      <c r="AP12" s="93"/>
      <c r="AQ12" s="158"/>
      <c r="AR12" s="158"/>
      <c r="AS12" s="158"/>
      <c r="AT12" s="158"/>
      <c r="AU12" s="93"/>
      <c r="AV12" s="93"/>
      <c r="AW12" s="93"/>
      <c r="AX12" s="93"/>
      <c r="AY12" s="93"/>
      <c r="AZ12" s="93"/>
      <c r="BA12" s="93"/>
      <c r="BB12" s="93"/>
    </row>
    <row r="13" spans="1:54" ht="15" x14ac:dyDescent="0.25">
      <c r="A13" s="141">
        <f>A12+1</f>
        <v>2013</v>
      </c>
      <c r="B13" s="161">
        <f>'Success Cash Flow'!E11</f>
        <v>0</v>
      </c>
      <c r="C13" s="161">
        <f>IF(noteco=Lists!A$84,0,Exploration!AB36)</f>
        <v>138.84463636363375</v>
      </c>
      <c r="D13" s="161">
        <f>Development!BL92</f>
        <v>0</v>
      </c>
      <c r="E13" s="161">
        <f>Operations!S20</f>
        <v>0</v>
      </c>
      <c r="F13" s="161">
        <f>Abandonment!G17</f>
        <v>0</v>
      </c>
      <c r="G13" s="161">
        <f t="shared" si="3"/>
        <v>0</v>
      </c>
      <c r="H13" s="161">
        <f t="shared" ref="H13:H51" si="12">SUM(C13:G13)</f>
        <v>138.84463636363375</v>
      </c>
      <c r="I13" s="161">
        <f t="shared" ref="I13:I51" si="13">I12+H13-B13</f>
        <v>217.57372727272337</v>
      </c>
      <c r="J13" s="161">
        <f>IF(A13&lt;Development!$C$6,0,IF(A13=Development!C$6,Development!$D$6,IF(I13&lt;0,IF(I12&gt;0,ROUNDDOWN(-I12/(I13-I12)*12,0),0),12)))</f>
        <v>0</v>
      </c>
      <c r="K13" s="161">
        <f>IF(OR(A13&lt;Development!$C$6,A13&gt;Abandonment!$B$4),0,(J13*I12-(I12-I13)*J13*(J13+1)/24)/12)</f>
        <v>0</v>
      </c>
      <c r="L13" s="161">
        <f>$K13*(L$7+'Selected Economics'!$G12)</f>
        <v>0</v>
      </c>
      <c r="M13" s="161">
        <f>$K13*(M$7+'Selected Economics'!$G12)</f>
        <v>0</v>
      </c>
      <c r="N13" s="161">
        <f>$K13*(N$7+'Selected Economics'!$G12)</f>
        <v>0</v>
      </c>
      <c r="O13" s="161">
        <f t="shared" si="4"/>
        <v>217.57372727272337</v>
      </c>
      <c r="P13" s="161">
        <f t="shared" si="5"/>
        <v>217.57372727272337</v>
      </c>
      <c r="Q13" s="161">
        <f t="shared" si="5"/>
        <v>217.57372727272337</v>
      </c>
      <c r="R13" s="161">
        <f>IF(A13=Production!$B$4,Production!$B$5,IF(A13&lt;Production!$B$4,0,12+R12))</f>
        <v>0</v>
      </c>
      <c r="S13" s="161">
        <f>MIN($R13,IF(O13&lt;0,MAX(IF(Input!$B$33="Yes",MIN(12,24-R12),0),IF(AND(O12&gt;0,O13&lt;0),ROUNDDOWN(-O12/(O13-O12)*12,0)+0.5),0),12))</f>
        <v>0</v>
      </c>
      <c r="T13" s="161">
        <f>MAX(0,MIN($R13,IF(P13&lt;0,MAX(IF(Input!$B$33="Yes",MIN(12,36-R12),0),IF(AND(P12&gt;0,P13&lt;0),ROUNDDOWN(-P12/(P13-P12)*12,0)+0.5),0),12))-S13)</f>
        <v>0</v>
      </c>
      <c r="U13" s="161">
        <f>MAX(0,MIN($R13,IF(AND(Q12&gt;0,Q13&lt;0),ROUNDDOWN(-Q12/(Q13-Q12)*12,0)+0.5,IF(AND(Q13&gt;0,MIN(Q$11:Q12)&gt;=0),12,0)))-SUM(S13:T13))</f>
        <v>0</v>
      </c>
      <c r="V13" s="161">
        <f t="shared" si="6"/>
        <v>0</v>
      </c>
      <c r="W13" s="161">
        <f t="shared" ref="W13:W51" si="14">B13-C13-D13-E13-F13</f>
        <v>-138.84463636363375</v>
      </c>
      <c r="X13" s="161">
        <f t="shared" ref="X13:X51" si="15">X$7*$B13</f>
        <v>0</v>
      </c>
      <c r="Y13" s="161">
        <f t="shared" si="7"/>
        <v>0</v>
      </c>
      <c r="Z13" s="161">
        <f t="shared" ref="Z13:Z51" si="16">MAX($Y13,Z$7*$W13)</f>
        <v>0</v>
      </c>
      <c r="AA13" s="161">
        <f t="shared" si="8"/>
        <v>0</v>
      </c>
      <c r="AB13" s="161">
        <f t="shared" ref="AB13:AB51" si="17">IF($R13=0,0,X13*S13/MIN($R13,12))</f>
        <v>0</v>
      </c>
      <c r="AC13" s="161">
        <f t="shared" si="9"/>
        <v>0</v>
      </c>
      <c r="AD13" s="161">
        <f t="shared" si="9"/>
        <v>0</v>
      </c>
      <c r="AE13" s="161">
        <f t="shared" si="9"/>
        <v>0</v>
      </c>
      <c r="AF13" s="161">
        <f t="shared" ref="AF13:AF51" si="18">SUM(AB13:AE13)</f>
        <v>0</v>
      </c>
      <c r="AG13" s="161">
        <f>IF(A13=Abandonment!$B$4,-W13,0)</f>
        <v>0</v>
      </c>
      <c r="AH13" s="161">
        <f t="shared" ref="AH13:AH51" si="19">IF(W13&gt;0,W13,0)</f>
        <v>0</v>
      </c>
      <c r="AI13" s="161">
        <f>MIN(AH13,MAX(0,$AL$3-SUM(AI14:AI$52)))</f>
        <v>0</v>
      </c>
      <c r="AJ13" s="161">
        <f>IF(AI13&lt;=0,AF13,MAX((AH13-AI13)/AH13*AF13,(X13*S13+Y13*(MIN(12,R13)-S13))/MIN(12,R13)))</f>
        <v>0</v>
      </c>
      <c r="AK13" s="161">
        <f t="shared" si="10"/>
        <v>0</v>
      </c>
      <c r="AL13" s="161">
        <f>IF($A13=Abandonment!$B$4,LossRec,0)</f>
        <v>0</v>
      </c>
      <c r="AM13" s="161">
        <f t="shared" si="11"/>
        <v>0</v>
      </c>
      <c r="AN13" s="93"/>
      <c r="AO13" s="93"/>
      <c r="AP13" s="93"/>
      <c r="AQ13" s="246">
        <f>IF(AND(I13&lt;0,I12&gt;0,AQ12=0),DATE(A13,MIN(12,$R13,J13+1),1),AQ12)</f>
        <v>0</v>
      </c>
      <c r="AR13" s="246">
        <f>IF(AND(O13&lt;0,O12&gt;0,AR12=0),DATE($A13,MAX(12-$R13,0)+SUM($S13:S13)+0.5,1),AR12)</f>
        <v>0</v>
      </c>
      <c r="AS13" s="246">
        <f>IF(AND(P13&lt;0,P12&gt;0,AS12=0),DATE($A13,MAX(12-$R13,0)+SUM($S13:T13)+0.5,1),AS12)</f>
        <v>0</v>
      </c>
      <c r="AT13" s="246">
        <f>IF(AND(Q13&lt;0,Q12&gt;0,AT12=0),DATE($A13,MAX(12-$R13,0)+SUM($S13:U13)+0.5,1),AT12)</f>
        <v>0</v>
      </c>
      <c r="AU13" s="93"/>
      <c r="AV13" s="93"/>
      <c r="AW13" s="93"/>
      <c r="AX13" s="93"/>
      <c r="AY13" s="93"/>
      <c r="AZ13" s="93"/>
      <c r="BA13" s="93"/>
      <c r="BB13" s="93"/>
    </row>
    <row r="14" spans="1:54" ht="15" x14ac:dyDescent="0.25">
      <c r="A14" s="141">
        <f t="shared" ref="A14:A51" si="20">A13+1</f>
        <v>2014</v>
      </c>
      <c r="B14" s="161">
        <f>'Success Cash Flow'!E12</f>
        <v>0</v>
      </c>
      <c r="C14" s="161">
        <f>IF(noteco=Lists!A$84,0,Exploration!AB37)</f>
        <v>71.15787613636229</v>
      </c>
      <c r="D14" s="161">
        <f>Development!BL93</f>
        <v>2.5445927375000004</v>
      </c>
      <c r="E14" s="161">
        <f>Operations!S21</f>
        <v>0</v>
      </c>
      <c r="F14" s="161">
        <f>Abandonment!G18</f>
        <v>0</v>
      </c>
      <c r="G14" s="161">
        <f t="shared" si="3"/>
        <v>0</v>
      </c>
      <c r="H14" s="161">
        <f t="shared" si="12"/>
        <v>73.702468873862287</v>
      </c>
      <c r="I14" s="161">
        <f t="shared" si="13"/>
        <v>291.27619614658568</v>
      </c>
      <c r="J14" s="161">
        <f>IF(A14&lt;Development!$C$6,0,IF(A14=Development!C$6,Development!$D$6,IF(I14&lt;0,IF(I13&gt;0,ROUNDDOWN(-I13/(I14-I13)*12,0),0),12)))</f>
        <v>0</v>
      </c>
      <c r="K14" s="161">
        <f>IF(OR(A14&lt;Development!$C$6,A14&gt;Abandonment!$B$4),0,(J14*I13-(I13-I14)*J14*(J14+1)/24)/12)</f>
        <v>0</v>
      </c>
      <c r="L14" s="161">
        <f>$K14*(L$7+'Selected Economics'!$G13)</f>
        <v>0</v>
      </c>
      <c r="M14" s="161">
        <f>$K14*(M$7+'Selected Economics'!$G13)</f>
        <v>0</v>
      </c>
      <c r="N14" s="161">
        <f>$K14*(N$7+'Selected Economics'!$G13)</f>
        <v>0</v>
      </c>
      <c r="O14" s="161">
        <f t="shared" si="4"/>
        <v>291.27619614658568</v>
      </c>
      <c r="P14" s="161">
        <f t="shared" si="5"/>
        <v>291.27619614658568</v>
      </c>
      <c r="Q14" s="161">
        <f t="shared" si="5"/>
        <v>291.27619614658568</v>
      </c>
      <c r="R14" s="161">
        <f>IF(A14=Production!$B$4,Production!$B$5,IF(A14&lt;Production!$B$4,0,12+R13))</f>
        <v>0</v>
      </c>
      <c r="S14" s="161">
        <f>MIN($R14,IF(O14&lt;0,MAX(IF(Input!$B$33="Yes",MIN(12,24-R13),0),IF(AND(O13&gt;0,O14&lt;0),ROUNDDOWN(-O13/(O14-O13)*12,0)+0.5),0),12))</f>
        <v>0</v>
      </c>
      <c r="T14" s="161">
        <f>MAX(0,MIN($R14,IF(P14&lt;0,MAX(IF(Input!$B$33="Yes",MIN(12,36-R13),0),IF(AND(P13&gt;0,P14&lt;0),ROUNDDOWN(-P13/(P14-P13)*12,0)+0.5),0),12))-S14)</f>
        <v>0</v>
      </c>
      <c r="U14" s="161">
        <f>MAX(0,MIN($R14,IF(AND(Q13&gt;0,Q14&lt;0),ROUNDDOWN(-Q13/(Q14-Q13)*12,0)+0.5,IF(AND(Q14&gt;0,MIN(Q$11:Q13)&gt;=0),12,0)))-SUM(S14:T14))</f>
        <v>0</v>
      </c>
      <c r="V14" s="161">
        <f t="shared" si="6"/>
        <v>0</v>
      </c>
      <c r="W14" s="161">
        <f t="shared" si="14"/>
        <v>-73.702468873862287</v>
      </c>
      <c r="X14" s="161">
        <f t="shared" si="15"/>
        <v>0</v>
      </c>
      <c r="Y14" s="161">
        <f t="shared" si="7"/>
        <v>0</v>
      </c>
      <c r="Z14" s="161">
        <f t="shared" si="16"/>
        <v>0</v>
      </c>
      <c r="AA14" s="161">
        <f t="shared" si="8"/>
        <v>0</v>
      </c>
      <c r="AB14" s="161">
        <f t="shared" si="17"/>
        <v>0</v>
      </c>
      <c r="AC14" s="161">
        <f t="shared" si="9"/>
        <v>0</v>
      </c>
      <c r="AD14" s="161">
        <f t="shared" si="9"/>
        <v>0</v>
      </c>
      <c r="AE14" s="161">
        <f t="shared" si="9"/>
        <v>0</v>
      </c>
      <c r="AF14" s="161">
        <f t="shared" si="18"/>
        <v>0</v>
      </c>
      <c r="AG14" s="161">
        <f>IF(A14=Abandonment!$B$4,-W14,0)</f>
        <v>0</v>
      </c>
      <c r="AH14" s="161">
        <f t="shared" si="19"/>
        <v>0</v>
      </c>
      <c r="AI14" s="161">
        <f>MIN(AH14,MAX(0,$AL$3-SUM(AI15:AI$52)))</f>
        <v>0</v>
      </c>
      <c r="AJ14" s="161">
        <f>IF(AI14&lt;=0,AF14,MAX((AH14-AI14)/AH14*AF14,(X14*S14+Y14*(MIN(12,R14)-S14))/MIN(12,R14)))</f>
        <v>0</v>
      </c>
      <c r="AK14" s="161">
        <f t="shared" si="10"/>
        <v>0</v>
      </c>
      <c r="AL14" s="161">
        <f>IF($A14=Abandonment!$B$4,LossRec,0)</f>
        <v>0</v>
      </c>
      <c r="AM14" s="161">
        <f t="shared" si="11"/>
        <v>0</v>
      </c>
      <c r="AN14" s="93"/>
      <c r="AO14" s="93"/>
      <c r="AP14" s="93"/>
      <c r="AQ14" s="246">
        <f t="shared" ref="AQ14:AQ51" si="21">IF(AND(I14&lt;0,I13&gt;0,AQ13=0),DATE(A14,MIN(12,J14+1),1),AQ13)</f>
        <v>0</v>
      </c>
      <c r="AR14" s="246">
        <f>IF(AND(O14&lt;0,O13&gt;0,AR13=0),DATE($A14,MAX(12-$R14,0)+SUM($S14:S14)+0.5,1),AR13)</f>
        <v>0</v>
      </c>
      <c r="AS14" s="246">
        <f>IF(AND(P14&lt;0,P13&gt;0,AS13=0),DATE($A14,MAX(12-$R14,0)+SUM($S14:T14)+0.5,1),AS13)</f>
        <v>0</v>
      </c>
      <c r="AT14" s="246">
        <f>IF(AND(Q14&lt;0,Q13&gt;0,AT13=0),DATE($A14,MAX(12-$R14,0)+SUM($S14:U14)+0.5,1),AT13)</f>
        <v>0</v>
      </c>
      <c r="AU14" s="93"/>
      <c r="AV14" s="93"/>
      <c r="AW14" s="93"/>
      <c r="AX14" s="93"/>
      <c r="AY14" s="93"/>
      <c r="AZ14" s="93"/>
      <c r="BA14" s="93"/>
      <c r="BB14" s="93"/>
    </row>
    <row r="15" spans="1:54" ht="15" x14ac:dyDescent="0.25">
      <c r="A15" s="141">
        <f t="shared" si="20"/>
        <v>2015</v>
      </c>
      <c r="B15" s="161">
        <f>'Success Cash Flow'!E13</f>
        <v>0</v>
      </c>
      <c r="C15" s="161">
        <f>IF(noteco=Lists!A$84,0,Exploration!AB38)</f>
        <v>0</v>
      </c>
      <c r="D15" s="161">
        <f>Development!BL94</f>
        <v>9.2472813346875</v>
      </c>
      <c r="E15" s="161">
        <f>Operations!S22</f>
        <v>0</v>
      </c>
      <c r="F15" s="161">
        <f>Abandonment!G19</f>
        <v>0</v>
      </c>
      <c r="G15" s="161">
        <f t="shared" si="3"/>
        <v>0</v>
      </c>
      <c r="H15" s="161">
        <f t="shared" si="12"/>
        <v>9.2472813346875</v>
      </c>
      <c r="I15" s="161">
        <f t="shared" si="13"/>
        <v>300.52347748127318</v>
      </c>
      <c r="J15" s="161">
        <f>IF(A15&lt;Development!$C$6,0,IF(A15=Development!C$6,Development!$D$6,IF(I15&lt;0,IF(I14&gt;0,ROUNDDOWN(-I14/(I15-I14)*12,0),0),12)))</f>
        <v>0</v>
      </c>
      <c r="K15" s="161">
        <f>IF(OR(A15&lt;Development!$C$6,A15&gt;Abandonment!$B$4),0,(J15*I14-(I14-I15)*J15*(J15+1)/24)/12)</f>
        <v>0</v>
      </c>
      <c r="L15" s="161">
        <f>$K15*(L$7+'Selected Economics'!$G14)</f>
        <v>0</v>
      </c>
      <c r="M15" s="161">
        <f>$K15*(M$7+'Selected Economics'!$G14)</f>
        <v>0</v>
      </c>
      <c r="N15" s="161">
        <f>$K15*(N$7+'Selected Economics'!$G14)</f>
        <v>0</v>
      </c>
      <c r="O15" s="161">
        <f t="shared" si="4"/>
        <v>300.52347748127318</v>
      </c>
      <c r="P15" s="161">
        <f t="shared" si="5"/>
        <v>300.52347748127318</v>
      </c>
      <c r="Q15" s="161">
        <f t="shared" si="5"/>
        <v>300.52347748127318</v>
      </c>
      <c r="R15" s="161">
        <f>IF(A15=Production!$B$4,Production!$B$5,IF(A15&lt;Production!$B$4,0,12+R14))</f>
        <v>0</v>
      </c>
      <c r="S15" s="161">
        <f>MIN($R15,IF(O15&lt;0,MAX(IF(Input!$B$33="Yes",MIN(12,24-R14),0),IF(AND(O14&gt;0,O15&lt;0),ROUNDDOWN(-O14/(O15-O14)*12,0)+0.5),0),12))</f>
        <v>0</v>
      </c>
      <c r="T15" s="161">
        <f>MAX(0,MIN($R15,IF(P15&lt;0,MAX(IF(Input!$B$33="Yes",MIN(12,36-R14),0),IF(AND(P14&gt;0,P15&lt;0),ROUNDDOWN(-P14/(P15-P14)*12,0)+0.5),0),12))-S15)</f>
        <v>0</v>
      </c>
      <c r="U15" s="161">
        <f>MAX(0,MIN($R15,IF(AND(Q14&gt;0,Q15&lt;0),ROUNDDOWN(-Q14/(Q15-Q14)*12,0)+0.5,IF(AND(Q15&gt;0,MIN(Q$11:Q14)&gt;=0),12,0)))-SUM(S15:T15))</f>
        <v>0</v>
      </c>
      <c r="V15" s="161">
        <f t="shared" si="6"/>
        <v>0</v>
      </c>
      <c r="W15" s="161">
        <f t="shared" si="14"/>
        <v>-9.2472813346875</v>
      </c>
      <c r="X15" s="161">
        <f t="shared" si="15"/>
        <v>0</v>
      </c>
      <c r="Y15" s="161">
        <f t="shared" si="7"/>
        <v>0</v>
      </c>
      <c r="Z15" s="161">
        <f t="shared" si="16"/>
        <v>0</v>
      </c>
      <c r="AA15" s="161">
        <f t="shared" si="8"/>
        <v>0</v>
      </c>
      <c r="AB15" s="161">
        <f t="shared" si="17"/>
        <v>0</v>
      </c>
      <c r="AC15" s="161">
        <f t="shared" si="9"/>
        <v>0</v>
      </c>
      <c r="AD15" s="161">
        <f t="shared" si="9"/>
        <v>0</v>
      </c>
      <c r="AE15" s="161">
        <f t="shared" si="9"/>
        <v>0</v>
      </c>
      <c r="AF15" s="161">
        <f t="shared" si="18"/>
        <v>0</v>
      </c>
      <c r="AG15" s="161">
        <f>IF(A15=Abandonment!$B$4,-W15,0)</f>
        <v>0</v>
      </c>
      <c r="AH15" s="161">
        <f t="shared" si="19"/>
        <v>0</v>
      </c>
      <c r="AI15" s="161">
        <f>MIN(AH15,MAX(0,$AL$3-SUM(AI16:AI$52)))</f>
        <v>0</v>
      </c>
      <c r="AJ15" s="161">
        <f>IF(AI15&lt;=0,AF15,MAX((AH15-AI15)/AH15*AF15,(X15*S15+Y15*(MIN(12,R15)-S15))/MIN(12,R15)))</f>
        <v>0</v>
      </c>
      <c r="AK15" s="161">
        <f t="shared" si="10"/>
        <v>0</v>
      </c>
      <c r="AL15" s="161">
        <f>IF($A15=Abandonment!$B$4,LossRec,0)</f>
        <v>0</v>
      </c>
      <c r="AM15" s="161">
        <f t="shared" si="11"/>
        <v>0</v>
      </c>
      <c r="AN15" s="93"/>
      <c r="AO15" s="93"/>
      <c r="AP15" s="93"/>
      <c r="AQ15" s="246">
        <f t="shared" si="21"/>
        <v>0</v>
      </c>
      <c r="AR15" s="246">
        <f>IF(AND(O15&lt;0,O14&gt;0,AR14=0),DATE($A15,MAX(12-$R15,0)+SUM($S15:S15)+0.5,1),AR14)</f>
        <v>0</v>
      </c>
      <c r="AS15" s="246">
        <f>IF(AND(P15&lt;0,P14&gt;0,AS14=0),DATE($A15,MAX(12-$R15,0)+SUM($S15:T15)+0.5,1),AS14)</f>
        <v>0</v>
      </c>
      <c r="AT15" s="246">
        <f>IF(AND(Q15&lt;0,Q14&gt;0,AT14=0),DATE($A15,MAX(12-$R15,0)+SUM($S15:U15)+0.5,1),AT14)</f>
        <v>0</v>
      </c>
      <c r="AU15" s="93"/>
      <c r="AV15" s="93"/>
      <c r="AW15" s="93"/>
      <c r="AX15" s="93"/>
      <c r="AY15" s="93"/>
      <c r="AZ15" s="93"/>
      <c r="BA15" s="93"/>
      <c r="BB15" s="93"/>
    </row>
    <row r="16" spans="1:54" ht="15" x14ac:dyDescent="0.25">
      <c r="A16" s="141">
        <f t="shared" si="20"/>
        <v>2016</v>
      </c>
      <c r="B16" s="161">
        <f>'Success Cash Flow'!E14</f>
        <v>0</v>
      </c>
      <c r="C16" s="161">
        <f>IF(noteco=Lists!A$84,0,Exploration!AB39)</f>
        <v>0</v>
      </c>
      <c r="D16" s="161">
        <f>Development!BL95</f>
        <v>104.45988540510294</v>
      </c>
      <c r="E16" s="161">
        <f>Operations!S23</f>
        <v>0</v>
      </c>
      <c r="F16" s="161">
        <f>Abandonment!G20</f>
        <v>0</v>
      </c>
      <c r="G16" s="161">
        <f t="shared" si="3"/>
        <v>0</v>
      </c>
      <c r="H16" s="161">
        <f t="shared" si="12"/>
        <v>104.45988540510294</v>
      </c>
      <c r="I16" s="161">
        <f t="shared" si="13"/>
        <v>404.98336288637609</v>
      </c>
      <c r="J16" s="161">
        <f>IF(A16&lt;Development!$C$6,0,IF(A16=Development!C$6,Development!$D$6,IF(I16&lt;0,IF(I15&gt;0,ROUNDDOWN(-I15/(I16-I15)*12,0),0),12)))</f>
        <v>2</v>
      </c>
      <c r="K16" s="161">
        <f>IF(OR(A16&lt;Development!$C$6,A16&gt;Abandonment!$B$4),0,(J16*I15-(I15-I16)*J16*(J16+1)/24)/12)</f>
        <v>52.263493859485173</v>
      </c>
      <c r="L16" s="161">
        <f>$K16*(L$7+'Selected Economics'!$G15)</f>
        <v>3.9197620394613888</v>
      </c>
      <c r="M16" s="161">
        <f>$K16*(M$7+'Selected Economics'!$G15)</f>
        <v>11.759286118384164</v>
      </c>
      <c r="N16" s="161">
        <f>$K16*(N$7+'Selected Economics'!$G15)</f>
        <v>24.825159583255459</v>
      </c>
      <c r="O16" s="161">
        <f t="shared" si="4"/>
        <v>408.90312492583752</v>
      </c>
      <c r="P16" s="161">
        <f t="shared" si="5"/>
        <v>416.74264900476027</v>
      </c>
      <c r="Q16" s="161">
        <f t="shared" si="5"/>
        <v>429.80852246963161</v>
      </c>
      <c r="R16" s="161">
        <f>IF(A16=Production!$B$4,Production!$B$5,IF(A16&lt;Production!$B$4,0,12+R15))</f>
        <v>0</v>
      </c>
      <c r="S16" s="161">
        <f>MIN($R16,IF(O16&lt;0,MAX(IF(Input!$B$33="Yes",MIN(12,24-R15),0),IF(AND(O15&gt;0,O16&lt;0),ROUNDDOWN(-O15/(O16-O15)*12,0)+0.5),0),12))</f>
        <v>0</v>
      </c>
      <c r="T16" s="161">
        <f>MAX(0,MIN($R16,IF(P16&lt;0,MAX(IF(Input!$B$33="Yes",MIN(12,36-R15),0),IF(AND(P15&gt;0,P16&lt;0),ROUNDDOWN(-P15/(P16-P15)*12,0)+0.5),0),12))-S16)</f>
        <v>0</v>
      </c>
      <c r="U16" s="161">
        <f>MAX(0,MIN($R16,IF(AND(Q15&gt;0,Q16&lt;0),ROUNDDOWN(-Q15/(Q16-Q15)*12,0)+0.5,IF(AND(Q16&gt;0,MIN(Q$11:Q15)&gt;=0),12,0)))-SUM(S16:T16))</f>
        <v>0</v>
      </c>
      <c r="V16" s="161">
        <f t="shared" si="6"/>
        <v>0</v>
      </c>
      <c r="W16" s="161">
        <f t="shared" si="14"/>
        <v>-104.45988540510294</v>
      </c>
      <c r="X16" s="161">
        <f t="shared" si="15"/>
        <v>0</v>
      </c>
      <c r="Y16" s="161">
        <f t="shared" si="7"/>
        <v>0</v>
      </c>
      <c r="Z16" s="161">
        <f t="shared" si="16"/>
        <v>0</v>
      </c>
      <c r="AA16" s="161">
        <f t="shared" si="8"/>
        <v>0</v>
      </c>
      <c r="AB16" s="161">
        <f t="shared" si="17"/>
        <v>0</v>
      </c>
      <c r="AC16" s="161">
        <f t="shared" si="9"/>
        <v>0</v>
      </c>
      <c r="AD16" s="161">
        <f t="shared" si="9"/>
        <v>0</v>
      </c>
      <c r="AE16" s="161">
        <f t="shared" si="9"/>
        <v>0</v>
      </c>
      <c r="AF16" s="161">
        <f t="shared" si="18"/>
        <v>0</v>
      </c>
      <c r="AG16" s="161">
        <f>IF(A16=Abandonment!$B$4,-W16,0)</f>
        <v>0</v>
      </c>
      <c r="AH16" s="161">
        <f t="shared" si="19"/>
        <v>0</v>
      </c>
      <c r="AI16" s="161">
        <f>MIN(AH16,MAX(0,$AL$3-SUM(AI17:AI$52)))</f>
        <v>0</v>
      </c>
      <c r="AJ16" s="161">
        <f t="shared" ref="AJ16:AJ51" si="22">IF(AI16&lt;=0,AF16,MAX((AH16-AI16)/AH16*AF16,(X16*S16+Y16*(MIN(12,R16)-S16))/MIN(12,R16)))</f>
        <v>0</v>
      </c>
      <c r="AK16" s="161">
        <f t="shared" si="10"/>
        <v>0</v>
      </c>
      <c r="AL16" s="161">
        <f>IF($A16=Abandonment!$B$4,LossRec,0)</f>
        <v>0</v>
      </c>
      <c r="AM16" s="161">
        <f t="shared" si="11"/>
        <v>0</v>
      </c>
      <c r="AN16" s="93"/>
      <c r="AO16" s="93"/>
      <c r="AP16" s="93"/>
      <c r="AQ16" s="246">
        <f t="shared" si="21"/>
        <v>0</v>
      </c>
      <c r="AR16" s="246">
        <f>IF(AND(O16&lt;0,O15&gt;0,AR15=0),DATE($A16,MAX(12-$R16,0)+SUM($S16:S16)+0.5,1),AR15)</f>
        <v>0</v>
      </c>
      <c r="AS16" s="246">
        <f>IF(AND(P16&lt;0,P15&gt;0,AS15=0),DATE($A16,MAX(12-$R16,0)+SUM($S16:T16)+0.5,1),AS15)</f>
        <v>0</v>
      </c>
      <c r="AT16" s="246">
        <f>IF(AND(Q16&lt;0,Q15&gt;0,AT15=0),DATE($A16,MAX(12-$R16,0)+SUM($S16:U16)+0.5,1),AT15)</f>
        <v>0</v>
      </c>
      <c r="AU16" s="93"/>
      <c r="AV16" s="93"/>
      <c r="AW16" s="93"/>
      <c r="AX16" s="93"/>
      <c r="AY16" s="93"/>
      <c r="AZ16" s="93"/>
      <c r="BA16" s="93"/>
      <c r="BB16" s="93"/>
    </row>
    <row r="17" spans="1:54" ht="15" x14ac:dyDescent="0.25">
      <c r="A17" s="141">
        <f t="shared" si="20"/>
        <v>2017</v>
      </c>
      <c r="B17" s="161">
        <f>'Success Cash Flow'!E15</f>
        <v>0</v>
      </c>
      <c r="C17" s="161">
        <f>IF(noteco=Lists!A$84,0,Exploration!AB40)</f>
        <v>0</v>
      </c>
      <c r="D17" s="161">
        <f>Development!BL96</f>
        <v>1232.3328378549231</v>
      </c>
      <c r="E17" s="161">
        <f>Operations!S24</f>
        <v>0</v>
      </c>
      <c r="F17" s="161">
        <f>Abandonment!G21</f>
        <v>0</v>
      </c>
      <c r="G17" s="161">
        <f t="shared" si="3"/>
        <v>0</v>
      </c>
      <c r="H17" s="161">
        <f t="shared" si="12"/>
        <v>1232.3328378549231</v>
      </c>
      <c r="I17" s="161">
        <f t="shared" si="13"/>
        <v>1637.3162007412993</v>
      </c>
      <c r="J17" s="161">
        <f>IF(A17&lt;Development!$C$6,0,IF(A17=Development!C$6,Development!$D$6,IF(I17&lt;0,IF(I16&gt;0,ROUNDDOWN(-I16/(I17-I16)*12,0),0),12)))</f>
        <v>12</v>
      </c>
      <c r="K17" s="161">
        <f>IF(OR(A17&lt;Development!$C$6,A17&gt;Abandonment!$B$4),0,(J17*I16-(I16-I17)*J17*(J17+1)/24)/12)</f>
        <v>1072.4969833911262</v>
      </c>
      <c r="L17" s="161">
        <f>$K17*(L$7+'Selected Economics'!$G16)</f>
        <v>80.43727375433447</v>
      </c>
      <c r="M17" s="161">
        <f>$K17*(M$7+'Selected Economics'!$G16)</f>
        <v>241.3118212630034</v>
      </c>
      <c r="N17" s="161">
        <f>$K17*(N$7+'Selected Economics'!$G16)</f>
        <v>509.43606711078496</v>
      </c>
      <c r="O17" s="161">
        <f t="shared" si="4"/>
        <v>1721.6732365350952</v>
      </c>
      <c r="P17" s="161">
        <f t="shared" si="5"/>
        <v>1890.3873081226868</v>
      </c>
      <c r="Q17" s="161">
        <f t="shared" si="5"/>
        <v>2171.5774274353398</v>
      </c>
      <c r="R17" s="161">
        <f>IF(A17=Production!$B$4,Production!$B$5,IF(A17&lt;Production!$B$4,0,12+R16))</f>
        <v>0</v>
      </c>
      <c r="S17" s="161">
        <f>MIN($R17,IF(O17&lt;0,MAX(IF(Input!$B$33="Yes",MIN(12,24-R16),0),IF(AND(O16&gt;0,O17&lt;0),ROUNDDOWN(-O16/(O17-O16)*12,0)+0.5),0),12))</f>
        <v>0</v>
      </c>
      <c r="T17" s="161">
        <f>MAX(0,MIN($R17,IF(P17&lt;0,MAX(IF(Input!$B$33="Yes",MIN(12,36-R16),0),IF(AND(P16&gt;0,P17&lt;0),ROUNDDOWN(-P16/(P17-P16)*12,0)+0.5),0),12))-S17)</f>
        <v>0</v>
      </c>
      <c r="U17" s="161">
        <f>MAX(0,MIN($R17,IF(AND(Q16&gt;0,Q17&lt;0),ROUNDDOWN(-Q16/(Q17-Q16)*12,0)+0.5,IF(AND(Q17&gt;0,MIN(Q$11:Q16)&gt;=0),12,0)))-SUM(S17:T17))</f>
        <v>0</v>
      </c>
      <c r="V17" s="161">
        <f t="shared" si="6"/>
        <v>0</v>
      </c>
      <c r="W17" s="161">
        <f t="shared" si="14"/>
        <v>-1232.3328378549231</v>
      </c>
      <c r="X17" s="161">
        <f t="shared" si="15"/>
        <v>0</v>
      </c>
      <c r="Y17" s="161">
        <f t="shared" si="7"/>
        <v>0</v>
      </c>
      <c r="Z17" s="161">
        <f t="shared" si="16"/>
        <v>0</v>
      </c>
      <c r="AA17" s="161">
        <f t="shared" si="8"/>
        <v>0</v>
      </c>
      <c r="AB17" s="161">
        <f t="shared" si="17"/>
        <v>0</v>
      </c>
      <c r="AC17" s="161">
        <f t="shared" si="9"/>
        <v>0</v>
      </c>
      <c r="AD17" s="161">
        <f t="shared" si="9"/>
        <v>0</v>
      </c>
      <c r="AE17" s="161">
        <f t="shared" si="9"/>
        <v>0</v>
      </c>
      <c r="AF17" s="161">
        <f t="shared" si="18"/>
        <v>0</v>
      </c>
      <c r="AG17" s="161">
        <f>IF(A17=Abandonment!$B$4,-W17,0)</f>
        <v>0</v>
      </c>
      <c r="AH17" s="161">
        <f t="shared" si="19"/>
        <v>0</v>
      </c>
      <c r="AI17" s="161">
        <f>MIN(AH17,MAX(0,$AL$3-SUM(AI18:AI$52)))</f>
        <v>0</v>
      </c>
      <c r="AJ17" s="161">
        <f t="shared" si="22"/>
        <v>0</v>
      </c>
      <c r="AK17" s="161">
        <f t="shared" si="10"/>
        <v>0</v>
      </c>
      <c r="AL17" s="161">
        <f>IF($A17=Abandonment!$B$4,LossRec,0)</f>
        <v>0</v>
      </c>
      <c r="AM17" s="161">
        <f t="shared" si="11"/>
        <v>0</v>
      </c>
      <c r="AN17" s="93"/>
      <c r="AO17" s="93"/>
      <c r="AP17" s="93"/>
      <c r="AQ17" s="246">
        <f t="shared" si="21"/>
        <v>0</v>
      </c>
      <c r="AR17" s="246">
        <f>IF(AND(O17&lt;0,O16&gt;0,AR16=0),DATE($A17,MAX(12-$R17,0)+SUM($S17:S17)+0.5,1),AR16)</f>
        <v>0</v>
      </c>
      <c r="AS17" s="246">
        <f>IF(AND(P17&lt;0,P16&gt;0,AS16=0),DATE($A17,MAX(12-$R17,0)+SUM($S17:T17)+0.5,1),AS16)</f>
        <v>0</v>
      </c>
      <c r="AT17" s="246">
        <f>IF(AND(Q17&lt;0,Q16&gt;0,AT16=0),DATE($A17,MAX(12-$R17,0)+SUM($S17:U17)+0.5,1),AT16)</f>
        <v>0</v>
      </c>
      <c r="AU17" s="93"/>
      <c r="AV17" s="93"/>
      <c r="AW17" s="93"/>
      <c r="AX17" s="93"/>
      <c r="AY17" s="93"/>
      <c r="AZ17" s="93"/>
      <c r="BA17" s="93"/>
      <c r="BB17" s="93"/>
    </row>
    <row r="18" spans="1:54" ht="15" x14ac:dyDescent="0.25">
      <c r="A18" s="141">
        <f t="shared" si="20"/>
        <v>2018</v>
      </c>
      <c r="B18" s="161">
        <f>'Success Cash Flow'!E16</f>
        <v>360.11146769631807</v>
      </c>
      <c r="C18" s="161">
        <f>IF(noteco=Lists!A$84,0,Exploration!AB41)</f>
        <v>0</v>
      </c>
      <c r="D18" s="161">
        <f>Development!BL97</f>
        <v>3540.903541131217</v>
      </c>
      <c r="E18" s="161">
        <f>Operations!S25</f>
        <v>119.3431372716318</v>
      </c>
      <c r="F18" s="161">
        <f>Abandonment!G22</f>
        <v>0</v>
      </c>
      <c r="G18" s="161">
        <f t="shared" si="3"/>
        <v>7.202229353926362</v>
      </c>
      <c r="H18" s="161">
        <f t="shared" si="12"/>
        <v>3667.448907756775</v>
      </c>
      <c r="I18" s="161">
        <f t="shared" si="13"/>
        <v>4944.6536408017564</v>
      </c>
      <c r="J18" s="161">
        <f>IF(A18&lt;Development!$C$6,0,IF(A18=Development!C$6,Development!$D$6,IF(I18&lt;0,IF(I17&gt;0,ROUNDDOWN(-I17/(I18-I17)*12,0),0),12)))</f>
        <v>12</v>
      </c>
      <c r="K18" s="161">
        <f>IF(OR(A18&lt;Development!$C$6,A18&gt;Abandonment!$B$4),0,(J18*I17-(I17-I18)*J18*(J18+1)/24)/12)</f>
        <v>3428.7906474407137</v>
      </c>
      <c r="L18" s="161">
        <f>$K18*(L$7+'Selected Economics'!$G17)</f>
        <v>257.15929855805354</v>
      </c>
      <c r="M18" s="161">
        <f>$K18*(M$7+'Selected Economics'!$G17)</f>
        <v>771.47789567416055</v>
      </c>
      <c r="N18" s="161">
        <f>$K18*(N$7+'Selected Economics'!$G17)</f>
        <v>1628.6755575343391</v>
      </c>
      <c r="O18" s="161">
        <f t="shared" si="4"/>
        <v>5286.1699751536062</v>
      </c>
      <c r="P18" s="161">
        <f t="shared" si="5"/>
        <v>5969.2026438573048</v>
      </c>
      <c r="Q18" s="161">
        <f t="shared" si="5"/>
        <v>7107.5904250301364</v>
      </c>
      <c r="R18" s="161">
        <f>IF(A18=Production!$B$4,Production!$B$5,IF(A18&lt;Production!$B$4,0,12+R17))</f>
        <v>11</v>
      </c>
      <c r="S18" s="161">
        <f>MIN($R18,IF(O18&lt;0,MAX(IF(Input!$B$33="Yes",MIN(12,24-R17),0),IF(AND(O17&gt;0,O18&lt;0),ROUNDDOWN(-O17/(O18-O17)*12,0)+0.5),0),12))</f>
        <v>11</v>
      </c>
      <c r="T18" s="161">
        <f>MAX(0,MIN($R18,IF(P18&lt;0,MAX(IF(Input!$B$33="Yes",MIN(12,36-R17),0),IF(AND(P17&gt;0,P18&lt;0),ROUNDDOWN(-P17/(P18-P17)*12,0)+0.5),0),12))-S18)</f>
        <v>0</v>
      </c>
      <c r="U18" s="161">
        <f>MAX(0,MIN($R18,IF(AND(Q17&gt;0,Q18&lt;0),ROUNDDOWN(-Q17/(Q18-Q17)*12,0)+0.5,IF(AND(Q18&gt;0,MIN(Q$11:Q17)&gt;=0),12,0)))-SUM(S18:T18))</f>
        <v>0</v>
      </c>
      <c r="V18" s="161">
        <f t="shared" si="6"/>
        <v>0</v>
      </c>
      <c r="W18" s="161">
        <f t="shared" si="14"/>
        <v>-3300.1352107065309</v>
      </c>
      <c r="X18" s="161">
        <f t="shared" si="15"/>
        <v>7.202229353926362</v>
      </c>
      <c r="Y18" s="161">
        <f t="shared" si="7"/>
        <v>18.005573384815904</v>
      </c>
      <c r="Z18" s="161">
        <f t="shared" si="16"/>
        <v>18.005573384815904</v>
      </c>
      <c r="AA18" s="161">
        <f t="shared" si="8"/>
        <v>18.005573384815904</v>
      </c>
      <c r="AB18" s="161">
        <f t="shared" si="17"/>
        <v>7.202229353926362</v>
      </c>
      <c r="AC18" s="161">
        <f t="shared" si="9"/>
        <v>0</v>
      </c>
      <c r="AD18" s="161">
        <f t="shared" si="9"/>
        <v>0</v>
      </c>
      <c r="AE18" s="161">
        <f t="shared" si="9"/>
        <v>0</v>
      </c>
      <c r="AF18" s="161">
        <f t="shared" si="18"/>
        <v>7.202229353926362</v>
      </c>
      <c r="AG18" s="161">
        <f>IF(A18=Abandonment!$B$4,-W18,0)</f>
        <v>0</v>
      </c>
      <c r="AH18" s="161">
        <f t="shared" si="19"/>
        <v>0</v>
      </c>
      <c r="AI18" s="161">
        <f>MIN(AH18,MAX(0,$AL$3-SUM(AI19:AI$52)))</f>
        <v>0</v>
      </c>
      <c r="AJ18" s="161">
        <f t="shared" si="22"/>
        <v>7.202229353926362</v>
      </c>
      <c r="AK18" s="161">
        <f t="shared" si="10"/>
        <v>0</v>
      </c>
      <c r="AL18" s="161">
        <f>IF($A18=Abandonment!$B$4,LossRec,0)</f>
        <v>0</v>
      </c>
      <c r="AM18" s="161">
        <f t="shared" si="11"/>
        <v>7.202229353926362</v>
      </c>
      <c r="AN18" s="93"/>
      <c r="AO18" s="93"/>
      <c r="AP18" s="93"/>
      <c r="AQ18" s="246">
        <f t="shared" si="21"/>
        <v>0</v>
      </c>
      <c r="AR18" s="246">
        <f>IF(AND(O18&lt;0,O17&gt;0,AR17=0),DATE($A18,MAX(12-$R18,0)+SUM($S18:S18)+0.5,1),AR17)</f>
        <v>0</v>
      </c>
      <c r="AS18" s="246">
        <f>IF(AND(P18&lt;0,P17&gt;0,AS17=0),DATE($A18,MAX(12-$R18,0)+SUM($S18:T18)+0.5,1),AS17)</f>
        <v>0</v>
      </c>
      <c r="AT18" s="246">
        <f>IF(AND(Q18&lt;0,Q17&gt;0,AT17=0),DATE($A18,MAX(12-$R18,0)+SUM($S18:U18)+0.5,1),AT17)</f>
        <v>0</v>
      </c>
      <c r="AU18" s="93"/>
      <c r="AV18" s="93"/>
      <c r="AW18" s="93"/>
      <c r="AX18" s="93"/>
      <c r="AY18" s="93"/>
      <c r="AZ18" s="93"/>
      <c r="BA18" s="93"/>
      <c r="BB18" s="93"/>
    </row>
    <row r="19" spans="1:54" ht="15" x14ac:dyDescent="0.25">
      <c r="A19" s="141">
        <f t="shared" si="20"/>
        <v>2019</v>
      </c>
      <c r="B19" s="161">
        <f>'Success Cash Flow'!E17</f>
        <v>3777.5401884622411</v>
      </c>
      <c r="C19" s="161">
        <f>IF(noteco=Lists!A$84,0,Exploration!AB42)</f>
        <v>0</v>
      </c>
      <c r="D19" s="161">
        <f>Development!BL98</f>
        <v>622.76193373016417</v>
      </c>
      <c r="E19" s="161">
        <f>Operations!S26</f>
        <v>394.22625873262695</v>
      </c>
      <c r="F19" s="161">
        <f>Abandonment!G23</f>
        <v>0</v>
      </c>
      <c r="G19" s="161">
        <f t="shared" si="3"/>
        <v>75.550803769244823</v>
      </c>
      <c r="H19" s="161">
        <f t="shared" si="12"/>
        <v>1092.538996232036</v>
      </c>
      <c r="I19" s="161">
        <f t="shared" si="13"/>
        <v>2259.6524485715513</v>
      </c>
      <c r="J19" s="161">
        <f>IF(A19&lt;Development!$C$6,0,IF(A19=Development!C$6,Development!$D$6,IF(I19&lt;0,IF(I18&gt;0,ROUNDDOWN(-I18/(I19-I18)*12,0),0),12)))</f>
        <v>12</v>
      </c>
      <c r="K19" s="161">
        <f>IF(OR(A19&lt;Development!$C$6,A19&gt;Abandonment!$B$4),0,(J19*I18-(I18-I19)*J19*(J19+1)/24)/12)</f>
        <v>3490.2779950103954</v>
      </c>
      <c r="L19" s="161">
        <f>$K19*(L$7+'Selected Economics'!$G18)</f>
        <v>261.7708496257797</v>
      </c>
      <c r="M19" s="161">
        <f>$K19*(M$7+'Selected Economics'!$G18)</f>
        <v>785.31254887733894</v>
      </c>
      <c r="N19" s="161">
        <f>$K19*(N$7+'Selected Economics'!$G18)</f>
        <v>1657.8820476299379</v>
      </c>
      <c r="O19" s="161">
        <f t="shared" si="4"/>
        <v>2862.9396325491807</v>
      </c>
      <c r="P19" s="161">
        <f t="shared" si="5"/>
        <v>4069.5140005044386</v>
      </c>
      <c r="Q19" s="161">
        <f t="shared" si="5"/>
        <v>6080.4712804298688</v>
      </c>
      <c r="R19" s="161">
        <f>IF(A19=Production!$B$4,Production!$B$5,IF(A19&lt;Production!$B$4,0,12+R18))</f>
        <v>23</v>
      </c>
      <c r="S19" s="161">
        <f>MIN($R19,IF(O19&lt;0,MAX(IF(Input!$B$33="Yes",MIN(12,24-R18),0),IF(AND(O18&gt;0,O19&lt;0),ROUNDDOWN(-O18/(O19-O18)*12,0)+0.5),0),12))</f>
        <v>12</v>
      </c>
      <c r="T19" s="161">
        <f>MAX(0,MIN($R19,IF(P19&lt;0,MAX(IF(Input!$B$33="Yes",MIN(12,36-R18),0),IF(AND(P18&gt;0,P19&lt;0),ROUNDDOWN(-P18/(P19-P18)*12,0)+0.5),0),12))-S19)</f>
        <v>0</v>
      </c>
      <c r="U19" s="161">
        <f>MAX(0,MIN($R19,IF(AND(Q18&gt;0,Q19&lt;0),ROUNDDOWN(-Q18/(Q19-Q18)*12,0)+0.5,IF(AND(Q19&gt;0,MIN(Q$11:Q18)&gt;=0),12,0)))-SUM(S19:T19))</f>
        <v>0</v>
      </c>
      <c r="V19" s="161">
        <f t="shared" si="6"/>
        <v>0</v>
      </c>
      <c r="W19" s="161">
        <f t="shared" si="14"/>
        <v>2760.5519959994499</v>
      </c>
      <c r="X19" s="161">
        <f t="shared" si="15"/>
        <v>75.550803769244823</v>
      </c>
      <c r="Y19" s="161">
        <f t="shared" si="7"/>
        <v>188.87700942311207</v>
      </c>
      <c r="Z19" s="161">
        <f t="shared" si="16"/>
        <v>552.11039919989003</v>
      </c>
      <c r="AA19" s="161">
        <f t="shared" si="8"/>
        <v>966.19319859980737</v>
      </c>
      <c r="AB19" s="161">
        <f t="shared" si="17"/>
        <v>75.550803769244823</v>
      </c>
      <c r="AC19" s="161">
        <f t="shared" si="9"/>
        <v>0</v>
      </c>
      <c r="AD19" s="161">
        <f t="shared" si="9"/>
        <v>0</v>
      </c>
      <c r="AE19" s="161">
        <f t="shared" si="9"/>
        <v>0</v>
      </c>
      <c r="AF19" s="161">
        <f t="shared" si="18"/>
        <v>75.550803769244823</v>
      </c>
      <c r="AG19" s="161">
        <f>IF(A19=Abandonment!$B$4,-W19,0)</f>
        <v>0</v>
      </c>
      <c r="AH19" s="161">
        <f t="shared" si="19"/>
        <v>2760.5519959994499</v>
      </c>
      <c r="AI19" s="161">
        <f>MIN(AH19,MAX(0,$AL$3-SUM(AI20:AI$52)))</f>
        <v>0</v>
      </c>
      <c r="AJ19" s="161">
        <f t="shared" si="22"/>
        <v>75.550803769244823</v>
      </c>
      <c r="AK19" s="161">
        <f t="shared" si="10"/>
        <v>0</v>
      </c>
      <c r="AL19" s="161">
        <f>IF($A19=Abandonment!$B$4,LossRec,0)</f>
        <v>0</v>
      </c>
      <c r="AM19" s="161">
        <f t="shared" si="11"/>
        <v>75.550803769244823</v>
      </c>
      <c r="AN19" s="93"/>
      <c r="AO19" s="93"/>
      <c r="AP19" s="93"/>
      <c r="AQ19" s="246">
        <f t="shared" si="21"/>
        <v>0</v>
      </c>
      <c r="AR19" s="246">
        <f>IF(AND(O19&lt;0,O18&gt;0,AR18=0),DATE($A19,MAX(12-$R19,0)+SUM($S19:S19)+0.5,1),AR18)</f>
        <v>0</v>
      </c>
      <c r="AS19" s="246">
        <f>IF(AND(P19&lt;0,P18&gt;0,AS18=0),DATE($A19,MAX(12-$R19,0)+SUM($S19:T19)+0.5,1),AS18)</f>
        <v>0</v>
      </c>
      <c r="AT19" s="246">
        <f>IF(AND(Q19&lt;0,Q18&gt;0,AT18=0),DATE($A19,MAX(12-$R19,0)+SUM($S19:U19)+0.5,1),AT18)</f>
        <v>0</v>
      </c>
      <c r="AU19" s="93"/>
      <c r="AV19" s="93"/>
      <c r="AW19" s="93"/>
      <c r="AX19" s="93"/>
      <c r="AY19" s="93"/>
      <c r="AZ19" s="93"/>
      <c r="BA19" s="93"/>
      <c r="BB19" s="93"/>
    </row>
    <row r="20" spans="1:54" ht="15" x14ac:dyDescent="0.25">
      <c r="A20" s="141">
        <f t="shared" si="20"/>
        <v>2020</v>
      </c>
      <c r="B20" s="161">
        <f>'Success Cash Flow'!E18</f>
        <v>3932.8596255193238</v>
      </c>
      <c r="C20" s="161">
        <f>IF(noteco=Lists!A$84,0,Exploration!AB43)</f>
        <v>0</v>
      </c>
      <c r="D20" s="161">
        <f>Development!BL99</f>
        <v>0</v>
      </c>
      <c r="E20" s="161">
        <f>Operations!S27</f>
        <v>407.51966777230973</v>
      </c>
      <c r="F20" s="161">
        <f>Abandonment!G24</f>
        <v>0</v>
      </c>
      <c r="G20" s="161">
        <f t="shared" si="3"/>
        <v>78.65719251038648</v>
      </c>
      <c r="H20" s="161">
        <f t="shared" si="12"/>
        <v>486.17686028269623</v>
      </c>
      <c r="I20" s="161">
        <f t="shared" si="13"/>
        <v>-1187.030316665076</v>
      </c>
      <c r="J20" s="161">
        <f>IF(A20&lt;Development!$C$6,0,IF(A20=Development!C$6,Development!$D$6,IF(I20&lt;0,IF(I19&gt;0,ROUNDDOWN(-I19/(I20-I19)*12,0),0),12)))</f>
        <v>7</v>
      </c>
      <c r="K20" s="161">
        <f>IF(OR(A20&lt;Development!$C$6,A20&gt;Abandonment!$B$4),0,(J20*I19-(I19-I20)*J20*(J20+1)/24)/12)</f>
        <v>647.94227953739403</v>
      </c>
      <c r="L20" s="161">
        <f>$K20*(L$7+'Selected Economics'!$G19)</f>
        <v>48.595670965304556</v>
      </c>
      <c r="M20" s="161">
        <f>$K20*(M$7+'Selected Economics'!$G19)</f>
        <v>145.78701289591365</v>
      </c>
      <c r="N20" s="161">
        <f>$K20*(N$7+'Selected Economics'!$G19)</f>
        <v>307.77258278026221</v>
      </c>
      <c r="O20" s="161">
        <f t="shared" si="4"/>
        <v>-535.147461722142</v>
      </c>
      <c r="P20" s="161">
        <f t="shared" si="5"/>
        <v>768.61824816372473</v>
      </c>
      <c r="Q20" s="161">
        <f t="shared" si="5"/>
        <v>2941.5610979735038</v>
      </c>
      <c r="R20" s="161">
        <f>IF(A20=Production!$B$4,Production!$B$5,IF(A20&lt;Production!$B$4,0,12+R19))</f>
        <v>35</v>
      </c>
      <c r="S20" s="161">
        <f>MIN($R20,IF(O20&lt;0,MAX(IF(Input!$B$33="Yes",MIN(12,24-R19),0),IF(AND(O19&gt;0,O20&lt;0),ROUNDDOWN(-O19/(O20-O19)*12,0)+0.5),0),12))</f>
        <v>10.5</v>
      </c>
      <c r="T20" s="161">
        <f>MAX(0,MIN($R20,IF(P20&lt;0,MAX(IF(Input!$B$33="Yes",MIN(12,36-R19),0),IF(AND(P19&gt;0,P20&lt;0),ROUNDDOWN(-P19/(P20-P19)*12,0)+0.5),0),12))-S20)</f>
        <v>1.5</v>
      </c>
      <c r="U20" s="161">
        <f>MAX(0,MIN($R20,IF(AND(Q19&gt;0,Q20&lt;0),ROUNDDOWN(-Q19/(Q20-Q19)*12,0)+0.5,IF(AND(Q20&gt;0,MIN(Q$11:Q19)&gt;=0),12,0)))-SUM(S20:T20))</f>
        <v>0</v>
      </c>
      <c r="V20" s="161">
        <f t="shared" si="6"/>
        <v>0</v>
      </c>
      <c r="W20" s="161">
        <f t="shared" si="14"/>
        <v>3525.3399577470141</v>
      </c>
      <c r="X20" s="161">
        <f t="shared" si="15"/>
        <v>78.65719251038648</v>
      </c>
      <c r="Y20" s="161">
        <f t="shared" si="7"/>
        <v>196.64298127596621</v>
      </c>
      <c r="Z20" s="161">
        <f t="shared" si="16"/>
        <v>705.0679915494029</v>
      </c>
      <c r="AA20" s="161">
        <f t="shared" si="8"/>
        <v>1233.8689852114549</v>
      </c>
      <c r="AB20" s="161">
        <f t="shared" si="17"/>
        <v>68.825043446588168</v>
      </c>
      <c r="AC20" s="161">
        <f t="shared" si="9"/>
        <v>24.580372659495776</v>
      </c>
      <c r="AD20" s="161">
        <f t="shared" si="9"/>
        <v>0</v>
      </c>
      <c r="AE20" s="161">
        <f t="shared" si="9"/>
        <v>0</v>
      </c>
      <c r="AF20" s="161">
        <f t="shared" si="18"/>
        <v>93.405416106083948</v>
      </c>
      <c r="AG20" s="161">
        <f>IF(A20=Abandonment!$B$4,-W20,0)</f>
        <v>0</v>
      </c>
      <c r="AH20" s="161">
        <f t="shared" si="19"/>
        <v>3525.3399577470141</v>
      </c>
      <c r="AI20" s="161">
        <f>MIN(AH20,MAX(0,$AL$3-SUM(AI21:AI$52)))</f>
        <v>0</v>
      </c>
      <c r="AJ20" s="161">
        <f t="shared" si="22"/>
        <v>93.405416106083948</v>
      </c>
      <c r="AK20" s="161">
        <f t="shared" si="10"/>
        <v>0</v>
      </c>
      <c r="AL20" s="161">
        <f>IF($A20=Abandonment!$B$4,LossRec,0)</f>
        <v>0</v>
      </c>
      <c r="AM20" s="161">
        <f t="shared" si="11"/>
        <v>93.405416106083948</v>
      </c>
      <c r="AN20" s="93"/>
      <c r="AO20" s="93"/>
      <c r="AP20" s="93"/>
      <c r="AQ20" s="246">
        <f t="shared" si="21"/>
        <v>44044</v>
      </c>
      <c r="AR20" s="246">
        <f>IF(AND(O20&lt;0,O19&gt;0,AR19=0),DATE($A20,MAX(12-$R20,0)+SUM($S20:S20)+0.5,1),AR19)</f>
        <v>44136</v>
      </c>
      <c r="AS20" s="246">
        <f>IF(AND(P20&lt;0,P19&gt;0,AS19=0),DATE($A20,MAX(12-$R20,0)+SUM($S20:T20)+0.5,1),AS19)</f>
        <v>0</v>
      </c>
      <c r="AT20" s="246">
        <f>IF(AND(Q20&lt;0,Q19&gt;0,AT19=0),DATE($A20,MAX(12-$R20,0)+SUM($S20:U20)+0.5,1),AT19)</f>
        <v>0</v>
      </c>
      <c r="AU20" s="93"/>
      <c r="AV20" s="93"/>
      <c r="AW20" s="93"/>
      <c r="AX20" s="93"/>
      <c r="AY20" s="93"/>
      <c r="AZ20" s="93"/>
      <c r="BA20" s="93"/>
      <c r="BB20" s="93"/>
    </row>
    <row r="21" spans="1:54" ht="15" x14ac:dyDescent="0.25">
      <c r="A21" s="141">
        <f t="shared" si="20"/>
        <v>2021</v>
      </c>
      <c r="B21" s="161">
        <f>'Success Cash Flow'!E19</f>
        <v>4020.1669601022318</v>
      </c>
      <c r="C21" s="161">
        <f>IF(noteco=Lists!A$84,0,Exploration!AB44)</f>
        <v>0</v>
      </c>
      <c r="D21" s="161">
        <f>Development!BL100</f>
        <v>0</v>
      </c>
      <c r="E21" s="161">
        <f>Operations!S28</f>
        <v>417.42538221998535</v>
      </c>
      <c r="F21" s="161">
        <f>Abandonment!G25</f>
        <v>0</v>
      </c>
      <c r="G21" s="161">
        <f t="shared" si="3"/>
        <v>0</v>
      </c>
      <c r="H21" s="161">
        <f t="shared" si="12"/>
        <v>417.42538221998535</v>
      </c>
      <c r="I21" s="161">
        <f t="shared" si="13"/>
        <v>-4789.7718945473225</v>
      </c>
      <c r="J21" s="161">
        <f>IF(A21&lt;Development!$C$6,0,IF(A21=Development!C$6,Development!$D$6,IF(I21&lt;0,IF(I20&gt;0,ROUNDDOWN(-I20/(I21-I20)*12,0),0),12)))</f>
        <v>0</v>
      </c>
      <c r="K21" s="161">
        <f>IF(OR(A21&lt;Development!$C$6,A21&gt;Abandonment!$B$4),0,(J21*I20-(I20-I21)*J21*(J21+1)/24)/12)</f>
        <v>0</v>
      </c>
      <c r="L21" s="161">
        <f>$K21*(L$7+'Selected Economics'!$G20)</f>
        <v>0</v>
      </c>
      <c r="M21" s="161">
        <f>$K21*(M$7+'Selected Economics'!$G20)</f>
        <v>0</v>
      </c>
      <c r="N21" s="161">
        <f>$K21*(N$7+'Selected Economics'!$G20)</f>
        <v>0</v>
      </c>
      <c r="O21" s="161">
        <f t="shared" si="4"/>
        <v>-4137.889039604388</v>
      </c>
      <c r="P21" s="161">
        <f t="shared" si="5"/>
        <v>-2834.1233297185217</v>
      </c>
      <c r="Q21" s="161">
        <f t="shared" si="5"/>
        <v>-661.18047990874265</v>
      </c>
      <c r="R21" s="161">
        <f>IF(A21=Production!$B$4,Production!$B$5,IF(A21&lt;Production!$B$4,0,12+R20))</f>
        <v>47</v>
      </c>
      <c r="S21" s="161">
        <f>MIN($R21,IF(O21&lt;0,MAX(IF(Input!$B$33="Yes",MIN(12,24-R20),0),IF(AND(O20&gt;0,O21&lt;0),ROUNDDOWN(-O20/(O21-O20)*12,0)+0.5),0),12))</f>
        <v>0</v>
      </c>
      <c r="T21" s="161">
        <f>MAX(0,MIN($R21,IF(P21&lt;0,MAX(IF(Input!$B$33="Yes",MIN(12,36-R20),0),IF(AND(P20&gt;0,P21&lt;0),ROUNDDOWN(-P20/(P21-P20)*12,0)+0.5),0),12))-S21)</f>
        <v>2.5</v>
      </c>
      <c r="U21" s="161">
        <f>MAX(0,MIN($R21,IF(AND(Q20&gt;0,Q21&lt;0),ROUNDDOWN(-Q20/(Q21-Q20)*12,0)+0.5,IF(AND(Q21&gt;0,MIN(Q$11:Q20)&gt;=0),12,0)))-SUM(S21:T21))</f>
        <v>7</v>
      </c>
      <c r="V21" s="161">
        <f t="shared" si="6"/>
        <v>2.5</v>
      </c>
      <c r="W21" s="161">
        <f t="shared" si="14"/>
        <v>3602.7415778822465</v>
      </c>
      <c r="X21" s="161">
        <f t="shared" si="15"/>
        <v>80.403339202044634</v>
      </c>
      <c r="Y21" s="161">
        <f t="shared" si="7"/>
        <v>201.0083480051116</v>
      </c>
      <c r="Z21" s="161">
        <f t="shared" si="16"/>
        <v>720.54831557644934</v>
      </c>
      <c r="AA21" s="161">
        <f t="shared" si="8"/>
        <v>1260.9595522587863</v>
      </c>
      <c r="AB21" s="161">
        <f t="shared" si="17"/>
        <v>0</v>
      </c>
      <c r="AC21" s="161">
        <f t="shared" si="9"/>
        <v>41.876739167731586</v>
      </c>
      <c r="AD21" s="161">
        <f t="shared" si="9"/>
        <v>420.31985075292874</v>
      </c>
      <c r="AE21" s="161">
        <f t="shared" si="9"/>
        <v>262.69990672058049</v>
      </c>
      <c r="AF21" s="161">
        <f t="shared" si="18"/>
        <v>724.8964966412409</v>
      </c>
      <c r="AG21" s="161">
        <f>IF(A21=Abandonment!$B$4,-W21,0)</f>
        <v>0</v>
      </c>
      <c r="AH21" s="161">
        <f t="shared" si="19"/>
        <v>3602.7415778822465</v>
      </c>
      <c r="AI21" s="161">
        <f>MIN(AH21,MAX(0,$AL$3-SUM(AI22:AI$52)))</f>
        <v>0</v>
      </c>
      <c r="AJ21" s="161">
        <f t="shared" si="22"/>
        <v>724.8964966412409</v>
      </c>
      <c r="AK21" s="161">
        <f t="shared" si="10"/>
        <v>0</v>
      </c>
      <c r="AL21" s="161">
        <f>IF($A21=Abandonment!$B$4,LossRec,0)</f>
        <v>0</v>
      </c>
      <c r="AM21" s="161">
        <f t="shared" si="11"/>
        <v>724.8964966412409</v>
      </c>
      <c r="AN21" s="93"/>
      <c r="AO21" s="93"/>
      <c r="AP21" s="93"/>
      <c r="AQ21" s="246">
        <f t="shared" si="21"/>
        <v>44044</v>
      </c>
      <c r="AR21" s="246">
        <f>IF(AND(O21&lt;0,O20&gt;0,AR20=0),DATE($A21,MAX(12-$R21,0)+SUM($S21:S21)+0.5,1),AR20)</f>
        <v>44136</v>
      </c>
      <c r="AS21" s="246">
        <f>IF(AND(P21&lt;0,P20&gt;0,AS20=0),DATE($A21,MAX(12-$R21,0)+SUM($S21:T21)+0.5,1),AS20)</f>
        <v>44256</v>
      </c>
      <c r="AT21" s="246">
        <f>IF(AND(Q21&lt;0,Q20&gt;0,AT20=0),DATE($A21,MAX(12-$R21,0)+SUM($S21:U21)+0.5,1),AT20)</f>
        <v>44470</v>
      </c>
      <c r="AU21" s="93"/>
      <c r="AV21" s="93"/>
      <c r="AW21" s="93"/>
      <c r="AX21" s="93"/>
      <c r="AY21" s="93"/>
      <c r="AZ21" s="93"/>
      <c r="BA21" s="93"/>
      <c r="BB21" s="93"/>
    </row>
    <row r="22" spans="1:54" ht="15" x14ac:dyDescent="0.25">
      <c r="A22" s="141">
        <f t="shared" si="20"/>
        <v>2022</v>
      </c>
      <c r="B22" s="161">
        <f>'Success Cash Flow'!E20</f>
        <v>4118.1820041617557</v>
      </c>
      <c r="C22" s="161">
        <f>IF(noteco=Lists!A$84,0,Exploration!AB45)</f>
        <v>0</v>
      </c>
      <c r="D22" s="161">
        <f>Development!BL101</f>
        <v>0</v>
      </c>
      <c r="E22" s="161">
        <f>Operations!S29</f>
        <v>427.70401148445285</v>
      </c>
      <c r="F22" s="161">
        <f>Abandonment!G26</f>
        <v>0</v>
      </c>
      <c r="G22" s="161">
        <f t="shared" si="3"/>
        <v>0</v>
      </c>
      <c r="H22" s="161">
        <f t="shared" si="12"/>
        <v>427.70401148445285</v>
      </c>
      <c r="I22" s="161">
        <f t="shared" si="13"/>
        <v>-8480.2498872246251</v>
      </c>
      <c r="J22" s="161">
        <f>IF(A22&lt;Development!$C$6,0,IF(A22=Development!C$6,Development!$D$6,IF(I22&lt;0,IF(I21&gt;0,ROUNDDOWN(-I21/(I22-I21)*12,0),0),12)))</f>
        <v>0</v>
      </c>
      <c r="K22" s="161">
        <f>IF(OR(A22&lt;Development!$C$6,A22&gt;Abandonment!$B$4),0,(J22*I21-(I21-I22)*J22*(J22+1)/24)/12)</f>
        <v>0</v>
      </c>
      <c r="L22" s="161">
        <f>$K22*(L$7+'Selected Economics'!$G21)</f>
        <v>0</v>
      </c>
      <c r="M22" s="161">
        <f>$K22*(M$7+'Selected Economics'!$G21)</f>
        <v>0</v>
      </c>
      <c r="N22" s="161">
        <f>$K22*(N$7+'Selected Economics'!$G21)</f>
        <v>0</v>
      </c>
      <c r="O22" s="161">
        <f t="shared" si="4"/>
        <v>-7828.3670322816906</v>
      </c>
      <c r="P22" s="161">
        <f t="shared" si="5"/>
        <v>-6524.6013223958244</v>
      </c>
      <c r="Q22" s="161">
        <f t="shared" si="5"/>
        <v>-4351.6584725860448</v>
      </c>
      <c r="R22" s="161">
        <f>IF(A22=Production!$B$4,Production!$B$5,IF(A22&lt;Production!$B$4,0,12+R21))</f>
        <v>59</v>
      </c>
      <c r="S22" s="161">
        <f>MIN($R22,IF(O22&lt;0,MAX(IF(Input!$B$33="Yes",MIN(12,24-R21),0),IF(AND(O21&gt;0,O22&lt;0),ROUNDDOWN(-O21/(O22-O21)*12,0)+0.5),0),12))</f>
        <v>0</v>
      </c>
      <c r="T22" s="161">
        <f>MAX(0,MIN($R22,IF(P22&lt;0,MAX(IF(Input!$B$33="Yes",MIN(12,36-R21),0),IF(AND(P21&gt;0,P22&lt;0),ROUNDDOWN(-P21/(P22-P21)*12,0)+0.5),0),12))-S22)</f>
        <v>0</v>
      </c>
      <c r="U22" s="161">
        <f>MAX(0,MIN($R22,IF(AND(Q21&gt;0,Q22&lt;0),ROUNDDOWN(-Q21/(Q22-Q21)*12,0)+0.5,IF(AND(Q22&gt;0,MIN(Q$11:Q21)&gt;=0),12,0)))-SUM(S22:T22))</f>
        <v>0</v>
      </c>
      <c r="V22" s="161">
        <f t="shared" si="6"/>
        <v>12</v>
      </c>
      <c r="W22" s="161">
        <f t="shared" si="14"/>
        <v>3690.4779926773026</v>
      </c>
      <c r="X22" s="161">
        <f t="shared" si="15"/>
        <v>82.363640083235111</v>
      </c>
      <c r="Y22" s="161">
        <f t="shared" si="7"/>
        <v>205.90910020808781</v>
      </c>
      <c r="Z22" s="161">
        <f t="shared" si="16"/>
        <v>738.09559853546057</v>
      </c>
      <c r="AA22" s="161">
        <f t="shared" si="8"/>
        <v>1291.6672974370558</v>
      </c>
      <c r="AB22" s="161">
        <f t="shared" si="17"/>
        <v>0</v>
      </c>
      <c r="AC22" s="161">
        <f t="shared" si="9"/>
        <v>0</v>
      </c>
      <c r="AD22" s="161">
        <f t="shared" si="9"/>
        <v>0</v>
      </c>
      <c r="AE22" s="161">
        <f t="shared" si="9"/>
        <v>1291.6672974370558</v>
      </c>
      <c r="AF22" s="161">
        <f t="shared" si="18"/>
        <v>1291.6672974370558</v>
      </c>
      <c r="AG22" s="161">
        <f>IF(A22=Abandonment!$B$4,-W22,0)</f>
        <v>0</v>
      </c>
      <c r="AH22" s="161">
        <f t="shared" si="19"/>
        <v>3690.4779926773026</v>
      </c>
      <c r="AI22" s="161">
        <f>MIN(AH22,MAX(0,$AL$3-SUM(AI23:AI$52)))</f>
        <v>0</v>
      </c>
      <c r="AJ22" s="161">
        <f t="shared" si="22"/>
        <v>1291.6672974370558</v>
      </c>
      <c r="AK22" s="161">
        <f t="shared" si="10"/>
        <v>0</v>
      </c>
      <c r="AL22" s="161">
        <f>IF($A22=Abandonment!$B$4,LossRec,0)</f>
        <v>0</v>
      </c>
      <c r="AM22" s="161">
        <f t="shared" si="11"/>
        <v>1291.6672974370558</v>
      </c>
      <c r="AN22" s="93"/>
      <c r="AO22" s="93"/>
      <c r="AP22" s="93"/>
      <c r="AQ22" s="246">
        <f t="shared" si="21"/>
        <v>44044</v>
      </c>
      <c r="AR22" s="246">
        <f>IF(AND(O22&lt;0,O21&gt;0,AR21=0),DATE($A22,MAX(12-$R22,0)+SUM($S22:S22)+0.5,1),AR21)</f>
        <v>44136</v>
      </c>
      <c r="AS22" s="246">
        <f>IF(AND(P22&lt;0,P21&gt;0,AS21=0),DATE($A22,MAX(12-$R22,0)+SUM($S22:T22)+0.5,1),AS21)</f>
        <v>44256</v>
      </c>
      <c r="AT22" s="246">
        <f>IF(AND(Q22&lt;0,Q21&gt;0,AT21=0),DATE($A22,MAX(12-$R22,0)+SUM($S22:U22)+0.5,1),AT21)</f>
        <v>44470</v>
      </c>
      <c r="AU22" s="93"/>
      <c r="AV22" s="93"/>
      <c r="AW22" s="93"/>
      <c r="AX22" s="93"/>
      <c r="AY22" s="93"/>
      <c r="AZ22" s="93"/>
      <c r="BA22" s="93"/>
      <c r="BB22" s="93"/>
    </row>
    <row r="23" spans="1:54" ht="15" x14ac:dyDescent="0.25">
      <c r="A23" s="141">
        <f t="shared" si="20"/>
        <v>2023</v>
      </c>
      <c r="B23" s="161">
        <f>'Success Cash Flow'!E21</f>
        <v>3843.9652627015721</v>
      </c>
      <c r="C23" s="161">
        <f>IF(noteco=Lists!A$84,0,Exploration!AB46)</f>
        <v>0</v>
      </c>
      <c r="D23" s="161">
        <f>Development!BL102</f>
        <v>0</v>
      </c>
      <c r="E23" s="161">
        <f>Operations!S30</f>
        <v>414.60601435144974</v>
      </c>
      <c r="F23" s="161">
        <f>Abandonment!G27</f>
        <v>0</v>
      </c>
      <c r="G23" s="161">
        <f t="shared" si="3"/>
        <v>0</v>
      </c>
      <c r="H23" s="161">
        <f t="shared" si="12"/>
        <v>414.60601435144974</v>
      </c>
      <c r="I23" s="161">
        <f t="shared" si="13"/>
        <v>-11909.609135574749</v>
      </c>
      <c r="J23" s="161">
        <f>IF(A23&lt;Development!$C$6,0,IF(A23=Development!C$6,Development!$D$6,IF(I23&lt;0,IF(I22&gt;0,ROUNDDOWN(-I22/(I23-I22)*12,0),0),12)))</f>
        <v>0</v>
      </c>
      <c r="K23" s="161">
        <f>IF(OR(A23&lt;Development!$C$6,A23&gt;Abandonment!$B$4),0,(J23*I22-(I22-I23)*J23*(J23+1)/24)/12)</f>
        <v>0</v>
      </c>
      <c r="L23" s="161">
        <f>$K23*(L$7+'Selected Economics'!$G22)</f>
        <v>0</v>
      </c>
      <c r="M23" s="161">
        <f>$K23*(M$7+'Selected Economics'!$G22)</f>
        <v>0</v>
      </c>
      <c r="N23" s="161">
        <f>$K23*(N$7+'Selected Economics'!$G22)</f>
        <v>0</v>
      </c>
      <c r="O23" s="161">
        <f t="shared" si="4"/>
        <v>-11257.726280631814</v>
      </c>
      <c r="P23" s="161">
        <f t="shared" si="5"/>
        <v>-9953.9605707459468</v>
      </c>
      <c r="Q23" s="161">
        <f t="shared" si="5"/>
        <v>-7781.0177209361673</v>
      </c>
      <c r="R23" s="161">
        <f>IF(A23=Production!$B$4,Production!$B$5,IF(A23&lt;Production!$B$4,0,12+R22))</f>
        <v>71</v>
      </c>
      <c r="S23" s="161">
        <f>MIN($R23,IF(O23&lt;0,MAX(IF(Input!$B$33="Yes",MIN(12,24-R22),0),IF(AND(O22&gt;0,O23&lt;0),ROUNDDOWN(-O22/(O23-O22)*12,0)+0.5),0),12))</f>
        <v>0</v>
      </c>
      <c r="T23" s="161">
        <f>MAX(0,MIN($R23,IF(P23&lt;0,MAX(IF(Input!$B$33="Yes",MIN(12,36-R22),0),IF(AND(P22&gt;0,P23&lt;0),ROUNDDOWN(-P22/(P23-P22)*12,0)+0.5),0),12))-S23)</f>
        <v>0</v>
      </c>
      <c r="U23" s="161">
        <f>MAX(0,MIN($R23,IF(AND(Q22&gt;0,Q23&lt;0),ROUNDDOWN(-Q22/(Q23-Q22)*12,0)+0.5,IF(AND(Q23&gt;0,MIN(Q$11:Q22)&gt;=0),12,0)))-SUM(S23:T23))</f>
        <v>0</v>
      </c>
      <c r="V23" s="161">
        <f t="shared" si="6"/>
        <v>12</v>
      </c>
      <c r="W23" s="161">
        <f t="shared" si="14"/>
        <v>3429.3592483501225</v>
      </c>
      <c r="X23" s="161">
        <f t="shared" si="15"/>
        <v>76.879305254031451</v>
      </c>
      <c r="Y23" s="161">
        <f t="shared" si="7"/>
        <v>192.19826313507861</v>
      </c>
      <c r="Z23" s="161">
        <f t="shared" si="16"/>
        <v>685.87184967002452</v>
      </c>
      <c r="AA23" s="161">
        <f t="shared" si="8"/>
        <v>1200.2757369225428</v>
      </c>
      <c r="AB23" s="161">
        <f t="shared" si="17"/>
        <v>0</v>
      </c>
      <c r="AC23" s="161">
        <f t="shared" si="9"/>
        <v>0</v>
      </c>
      <c r="AD23" s="161">
        <f t="shared" si="9"/>
        <v>0</v>
      </c>
      <c r="AE23" s="161">
        <f t="shared" si="9"/>
        <v>1200.2757369225428</v>
      </c>
      <c r="AF23" s="161">
        <f t="shared" si="18"/>
        <v>1200.2757369225428</v>
      </c>
      <c r="AG23" s="161">
        <f>IF(A23=Abandonment!$B$4,-W23,0)</f>
        <v>0</v>
      </c>
      <c r="AH23" s="161">
        <f t="shared" si="19"/>
        <v>3429.3592483501225</v>
      </c>
      <c r="AI23" s="161">
        <f>MIN(AH23,MAX(0,$AL$3-SUM(AI24:AI$52)))</f>
        <v>0</v>
      </c>
      <c r="AJ23" s="161">
        <f t="shared" si="22"/>
        <v>1200.2757369225428</v>
      </c>
      <c r="AK23" s="161">
        <f t="shared" si="10"/>
        <v>0</v>
      </c>
      <c r="AL23" s="161">
        <f>IF($A23=Abandonment!$B$4,LossRec,0)</f>
        <v>0</v>
      </c>
      <c r="AM23" s="161">
        <f t="shared" si="11"/>
        <v>1200.2757369225428</v>
      </c>
      <c r="AN23" s="93"/>
      <c r="AO23" s="93"/>
      <c r="AP23" s="93"/>
      <c r="AQ23" s="246">
        <f t="shared" si="21"/>
        <v>44044</v>
      </c>
      <c r="AR23" s="246">
        <f>IF(AND(O23&lt;0,O22&gt;0,AR22=0),DATE($A23,MAX(12-$R23,0)+SUM($S23:S23)+0.5,1),AR22)</f>
        <v>44136</v>
      </c>
      <c r="AS23" s="246">
        <f>IF(AND(P23&lt;0,P22&gt;0,AS22=0),DATE($A23,MAX(12-$R23,0)+SUM($S23:T23)+0.5,1),AS22)</f>
        <v>44256</v>
      </c>
      <c r="AT23" s="246">
        <f>IF(AND(Q23&lt;0,Q22&gt;0,AT22=0),DATE($A23,MAX(12-$R23,0)+SUM($S23:U23)+0.5,1),AT22)</f>
        <v>44470</v>
      </c>
      <c r="AU23" s="93"/>
      <c r="AV23" s="93"/>
      <c r="AW23" s="93"/>
      <c r="AX23" s="93"/>
      <c r="AY23" s="93"/>
      <c r="AZ23" s="93"/>
      <c r="BA23" s="93"/>
      <c r="BB23" s="93"/>
    </row>
    <row r="24" spans="1:54" ht="15" x14ac:dyDescent="0.25">
      <c r="A24" s="141">
        <f t="shared" si="20"/>
        <v>2024</v>
      </c>
      <c r="B24" s="161">
        <f>'Success Cash Flow'!E22</f>
        <v>3357.5029376807242</v>
      </c>
      <c r="C24" s="161">
        <f>IF(noteco=Lists!A$84,0,Exploration!AB47)</f>
        <v>0</v>
      </c>
      <c r="D24" s="161">
        <f>Development!BL103</f>
        <v>0</v>
      </c>
      <c r="E24" s="161">
        <f>Operations!S31</f>
        <v>387.88177296075929</v>
      </c>
      <c r="F24" s="161">
        <f>Abandonment!G28</f>
        <v>0</v>
      </c>
      <c r="G24" s="161">
        <f t="shared" si="3"/>
        <v>0</v>
      </c>
      <c r="H24" s="161">
        <f t="shared" si="12"/>
        <v>387.88177296075929</v>
      </c>
      <c r="I24" s="161">
        <f t="shared" si="13"/>
        <v>-14879.230300294712</v>
      </c>
      <c r="J24" s="161">
        <f>IF(A24&lt;Development!$C$6,0,IF(A24=Development!C$6,Development!$D$6,IF(I24&lt;0,IF(I23&gt;0,ROUNDDOWN(-I23/(I24-I23)*12,0),0),12)))</f>
        <v>0</v>
      </c>
      <c r="K24" s="161">
        <f>IF(OR(A24&lt;Development!$C$6,A24&gt;Abandonment!$B$4),0,(J24*I23-(I23-I24)*J24*(J24+1)/24)/12)</f>
        <v>0</v>
      </c>
      <c r="L24" s="161">
        <f>$K24*(L$7+'Selected Economics'!$G23)</f>
        <v>0</v>
      </c>
      <c r="M24" s="161">
        <f>$K24*(M$7+'Selected Economics'!$G23)</f>
        <v>0</v>
      </c>
      <c r="N24" s="161">
        <f>$K24*(N$7+'Selected Economics'!$G23)</f>
        <v>0</v>
      </c>
      <c r="O24" s="161">
        <f t="shared" si="4"/>
        <v>-14227.347445351779</v>
      </c>
      <c r="P24" s="161">
        <f t="shared" si="5"/>
        <v>-12923.581735465912</v>
      </c>
      <c r="Q24" s="161">
        <f t="shared" si="5"/>
        <v>-10750.638885656132</v>
      </c>
      <c r="R24" s="161">
        <f>IF(A24=Production!$B$4,Production!$B$5,IF(A24&lt;Production!$B$4,0,12+R23))</f>
        <v>83</v>
      </c>
      <c r="S24" s="161">
        <f>MIN($R24,IF(O24&lt;0,MAX(IF(Input!$B$33="Yes",MIN(12,24-R23),0),IF(AND(O23&gt;0,O24&lt;0),ROUNDDOWN(-O23/(O24-O23)*12,0)+0.5),0),12))</f>
        <v>0</v>
      </c>
      <c r="T24" s="161">
        <f>MAX(0,MIN($R24,IF(P24&lt;0,MAX(IF(Input!$B$33="Yes",MIN(12,36-R23),0),IF(AND(P23&gt;0,P24&lt;0),ROUNDDOWN(-P23/(P24-P23)*12,0)+0.5),0),12))-S24)</f>
        <v>0</v>
      </c>
      <c r="U24" s="161">
        <f>MAX(0,MIN($R24,IF(AND(Q23&gt;0,Q24&lt;0),ROUNDDOWN(-Q23/(Q24-Q23)*12,0)+0.5,IF(AND(Q24&gt;0,MIN(Q$11:Q23)&gt;=0),12,0)))-SUM(S24:T24))</f>
        <v>0</v>
      </c>
      <c r="V24" s="161">
        <f t="shared" si="6"/>
        <v>12</v>
      </c>
      <c r="W24" s="161">
        <f t="shared" si="14"/>
        <v>2969.6211647199648</v>
      </c>
      <c r="X24" s="161">
        <f t="shared" si="15"/>
        <v>67.150058753614488</v>
      </c>
      <c r="Y24" s="161">
        <f t="shared" si="7"/>
        <v>167.87514688403621</v>
      </c>
      <c r="Z24" s="161">
        <f t="shared" si="16"/>
        <v>593.92423294399293</v>
      </c>
      <c r="AA24" s="161">
        <f t="shared" si="8"/>
        <v>1039.3674076519876</v>
      </c>
      <c r="AB24" s="161">
        <f t="shared" si="17"/>
        <v>0</v>
      </c>
      <c r="AC24" s="161">
        <f t="shared" si="9"/>
        <v>0</v>
      </c>
      <c r="AD24" s="161">
        <f t="shared" si="9"/>
        <v>0</v>
      </c>
      <c r="AE24" s="161">
        <f t="shared" si="9"/>
        <v>1039.3674076519876</v>
      </c>
      <c r="AF24" s="161">
        <f t="shared" si="18"/>
        <v>1039.3674076519876</v>
      </c>
      <c r="AG24" s="161">
        <f>IF(A24=Abandonment!$B$4,-W24,0)</f>
        <v>0</v>
      </c>
      <c r="AH24" s="161">
        <f t="shared" si="19"/>
        <v>2969.6211647199648</v>
      </c>
      <c r="AI24" s="161">
        <f>MIN(AH24,MAX(0,$AL$3-SUM(AI25:AI$52)))</f>
        <v>0</v>
      </c>
      <c r="AJ24" s="161">
        <f t="shared" si="22"/>
        <v>1039.3674076519876</v>
      </c>
      <c r="AK24" s="161">
        <f t="shared" si="10"/>
        <v>0</v>
      </c>
      <c r="AL24" s="161">
        <f>IF($A24=Abandonment!$B$4,LossRec,0)</f>
        <v>0</v>
      </c>
      <c r="AM24" s="161">
        <f t="shared" si="11"/>
        <v>1039.3674076519876</v>
      </c>
      <c r="AN24" s="93"/>
      <c r="AO24" s="93"/>
      <c r="AP24" s="93"/>
      <c r="AQ24" s="246">
        <f t="shared" si="21"/>
        <v>44044</v>
      </c>
      <c r="AR24" s="246">
        <f>IF(AND(O24&lt;0,O23&gt;0,AR23=0),DATE($A24,MAX(12-$R24,0)+SUM($S24:S24)+0.5,1),AR23)</f>
        <v>44136</v>
      </c>
      <c r="AS24" s="246">
        <f>IF(AND(P24&lt;0,P23&gt;0,AS23=0),DATE($A24,MAX(12-$R24,0)+SUM($S24:T24)+0.5,1),AS23)</f>
        <v>44256</v>
      </c>
      <c r="AT24" s="246">
        <f>IF(AND(Q24&lt;0,Q23&gt;0,AT23=0),DATE($A24,MAX(12-$R24,0)+SUM($S24:U24)+0.5,1),AT23)</f>
        <v>44470</v>
      </c>
      <c r="AU24" s="93"/>
      <c r="AV24" s="93"/>
      <c r="AW24" s="93"/>
      <c r="AX24" s="93"/>
      <c r="AY24" s="93"/>
      <c r="AZ24" s="93"/>
      <c r="BA24" s="93"/>
      <c r="BB24" s="93"/>
    </row>
    <row r="25" spans="1:54" ht="15" x14ac:dyDescent="0.25">
      <c r="A25" s="141">
        <f t="shared" si="20"/>
        <v>2025</v>
      </c>
      <c r="B25" s="161">
        <f>'Success Cash Flow'!E23</f>
        <v>2916.5650268385516</v>
      </c>
      <c r="C25" s="161">
        <f>IF(noteco=Lists!A$84,0,Exploration!AB48)</f>
        <v>0</v>
      </c>
      <c r="D25" s="161">
        <f>Development!BL104</f>
        <v>0</v>
      </c>
      <c r="E25" s="161">
        <f>Operations!S32</f>
        <v>364.82369064149242</v>
      </c>
      <c r="F25" s="161">
        <f>Abandonment!G29</f>
        <v>0</v>
      </c>
      <c r="G25" s="161">
        <f t="shared" si="3"/>
        <v>0</v>
      </c>
      <c r="H25" s="161">
        <f t="shared" si="12"/>
        <v>364.82369064149242</v>
      </c>
      <c r="I25" s="161">
        <f t="shared" si="13"/>
        <v>-17430.971636491769</v>
      </c>
      <c r="J25" s="161">
        <f>IF(A25&lt;Development!$C$6,0,IF(A25=Development!C$6,Development!$D$6,IF(I25&lt;0,IF(I24&gt;0,ROUNDDOWN(-I24/(I25-I24)*12,0),0),12)))</f>
        <v>0</v>
      </c>
      <c r="K25" s="161">
        <f>IF(OR(A25&lt;Development!$C$6,A25&gt;Abandonment!$B$4),0,(J25*I24-(I24-I25)*J25*(J25+1)/24)/12)</f>
        <v>0</v>
      </c>
      <c r="L25" s="161">
        <f>$K25*(L$7+'Selected Economics'!$G24)</f>
        <v>0</v>
      </c>
      <c r="M25" s="161">
        <f>$K25*(M$7+'Selected Economics'!$G24)</f>
        <v>0</v>
      </c>
      <c r="N25" s="161">
        <f>$K25*(N$7+'Selected Economics'!$G24)</f>
        <v>0</v>
      </c>
      <c r="O25" s="161">
        <f t="shared" si="4"/>
        <v>-16779.088781548839</v>
      </c>
      <c r="P25" s="161">
        <f t="shared" si="5"/>
        <v>-15475.323071662971</v>
      </c>
      <c r="Q25" s="161">
        <f t="shared" si="5"/>
        <v>-13302.380221853191</v>
      </c>
      <c r="R25" s="161">
        <f>IF(A25=Production!$B$4,Production!$B$5,IF(A25&lt;Production!$B$4,0,12+R24))</f>
        <v>95</v>
      </c>
      <c r="S25" s="161">
        <f>MIN($R25,IF(O25&lt;0,MAX(IF(Input!$B$33="Yes",MIN(12,24-R24),0),IF(AND(O24&gt;0,O25&lt;0),ROUNDDOWN(-O24/(O25-O24)*12,0)+0.5),0),12))</f>
        <v>0</v>
      </c>
      <c r="T25" s="161">
        <f>MAX(0,MIN($R25,IF(P25&lt;0,MAX(IF(Input!$B$33="Yes",MIN(12,36-R24),0),IF(AND(P24&gt;0,P25&lt;0),ROUNDDOWN(-P24/(P25-P24)*12,0)+0.5),0),12))-S25)</f>
        <v>0</v>
      </c>
      <c r="U25" s="161">
        <f>MAX(0,MIN($R25,IF(AND(Q24&gt;0,Q25&lt;0),ROUNDDOWN(-Q24/(Q25-Q24)*12,0)+0.5,IF(AND(Q25&gt;0,MIN(Q$11:Q24)&gt;=0),12,0)))-SUM(S25:T25))</f>
        <v>0</v>
      </c>
      <c r="V25" s="161">
        <f t="shared" si="6"/>
        <v>12</v>
      </c>
      <c r="W25" s="161">
        <f t="shared" si="14"/>
        <v>2551.7413361970594</v>
      </c>
      <c r="X25" s="161">
        <f t="shared" si="15"/>
        <v>58.331300536771032</v>
      </c>
      <c r="Y25" s="161">
        <f t="shared" si="7"/>
        <v>145.8282513419276</v>
      </c>
      <c r="Z25" s="161">
        <f t="shared" si="16"/>
        <v>510.34826723941188</v>
      </c>
      <c r="AA25" s="161">
        <f t="shared" si="8"/>
        <v>893.10946766897075</v>
      </c>
      <c r="AB25" s="161">
        <f t="shared" si="17"/>
        <v>0</v>
      </c>
      <c r="AC25" s="161">
        <f t="shared" si="9"/>
        <v>0</v>
      </c>
      <c r="AD25" s="161">
        <f t="shared" si="9"/>
        <v>0</v>
      </c>
      <c r="AE25" s="161">
        <f t="shared" si="9"/>
        <v>893.10946766897075</v>
      </c>
      <c r="AF25" s="161">
        <f t="shared" si="18"/>
        <v>893.10946766897075</v>
      </c>
      <c r="AG25" s="161">
        <f>IF(A25=Abandonment!$B$4,-W25,0)</f>
        <v>0</v>
      </c>
      <c r="AH25" s="161">
        <f t="shared" si="19"/>
        <v>2551.7413361970594</v>
      </c>
      <c r="AI25" s="161">
        <f>MIN(AH25,MAX(0,$AL$3-SUM(AI26:AI$52)))</f>
        <v>0</v>
      </c>
      <c r="AJ25" s="161">
        <f t="shared" si="22"/>
        <v>893.10946766897075</v>
      </c>
      <c r="AK25" s="161">
        <f t="shared" si="10"/>
        <v>0</v>
      </c>
      <c r="AL25" s="161">
        <f>IF($A25=Abandonment!$B$4,LossRec,0)</f>
        <v>0</v>
      </c>
      <c r="AM25" s="161">
        <f t="shared" si="11"/>
        <v>893.10946766897075</v>
      </c>
      <c r="AN25" s="93"/>
      <c r="AO25" s="93"/>
      <c r="AP25" s="93"/>
      <c r="AQ25" s="246">
        <f t="shared" si="21"/>
        <v>44044</v>
      </c>
      <c r="AR25" s="246">
        <f>IF(AND(O25&lt;0,O24&gt;0,AR24=0),DATE($A25,MAX(12-$R25,0)+SUM($S25:S25)+0.5,1),AR24)</f>
        <v>44136</v>
      </c>
      <c r="AS25" s="246">
        <f>IF(AND(P25&lt;0,P24&gt;0,AS24=0),DATE($A25,MAX(12-$R25,0)+SUM($S25:T25)+0.5,1),AS24)</f>
        <v>44256</v>
      </c>
      <c r="AT25" s="246">
        <f>IF(AND(Q25&lt;0,Q24&gt;0,AT24=0),DATE($A25,MAX(12-$R25,0)+SUM($S25:U25)+0.5,1),AT24)</f>
        <v>44470</v>
      </c>
      <c r="AU25" s="93"/>
      <c r="AV25" s="93"/>
      <c r="AW25" s="93"/>
      <c r="AX25" s="93"/>
      <c r="AY25" s="93"/>
      <c r="AZ25" s="93"/>
      <c r="BA25" s="93"/>
      <c r="BB25" s="93"/>
    </row>
    <row r="26" spans="1:54" ht="15" x14ac:dyDescent="0.25">
      <c r="A26" s="141">
        <f t="shared" si="20"/>
        <v>2026</v>
      </c>
      <c r="B26" s="161">
        <f>'Success Cash Flow'!E24</f>
        <v>2541.057279633088</v>
      </c>
      <c r="C26" s="161">
        <f>IF(noteco=Lists!A$84,0,Exploration!AB49)</f>
        <v>0</v>
      </c>
      <c r="D26" s="161">
        <f>Development!BL105</f>
        <v>0</v>
      </c>
      <c r="E26" s="161">
        <f>Operations!S33</f>
        <v>345.65945717826258</v>
      </c>
      <c r="F26" s="161">
        <f>Abandonment!G30</f>
        <v>0</v>
      </c>
      <c r="G26" s="161">
        <f t="shared" si="3"/>
        <v>0</v>
      </c>
      <c r="H26" s="161">
        <f t="shared" si="12"/>
        <v>345.65945717826258</v>
      </c>
      <c r="I26" s="161">
        <f t="shared" si="13"/>
        <v>-19626.369458946596</v>
      </c>
      <c r="J26" s="161">
        <f>IF(A26&lt;Development!$C$6,0,IF(A26=Development!C$6,Development!$D$6,IF(I26&lt;0,IF(I25&gt;0,ROUNDDOWN(-I25/(I26-I25)*12,0),0),12)))</f>
        <v>0</v>
      </c>
      <c r="K26" s="161">
        <f>IF(OR(A26&lt;Development!$C$6,A26&gt;Abandonment!$B$4),0,(J26*I25-(I25-I26)*J26*(J26+1)/24)/12)</f>
        <v>0</v>
      </c>
      <c r="L26" s="161">
        <f>$K26*(L$7+'Selected Economics'!$G25)</f>
        <v>0</v>
      </c>
      <c r="M26" s="161">
        <f>$K26*(M$7+'Selected Economics'!$G25)</f>
        <v>0</v>
      </c>
      <c r="N26" s="161">
        <f>$K26*(N$7+'Selected Economics'!$G25)</f>
        <v>0</v>
      </c>
      <c r="O26" s="161">
        <f t="shared" si="4"/>
        <v>-18974.486604003665</v>
      </c>
      <c r="P26" s="161">
        <f t="shared" si="5"/>
        <v>-17670.720894117796</v>
      </c>
      <c r="Q26" s="161">
        <f t="shared" si="5"/>
        <v>-15497.778044308016</v>
      </c>
      <c r="R26" s="161">
        <f>IF(A26=Production!$B$4,Production!$B$5,IF(A26&lt;Production!$B$4,0,12+R25))</f>
        <v>107</v>
      </c>
      <c r="S26" s="161">
        <f>MIN($R26,IF(O26&lt;0,MAX(IF(Input!$B$33="Yes",MIN(12,24-R25),0),IF(AND(O25&gt;0,O26&lt;0),ROUNDDOWN(-O25/(O26-O25)*12,0)+0.5),0),12))</f>
        <v>0</v>
      </c>
      <c r="T26" s="161">
        <f>MAX(0,MIN($R26,IF(P26&lt;0,MAX(IF(Input!$B$33="Yes",MIN(12,36-R25),0),IF(AND(P25&gt;0,P26&lt;0),ROUNDDOWN(-P25/(P26-P25)*12,0)+0.5),0),12))-S26)</f>
        <v>0</v>
      </c>
      <c r="U26" s="161">
        <f>MAX(0,MIN($R26,IF(AND(Q25&gt;0,Q26&lt;0),ROUNDDOWN(-Q25/(Q26-Q25)*12,0)+0.5,IF(AND(Q26&gt;0,MIN(Q$11:Q25)&gt;=0),12,0)))-SUM(S26:T26))</f>
        <v>0</v>
      </c>
      <c r="V26" s="161">
        <f t="shared" si="6"/>
        <v>12</v>
      </c>
      <c r="W26" s="161">
        <f t="shared" si="14"/>
        <v>2195.3978224548255</v>
      </c>
      <c r="X26" s="161">
        <f t="shared" si="15"/>
        <v>50.821145592661765</v>
      </c>
      <c r="Y26" s="161">
        <f t="shared" si="7"/>
        <v>127.05286398165441</v>
      </c>
      <c r="Z26" s="161">
        <f t="shared" si="16"/>
        <v>439.07956449096514</v>
      </c>
      <c r="AA26" s="161">
        <f t="shared" si="8"/>
        <v>768.38923785918882</v>
      </c>
      <c r="AB26" s="161">
        <f t="shared" si="17"/>
        <v>0</v>
      </c>
      <c r="AC26" s="161">
        <f t="shared" si="9"/>
        <v>0</v>
      </c>
      <c r="AD26" s="161">
        <f t="shared" si="9"/>
        <v>0</v>
      </c>
      <c r="AE26" s="161">
        <f t="shared" si="9"/>
        <v>768.38923785918871</v>
      </c>
      <c r="AF26" s="161">
        <f t="shared" si="18"/>
        <v>768.38923785918871</v>
      </c>
      <c r="AG26" s="161">
        <f>IF(A26=Abandonment!$B$4,-W26,0)</f>
        <v>0</v>
      </c>
      <c r="AH26" s="161">
        <f t="shared" si="19"/>
        <v>2195.3978224548255</v>
      </c>
      <c r="AI26" s="161">
        <f>MIN(AH26,MAX(0,$AL$3-SUM(AI27:AI$52)))</f>
        <v>0</v>
      </c>
      <c r="AJ26" s="161">
        <f t="shared" si="22"/>
        <v>768.38923785918871</v>
      </c>
      <c r="AK26" s="161">
        <f t="shared" si="10"/>
        <v>0</v>
      </c>
      <c r="AL26" s="161">
        <f>IF($A26=Abandonment!$B$4,LossRec,0)</f>
        <v>0</v>
      </c>
      <c r="AM26" s="161">
        <f t="shared" si="11"/>
        <v>768.38923785918871</v>
      </c>
      <c r="AN26" s="93"/>
      <c r="AO26" s="93"/>
      <c r="AP26" s="93"/>
      <c r="AQ26" s="246">
        <f t="shared" si="21"/>
        <v>44044</v>
      </c>
      <c r="AR26" s="246">
        <f>IF(AND(O26&lt;0,O25&gt;0,AR25=0),DATE($A26,MAX(12-$R26,0)+SUM($S26:S26)+0.5,1),AR25)</f>
        <v>44136</v>
      </c>
      <c r="AS26" s="246">
        <f>IF(AND(P26&lt;0,P25&gt;0,AS25=0),DATE($A26,MAX(12-$R26,0)+SUM($S26:T26)+0.5,1),AS25)</f>
        <v>44256</v>
      </c>
      <c r="AT26" s="246">
        <f>IF(AND(Q26&lt;0,Q25&gt;0,AT25=0),DATE($A26,MAX(12-$R26,0)+SUM($S26:U26)+0.5,1),AT25)</f>
        <v>44470</v>
      </c>
      <c r="AU26" s="93"/>
      <c r="AV26" s="93"/>
      <c r="AW26" s="93"/>
      <c r="AX26" s="93"/>
      <c r="AY26" s="93"/>
      <c r="AZ26" s="93"/>
      <c r="BA26" s="93"/>
      <c r="BB26" s="93"/>
    </row>
    <row r="27" spans="1:54" ht="15" x14ac:dyDescent="0.25">
      <c r="A27" s="141">
        <f t="shared" si="20"/>
        <v>2027</v>
      </c>
      <c r="B27" s="161">
        <f>'Success Cash Flow'!E25</f>
        <v>2213.8961548803268</v>
      </c>
      <c r="C27" s="161">
        <f>IF(noteco=Lists!A$84,0,Exploration!AB50)</f>
        <v>0</v>
      </c>
      <c r="D27" s="161">
        <f>Development!BL106</f>
        <v>0</v>
      </c>
      <c r="E27" s="161">
        <f>Operations!S34</f>
        <v>329.65778919109505</v>
      </c>
      <c r="F27" s="161">
        <f>Abandonment!G31</f>
        <v>0</v>
      </c>
      <c r="G27" s="161">
        <f t="shared" si="3"/>
        <v>0</v>
      </c>
      <c r="H27" s="161">
        <f t="shared" si="12"/>
        <v>329.65778919109505</v>
      </c>
      <c r="I27" s="161">
        <f t="shared" si="13"/>
        <v>-21510.607824635827</v>
      </c>
      <c r="J27" s="161">
        <f>IF(A27&lt;Development!$C$6,0,IF(A27=Development!C$6,Development!$D$6,IF(I27&lt;0,IF(I26&gt;0,ROUNDDOWN(-I26/(I27-I26)*12,0),0),12)))</f>
        <v>0</v>
      </c>
      <c r="K27" s="161">
        <f>IF(OR(A27&lt;Development!$C$6,A27&gt;Abandonment!$B$4),0,(J27*I26-(I26-I27)*J27*(J27+1)/24)/12)</f>
        <v>0</v>
      </c>
      <c r="L27" s="161">
        <f>$K27*(L$7+'Selected Economics'!$G26)</f>
        <v>0</v>
      </c>
      <c r="M27" s="161">
        <f>$K27*(M$7+'Selected Economics'!$G26)</f>
        <v>0</v>
      </c>
      <c r="N27" s="161">
        <f>$K27*(N$7+'Selected Economics'!$G26)</f>
        <v>0</v>
      </c>
      <c r="O27" s="161">
        <f t="shared" si="4"/>
        <v>-20858.724969692896</v>
      </c>
      <c r="P27" s="161">
        <f t="shared" si="5"/>
        <v>-19554.959259807027</v>
      </c>
      <c r="Q27" s="161">
        <f t="shared" si="5"/>
        <v>-17382.016409997246</v>
      </c>
      <c r="R27" s="161">
        <f>IF(A27=Production!$B$4,Production!$B$5,IF(A27&lt;Production!$B$4,0,12+R26))</f>
        <v>119</v>
      </c>
      <c r="S27" s="161">
        <f>MIN($R27,IF(O27&lt;0,MAX(IF(Input!$B$33="Yes",MIN(12,24-R26),0),IF(AND(O26&gt;0,O27&lt;0),ROUNDDOWN(-O26/(O27-O26)*12,0)+0.5),0),12))</f>
        <v>0</v>
      </c>
      <c r="T27" s="161">
        <f>MAX(0,MIN($R27,IF(P27&lt;0,MAX(IF(Input!$B$33="Yes",MIN(12,36-R26),0),IF(AND(P26&gt;0,P27&lt;0),ROUNDDOWN(-P26/(P27-P26)*12,0)+0.5),0),12))-S27)</f>
        <v>0</v>
      </c>
      <c r="U27" s="161">
        <f>MAX(0,MIN($R27,IF(AND(Q26&gt;0,Q27&lt;0),ROUNDDOWN(-Q26/(Q27-Q26)*12,0)+0.5,IF(AND(Q27&gt;0,MIN(Q$11:Q26)&gt;=0),12,0)))-SUM(S27:T27))</f>
        <v>0</v>
      </c>
      <c r="V27" s="161">
        <f t="shared" si="6"/>
        <v>12</v>
      </c>
      <c r="W27" s="161">
        <f t="shared" si="14"/>
        <v>1884.2383656892316</v>
      </c>
      <c r="X27" s="161">
        <f t="shared" si="15"/>
        <v>44.277923097606539</v>
      </c>
      <c r="Y27" s="161">
        <f t="shared" si="7"/>
        <v>110.69480774401634</v>
      </c>
      <c r="Z27" s="161">
        <f t="shared" si="16"/>
        <v>376.84767313784636</v>
      </c>
      <c r="AA27" s="161">
        <f t="shared" si="8"/>
        <v>659.483427991231</v>
      </c>
      <c r="AB27" s="161">
        <f t="shared" si="17"/>
        <v>0</v>
      </c>
      <c r="AC27" s="161">
        <f t="shared" si="9"/>
        <v>0</v>
      </c>
      <c r="AD27" s="161">
        <f t="shared" si="9"/>
        <v>0</v>
      </c>
      <c r="AE27" s="161">
        <f t="shared" si="9"/>
        <v>659.483427991231</v>
      </c>
      <c r="AF27" s="161">
        <f t="shared" si="18"/>
        <v>659.483427991231</v>
      </c>
      <c r="AG27" s="161">
        <f>IF(A27=Abandonment!$B$4,-W27,0)</f>
        <v>0</v>
      </c>
      <c r="AH27" s="161">
        <f t="shared" si="19"/>
        <v>1884.2383656892316</v>
      </c>
      <c r="AI27" s="161">
        <f>MIN(AH27,MAX(0,$AL$3-SUM(AI28:AI$52)))</f>
        <v>0</v>
      </c>
      <c r="AJ27" s="161">
        <f t="shared" si="22"/>
        <v>659.483427991231</v>
      </c>
      <c r="AK27" s="161">
        <f t="shared" si="10"/>
        <v>0</v>
      </c>
      <c r="AL27" s="161">
        <f>IF($A27=Abandonment!$B$4,LossRec,0)</f>
        <v>0</v>
      </c>
      <c r="AM27" s="161">
        <f t="shared" si="11"/>
        <v>659.483427991231</v>
      </c>
      <c r="AN27" s="93"/>
      <c r="AO27" s="93"/>
      <c r="AP27" s="93"/>
      <c r="AQ27" s="246">
        <f t="shared" si="21"/>
        <v>44044</v>
      </c>
      <c r="AR27" s="246">
        <f>IF(AND(O27&lt;0,O26&gt;0,AR26=0),DATE($A27,MAX(12-$R27,0)+SUM($S27:S27)+0.5,1),AR26)</f>
        <v>44136</v>
      </c>
      <c r="AS27" s="246">
        <f>IF(AND(P27&lt;0,P26&gt;0,AS26=0),DATE($A27,MAX(12-$R27,0)+SUM($S27:T27)+0.5,1),AS26)</f>
        <v>44256</v>
      </c>
      <c r="AT27" s="246">
        <f>IF(AND(Q27&lt;0,Q26&gt;0,AT26=0),DATE($A27,MAX(12-$R27,0)+SUM($S27:U27)+0.5,1),AT26)</f>
        <v>44470</v>
      </c>
      <c r="AU27" s="93"/>
      <c r="AV27" s="93"/>
      <c r="AW27" s="93"/>
      <c r="AX27" s="93"/>
      <c r="AY27" s="93"/>
      <c r="AZ27" s="93"/>
      <c r="BA27" s="93"/>
      <c r="BB27" s="93"/>
    </row>
    <row r="28" spans="1:54" ht="15" x14ac:dyDescent="0.25">
      <c r="A28" s="141">
        <f t="shared" si="20"/>
        <v>2028</v>
      </c>
      <c r="B28" s="161">
        <f>'Success Cash Flow'!E26</f>
        <v>1933.7226888743185</v>
      </c>
      <c r="C28" s="161">
        <f>IF(noteco=Lists!A$84,0,Exploration!AB51)</f>
        <v>0</v>
      </c>
      <c r="D28" s="161">
        <f>Development!BL107</f>
        <v>0</v>
      </c>
      <c r="E28" s="161">
        <f>Operations!S35</f>
        <v>316.5379426059485</v>
      </c>
      <c r="F28" s="161">
        <f>Abandonment!G32</f>
        <v>0</v>
      </c>
      <c r="G28" s="161">
        <f t="shared" si="3"/>
        <v>0</v>
      </c>
      <c r="H28" s="161">
        <f t="shared" si="12"/>
        <v>316.5379426059485</v>
      </c>
      <c r="I28" s="161">
        <f t="shared" si="13"/>
        <v>-23127.792570904196</v>
      </c>
      <c r="J28" s="161">
        <f>IF(A28&lt;Development!$C$6,0,IF(A28=Development!C$6,Development!$D$6,IF(I28&lt;0,IF(I27&gt;0,ROUNDDOWN(-I27/(I28-I27)*12,0),0),12)))</f>
        <v>0</v>
      </c>
      <c r="K28" s="161">
        <f>IF(OR(A28&lt;Development!$C$6,A28&gt;Abandonment!$B$4),0,(J28*I27-(I27-I28)*J28*(J28+1)/24)/12)</f>
        <v>0</v>
      </c>
      <c r="L28" s="161">
        <f>$K28*(L$7+'Selected Economics'!$G27)</f>
        <v>0</v>
      </c>
      <c r="M28" s="161">
        <f>$K28*(M$7+'Selected Economics'!$G27)</f>
        <v>0</v>
      </c>
      <c r="N28" s="161">
        <f>$K28*(N$7+'Selected Economics'!$G27)</f>
        <v>0</v>
      </c>
      <c r="O28" s="161">
        <f t="shared" si="4"/>
        <v>-22475.909715961265</v>
      </c>
      <c r="P28" s="161">
        <f>$H28-$B28+M28+P27</f>
        <v>-21172.144006075396</v>
      </c>
      <c r="Q28" s="161">
        <f>$H28-$B28+N28+Q27</f>
        <v>-18999.201156265615</v>
      </c>
      <c r="R28" s="161">
        <f>IF(A28=Production!$B$4,Production!$B$5,IF(A28&lt;Production!$B$4,0,12+R27))</f>
        <v>131</v>
      </c>
      <c r="S28" s="161">
        <f>MIN($R28,IF(O28&lt;0,MAX(IF(Input!$B$33="Yes",MIN(12,24-R27),0),IF(AND(O27&gt;0,O28&lt;0),ROUNDDOWN(-O27/(O28-O27)*12,0)+0.5),0),12))</f>
        <v>0</v>
      </c>
      <c r="T28" s="161">
        <f>MAX(0,MIN($R28,IF(P28&lt;0,MAX(IF(Input!$B$33="Yes",MIN(12,36-R27),0),IF(AND(P27&gt;0,P28&lt;0),ROUNDDOWN(-P27/(P28-P27)*12,0)+0.5),0),12))-S28)</f>
        <v>0</v>
      </c>
      <c r="U28" s="161">
        <f>MAX(0,MIN($R28,IF(AND(Q27&gt;0,Q28&lt;0),ROUNDDOWN(-Q27/(Q28-Q27)*12,0)+0.5,IF(AND(Q28&gt;0,MIN(Q$11:Q27)&gt;=0),12,0)))-SUM(S28:T28))</f>
        <v>0</v>
      </c>
      <c r="V28" s="161">
        <f t="shared" si="6"/>
        <v>12</v>
      </c>
      <c r="W28" s="161">
        <f t="shared" si="14"/>
        <v>1617.18474626837</v>
      </c>
      <c r="X28" s="161">
        <f t="shared" si="15"/>
        <v>38.67445377748637</v>
      </c>
      <c r="Y28" s="161">
        <f t="shared" si="7"/>
        <v>96.686134443715929</v>
      </c>
      <c r="Z28" s="161">
        <f t="shared" si="16"/>
        <v>323.43694925367402</v>
      </c>
      <c r="AA28" s="161">
        <f t="shared" si="8"/>
        <v>566.01466119392944</v>
      </c>
      <c r="AB28" s="161">
        <f t="shared" si="17"/>
        <v>0</v>
      </c>
      <c r="AC28" s="161">
        <f t="shared" si="9"/>
        <v>0</v>
      </c>
      <c r="AD28" s="161">
        <f t="shared" si="9"/>
        <v>0</v>
      </c>
      <c r="AE28" s="161">
        <f t="shared" si="9"/>
        <v>566.01466119392944</v>
      </c>
      <c r="AF28" s="161">
        <f t="shared" si="18"/>
        <v>566.01466119392944</v>
      </c>
      <c r="AG28" s="161">
        <f>IF(A28=Abandonment!$B$4,-W28,0)</f>
        <v>0</v>
      </c>
      <c r="AH28" s="161">
        <f t="shared" si="19"/>
        <v>1617.18474626837</v>
      </c>
      <c r="AI28" s="161">
        <f>MIN(AH28,MAX(0,$AL$3-SUM(AI29:AI$52)))</f>
        <v>0</v>
      </c>
      <c r="AJ28" s="161">
        <f t="shared" si="22"/>
        <v>566.01466119392944</v>
      </c>
      <c r="AK28" s="161">
        <f t="shared" si="10"/>
        <v>0</v>
      </c>
      <c r="AL28" s="161">
        <f>IF($A28=Abandonment!$B$4,LossRec,0)</f>
        <v>0</v>
      </c>
      <c r="AM28" s="161">
        <f t="shared" si="11"/>
        <v>566.01466119392944</v>
      </c>
      <c r="AN28" s="93"/>
      <c r="AO28" s="93"/>
      <c r="AP28" s="93"/>
      <c r="AQ28" s="246">
        <f t="shared" si="21"/>
        <v>44044</v>
      </c>
      <c r="AR28" s="246">
        <f>IF(AND(O28&lt;0,O27&gt;0,AR27=0),DATE($A28,MAX(12-$R28,0)+SUM($S28:S28)+0.5,1),AR27)</f>
        <v>44136</v>
      </c>
      <c r="AS28" s="246">
        <f>IF(AND(P28&lt;0,P27&gt;0,AS27=0),DATE($A28,MAX(12-$R28,0)+SUM($S28:T28)+0.5,1),AS27)</f>
        <v>44256</v>
      </c>
      <c r="AT28" s="246">
        <f>IF(AND(Q28&lt;0,Q27&gt;0,AT27=0),DATE($A28,MAX(12-$R28,0)+SUM($S28:U28)+0.5,1),AT27)</f>
        <v>44470</v>
      </c>
      <c r="AU28" s="93"/>
      <c r="AV28" s="93"/>
      <c r="AW28" s="93"/>
      <c r="AX28" s="93"/>
      <c r="AY28" s="93"/>
      <c r="AZ28" s="93"/>
      <c r="BA28" s="93"/>
      <c r="BB28" s="93"/>
    </row>
    <row r="29" spans="1:54" ht="15" x14ac:dyDescent="0.25">
      <c r="A29" s="141">
        <f t="shared" si="20"/>
        <v>2029</v>
      </c>
      <c r="B29" s="161">
        <f>'Success Cash Flow'!E27</f>
        <v>1679.7685871485455</v>
      </c>
      <c r="C29" s="161">
        <f>IF(noteco=Lists!A$84,0,Exploration!AB52)</f>
        <v>0</v>
      </c>
      <c r="D29" s="161">
        <f>Development!BL108</f>
        <v>0</v>
      </c>
      <c r="E29" s="161">
        <f>Operations!S36</f>
        <v>305.58637966024304</v>
      </c>
      <c r="F29" s="161">
        <f>Abandonment!G33</f>
        <v>0</v>
      </c>
      <c r="G29" s="161">
        <f t="shared" si="3"/>
        <v>0</v>
      </c>
      <c r="H29" s="161">
        <f t="shared" si="12"/>
        <v>305.58637966024304</v>
      </c>
      <c r="I29" s="161">
        <f t="shared" si="13"/>
        <v>-24501.974778392498</v>
      </c>
      <c r="J29" s="161">
        <f>IF(A29&lt;Development!$C$6,0,IF(A29=Development!C$6,Development!$D$6,IF(I29&lt;0,IF(I28&gt;0,ROUNDDOWN(-I28/(I29-I28)*12,0),0),12)))</f>
        <v>0</v>
      </c>
      <c r="K29" s="161">
        <f>IF(OR(A29&lt;Development!$C$6,A29&gt;Abandonment!$B$4),0,(J29*I28-(I28-I29)*J29*(J29+1)/24)/12)</f>
        <v>0</v>
      </c>
      <c r="L29" s="161">
        <f>$K29*(L$7+'Selected Economics'!$G28)</f>
        <v>0</v>
      </c>
      <c r="M29" s="161">
        <f>$K29*(M$7+'Selected Economics'!$G28)</f>
        <v>0</v>
      </c>
      <c r="N29" s="161">
        <f>$K29*(N$7+'Selected Economics'!$G28)</f>
        <v>0</v>
      </c>
      <c r="O29" s="161">
        <f t="shared" ref="O29:Q44" si="23">$H29-$B29+L29+O28</f>
        <v>-23850.091923449567</v>
      </c>
      <c r="P29" s="161">
        <f t="shared" si="23"/>
        <v>-22546.326213563698</v>
      </c>
      <c r="Q29" s="161">
        <f t="shared" si="23"/>
        <v>-20373.383363753917</v>
      </c>
      <c r="R29" s="161">
        <f>IF(A29=Production!$B$4,Production!$B$5,IF(A29&lt;Production!$B$4,0,12+R28))</f>
        <v>143</v>
      </c>
      <c r="S29" s="161">
        <f>MIN($R29,IF(O29&lt;0,MAX(IF(Input!$B$33="Yes",MIN(12,24-R28),0),IF(AND(O28&gt;0,O29&lt;0),ROUNDDOWN(-O28/(O29-O28)*12,0)+0.5),0),12))</f>
        <v>0</v>
      </c>
      <c r="T29" s="161">
        <f>MAX(0,MIN($R29,IF(P29&lt;0,MAX(IF(Input!$B$33="Yes",MIN(12,36-R28),0),IF(AND(P28&gt;0,P29&lt;0),ROUNDDOWN(-P28/(P29-P28)*12,0)+0.5),0),12))-S29)</f>
        <v>0</v>
      </c>
      <c r="U29" s="161">
        <f>MAX(0,MIN($R29,IF(AND(Q28&gt;0,Q29&lt;0),ROUNDDOWN(-Q28/(Q29-Q28)*12,0)+0.5,IF(AND(Q29&gt;0,MIN(Q$11:Q28)&gt;=0),12,0)))-SUM(S29:T29))</f>
        <v>0</v>
      </c>
      <c r="V29" s="161">
        <f t="shared" si="6"/>
        <v>12</v>
      </c>
      <c r="W29" s="161">
        <f t="shared" si="14"/>
        <v>1374.1822074883025</v>
      </c>
      <c r="X29" s="161">
        <f t="shared" si="15"/>
        <v>33.595371742970912</v>
      </c>
      <c r="Y29" s="161">
        <f t="shared" si="7"/>
        <v>83.988429357427279</v>
      </c>
      <c r="Z29" s="161">
        <f t="shared" si="16"/>
        <v>274.83644149766053</v>
      </c>
      <c r="AA29" s="161">
        <f t="shared" si="8"/>
        <v>480.96377262090584</v>
      </c>
      <c r="AB29" s="161">
        <f t="shared" si="17"/>
        <v>0</v>
      </c>
      <c r="AC29" s="161">
        <f t="shared" si="9"/>
        <v>0</v>
      </c>
      <c r="AD29" s="161">
        <f t="shared" si="9"/>
        <v>0</v>
      </c>
      <c r="AE29" s="161">
        <f t="shared" si="9"/>
        <v>480.9637726209059</v>
      </c>
      <c r="AF29" s="161">
        <f t="shared" si="18"/>
        <v>480.9637726209059</v>
      </c>
      <c r="AG29" s="161">
        <f>IF(A29=Abandonment!$B$4,-W29,0)</f>
        <v>0</v>
      </c>
      <c r="AH29" s="161">
        <f t="shared" si="19"/>
        <v>1374.1822074883025</v>
      </c>
      <c r="AI29" s="161">
        <f>MIN(AH29,MAX(0,$AL$3-SUM(AI30:AI$52)))</f>
        <v>0</v>
      </c>
      <c r="AJ29" s="161">
        <f t="shared" si="22"/>
        <v>480.9637726209059</v>
      </c>
      <c r="AK29" s="161">
        <f t="shared" si="10"/>
        <v>0</v>
      </c>
      <c r="AL29" s="161">
        <f>IF($A29=Abandonment!$B$4,LossRec,0)</f>
        <v>0</v>
      </c>
      <c r="AM29" s="161">
        <f t="shared" si="11"/>
        <v>480.9637726209059</v>
      </c>
      <c r="AN29" s="93"/>
      <c r="AO29" s="93"/>
      <c r="AP29" s="93"/>
      <c r="AQ29" s="246">
        <f t="shared" si="21"/>
        <v>44044</v>
      </c>
      <c r="AR29" s="246">
        <f>IF(AND(O29&lt;0,O28&gt;0,AR28=0),DATE($A29,MAX(12-$R29,0)+SUM($S29:S29)+0.5,1),AR28)</f>
        <v>44136</v>
      </c>
      <c r="AS29" s="246">
        <f>IF(AND(P29&lt;0,P28&gt;0,AS28=0),DATE($A29,MAX(12-$R29,0)+SUM($S29:T29)+0.5,1),AS28)</f>
        <v>44256</v>
      </c>
      <c r="AT29" s="246">
        <f>IF(AND(Q29&lt;0,Q28&gt;0,AT28=0),DATE($A29,MAX(12-$R29,0)+SUM($S29:U29)+0.5,1),AT28)</f>
        <v>44470</v>
      </c>
      <c r="AU29" s="93"/>
      <c r="AV29" s="93"/>
      <c r="AW29" s="93"/>
      <c r="AX29" s="93"/>
      <c r="AY29" s="93"/>
      <c r="AZ29" s="93"/>
      <c r="BA29" s="93"/>
      <c r="BB29" s="93"/>
    </row>
    <row r="30" spans="1:54" ht="15" x14ac:dyDescent="0.25">
      <c r="A30" s="141">
        <f t="shared" si="20"/>
        <v>2030</v>
      </c>
      <c r="B30" s="161">
        <f>'Success Cash Flow'!E28</f>
        <v>1463.4983815531698</v>
      </c>
      <c r="C30" s="161">
        <f>IF(noteco=Lists!A$84,0,Exploration!AB53)</f>
        <v>0</v>
      </c>
      <c r="D30" s="161">
        <f>Development!BL109</f>
        <v>0</v>
      </c>
      <c r="E30" s="161">
        <f>Operations!S37</f>
        <v>296.93565600726794</v>
      </c>
      <c r="F30" s="161">
        <f>Abandonment!G34</f>
        <v>0</v>
      </c>
      <c r="G30" s="161">
        <f t="shared" si="3"/>
        <v>0</v>
      </c>
      <c r="H30" s="161">
        <f t="shared" si="12"/>
        <v>296.93565600726794</v>
      </c>
      <c r="I30" s="161">
        <f t="shared" si="13"/>
        <v>-25668.537503938402</v>
      </c>
      <c r="J30" s="161">
        <f>IF(A30&lt;Development!$C$6,0,IF(A30=Development!C$6,Development!$D$6,IF(I30&lt;0,IF(I29&gt;0,ROUNDDOWN(-I29/(I30-I29)*12,0),0),12)))</f>
        <v>0</v>
      </c>
      <c r="K30" s="161">
        <f>IF(OR(A30&lt;Development!$C$6,A30&gt;Abandonment!$B$4),0,(J30*I29-(I29-I30)*J30*(J30+1)/24)/12)</f>
        <v>0</v>
      </c>
      <c r="L30" s="161">
        <f>$K30*(L$7+'Selected Economics'!$G29)</f>
        <v>0</v>
      </c>
      <c r="M30" s="161">
        <f>$K30*(M$7+'Selected Economics'!$G29)</f>
        <v>0</v>
      </c>
      <c r="N30" s="161">
        <f>$K30*(N$7+'Selected Economics'!$G29)</f>
        <v>0</v>
      </c>
      <c r="O30" s="161">
        <f t="shared" si="23"/>
        <v>-25016.654648995467</v>
      </c>
      <c r="P30" s="161">
        <f t="shared" si="23"/>
        <v>-23712.888939109598</v>
      </c>
      <c r="Q30" s="161">
        <f t="shared" si="23"/>
        <v>-21539.946089299818</v>
      </c>
      <c r="R30" s="161">
        <f>IF(A30=Production!$B$4,Production!$B$5,IF(A30&lt;Production!$B$4,0,12+R29))</f>
        <v>155</v>
      </c>
      <c r="S30" s="161">
        <f>MIN($R30,IF(O30&lt;0,MAX(IF(Input!$B$33="Yes",MIN(12,24-R29),0),IF(AND(O29&gt;0,O30&lt;0),ROUNDDOWN(-O29/(O30-O29)*12,0)+0.5),0),12))</f>
        <v>0</v>
      </c>
      <c r="T30" s="161">
        <f>MAX(0,MIN($R30,IF(P30&lt;0,MAX(IF(Input!$B$33="Yes",MIN(12,36-R29),0),IF(AND(P29&gt;0,P30&lt;0),ROUNDDOWN(-P29/(P30-P29)*12,0)+0.5),0),12))-S30)</f>
        <v>0</v>
      </c>
      <c r="U30" s="161">
        <f>MAX(0,MIN($R30,IF(AND(Q29&gt;0,Q30&lt;0),ROUNDDOWN(-Q29/(Q30-Q29)*12,0)+0.5,IF(AND(Q30&gt;0,MIN(Q$11:Q29)&gt;=0),12,0)))-SUM(S30:T30))</f>
        <v>0</v>
      </c>
      <c r="V30" s="161">
        <f t="shared" si="6"/>
        <v>12</v>
      </c>
      <c r="W30" s="161">
        <f t="shared" si="14"/>
        <v>1166.5627255459019</v>
      </c>
      <c r="X30" s="161">
        <f t="shared" si="15"/>
        <v>29.269967631063395</v>
      </c>
      <c r="Y30" s="161">
        <f t="shared" si="7"/>
        <v>73.174919077658487</v>
      </c>
      <c r="Z30" s="161">
        <f t="shared" si="16"/>
        <v>233.31254510918041</v>
      </c>
      <c r="AA30" s="161">
        <f t="shared" si="8"/>
        <v>408.29695394106562</v>
      </c>
      <c r="AB30" s="161">
        <f t="shared" si="17"/>
        <v>0</v>
      </c>
      <c r="AC30" s="161">
        <f t="shared" si="9"/>
        <v>0</v>
      </c>
      <c r="AD30" s="161">
        <f t="shared" si="9"/>
        <v>0</v>
      </c>
      <c r="AE30" s="161">
        <f t="shared" si="9"/>
        <v>408.29695394106562</v>
      </c>
      <c r="AF30" s="161">
        <f t="shared" si="18"/>
        <v>408.29695394106562</v>
      </c>
      <c r="AG30" s="161">
        <f>IF(A30=Abandonment!$B$4,-W30,0)</f>
        <v>0</v>
      </c>
      <c r="AH30" s="161">
        <f t="shared" si="19"/>
        <v>1166.5627255459019</v>
      </c>
      <c r="AI30" s="161">
        <f>MIN(AH30,MAX(0,$AL$3-SUM(AI31:AI$52)))</f>
        <v>0</v>
      </c>
      <c r="AJ30" s="161">
        <f t="shared" si="22"/>
        <v>408.29695394106562</v>
      </c>
      <c r="AK30" s="161">
        <f t="shared" si="10"/>
        <v>0</v>
      </c>
      <c r="AL30" s="161">
        <f>IF($A30=Abandonment!$B$4,LossRec,0)</f>
        <v>0</v>
      </c>
      <c r="AM30" s="161">
        <f t="shared" si="11"/>
        <v>408.29695394106562</v>
      </c>
      <c r="AN30" s="93"/>
      <c r="AO30" s="93"/>
      <c r="AP30" s="93"/>
      <c r="AQ30" s="246">
        <f t="shared" si="21"/>
        <v>44044</v>
      </c>
      <c r="AR30" s="246">
        <f>IF(AND(O30&lt;0,O29&gt;0,AR29=0),DATE($A30,MAX(12-$R30,0)+SUM($S30:S30)+0.5,1),AR29)</f>
        <v>44136</v>
      </c>
      <c r="AS30" s="246">
        <f>IF(AND(P30&lt;0,P29&gt;0,AS29=0),DATE($A30,MAX(12-$R30,0)+SUM($S30:T30)+0.5,1),AS29)</f>
        <v>44256</v>
      </c>
      <c r="AT30" s="246">
        <f>IF(AND(Q30&lt;0,Q29&gt;0,AT29=0),DATE($A30,MAX(12-$R30,0)+SUM($S30:U30)+0.5,1),AT29)</f>
        <v>44470</v>
      </c>
      <c r="AU30" s="93"/>
      <c r="AV30" s="93"/>
      <c r="AW30" s="93"/>
      <c r="AX30" s="93"/>
      <c r="AY30" s="93"/>
      <c r="AZ30" s="93"/>
      <c r="BA30" s="93"/>
      <c r="BB30" s="93"/>
    </row>
    <row r="31" spans="1:54" ht="15" x14ac:dyDescent="0.25">
      <c r="A31" s="141">
        <f t="shared" si="20"/>
        <v>2031</v>
      </c>
      <c r="B31" s="161">
        <f>'Success Cash Flow'!E29</f>
        <v>1275.0729649281996</v>
      </c>
      <c r="C31" s="161">
        <f>IF(noteco=Lists!A$84,0,Exploration!AB54)</f>
        <v>0</v>
      </c>
      <c r="D31" s="161">
        <f>Development!BL110</f>
        <v>0</v>
      </c>
      <c r="E31" s="161">
        <f>Operations!S38</f>
        <v>290.16605109282045</v>
      </c>
      <c r="F31" s="161">
        <f>Abandonment!G35</f>
        <v>0</v>
      </c>
      <c r="G31" s="161">
        <f t="shared" si="3"/>
        <v>0</v>
      </c>
      <c r="H31" s="161">
        <f t="shared" si="12"/>
        <v>290.16605109282045</v>
      </c>
      <c r="I31" s="161">
        <f t="shared" si="13"/>
        <v>-26653.444417773782</v>
      </c>
      <c r="J31" s="161">
        <f>IF(A31&lt;Development!$C$6,0,IF(A31=Development!C$6,Development!$D$6,IF(I31&lt;0,IF(I30&gt;0,ROUNDDOWN(-I30/(I31-I30)*12,0),0),12)))</f>
        <v>0</v>
      </c>
      <c r="K31" s="161">
        <f>IF(OR(A31&lt;Development!$C$6,A31&gt;Abandonment!$B$4),0,(J31*I30-(I30-I31)*J31*(J31+1)/24)/12)</f>
        <v>0</v>
      </c>
      <c r="L31" s="161">
        <f>$K31*(L$7+'Selected Economics'!$G30)</f>
        <v>0</v>
      </c>
      <c r="M31" s="161">
        <f>$K31*(M$7+'Selected Economics'!$G30)</f>
        <v>0</v>
      </c>
      <c r="N31" s="161">
        <f>$K31*(N$7+'Selected Economics'!$G30)</f>
        <v>0</v>
      </c>
      <c r="O31" s="161">
        <f t="shared" si="23"/>
        <v>-26001.561562830848</v>
      </c>
      <c r="P31" s="161">
        <f t="shared" si="23"/>
        <v>-24697.795852944979</v>
      </c>
      <c r="Q31" s="161">
        <f t="shared" si="23"/>
        <v>-22524.853003135198</v>
      </c>
      <c r="R31" s="161">
        <f>IF(A31=Production!$B$4,Production!$B$5,IF(A31&lt;Production!$B$4,0,12+R30))</f>
        <v>167</v>
      </c>
      <c r="S31" s="161">
        <f>MIN($R31,IF(O31&lt;0,MAX(IF(Input!$B$33="Yes",MIN(12,24-R30),0),IF(AND(O30&gt;0,O31&lt;0),ROUNDDOWN(-O30/(O31-O30)*12,0)+0.5),0),12))</f>
        <v>0</v>
      </c>
      <c r="T31" s="161">
        <f>MAX(0,MIN($R31,IF(P31&lt;0,MAX(IF(Input!$B$33="Yes",MIN(12,36-R30),0),IF(AND(P30&gt;0,P31&lt;0),ROUNDDOWN(-P30/(P31-P30)*12,0)+0.5),0),12))-S31)</f>
        <v>0</v>
      </c>
      <c r="U31" s="161">
        <f>MAX(0,MIN($R31,IF(AND(Q30&gt;0,Q31&lt;0),ROUNDDOWN(-Q30/(Q31-Q30)*12,0)+0.5,IF(AND(Q31&gt;0,MIN(Q$11:Q30)&gt;=0),12,0)))-SUM(S31:T31))</f>
        <v>0</v>
      </c>
      <c r="V31" s="161">
        <f t="shared" si="6"/>
        <v>12</v>
      </c>
      <c r="W31" s="161">
        <f t="shared" si="14"/>
        <v>984.9069138353791</v>
      </c>
      <c r="X31" s="161">
        <f t="shared" si="15"/>
        <v>25.50145929856399</v>
      </c>
      <c r="Y31" s="161">
        <f t="shared" si="7"/>
        <v>63.753648246409981</v>
      </c>
      <c r="Z31" s="161">
        <f t="shared" si="16"/>
        <v>196.98138276707584</v>
      </c>
      <c r="AA31" s="161">
        <f t="shared" si="8"/>
        <v>344.71741984238264</v>
      </c>
      <c r="AB31" s="161">
        <f t="shared" si="17"/>
        <v>0</v>
      </c>
      <c r="AC31" s="161">
        <f t="shared" si="9"/>
        <v>0</v>
      </c>
      <c r="AD31" s="161">
        <f t="shared" si="9"/>
        <v>0</v>
      </c>
      <c r="AE31" s="161">
        <f t="shared" si="9"/>
        <v>344.71741984238264</v>
      </c>
      <c r="AF31" s="161">
        <f t="shared" si="18"/>
        <v>344.71741984238264</v>
      </c>
      <c r="AG31" s="161">
        <f>IF(A31=Abandonment!$B$4,-W31,0)</f>
        <v>0</v>
      </c>
      <c r="AH31" s="161">
        <f t="shared" si="19"/>
        <v>984.9069138353791</v>
      </c>
      <c r="AI31" s="161">
        <f>MIN(AH31,MAX(0,$AL$3-SUM(AI32:AI$52)))</f>
        <v>0</v>
      </c>
      <c r="AJ31" s="161">
        <f t="shared" si="22"/>
        <v>344.71741984238264</v>
      </c>
      <c r="AK31" s="161">
        <f t="shared" si="10"/>
        <v>0</v>
      </c>
      <c r="AL31" s="161">
        <f>IF($A31=Abandonment!$B$4,LossRec,0)</f>
        <v>0</v>
      </c>
      <c r="AM31" s="161">
        <f t="shared" si="11"/>
        <v>344.71741984238264</v>
      </c>
      <c r="AN31" s="93"/>
      <c r="AO31" s="93"/>
      <c r="AP31" s="93"/>
      <c r="AQ31" s="246">
        <f t="shared" si="21"/>
        <v>44044</v>
      </c>
      <c r="AR31" s="246">
        <f>IF(AND(O31&lt;0,O30&gt;0,AR30=0),DATE($A31,MAX(12-$R31,0)+SUM($S31:S31)+0.5,1),AR30)</f>
        <v>44136</v>
      </c>
      <c r="AS31" s="246">
        <f>IF(AND(P31&lt;0,P30&gt;0,AS30=0),DATE($A31,MAX(12-$R31,0)+SUM($S31:T31)+0.5,1),AS30)</f>
        <v>44256</v>
      </c>
      <c r="AT31" s="246">
        <f>IF(AND(Q31&lt;0,Q30&gt;0,AT30=0),DATE($A31,MAX(12-$R31,0)+SUM($S31:U31)+0.5,1),AT30)</f>
        <v>44470</v>
      </c>
      <c r="AU31" s="93"/>
      <c r="AV31" s="93"/>
      <c r="AW31" s="93"/>
      <c r="AX31" s="93"/>
      <c r="AY31" s="93"/>
      <c r="AZ31" s="93"/>
      <c r="BA31" s="93"/>
      <c r="BB31" s="93"/>
    </row>
    <row r="32" spans="1:54" ht="15" x14ac:dyDescent="0.25">
      <c r="A32" s="141">
        <f t="shared" si="20"/>
        <v>2032</v>
      </c>
      <c r="B32" s="161">
        <f>'Success Cash Flow'!E30</f>
        <v>1113.7096547264161</v>
      </c>
      <c r="C32" s="161">
        <f>IF(noteco=Lists!A$84,0,Exploration!AB55)</f>
        <v>0</v>
      </c>
      <c r="D32" s="161">
        <f>Development!BL111</f>
        <v>0</v>
      </c>
      <c r="E32" s="161">
        <f>Operations!S39</f>
        <v>285.11736468212513</v>
      </c>
      <c r="F32" s="161">
        <f>Abandonment!G36</f>
        <v>0</v>
      </c>
      <c r="G32" s="161">
        <f t="shared" si="3"/>
        <v>0</v>
      </c>
      <c r="H32" s="161">
        <f t="shared" si="12"/>
        <v>285.11736468212513</v>
      </c>
      <c r="I32" s="161">
        <f t="shared" si="13"/>
        <v>-27482.036707818072</v>
      </c>
      <c r="J32" s="161">
        <f>IF(A32&lt;Development!$C$6,0,IF(A32=Development!C$6,Development!$D$6,IF(I32&lt;0,IF(I31&gt;0,ROUNDDOWN(-I31/(I32-I31)*12,0),0),12)))</f>
        <v>0</v>
      </c>
      <c r="K32" s="161">
        <f>IF(OR(A32&lt;Development!$C$6,A32&gt;Abandonment!$B$4),0,(J32*I31-(I31-I32)*J32*(J32+1)/24)/12)</f>
        <v>0</v>
      </c>
      <c r="L32" s="161">
        <f>$K32*(L$7+'Selected Economics'!$G31)</f>
        <v>0</v>
      </c>
      <c r="M32" s="161">
        <f>$K32*(M$7+'Selected Economics'!$G31)</f>
        <v>0</v>
      </c>
      <c r="N32" s="161">
        <f>$K32*(N$7+'Selected Economics'!$G31)</f>
        <v>0</v>
      </c>
      <c r="O32" s="161">
        <f t="shared" si="23"/>
        <v>-26830.153852875141</v>
      </c>
      <c r="P32" s="161">
        <f t="shared" si="23"/>
        <v>-25526.388142989272</v>
      </c>
      <c r="Q32" s="161">
        <f t="shared" si="23"/>
        <v>-23353.445293179488</v>
      </c>
      <c r="R32" s="161">
        <f>IF(A32=Production!$B$4,Production!$B$5,IF(A32&lt;Production!$B$4,0,12+R31))</f>
        <v>179</v>
      </c>
      <c r="S32" s="161">
        <f>MIN($R32,IF(O32&lt;0,MAX(IF(Input!$B$33="Yes",MIN(12,24-R31),0),IF(AND(O31&gt;0,O32&lt;0),ROUNDDOWN(-O31/(O32-O31)*12,0)+0.5),0),12))</f>
        <v>0</v>
      </c>
      <c r="T32" s="161">
        <f>MAX(0,MIN($R32,IF(P32&lt;0,MAX(IF(Input!$B$33="Yes",MIN(12,36-R31),0),IF(AND(P31&gt;0,P32&lt;0),ROUNDDOWN(-P31/(P32-P31)*12,0)+0.5),0),12))-S32)</f>
        <v>0</v>
      </c>
      <c r="U32" s="161">
        <f>MAX(0,MIN($R32,IF(AND(Q31&gt;0,Q32&lt;0),ROUNDDOWN(-Q31/(Q32-Q31)*12,0)+0.5,IF(AND(Q32&gt;0,MIN(Q$11:Q31)&gt;=0),12,0)))-SUM(S32:T32))</f>
        <v>0</v>
      </c>
      <c r="V32" s="161">
        <f t="shared" si="6"/>
        <v>12</v>
      </c>
      <c r="W32" s="161">
        <f t="shared" si="14"/>
        <v>828.59229004429108</v>
      </c>
      <c r="X32" s="161">
        <f t="shared" si="15"/>
        <v>22.274193094528325</v>
      </c>
      <c r="Y32" s="161">
        <f t="shared" si="7"/>
        <v>55.685482736320807</v>
      </c>
      <c r="Z32" s="161">
        <f t="shared" si="16"/>
        <v>165.71845800885822</v>
      </c>
      <c r="AA32" s="161">
        <f t="shared" si="8"/>
        <v>290.00730151550187</v>
      </c>
      <c r="AB32" s="161">
        <f t="shared" si="17"/>
        <v>0</v>
      </c>
      <c r="AC32" s="161">
        <f t="shared" si="9"/>
        <v>0</v>
      </c>
      <c r="AD32" s="161">
        <f t="shared" si="9"/>
        <v>0</v>
      </c>
      <c r="AE32" s="161">
        <f t="shared" si="9"/>
        <v>290.00730151550187</v>
      </c>
      <c r="AF32" s="161">
        <f t="shared" si="18"/>
        <v>290.00730151550187</v>
      </c>
      <c r="AG32" s="161">
        <f>IF(A32=Abandonment!$B$4,-W32,0)</f>
        <v>0</v>
      </c>
      <c r="AH32" s="161">
        <f t="shared" si="19"/>
        <v>828.59229004429108</v>
      </c>
      <c r="AI32" s="161">
        <f>MIN(AH32,MAX(0,$AL$3-SUM(AI33:AI$52)))</f>
        <v>0</v>
      </c>
      <c r="AJ32" s="161">
        <f t="shared" si="22"/>
        <v>290.00730151550187</v>
      </c>
      <c r="AK32" s="161">
        <f t="shared" si="10"/>
        <v>0</v>
      </c>
      <c r="AL32" s="161">
        <f>IF($A32=Abandonment!$B$4,LossRec,0)</f>
        <v>0</v>
      </c>
      <c r="AM32" s="161">
        <f t="shared" si="11"/>
        <v>290.00730151550187</v>
      </c>
      <c r="AN32" s="93"/>
      <c r="AO32" s="93"/>
      <c r="AP32" s="93"/>
      <c r="AQ32" s="246">
        <f t="shared" si="21"/>
        <v>44044</v>
      </c>
      <c r="AR32" s="246">
        <f>IF(AND(O32&lt;0,O31&gt;0,AR31=0),DATE($A32,MAX(12-$R32,0)+SUM($S32:S32)+0.5,1),AR31)</f>
        <v>44136</v>
      </c>
      <c r="AS32" s="246">
        <f>IF(AND(P32&lt;0,P31&gt;0,AS31=0),DATE($A32,MAX(12-$R32,0)+SUM($S32:T32)+0.5,1),AS31)</f>
        <v>44256</v>
      </c>
      <c r="AT32" s="246">
        <f>IF(AND(Q32&lt;0,Q31&gt;0,AT31=0),DATE($A32,MAX(12-$R32,0)+SUM($S32:U32)+0.5,1),AT31)</f>
        <v>44470</v>
      </c>
      <c r="AU32" s="93"/>
      <c r="AV32" s="93"/>
      <c r="AW32" s="93"/>
      <c r="AX32" s="93"/>
      <c r="AY32" s="93"/>
      <c r="AZ32" s="93"/>
      <c r="BA32" s="93"/>
      <c r="BB32" s="93"/>
    </row>
    <row r="33" spans="1:54" ht="15" x14ac:dyDescent="0.25">
      <c r="A33" s="141">
        <f t="shared" si="20"/>
        <v>2033</v>
      </c>
      <c r="B33" s="161">
        <f>'Success Cash Flow'!E31</f>
        <v>967.44714429684871</v>
      </c>
      <c r="C33" s="161">
        <f>IF(noteco=Lists!A$84,0,Exploration!AB56)</f>
        <v>0</v>
      </c>
      <c r="D33" s="161">
        <f>Development!BL112</f>
        <v>0</v>
      </c>
      <c r="E33" s="161">
        <f>Operations!S40</f>
        <v>281.38017032080569</v>
      </c>
      <c r="F33" s="161">
        <f>Abandonment!G37</f>
        <v>0</v>
      </c>
      <c r="G33" s="161">
        <f t="shared" si="3"/>
        <v>0</v>
      </c>
      <c r="H33" s="161">
        <f t="shared" si="12"/>
        <v>281.38017032080569</v>
      </c>
      <c r="I33" s="161">
        <f t="shared" si="13"/>
        <v>-28168.103681794117</v>
      </c>
      <c r="J33" s="161">
        <f>IF(A33&lt;Development!$C$6,0,IF(A33=Development!C$6,Development!$D$6,IF(I33&lt;0,IF(I32&gt;0,ROUNDDOWN(-I32/(I33-I32)*12,0),0),12)))</f>
        <v>0</v>
      </c>
      <c r="K33" s="161">
        <f>IF(OR(A33&lt;Development!$C$6,A33&gt;Abandonment!$B$4),0,(J33*I32-(I32-I33)*J33*(J33+1)/24)/12)</f>
        <v>0</v>
      </c>
      <c r="L33" s="161">
        <f>$K33*(L$7+'Selected Economics'!$G32)</f>
        <v>0</v>
      </c>
      <c r="M33" s="161">
        <f>$K33*(M$7+'Selected Economics'!$G32)</f>
        <v>0</v>
      </c>
      <c r="N33" s="161">
        <f>$K33*(N$7+'Selected Economics'!$G32)</f>
        <v>0</v>
      </c>
      <c r="O33" s="161">
        <f t="shared" si="23"/>
        <v>-27516.220826851182</v>
      </c>
      <c r="P33" s="161">
        <f t="shared" si="23"/>
        <v>-26212.455116965313</v>
      </c>
      <c r="Q33" s="161">
        <f t="shared" si="23"/>
        <v>-24039.512267155529</v>
      </c>
      <c r="R33" s="161">
        <f>IF(A33=Production!$B$4,Production!$B$5,IF(A33&lt;Production!$B$4,0,12+R32))</f>
        <v>191</v>
      </c>
      <c r="S33" s="161">
        <f>MIN($R33,IF(O33&lt;0,MAX(IF(Input!$B$33="Yes",MIN(12,24-R32),0),IF(AND(O32&gt;0,O33&lt;0),ROUNDDOWN(-O32/(O33-O32)*12,0)+0.5),0),12))</f>
        <v>0</v>
      </c>
      <c r="T33" s="161">
        <f>MAX(0,MIN($R33,IF(P33&lt;0,MAX(IF(Input!$B$33="Yes",MIN(12,36-R32),0),IF(AND(P32&gt;0,P33&lt;0),ROUNDDOWN(-P32/(P33-P32)*12,0)+0.5),0),12))-S33)</f>
        <v>0</v>
      </c>
      <c r="U33" s="161">
        <f>MAX(0,MIN($R33,IF(AND(Q32&gt;0,Q33&lt;0),ROUNDDOWN(-Q32/(Q33-Q32)*12,0)+0.5,IF(AND(Q33&gt;0,MIN(Q$11:Q32)&gt;=0),12,0)))-SUM(S33:T33))</f>
        <v>0</v>
      </c>
      <c r="V33" s="161">
        <f t="shared" si="6"/>
        <v>12</v>
      </c>
      <c r="W33" s="161">
        <f t="shared" si="14"/>
        <v>686.06697397604307</v>
      </c>
      <c r="X33" s="161">
        <f t="shared" si="15"/>
        <v>19.348942885936975</v>
      </c>
      <c r="Y33" s="161">
        <f t="shared" si="7"/>
        <v>48.372357214842438</v>
      </c>
      <c r="Z33" s="161">
        <f t="shared" si="16"/>
        <v>137.21339479520861</v>
      </c>
      <c r="AA33" s="161">
        <f t="shared" si="8"/>
        <v>240.12344089161505</v>
      </c>
      <c r="AB33" s="161">
        <f t="shared" si="17"/>
        <v>0</v>
      </c>
      <c r="AC33" s="161">
        <f t="shared" si="9"/>
        <v>0</v>
      </c>
      <c r="AD33" s="161">
        <f t="shared" si="9"/>
        <v>0</v>
      </c>
      <c r="AE33" s="161">
        <f t="shared" si="9"/>
        <v>240.12344089161505</v>
      </c>
      <c r="AF33" s="161">
        <f t="shared" si="18"/>
        <v>240.12344089161505</v>
      </c>
      <c r="AG33" s="161">
        <f>IF(A33=Abandonment!$B$4,-W33,0)</f>
        <v>0</v>
      </c>
      <c r="AH33" s="161">
        <f t="shared" si="19"/>
        <v>686.06697397604307</v>
      </c>
      <c r="AI33" s="161">
        <f>MIN(AH33,MAX(0,$AL$3-SUM(AI34:AI$52)))</f>
        <v>0</v>
      </c>
      <c r="AJ33" s="161">
        <f t="shared" si="22"/>
        <v>240.12344089161505</v>
      </c>
      <c r="AK33" s="161">
        <f t="shared" si="10"/>
        <v>0</v>
      </c>
      <c r="AL33" s="161">
        <f>IF($A33=Abandonment!$B$4,LossRec,0)</f>
        <v>0</v>
      </c>
      <c r="AM33" s="161">
        <f t="shared" si="11"/>
        <v>240.12344089161505</v>
      </c>
      <c r="AN33" s="93"/>
      <c r="AO33" s="93"/>
      <c r="AP33" s="93"/>
      <c r="AQ33" s="246">
        <f t="shared" si="21"/>
        <v>44044</v>
      </c>
      <c r="AR33" s="246">
        <f>IF(AND(O33&lt;0,O32&gt;0,AR32=0),DATE($A33,MAX(12-$R33,0)+SUM($S33:S33)+0.5,1),AR32)</f>
        <v>44136</v>
      </c>
      <c r="AS33" s="246">
        <f>IF(AND(P33&lt;0,P32&gt;0,AS32=0),DATE($A33,MAX(12-$R33,0)+SUM($S33:T33)+0.5,1),AS32)</f>
        <v>44256</v>
      </c>
      <c r="AT33" s="246">
        <f>IF(AND(Q33&lt;0,Q32&gt;0,AT32=0),DATE($A33,MAX(12-$R33,0)+SUM($S33:U33)+0.5,1),AT32)</f>
        <v>44470</v>
      </c>
      <c r="AU33" s="93"/>
      <c r="AV33" s="93"/>
      <c r="AW33" s="93"/>
      <c r="AX33" s="93"/>
      <c r="AY33" s="93"/>
      <c r="AZ33" s="93"/>
      <c r="BA33" s="93"/>
      <c r="BB33" s="93"/>
    </row>
    <row r="34" spans="1:54" ht="15" x14ac:dyDescent="0.25">
      <c r="A34" s="141">
        <f t="shared" si="20"/>
        <v>2034</v>
      </c>
      <c r="B34" s="161">
        <f>'Success Cash Flow'!E32</f>
        <v>842.88832446863</v>
      </c>
      <c r="C34" s="161">
        <f>IF(noteco=Lists!A$84,0,Exploration!AB57)</f>
        <v>0</v>
      </c>
      <c r="D34" s="161">
        <f>Development!BL113</f>
        <v>0</v>
      </c>
      <c r="E34" s="161">
        <f>Operations!S41</f>
        <v>279.03237943817021</v>
      </c>
      <c r="F34" s="161">
        <f>Abandonment!G38</f>
        <v>0</v>
      </c>
      <c r="G34" s="161">
        <f t="shared" si="3"/>
        <v>0</v>
      </c>
      <c r="H34" s="161">
        <f t="shared" si="12"/>
        <v>279.03237943817021</v>
      </c>
      <c r="I34" s="161">
        <f t="shared" si="13"/>
        <v>-28731.959626824577</v>
      </c>
      <c r="J34" s="161">
        <f>IF(A34&lt;Development!$C$6,0,IF(A34=Development!C$6,Development!$D$6,IF(I34&lt;0,IF(I33&gt;0,ROUNDDOWN(-I33/(I34-I33)*12,0),0),12)))</f>
        <v>0</v>
      </c>
      <c r="K34" s="161">
        <f>IF(OR(A34&lt;Development!$C$6,A34&gt;Abandonment!$B$4),0,(J34*I33-(I33-I34)*J34*(J34+1)/24)/12)</f>
        <v>0</v>
      </c>
      <c r="L34" s="161">
        <f>$K34*(L$7+'Selected Economics'!$G33)</f>
        <v>0</v>
      </c>
      <c r="M34" s="161">
        <f>$K34*(M$7+'Selected Economics'!$G33)</f>
        <v>0</v>
      </c>
      <c r="N34" s="161">
        <f>$K34*(N$7+'Selected Economics'!$G33)</f>
        <v>0</v>
      </c>
      <c r="O34" s="161">
        <f t="shared" si="23"/>
        <v>-28080.076771881642</v>
      </c>
      <c r="P34" s="161">
        <f t="shared" si="23"/>
        <v>-26776.311061995773</v>
      </c>
      <c r="Q34" s="161">
        <f t="shared" si="23"/>
        <v>-24603.368212185989</v>
      </c>
      <c r="R34" s="161">
        <f>IF(A34=Production!$B$4,Production!$B$5,IF(A34&lt;Production!$B$4,0,12+R33))</f>
        <v>203</v>
      </c>
      <c r="S34" s="161">
        <f>MIN($R34,IF(O34&lt;0,MAX(IF(Input!$B$33="Yes",MIN(12,24-R33),0),IF(AND(O33&gt;0,O34&lt;0),ROUNDDOWN(-O33/(O34-O33)*12,0)+0.5),0),12))</f>
        <v>0</v>
      </c>
      <c r="T34" s="161">
        <f>MAX(0,MIN($R34,IF(P34&lt;0,MAX(IF(Input!$B$33="Yes",MIN(12,36-R33),0),IF(AND(P33&gt;0,P34&lt;0),ROUNDDOWN(-P33/(P34-P33)*12,0)+0.5),0),12))-S34)</f>
        <v>0</v>
      </c>
      <c r="U34" s="161">
        <f>MAX(0,MIN($R34,IF(AND(Q33&gt;0,Q34&lt;0),ROUNDDOWN(-Q33/(Q34-Q33)*12,0)+0.5,IF(AND(Q34&gt;0,MIN(Q$11:Q33)&gt;=0),12,0)))-SUM(S34:T34))</f>
        <v>0</v>
      </c>
      <c r="V34" s="161">
        <f t="shared" si="6"/>
        <v>12</v>
      </c>
      <c r="W34" s="161">
        <f t="shared" si="14"/>
        <v>563.85594503045979</v>
      </c>
      <c r="X34" s="161">
        <f t="shared" si="15"/>
        <v>16.857766489372601</v>
      </c>
      <c r="Y34" s="161">
        <f t="shared" si="7"/>
        <v>42.144416223431506</v>
      </c>
      <c r="Z34" s="161">
        <f t="shared" si="16"/>
        <v>112.77118900609196</v>
      </c>
      <c r="AA34" s="161">
        <f t="shared" si="8"/>
        <v>197.34958076066093</v>
      </c>
      <c r="AB34" s="161">
        <f t="shared" si="17"/>
        <v>0</v>
      </c>
      <c r="AC34" s="161">
        <f t="shared" si="9"/>
        <v>0</v>
      </c>
      <c r="AD34" s="161">
        <f t="shared" si="9"/>
        <v>0</v>
      </c>
      <c r="AE34" s="161">
        <f t="shared" si="9"/>
        <v>197.34958076066093</v>
      </c>
      <c r="AF34" s="161">
        <f t="shared" si="18"/>
        <v>197.34958076066093</v>
      </c>
      <c r="AG34" s="161">
        <f>IF(A34=Abandonment!$B$4,-W34,0)</f>
        <v>0</v>
      </c>
      <c r="AH34" s="161">
        <f t="shared" si="19"/>
        <v>563.85594503045979</v>
      </c>
      <c r="AI34" s="161">
        <f>MIN(AH34,MAX(0,$AL$3-SUM(AI35:AI$52)))</f>
        <v>0</v>
      </c>
      <c r="AJ34" s="161">
        <f t="shared" si="22"/>
        <v>197.34958076066093</v>
      </c>
      <c r="AK34" s="161">
        <f t="shared" si="10"/>
        <v>0</v>
      </c>
      <c r="AL34" s="161">
        <f>IF($A34=Abandonment!$B$4,LossRec,0)</f>
        <v>0</v>
      </c>
      <c r="AM34" s="161">
        <f t="shared" si="11"/>
        <v>197.34958076066093</v>
      </c>
      <c r="AN34" s="93"/>
      <c r="AO34" s="93"/>
      <c r="AP34" s="93"/>
      <c r="AQ34" s="246">
        <f t="shared" si="21"/>
        <v>44044</v>
      </c>
      <c r="AR34" s="246">
        <f>IF(AND(O34&lt;0,O33&gt;0,AR33=0),DATE($A34,MAX(12-$R34,0)+SUM($S34:S34)+0.5,1),AR33)</f>
        <v>44136</v>
      </c>
      <c r="AS34" s="246">
        <f>IF(AND(P34&lt;0,P33&gt;0,AS33=0),DATE($A34,MAX(12-$R34,0)+SUM($S34:T34)+0.5,1),AS33)</f>
        <v>44256</v>
      </c>
      <c r="AT34" s="246">
        <f>IF(AND(Q34&lt;0,Q33&gt;0,AT33=0),DATE($A34,MAX(12-$R34,0)+SUM($S34:U34)+0.5,1),AT33)</f>
        <v>44470</v>
      </c>
      <c r="AU34" s="93"/>
      <c r="AV34" s="93"/>
      <c r="AW34" s="93"/>
      <c r="AX34" s="93"/>
      <c r="AY34" s="93"/>
      <c r="AZ34" s="93"/>
      <c r="BA34" s="93"/>
      <c r="BB34" s="93"/>
    </row>
    <row r="35" spans="1:54" ht="15" x14ac:dyDescent="0.25">
      <c r="A35" s="141">
        <f t="shared" si="20"/>
        <v>2035</v>
      </c>
      <c r="B35" s="161">
        <f>'Success Cash Flow'!E33</f>
        <v>734.36645269329279</v>
      </c>
      <c r="C35" s="161">
        <f>IF(noteco=Lists!A$84,0,Exploration!AB58)</f>
        <v>0</v>
      </c>
      <c r="D35" s="161">
        <f>Development!BL114</f>
        <v>0</v>
      </c>
      <c r="E35" s="161">
        <f>Operations!S42</f>
        <v>277.83386428282819</v>
      </c>
      <c r="F35" s="161">
        <f>Abandonment!G39</f>
        <v>0</v>
      </c>
      <c r="G35" s="161">
        <f t="shared" si="3"/>
        <v>0</v>
      </c>
      <c r="H35" s="161">
        <f t="shared" si="12"/>
        <v>277.83386428282819</v>
      </c>
      <c r="I35" s="161">
        <f t="shared" si="13"/>
        <v>-29188.492215235041</v>
      </c>
      <c r="J35" s="161">
        <f>IF(A35&lt;Development!$C$6,0,IF(A35=Development!C$6,Development!$D$6,IF(I35&lt;0,IF(I34&gt;0,ROUNDDOWN(-I34/(I35-I34)*12,0),0),12)))</f>
        <v>0</v>
      </c>
      <c r="K35" s="161">
        <f>IF(OR(A35&lt;Development!$C$6,A35&gt;Abandonment!$B$4),0,(J35*I34-(I34-I35)*J35*(J35+1)/24)/12)</f>
        <v>0</v>
      </c>
      <c r="L35" s="161">
        <f>$K35*(L$7+'Selected Economics'!$G34)</f>
        <v>0</v>
      </c>
      <c r="M35" s="161">
        <f>$K35*(M$7+'Selected Economics'!$G34)</f>
        <v>0</v>
      </c>
      <c r="N35" s="161">
        <f>$K35*(N$7+'Selected Economics'!$G34)</f>
        <v>0</v>
      </c>
      <c r="O35" s="161">
        <f t="shared" si="23"/>
        <v>-28536.609360292106</v>
      </c>
      <c r="P35" s="161">
        <f t="shared" si="23"/>
        <v>-27232.843650406237</v>
      </c>
      <c r="Q35" s="161">
        <f t="shared" si="23"/>
        <v>-25059.900800596453</v>
      </c>
      <c r="R35" s="161">
        <f>IF(A35=Production!$B$4,Production!$B$5,IF(A35&lt;Production!$B$4,0,12+R34))</f>
        <v>215</v>
      </c>
      <c r="S35" s="161">
        <f>MIN($R35,IF(O35&lt;0,MAX(IF(Input!$B$33="Yes",MIN(12,24-R34),0),IF(AND(O34&gt;0,O35&lt;0),ROUNDDOWN(-O34/(O35-O34)*12,0)+0.5),0),12))</f>
        <v>0</v>
      </c>
      <c r="T35" s="161">
        <f>MAX(0,MIN($R35,IF(P35&lt;0,MAX(IF(Input!$B$33="Yes",MIN(12,36-R34),0),IF(AND(P34&gt;0,P35&lt;0),ROUNDDOWN(-P34/(P35-P34)*12,0)+0.5),0),12))-S35)</f>
        <v>0</v>
      </c>
      <c r="U35" s="161">
        <f>MAX(0,MIN($R35,IF(AND(Q34&gt;0,Q35&lt;0),ROUNDDOWN(-Q34/(Q35-Q34)*12,0)+0.5,IF(AND(Q35&gt;0,MIN(Q$11:Q34)&gt;=0),12,0)))-SUM(S35:T35))</f>
        <v>0</v>
      </c>
      <c r="V35" s="161">
        <f t="shared" si="6"/>
        <v>12</v>
      </c>
      <c r="W35" s="161">
        <f t="shared" si="14"/>
        <v>456.5325884104646</v>
      </c>
      <c r="X35" s="161">
        <f t="shared" si="15"/>
        <v>14.687329053865856</v>
      </c>
      <c r="Y35" s="161">
        <f t="shared" si="7"/>
        <v>36.718322634664638</v>
      </c>
      <c r="Z35" s="161">
        <f t="shared" si="16"/>
        <v>91.306517682092931</v>
      </c>
      <c r="AA35" s="161">
        <f t="shared" si="8"/>
        <v>159.7864059436626</v>
      </c>
      <c r="AB35" s="161">
        <f t="shared" si="17"/>
        <v>0</v>
      </c>
      <c r="AC35" s="161">
        <f t="shared" si="9"/>
        <v>0</v>
      </c>
      <c r="AD35" s="161">
        <f t="shared" si="9"/>
        <v>0</v>
      </c>
      <c r="AE35" s="161">
        <f t="shared" si="9"/>
        <v>159.7864059436626</v>
      </c>
      <c r="AF35" s="161">
        <f t="shared" si="18"/>
        <v>159.7864059436626</v>
      </c>
      <c r="AG35" s="161">
        <f>IF(A35=Abandonment!$B$4,-W35,0)</f>
        <v>0</v>
      </c>
      <c r="AH35" s="161">
        <f t="shared" si="19"/>
        <v>456.5325884104646</v>
      </c>
      <c r="AI35" s="161">
        <f>MIN(AH35,MAX(0,$AL$3-SUM(AI36:AI$52)))</f>
        <v>0</v>
      </c>
      <c r="AJ35" s="161">
        <f t="shared" si="22"/>
        <v>159.7864059436626</v>
      </c>
      <c r="AK35" s="161">
        <f t="shared" si="10"/>
        <v>0</v>
      </c>
      <c r="AL35" s="161">
        <f>IF($A35=Abandonment!$B$4,LossRec,0)</f>
        <v>0</v>
      </c>
      <c r="AM35" s="161">
        <f t="shared" si="11"/>
        <v>159.7864059436626</v>
      </c>
      <c r="AN35" s="93"/>
      <c r="AO35" s="93"/>
      <c r="AP35" s="93"/>
      <c r="AQ35" s="246">
        <f t="shared" si="21"/>
        <v>44044</v>
      </c>
      <c r="AR35" s="246">
        <f>IF(AND(O35&lt;0,O34&gt;0,AR34=0),DATE($A35,MAX(12-$R35,0)+SUM($S35:S35)+0.5,1),AR34)</f>
        <v>44136</v>
      </c>
      <c r="AS35" s="246">
        <f>IF(AND(P35&lt;0,P34&gt;0,AS34=0),DATE($A35,MAX(12-$R35,0)+SUM($S35:T35)+0.5,1),AS34)</f>
        <v>44256</v>
      </c>
      <c r="AT35" s="246">
        <f>IF(AND(Q35&lt;0,Q34&gt;0,AT34=0),DATE($A35,MAX(12-$R35,0)+SUM($S35:U35)+0.5,1),AT34)</f>
        <v>44470</v>
      </c>
      <c r="AU35" s="93"/>
      <c r="AV35" s="93"/>
      <c r="AW35" s="93"/>
      <c r="AX35" s="93"/>
      <c r="AY35" s="93"/>
      <c r="AZ35" s="93"/>
      <c r="BA35" s="93"/>
      <c r="BB35" s="93"/>
    </row>
    <row r="36" spans="1:54" ht="15" x14ac:dyDescent="0.25">
      <c r="A36" s="141">
        <f t="shared" si="20"/>
        <v>2036</v>
      </c>
      <c r="B36" s="161">
        <f>'Success Cash Flow'!E34</f>
        <v>641.43075021417849</v>
      </c>
      <c r="C36" s="161">
        <f>IF(noteco=Lists!A$84,0,Exploration!AB59)</f>
        <v>0</v>
      </c>
      <c r="D36" s="161">
        <f>Development!BL115</f>
        <v>0</v>
      </c>
      <c r="E36" s="161">
        <f>Operations!S43</f>
        <v>277.69400558556111</v>
      </c>
      <c r="F36" s="161">
        <f>Abandonment!G40</f>
        <v>0</v>
      </c>
      <c r="G36" s="161">
        <f t="shared" si="3"/>
        <v>0</v>
      </c>
      <c r="H36" s="161">
        <f t="shared" si="12"/>
        <v>277.69400558556111</v>
      </c>
      <c r="I36" s="161">
        <f t="shared" si="13"/>
        <v>-29552.22895986366</v>
      </c>
      <c r="J36" s="161">
        <f>IF(A36&lt;Development!$C$6,0,IF(A36=Development!C$6,Development!$D$6,IF(I36&lt;0,IF(I35&gt;0,ROUNDDOWN(-I35/(I36-I35)*12,0),0),12)))</f>
        <v>0</v>
      </c>
      <c r="K36" s="161">
        <f>IF(OR(A36&lt;Development!$C$6,A36&gt;Abandonment!$B$4),0,(J36*I35-(I35-I36)*J36*(J36+1)/24)/12)</f>
        <v>0</v>
      </c>
      <c r="L36" s="161">
        <f>$K36*(L$7+'Selected Economics'!$G35)</f>
        <v>0</v>
      </c>
      <c r="M36" s="161">
        <f>$K36*(M$7+'Selected Economics'!$G35)</f>
        <v>0</v>
      </c>
      <c r="N36" s="161">
        <f>$K36*(N$7+'Selected Economics'!$G35)</f>
        <v>0</v>
      </c>
      <c r="O36" s="161">
        <f t="shared" si="23"/>
        <v>-28900.346104920725</v>
      </c>
      <c r="P36" s="161">
        <f t="shared" si="23"/>
        <v>-27596.580395034856</v>
      </c>
      <c r="Q36" s="161">
        <f t="shared" si="23"/>
        <v>-25423.637545225072</v>
      </c>
      <c r="R36" s="161">
        <f>IF(A36=Production!$B$4,Production!$B$5,IF(A36&lt;Production!$B$4,0,12+R35))</f>
        <v>227</v>
      </c>
      <c r="S36" s="161">
        <f>MIN($R36,IF(O36&lt;0,MAX(IF(Input!$B$33="Yes",MIN(12,24-R35),0),IF(AND(O35&gt;0,O36&lt;0),ROUNDDOWN(-O35/(O36-O35)*12,0)+0.5),0),12))</f>
        <v>0</v>
      </c>
      <c r="T36" s="161">
        <f>MAX(0,MIN($R36,IF(P36&lt;0,MAX(IF(Input!$B$33="Yes",MIN(12,36-R35),0),IF(AND(P35&gt;0,P36&lt;0),ROUNDDOWN(-P35/(P36-P35)*12,0)+0.5),0),12))-S36)</f>
        <v>0</v>
      </c>
      <c r="U36" s="161">
        <f>MAX(0,MIN($R36,IF(AND(Q35&gt;0,Q36&lt;0),ROUNDDOWN(-Q35/(Q36-Q35)*12,0)+0.5,IF(AND(Q36&gt;0,MIN(Q$11:Q35)&gt;=0),12,0)))-SUM(S36:T36))</f>
        <v>0</v>
      </c>
      <c r="V36" s="161">
        <f t="shared" si="6"/>
        <v>12</v>
      </c>
      <c r="W36" s="161">
        <f t="shared" si="14"/>
        <v>363.73674462861737</v>
      </c>
      <c r="X36" s="161">
        <f t="shared" si="15"/>
        <v>12.82861500428357</v>
      </c>
      <c r="Y36" s="161">
        <f t="shared" si="7"/>
        <v>32.071537510708929</v>
      </c>
      <c r="Z36" s="161">
        <f t="shared" si="16"/>
        <v>72.747348925723472</v>
      </c>
      <c r="AA36" s="161">
        <f t="shared" si="8"/>
        <v>127.30786062001607</v>
      </c>
      <c r="AB36" s="161">
        <f t="shared" si="17"/>
        <v>0</v>
      </c>
      <c r="AC36" s="161">
        <f t="shared" si="9"/>
        <v>0</v>
      </c>
      <c r="AD36" s="161">
        <f t="shared" si="9"/>
        <v>0</v>
      </c>
      <c r="AE36" s="161">
        <f t="shared" si="9"/>
        <v>127.30786062001607</v>
      </c>
      <c r="AF36" s="161">
        <f t="shared" si="18"/>
        <v>127.30786062001607</v>
      </c>
      <c r="AG36" s="161">
        <f>IF(A36=Abandonment!$B$4,-W36,0)</f>
        <v>0</v>
      </c>
      <c r="AH36" s="161">
        <f t="shared" si="19"/>
        <v>363.73674462861737</v>
      </c>
      <c r="AI36" s="161">
        <f>MIN(AH36,MAX(0,$AL$3-SUM(AI37:AI$52)))</f>
        <v>0</v>
      </c>
      <c r="AJ36" s="161">
        <f t="shared" si="22"/>
        <v>127.30786062001607</v>
      </c>
      <c r="AK36" s="161">
        <f t="shared" si="10"/>
        <v>0</v>
      </c>
      <c r="AL36" s="161">
        <f>IF($A36=Abandonment!$B$4,LossRec,0)</f>
        <v>0</v>
      </c>
      <c r="AM36" s="161">
        <f t="shared" si="11"/>
        <v>127.30786062001607</v>
      </c>
      <c r="AN36" s="93"/>
      <c r="AO36" s="93"/>
      <c r="AP36" s="93"/>
      <c r="AQ36" s="246">
        <f t="shared" si="21"/>
        <v>44044</v>
      </c>
      <c r="AR36" s="246">
        <f>IF(AND(O36&lt;0,O35&gt;0,AR35=0),DATE($A36,MAX(12-$R36,0)+SUM($S36:S36)+0.5,1),AR35)</f>
        <v>44136</v>
      </c>
      <c r="AS36" s="246">
        <f>IF(AND(P36&lt;0,P35&gt;0,AS35=0),DATE($A36,MAX(12-$R36,0)+SUM($S36:T36)+0.5,1),AS35)</f>
        <v>44256</v>
      </c>
      <c r="AT36" s="246">
        <f>IF(AND(Q36&lt;0,Q35&gt;0,AT35=0),DATE($A36,MAX(12-$R36,0)+SUM($S36:U36)+0.5,1),AT35)</f>
        <v>44470</v>
      </c>
      <c r="AU36" s="93"/>
      <c r="AV36" s="93"/>
      <c r="AW36" s="93"/>
      <c r="AX36" s="93"/>
      <c r="AY36" s="93"/>
      <c r="AZ36" s="93"/>
      <c r="BA36" s="93"/>
      <c r="BB36" s="93"/>
    </row>
    <row r="37" spans="1:54" ht="15" x14ac:dyDescent="0.25">
      <c r="A37" s="141">
        <f t="shared" si="20"/>
        <v>2037</v>
      </c>
      <c r="B37" s="161">
        <f>'Success Cash Flow'!E35</f>
        <v>557.19221336132716</v>
      </c>
      <c r="C37" s="161">
        <f>IF(noteco=Lists!A$84,0,Exploration!AB60)</f>
        <v>0</v>
      </c>
      <c r="D37" s="161">
        <f>Development!BL116</f>
        <v>0</v>
      </c>
      <c r="E37" s="161">
        <f>Operations!S44</f>
        <v>278.37868571086591</v>
      </c>
      <c r="F37" s="161">
        <f>Abandonment!G41</f>
        <v>0</v>
      </c>
      <c r="G37" s="161">
        <f t="shared" si="3"/>
        <v>0</v>
      </c>
      <c r="H37" s="161">
        <f t="shared" si="12"/>
        <v>278.37868571086591</v>
      </c>
      <c r="I37" s="161">
        <f t="shared" si="13"/>
        <v>-29831.042487514122</v>
      </c>
      <c r="J37" s="161">
        <f>IF(A37&lt;Development!$C$6,0,IF(A37=Development!C$6,Development!$D$6,IF(I37&lt;0,IF(I36&gt;0,ROUNDDOWN(-I36/(I37-I36)*12,0),0),12)))</f>
        <v>0</v>
      </c>
      <c r="K37" s="161">
        <f>IF(OR(A37&lt;Development!$C$6,A37&gt;Abandonment!$B$4),0,(J37*I36-(I36-I37)*J37*(J37+1)/24)/12)</f>
        <v>0</v>
      </c>
      <c r="L37" s="161">
        <f>$K37*(L$7+'Selected Economics'!$G36)</f>
        <v>0</v>
      </c>
      <c r="M37" s="161">
        <f>$K37*(M$7+'Selected Economics'!$G36)</f>
        <v>0</v>
      </c>
      <c r="N37" s="161">
        <f>$K37*(N$7+'Selected Economics'!$G36)</f>
        <v>0</v>
      </c>
      <c r="O37" s="161">
        <f t="shared" si="23"/>
        <v>-29179.159632571187</v>
      </c>
      <c r="P37" s="161">
        <f t="shared" si="23"/>
        <v>-27875.393922685318</v>
      </c>
      <c r="Q37" s="161">
        <f t="shared" si="23"/>
        <v>-25702.451072875534</v>
      </c>
      <c r="R37" s="161">
        <f>IF(A37=Production!$B$4,Production!$B$5,IF(A37&lt;Production!$B$4,0,12+R36))</f>
        <v>239</v>
      </c>
      <c r="S37" s="161">
        <f>MIN($R37,IF(O37&lt;0,MAX(IF(Input!$B$33="Yes",MIN(12,24-R36),0),IF(AND(O36&gt;0,O37&lt;0),ROUNDDOWN(-O36/(O37-O36)*12,0)+0.5),0),12))</f>
        <v>0</v>
      </c>
      <c r="T37" s="161">
        <f>MAX(0,MIN($R37,IF(P37&lt;0,MAX(IF(Input!$B$33="Yes",MIN(12,36-R36),0),IF(AND(P36&gt;0,P37&lt;0),ROUNDDOWN(-P36/(P37-P36)*12,0)+0.5),0),12))-S37)</f>
        <v>0</v>
      </c>
      <c r="U37" s="161">
        <f>MAX(0,MIN($R37,IF(AND(Q36&gt;0,Q37&lt;0),ROUNDDOWN(-Q36/(Q37-Q36)*12,0)+0.5,IF(AND(Q37&gt;0,MIN(Q$11:Q36)&gt;=0),12,0)))-SUM(S37:T37))</f>
        <v>0</v>
      </c>
      <c r="V37" s="161">
        <f t="shared" si="6"/>
        <v>12</v>
      </c>
      <c r="W37" s="161">
        <f t="shared" si="14"/>
        <v>278.81352765046125</v>
      </c>
      <c r="X37" s="161">
        <f t="shared" si="15"/>
        <v>11.143844267226543</v>
      </c>
      <c r="Y37" s="161">
        <f t="shared" si="7"/>
        <v>27.85961066806636</v>
      </c>
      <c r="Z37" s="161">
        <f t="shared" si="16"/>
        <v>55.762705530092255</v>
      </c>
      <c r="AA37" s="161">
        <f t="shared" si="8"/>
        <v>97.58473467766143</v>
      </c>
      <c r="AB37" s="161">
        <f t="shared" si="17"/>
        <v>0</v>
      </c>
      <c r="AC37" s="161">
        <f t="shared" si="9"/>
        <v>0</v>
      </c>
      <c r="AD37" s="161">
        <f t="shared" si="9"/>
        <v>0</v>
      </c>
      <c r="AE37" s="161">
        <f t="shared" si="9"/>
        <v>97.584734677661416</v>
      </c>
      <c r="AF37" s="161">
        <f t="shared" si="18"/>
        <v>97.584734677661416</v>
      </c>
      <c r="AG37" s="161">
        <f>IF(A37=Abandonment!$B$4,-W37,0)</f>
        <v>0</v>
      </c>
      <c r="AH37" s="161">
        <f t="shared" si="19"/>
        <v>278.81352765046125</v>
      </c>
      <c r="AI37" s="161">
        <f>MIN(AH37,MAX(0,$AL$3-SUM(AI38:AI$52)))</f>
        <v>0</v>
      </c>
      <c r="AJ37" s="161">
        <f t="shared" si="22"/>
        <v>97.584734677661416</v>
      </c>
      <c r="AK37" s="161">
        <f t="shared" si="10"/>
        <v>0</v>
      </c>
      <c r="AL37" s="161">
        <f>IF($A37=Abandonment!$B$4,LossRec,0)</f>
        <v>0</v>
      </c>
      <c r="AM37" s="161">
        <f t="shared" si="11"/>
        <v>97.584734677661416</v>
      </c>
      <c r="AN37" s="93"/>
      <c r="AO37" s="93"/>
      <c r="AP37" s="93"/>
      <c r="AQ37" s="246">
        <f t="shared" si="21"/>
        <v>44044</v>
      </c>
      <c r="AR37" s="246">
        <f>IF(AND(O37&lt;0,O36&gt;0,AR36=0),DATE($A37,MAX(12-$R37,0)+SUM($S37:S37)+0.5,1),AR36)</f>
        <v>44136</v>
      </c>
      <c r="AS37" s="246">
        <f>IF(AND(P37&lt;0,P36&gt;0,AS36=0),DATE($A37,MAX(12-$R37,0)+SUM($S37:T37)+0.5,1),AS36)</f>
        <v>44256</v>
      </c>
      <c r="AT37" s="246">
        <f>IF(AND(Q37&lt;0,Q36&gt;0,AT36=0),DATE($A37,MAX(12-$R37,0)+SUM($S37:U37)+0.5,1),AT36)</f>
        <v>44470</v>
      </c>
      <c r="AU37" s="93"/>
      <c r="AV37" s="93"/>
      <c r="AW37" s="93"/>
      <c r="AX37" s="93"/>
      <c r="AY37" s="93"/>
      <c r="AZ37" s="93"/>
      <c r="BA37" s="93"/>
      <c r="BB37" s="93"/>
    </row>
    <row r="38" spans="1:54" ht="15" x14ac:dyDescent="0.25">
      <c r="A38" s="141">
        <f t="shared" si="20"/>
        <v>2038</v>
      </c>
      <c r="B38" s="161">
        <f>'Success Cash Flow'!E36</f>
        <v>485.45371589105798</v>
      </c>
      <c r="C38" s="161">
        <f>IF(noteco=Lists!A$84,0,Exploration!AB61)</f>
        <v>0</v>
      </c>
      <c r="D38" s="161">
        <f>Development!BL117</f>
        <v>0</v>
      </c>
      <c r="E38" s="161">
        <f>Operations!S45</f>
        <v>279.93450695251636</v>
      </c>
      <c r="F38" s="161">
        <f>Abandonment!G42</f>
        <v>0</v>
      </c>
      <c r="G38" s="161">
        <f t="shared" si="3"/>
        <v>0</v>
      </c>
      <c r="H38" s="161">
        <f t="shared" si="12"/>
        <v>279.93450695251636</v>
      </c>
      <c r="I38" s="161">
        <f t="shared" si="13"/>
        <v>-30036.561696452663</v>
      </c>
      <c r="J38" s="161">
        <f>IF(A38&lt;Development!$C$6,0,IF(A38=Development!C$6,Development!$D$6,IF(I38&lt;0,IF(I37&gt;0,ROUNDDOWN(-I37/(I38-I37)*12,0),0),12)))</f>
        <v>0</v>
      </c>
      <c r="K38" s="161">
        <f>IF(OR(A38&lt;Development!$C$6,A38&gt;Abandonment!$B$4),0,(J38*I37-(I37-I38)*J38*(J38+1)/24)/12)</f>
        <v>0</v>
      </c>
      <c r="L38" s="161">
        <f>$K38*(L$7+'Selected Economics'!$G37)</f>
        <v>0</v>
      </c>
      <c r="M38" s="161">
        <f>$K38*(M$7+'Selected Economics'!$G37)</f>
        <v>0</v>
      </c>
      <c r="N38" s="161">
        <f>$K38*(N$7+'Selected Economics'!$G37)</f>
        <v>0</v>
      </c>
      <c r="O38" s="161">
        <f t="shared" si="23"/>
        <v>-29384.678841509729</v>
      </c>
      <c r="P38" s="161">
        <f t="shared" si="23"/>
        <v>-28080.91313162386</v>
      </c>
      <c r="Q38" s="161">
        <f t="shared" si="23"/>
        <v>-25907.970281814076</v>
      </c>
      <c r="R38" s="161">
        <f>IF(A38=Production!$B$4,Production!$B$5,IF(A38&lt;Production!$B$4,0,12+R37))</f>
        <v>251</v>
      </c>
      <c r="S38" s="161">
        <f>MIN($R38,IF(O38&lt;0,MAX(IF(Input!$B$33="Yes",MIN(12,24-R37),0),IF(AND(O37&gt;0,O38&lt;0),ROUNDDOWN(-O37/(O38-O37)*12,0)+0.5),0),12))</f>
        <v>0</v>
      </c>
      <c r="T38" s="161">
        <f>MAX(0,MIN($R38,IF(P38&lt;0,MAX(IF(Input!$B$33="Yes",MIN(12,36-R37),0),IF(AND(P37&gt;0,P38&lt;0),ROUNDDOWN(-P37/(P38-P37)*12,0)+0.5),0),12))-S38)</f>
        <v>0</v>
      </c>
      <c r="U38" s="161">
        <f>MAX(0,MIN($R38,IF(AND(Q37&gt;0,Q38&lt;0),ROUNDDOWN(-Q37/(Q38-Q37)*12,0)+0.5,IF(AND(Q38&gt;0,MIN(Q$11:Q37)&gt;=0),12,0)))-SUM(S38:T38))</f>
        <v>0</v>
      </c>
      <c r="V38" s="161">
        <f t="shared" si="6"/>
        <v>12</v>
      </c>
      <c r="W38" s="161">
        <f t="shared" si="14"/>
        <v>205.51920893854162</v>
      </c>
      <c r="X38" s="161">
        <f t="shared" si="15"/>
        <v>9.7090743178211607</v>
      </c>
      <c r="Y38" s="161">
        <f t="shared" si="7"/>
        <v>24.272685794552899</v>
      </c>
      <c r="Z38" s="161">
        <f t="shared" si="16"/>
        <v>41.103841787708326</v>
      </c>
      <c r="AA38" s="161">
        <f t="shared" si="8"/>
        <v>71.931723128489566</v>
      </c>
      <c r="AB38" s="161">
        <f t="shared" si="17"/>
        <v>0</v>
      </c>
      <c r="AC38" s="161">
        <f t="shared" si="9"/>
        <v>0</v>
      </c>
      <c r="AD38" s="161">
        <f t="shared" si="9"/>
        <v>0</v>
      </c>
      <c r="AE38" s="161">
        <f t="shared" si="9"/>
        <v>71.931723128489566</v>
      </c>
      <c r="AF38" s="161">
        <f t="shared" si="18"/>
        <v>71.931723128489566</v>
      </c>
      <c r="AG38" s="161">
        <f>IF(A38=Abandonment!$B$4,-W38,0)</f>
        <v>0</v>
      </c>
      <c r="AH38" s="161">
        <f t="shared" si="19"/>
        <v>205.51920893854162</v>
      </c>
      <c r="AI38" s="161">
        <f>MIN(AH38,MAX(0,$AL$3-SUM(AI39:AI$52)))</f>
        <v>102.98892805588827</v>
      </c>
      <c r="AJ38" s="161">
        <f t="shared" si="22"/>
        <v>35.885598308928671</v>
      </c>
      <c r="AK38" s="161">
        <f t="shared" si="10"/>
        <v>36.046124819560895</v>
      </c>
      <c r="AL38" s="161">
        <f>IF($A38=Abandonment!$B$4,LossRec,0)</f>
        <v>0</v>
      </c>
      <c r="AM38" s="161">
        <f t="shared" si="11"/>
        <v>71.931723128489566</v>
      </c>
      <c r="AN38" s="93"/>
      <c r="AO38" s="93"/>
      <c r="AP38" s="93"/>
      <c r="AQ38" s="246">
        <f t="shared" si="21"/>
        <v>44044</v>
      </c>
      <c r="AR38" s="246">
        <f>IF(AND(O38&lt;0,O37&gt;0,AR37=0),DATE($A38,MAX(12-$R38,0)+SUM($S38:S38)+0.5,1),AR37)</f>
        <v>44136</v>
      </c>
      <c r="AS38" s="246">
        <f>IF(AND(P38&lt;0,P37&gt;0,AS37=0),DATE($A38,MAX(12-$R38,0)+SUM($S38:T38)+0.5,1),AS37)</f>
        <v>44256</v>
      </c>
      <c r="AT38" s="246">
        <f>IF(AND(Q38&lt;0,Q37&gt;0,AT37=0),DATE($A38,MAX(12-$R38,0)+SUM($S38:U38)+0.5,1),AT37)</f>
        <v>44470</v>
      </c>
      <c r="AU38" s="93"/>
      <c r="AV38" s="93"/>
      <c r="AW38" s="93"/>
      <c r="AX38" s="93"/>
      <c r="AY38" s="93"/>
      <c r="AZ38" s="93"/>
      <c r="BA38" s="93"/>
      <c r="BB38" s="93"/>
    </row>
    <row r="39" spans="1:54" x14ac:dyDescent="0.3">
      <c r="A39" s="141">
        <f t="shared" si="20"/>
        <v>2039</v>
      </c>
      <c r="B39" s="161">
        <f>'Success Cash Flow'!E37</f>
        <v>422.9515499700841</v>
      </c>
      <c r="C39" s="161">
        <f>IF(noteco=Lists!A$84,0,Exploration!AB62)</f>
        <v>0</v>
      </c>
      <c r="D39" s="161">
        <f>Development!BL118</f>
        <v>0</v>
      </c>
      <c r="E39" s="161">
        <f>Operations!S46</f>
        <v>282.22494313497731</v>
      </c>
      <c r="F39" s="161">
        <f>Abandonment!G43</f>
        <v>0</v>
      </c>
      <c r="G39" s="161">
        <f t="shared" si="3"/>
        <v>0</v>
      </c>
      <c r="H39" s="161">
        <f t="shared" si="12"/>
        <v>282.22494313497731</v>
      </c>
      <c r="I39" s="161">
        <f t="shared" si="13"/>
        <v>-30177.288303287769</v>
      </c>
      <c r="J39" s="161">
        <f>IF(A39&lt;Development!$C$6,0,IF(A39=Development!C$6,Development!$D$6,IF(I39&lt;0,IF(I38&gt;0,ROUNDDOWN(-I38/(I39-I38)*12,0),0),12)))</f>
        <v>0</v>
      </c>
      <c r="K39" s="161">
        <f>IF(OR(A39&lt;Development!$C$6,A39&gt;Abandonment!$B$4),0,(J39*I38-(I38-I39)*J39*(J39+1)/24)/12)</f>
        <v>0</v>
      </c>
      <c r="L39" s="161">
        <f>$K39*(L$7+'Selected Economics'!$G38)</f>
        <v>0</v>
      </c>
      <c r="M39" s="161">
        <f>$K39*(M$7+'Selected Economics'!$G38)</f>
        <v>0</v>
      </c>
      <c r="N39" s="161">
        <f>$K39*(N$7+'Selected Economics'!$G38)</f>
        <v>0</v>
      </c>
      <c r="O39" s="161">
        <f t="shared" si="23"/>
        <v>-29525.405448344834</v>
      </c>
      <c r="P39" s="161">
        <f t="shared" si="23"/>
        <v>-28221.639738458965</v>
      </c>
      <c r="Q39" s="161">
        <f t="shared" si="23"/>
        <v>-26048.696888649181</v>
      </c>
      <c r="R39" s="161">
        <f>IF(A39=Production!$B$4,Production!$B$5,IF(A39&lt;Production!$B$4,0,12+R38))</f>
        <v>263</v>
      </c>
      <c r="S39" s="161">
        <f>MIN($R39,IF(O39&lt;0,MAX(IF(Input!$B$33="Yes",MIN(12,24-R38),0),IF(AND(O38&gt;0,O39&lt;0),ROUNDDOWN(-O38/(O39-O38)*12,0)+0.5),0),12))</f>
        <v>0</v>
      </c>
      <c r="T39" s="161">
        <f>MAX(0,MIN($R39,IF(P39&lt;0,MAX(IF(Input!$B$33="Yes",MIN(12,36-R38),0),IF(AND(P38&gt;0,P39&lt;0),ROUNDDOWN(-P38/(P39-P38)*12,0)+0.5),0),12))-S39)</f>
        <v>0</v>
      </c>
      <c r="U39" s="161">
        <f>MAX(0,MIN($R39,IF(AND(Q38&gt;0,Q39&lt;0),ROUNDDOWN(-Q38/(Q39-Q38)*12,0)+0.5,IF(AND(Q39&gt;0,MIN(Q$11:Q38)&gt;=0),12,0)))-SUM(S39:T39))</f>
        <v>0</v>
      </c>
      <c r="V39" s="161">
        <f t="shared" si="6"/>
        <v>12</v>
      </c>
      <c r="W39" s="161">
        <f t="shared" si="14"/>
        <v>140.72660683510679</v>
      </c>
      <c r="X39" s="161">
        <f t="shared" si="15"/>
        <v>8.4590309994016817</v>
      </c>
      <c r="Y39" s="161">
        <f t="shared" si="7"/>
        <v>21.147577498504205</v>
      </c>
      <c r="Z39" s="161">
        <f t="shared" si="16"/>
        <v>28.14532136702136</v>
      </c>
      <c r="AA39" s="161">
        <f t="shared" si="8"/>
        <v>49.254312392287375</v>
      </c>
      <c r="AB39" s="161">
        <f t="shared" si="17"/>
        <v>0</v>
      </c>
      <c r="AC39" s="161">
        <f t="shared" si="9"/>
        <v>0</v>
      </c>
      <c r="AD39" s="161">
        <f t="shared" si="9"/>
        <v>0</v>
      </c>
      <c r="AE39" s="161">
        <f t="shared" si="9"/>
        <v>49.254312392287375</v>
      </c>
      <c r="AF39" s="161">
        <f t="shared" si="18"/>
        <v>49.254312392287375</v>
      </c>
      <c r="AG39" s="161">
        <f>IF(A39=Abandonment!$B$4,-W39,0)</f>
        <v>0</v>
      </c>
      <c r="AH39" s="161">
        <f t="shared" si="19"/>
        <v>140.72660683510679</v>
      </c>
      <c r="AI39" s="161">
        <f>MIN(AH39,MAX(0,$AL$3-SUM(AI40:AI$52)))</f>
        <v>140.72660683510679</v>
      </c>
      <c r="AJ39" s="161">
        <f t="shared" si="22"/>
        <v>21.147577498504205</v>
      </c>
      <c r="AK39" s="161">
        <f t="shared" si="10"/>
        <v>28.10673489378317</v>
      </c>
      <c r="AL39" s="161">
        <f>IF($A39=Abandonment!$B$4,LossRec,0)</f>
        <v>0</v>
      </c>
      <c r="AM39" s="161">
        <f t="shared" si="11"/>
        <v>49.254312392287375</v>
      </c>
      <c r="AN39" s="93"/>
      <c r="AO39" s="93"/>
      <c r="AP39" s="93"/>
      <c r="AQ39" s="246">
        <f t="shared" si="21"/>
        <v>44044</v>
      </c>
      <c r="AR39" s="246">
        <f>IF(AND(O39&lt;0,O38&gt;0,AR38=0),DATE($A39,MAX(12-$R39,0)+SUM($S39:S39)+0.5,1),AR38)</f>
        <v>44136</v>
      </c>
      <c r="AS39" s="246">
        <f>IF(AND(P39&lt;0,P38&gt;0,AS38=0),DATE($A39,MAX(12-$R39,0)+SUM($S39:T39)+0.5,1),AS38)</f>
        <v>44256</v>
      </c>
      <c r="AT39" s="246">
        <f>IF(AND(Q39&lt;0,Q38&gt;0,AT38=0),DATE($A39,MAX(12-$R39,0)+SUM($S39:U39)+0.5,1),AT38)</f>
        <v>44470</v>
      </c>
      <c r="AU39" s="93"/>
      <c r="AV39" s="93"/>
      <c r="AW39" s="93"/>
      <c r="AX39" s="93"/>
      <c r="AY39" s="93"/>
      <c r="AZ39" s="93"/>
      <c r="BA39" s="93"/>
      <c r="BB39" s="93"/>
    </row>
    <row r="40" spans="1:54" x14ac:dyDescent="0.3">
      <c r="A40" s="141">
        <f t="shared" si="20"/>
        <v>2040</v>
      </c>
      <c r="B40" s="161">
        <f>'Success Cash Flow'!E38</f>
        <v>369.42609375276629</v>
      </c>
      <c r="C40" s="161">
        <f>IF(noteco=Lists!A$84,0,Exploration!AB63)</f>
        <v>0</v>
      </c>
      <c r="D40" s="161">
        <f>Development!BL119</f>
        <v>0</v>
      </c>
      <c r="E40" s="161">
        <f>Operations!S47</f>
        <v>285.19962043631273</v>
      </c>
      <c r="F40" s="161">
        <f>Abandonment!G44</f>
        <v>0</v>
      </c>
      <c r="G40" s="161">
        <f t="shared" si="3"/>
        <v>0</v>
      </c>
      <c r="H40" s="161">
        <f t="shared" si="12"/>
        <v>285.19962043631273</v>
      </c>
      <c r="I40" s="161">
        <f t="shared" si="13"/>
        <v>-30261.514776604221</v>
      </c>
      <c r="J40" s="161">
        <f>IF(A40&lt;Development!$C$6,0,IF(A40=Development!C$6,Development!$D$6,IF(I40&lt;0,IF(I39&gt;0,ROUNDDOWN(-I39/(I40-I39)*12,0),0),12)))</f>
        <v>0</v>
      </c>
      <c r="K40" s="161">
        <f>IF(OR(A40&lt;Development!$C$6,A40&gt;Abandonment!$B$4),0,(J40*I39-(I39-I40)*J40*(J40+1)/24)/12)</f>
        <v>0</v>
      </c>
      <c r="L40" s="161">
        <f>$K40*(L$7+'Selected Economics'!$G39)</f>
        <v>0</v>
      </c>
      <c r="M40" s="161">
        <f>$K40*(M$7+'Selected Economics'!$G39)</f>
        <v>0</v>
      </c>
      <c r="N40" s="161">
        <f>$K40*(N$7+'Selected Economics'!$G39)</f>
        <v>0</v>
      </c>
      <c r="O40" s="161">
        <f t="shared" si="23"/>
        <v>-29609.631921661286</v>
      </c>
      <c r="P40" s="161">
        <f t="shared" si="23"/>
        <v>-28305.866211775417</v>
      </c>
      <c r="Q40" s="161">
        <f t="shared" si="23"/>
        <v>-26132.923361965633</v>
      </c>
      <c r="R40" s="161">
        <f>IF(A40=Production!$B$4,Production!$B$5,IF(A40&lt;Production!$B$4,0,12+R39))</f>
        <v>275</v>
      </c>
      <c r="S40" s="161">
        <f>MIN($R40,IF(O40&lt;0,MAX(IF(Input!$B$33="Yes",MIN(12,24-R39),0),IF(AND(O39&gt;0,O40&lt;0),ROUNDDOWN(-O39/(O40-O39)*12,0)+0.5),0),12))</f>
        <v>0</v>
      </c>
      <c r="T40" s="161">
        <f>MAX(0,MIN($R40,IF(P40&lt;0,MAX(IF(Input!$B$33="Yes",MIN(12,36-R39),0),IF(AND(P39&gt;0,P40&lt;0),ROUNDDOWN(-P39/(P40-P39)*12,0)+0.5),0),12))-S40)</f>
        <v>0</v>
      </c>
      <c r="U40" s="161">
        <f>MAX(0,MIN($R40,IF(AND(Q39&gt;0,Q40&lt;0),ROUNDDOWN(-Q39/(Q40-Q39)*12,0)+0.5,IF(AND(Q40&gt;0,MIN(Q$11:Q39)&gt;=0),12,0)))-SUM(S40:T40))</f>
        <v>0</v>
      </c>
      <c r="V40" s="161">
        <f t="shared" si="6"/>
        <v>12</v>
      </c>
      <c r="W40" s="161">
        <f t="shared" si="14"/>
        <v>84.226473316453564</v>
      </c>
      <c r="X40" s="161">
        <f t="shared" si="15"/>
        <v>7.3885218750553259</v>
      </c>
      <c r="Y40" s="161">
        <f t="shared" si="7"/>
        <v>18.471304687638316</v>
      </c>
      <c r="Z40" s="161">
        <f t="shared" si="16"/>
        <v>18.471304687638316</v>
      </c>
      <c r="AA40" s="161">
        <f t="shared" si="8"/>
        <v>29.479265660758745</v>
      </c>
      <c r="AB40" s="161">
        <f t="shared" si="17"/>
        <v>0</v>
      </c>
      <c r="AC40" s="161">
        <f t="shared" si="9"/>
        <v>0</v>
      </c>
      <c r="AD40" s="161">
        <f t="shared" si="9"/>
        <v>0</v>
      </c>
      <c r="AE40" s="161">
        <f t="shared" si="9"/>
        <v>29.479265660758745</v>
      </c>
      <c r="AF40" s="161">
        <f t="shared" si="18"/>
        <v>29.479265660758745</v>
      </c>
      <c r="AG40" s="161">
        <f>IF(A40=Abandonment!$B$4,-W40,0)</f>
        <v>0</v>
      </c>
      <c r="AH40" s="161">
        <f t="shared" si="19"/>
        <v>84.226473316453564</v>
      </c>
      <c r="AI40" s="161">
        <f>MIN(AH40,MAX(0,$AL$3-SUM(AI41:AI$52)))</f>
        <v>84.226473316453564</v>
      </c>
      <c r="AJ40" s="161">
        <f t="shared" si="22"/>
        <v>18.471304687638316</v>
      </c>
      <c r="AK40" s="161">
        <f t="shared" si="10"/>
        <v>11.007960973120429</v>
      </c>
      <c r="AL40" s="161">
        <f>IF($A40=Abandonment!$B$4,LossRec,0)</f>
        <v>0</v>
      </c>
      <c r="AM40" s="161">
        <f t="shared" si="11"/>
        <v>29.479265660758745</v>
      </c>
      <c r="AN40" s="93"/>
      <c r="AO40" s="93"/>
      <c r="AP40" s="93"/>
      <c r="AQ40" s="246">
        <f t="shared" si="21"/>
        <v>44044</v>
      </c>
      <c r="AR40" s="246">
        <f>IF(AND(O40&lt;0,O39&gt;0,AR39=0),DATE($A40,MAX(12-$R40,0)+SUM($S40:S40)+0.5,1),AR39)</f>
        <v>44136</v>
      </c>
      <c r="AS40" s="246">
        <f>IF(AND(P40&lt;0,P39&gt;0,AS39=0),DATE($A40,MAX(12-$R40,0)+SUM($S40:T40)+0.5,1),AS39)</f>
        <v>44256</v>
      </c>
      <c r="AT40" s="246">
        <f>IF(AND(Q40&lt;0,Q39&gt;0,AT39=0),DATE($A40,MAX(12-$R40,0)+SUM($S40:U40)+0.5,1),AT39)</f>
        <v>44470</v>
      </c>
      <c r="AU40" s="93"/>
      <c r="AV40" s="93"/>
      <c r="AW40" s="93"/>
      <c r="AX40" s="93"/>
      <c r="AY40" s="93"/>
      <c r="AZ40" s="93"/>
      <c r="BA40" s="93"/>
      <c r="BB40" s="93"/>
    </row>
    <row r="41" spans="1:54" x14ac:dyDescent="0.3">
      <c r="A41" s="141">
        <f t="shared" si="20"/>
        <v>2041</v>
      </c>
      <c r="B41" s="161">
        <f>'Success Cash Flow'!E39</f>
        <v>320.90968944473371</v>
      </c>
      <c r="C41" s="161">
        <f>IF(noteco=Lists!A$84,0,Exploration!AB64)</f>
        <v>0</v>
      </c>
      <c r="D41" s="161">
        <f>Development!BL120</f>
        <v>0</v>
      </c>
      <c r="E41" s="161">
        <f>Operations!S48</f>
        <v>288.7255639185783</v>
      </c>
      <c r="F41" s="161">
        <f>Abandonment!G45</f>
        <v>0</v>
      </c>
      <c r="G41" s="161">
        <f t="shared" si="3"/>
        <v>0</v>
      </c>
      <c r="H41" s="161">
        <f t="shared" si="12"/>
        <v>288.7255639185783</v>
      </c>
      <c r="I41" s="161">
        <f t="shared" si="13"/>
        <v>-30293.698902130374</v>
      </c>
      <c r="J41" s="161">
        <f>IF(A41&lt;Development!$C$6,0,IF(A41=Development!C$6,Development!$D$6,IF(I41&lt;0,IF(I40&gt;0,ROUNDDOWN(-I40/(I41-I40)*12,0),0),12)))</f>
        <v>0</v>
      </c>
      <c r="K41" s="161">
        <f>IF(OR(A41&lt;Development!$C$6,A41&gt;Abandonment!$B$4),0,(J41*I40-(I40-I41)*J41*(J41+1)/24)/12)</f>
        <v>0</v>
      </c>
      <c r="L41" s="161">
        <f>$K41*(L$7+'Selected Economics'!$G40)</f>
        <v>0</v>
      </c>
      <c r="M41" s="161">
        <f>$K41*(M$7+'Selected Economics'!$G40)</f>
        <v>0</v>
      </c>
      <c r="N41" s="161">
        <f>$K41*(N$7+'Selected Economics'!$G40)</f>
        <v>0</v>
      </c>
      <c r="O41" s="161">
        <f t="shared" si="23"/>
        <v>-29641.816047187443</v>
      </c>
      <c r="P41" s="161">
        <f t="shared" si="23"/>
        <v>-28338.050337301574</v>
      </c>
      <c r="Q41" s="161">
        <f t="shared" si="23"/>
        <v>-26165.10748749179</v>
      </c>
      <c r="R41" s="161">
        <f>IF(A41=Production!$B$4,Production!$B$5,IF(A41&lt;Production!$B$4,0,12+R40))</f>
        <v>287</v>
      </c>
      <c r="S41" s="161">
        <f>MIN($R41,IF(O41&lt;0,MAX(IF(Input!$B$33="Yes",MIN(12,24-R40),0),IF(AND(O40&gt;0,O41&lt;0),ROUNDDOWN(-O40/(O41-O40)*12,0)+0.5),0),12))</f>
        <v>0</v>
      </c>
      <c r="T41" s="161">
        <f>MAX(0,MIN($R41,IF(P41&lt;0,MAX(IF(Input!$B$33="Yes",MIN(12,36-R40),0),IF(AND(P40&gt;0,P41&lt;0),ROUNDDOWN(-P40/(P41-P40)*12,0)+0.5),0),12))-S41)</f>
        <v>0</v>
      </c>
      <c r="U41" s="161">
        <f>MAX(0,MIN($R41,IF(AND(Q40&gt;0,Q41&lt;0),ROUNDDOWN(-Q40/(Q41-Q40)*12,0)+0.5,IF(AND(Q41&gt;0,MIN(Q$11:Q40)&gt;=0),12,0)))-SUM(S41:T41))</f>
        <v>0</v>
      </c>
      <c r="V41" s="161">
        <f t="shared" si="6"/>
        <v>12</v>
      </c>
      <c r="W41" s="161">
        <f t="shared" si="14"/>
        <v>32.184125526155412</v>
      </c>
      <c r="X41" s="161">
        <f t="shared" si="15"/>
        <v>6.4181937888946745</v>
      </c>
      <c r="Y41" s="161">
        <f t="shared" si="7"/>
        <v>16.045484472236687</v>
      </c>
      <c r="Z41" s="161">
        <f t="shared" si="16"/>
        <v>16.045484472236687</v>
      </c>
      <c r="AA41" s="161">
        <f t="shared" si="8"/>
        <v>16.045484472236687</v>
      </c>
      <c r="AB41" s="161">
        <f t="shared" si="17"/>
        <v>0</v>
      </c>
      <c r="AC41" s="161">
        <f t="shared" si="9"/>
        <v>0</v>
      </c>
      <c r="AD41" s="161">
        <f t="shared" si="9"/>
        <v>0</v>
      </c>
      <c r="AE41" s="161">
        <f t="shared" si="9"/>
        <v>16.045484472236687</v>
      </c>
      <c r="AF41" s="161">
        <f t="shared" si="18"/>
        <v>16.045484472236687</v>
      </c>
      <c r="AG41" s="161">
        <f>IF(A41=Abandonment!$B$4,-W41,0)</f>
        <v>0</v>
      </c>
      <c r="AH41" s="161">
        <f t="shared" si="19"/>
        <v>32.184125526155412</v>
      </c>
      <c r="AI41" s="161">
        <f>MIN(AH41,MAX(0,$AL$3-SUM(AI42:AI$52)))</f>
        <v>32.184125526155412</v>
      </c>
      <c r="AJ41" s="161">
        <f t="shared" si="22"/>
        <v>16.045484472236687</v>
      </c>
      <c r="AK41" s="161">
        <f t="shared" si="10"/>
        <v>0</v>
      </c>
      <c r="AL41" s="161">
        <f>IF($A41=Abandonment!$B$4,LossRec,0)</f>
        <v>0</v>
      </c>
      <c r="AM41" s="161">
        <f t="shared" si="11"/>
        <v>16.045484472236687</v>
      </c>
      <c r="AN41" s="93"/>
      <c r="AO41" s="93"/>
      <c r="AP41" s="93"/>
      <c r="AQ41" s="246">
        <f t="shared" si="21"/>
        <v>44044</v>
      </c>
      <c r="AR41" s="246">
        <f>IF(AND(O41&lt;0,O40&gt;0,AR40=0),DATE($A41,MAX(12-$R41,0)+SUM($S41:S41)+0.5,1),AR40)</f>
        <v>44136</v>
      </c>
      <c r="AS41" s="246">
        <f>IF(AND(P41&lt;0,P40&gt;0,AS40=0),DATE($A41,MAX(12-$R41,0)+SUM($S41:T41)+0.5,1),AS40)</f>
        <v>44256</v>
      </c>
      <c r="AT41" s="246">
        <f>IF(AND(Q41&lt;0,Q40&gt;0,AT40=0),DATE($A41,MAX(12-$R41,0)+SUM($S41:U41)+0.5,1),AT40)</f>
        <v>44470</v>
      </c>
      <c r="AU41" s="93"/>
      <c r="AV41" s="93"/>
      <c r="AW41" s="93"/>
      <c r="AX41" s="93"/>
      <c r="AY41" s="93"/>
      <c r="AZ41" s="93"/>
      <c r="BA41" s="93"/>
      <c r="BB41" s="93"/>
    </row>
    <row r="42" spans="1:54" x14ac:dyDescent="0.3">
      <c r="A42" s="141">
        <f t="shared" si="20"/>
        <v>2042</v>
      </c>
      <c r="B42" s="161">
        <f>'Success Cash Flow'!E40</f>
        <v>279.59256692872322</v>
      </c>
      <c r="C42" s="161">
        <f>IF(noteco=Lists!A$84,0,Exploration!AB65)</f>
        <v>0</v>
      </c>
      <c r="D42" s="161">
        <f>Development!BL121</f>
        <v>0</v>
      </c>
      <c r="E42" s="161">
        <f>Operations!S49</f>
        <v>292.8315232580764</v>
      </c>
      <c r="F42" s="161">
        <f>Abandonment!G46</f>
        <v>0</v>
      </c>
      <c r="G42" s="161">
        <f t="shared" si="3"/>
        <v>0</v>
      </c>
      <c r="H42" s="161">
        <f t="shared" si="12"/>
        <v>292.8315232580764</v>
      </c>
      <c r="I42" s="161">
        <f t="shared" si="13"/>
        <v>-30280.459945801023</v>
      </c>
      <c r="J42" s="161">
        <f>IF(A42&lt;Development!$C$6,0,IF(A42=Development!C$6,Development!$D$6,IF(I42&lt;0,IF(I41&gt;0,ROUNDDOWN(-I41/(I42-I41)*12,0),0),12)))</f>
        <v>0</v>
      </c>
      <c r="K42" s="161">
        <f>IF(OR(A42&lt;Development!$C$6,A42&gt;Abandonment!$B$4),0,(J42*I41-(I41-I42)*J42*(J42+1)/24)/12)</f>
        <v>0</v>
      </c>
      <c r="L42" s="161">
        <f>$K42*(L$7+'Selected Economics'!$G41)</f>
        <v>0</v>
      </c>
      <c r="M42" s="161">
        <f>$K42*(M$7+'Selected Economics'!$G41)</f>
        <v>0</v>
      </c>
      <c r="N42" s="161">
        <f>$K42*(N$7+'Selected Economics'!$G41)</f>
        <v>0</v>
      </c>
      <c r="O42" s="161">
        <f t="shared" si="23"/>
        <v>-29628.577090858089</v>
      </c>
      <c r="P42" s="161">
        <f t="shared" si="23"/>
        <v>-28324.81138097222</v>
      </c>
      <c r="Q42" s="161">
        <f t="shared" si="23"/>
        <v>-26151.868531162436</v>
      </c>
      <c r="R42" s="161">
        <f>IF(A42=Production!$B$4,Production!$B$5,IF(A42&lt;Production!$B$4,0,12+R41))</f>
        <v>299</v>
      </c>
      <c r="S42" s="161">
        <f>MIN($R42,IF(O42&lt;0,MAX(IF(Input!$B$33="Yes",MIN(12,24-R41),0),IF(AND(O41&gt;0,O42&lt;0),ROUNDDOWN(-O41/(O42-O41)*12,0)+0.5),0),12))</f>
        <v>0</v>
      </c>
      <c r="T42" s="161">
        <f>MAX(0,MIN($R42,IF(P42&lt;0,MAX(IF(Input!$B$33="Yes",MIN(12,36-R41),0),IF(AND(P41&gt;0,P42&lt;0),ROUNDDOWN(-P41/(P42-P41)*12,0)+0.5),0),12))-S42)</f>
        <v>0</v>
      </c>
      <c r="U42" s="161">
        <f>MAX(0,MIN($R42,IF(AND(Q41&gt;0,Q42&lt;0),ROUNDDOWN(-Q41/(Q42-Q41)*12,0)+0.5,IF(AND(Q42&gt;0,MIN(Q$11:Q41)&gt;=0),12,0)))-SUM(S42:T42))</f>
        <v>0</v>
      </c>
      <c r="V42" s="161">
        <f t="shared" si="6"/>
        <v>12</v>
      </c>
      <c r="W42" s="161">
        <f t="shared" si="14"/>
        <v>-13.238956329353186</v>
      </c>
      <c r="X42" s="161">
        <f t="shared" si="15"/>
        <v>5.5918513385744646</v>
      </c>
      <c r="Y42" s="161">
        <f t="shared" si="7"/>
        <v>13.979628346436161</v>
      </c>
      <c r="Z42" s="161">
        <f t="shared" si="16"/>
        <v>13.979628346436161</v>
      </c>
      <c r="AA42" s="161">
        <f t="shared" si="8"/>
        <v>13.979628346436161</v>
      </c>
      <c r="AB42" s="161">
        <f t="shared" si="17"/>
        <v>0</v>
      </c>
      <c r="AC42" s="161">
        <f t="shared" si="9"/>
        <v>0</v>
      </c>
      <c r="AD42" s="161">
        <f t="shared" si="9"/>
        <v>0</v>
      </c>
      <c r="AE42" s="161">
        <f t="shared" si="9"/>
        <v>13.979628346436163</v>
      </c>
      <c r="AF42" s="161">
        <f t="shared" si="18"/>
        <v>13.979628346436163</v>
      </c>
      <c r="AG42" s="161">
        <f>IF(A42=Abandonment!$B$4,-W42,0)</f>
        <v>0</v>
      </c>
      <c r="AH42" s="161">
        <f t="shared" si="19"/>
        <v>0</v>
      </c>
      <c r="AI42" s="161">
        <f>MIN(AH42,MAX(0,$AL$3-SUM(AI43:AI$52)))</f>
        <v>0</v>
      </c>
      <c r="AJ42" s="161">
        <f t="shared" si="22"/>
        <v>13.979628346436163</v>
      </c>
      <c r="AK42" s="161">
        <f t="shared" si="10"/>
        <v>0</v>
      </c>
      <c r="AL42" s="161">
        <f>IF($A42=Abandonment!$B$4,LossRec,0)</f>
        <v>0</v>
      </c>
      <c r="AM42" s="161">
        <f t="shared" si="11"/>
        <v>13.979628346436163</v>
      </c>
      <c r="AN42" s="93"/>
      <c r="AO42" s="93"/>
      <c r="AP42" s="93"/>
      <c r="AQ42" s="246">
        <f t="shared" si="21"/>
        <v>44044</v>
      </c>
      <c r="AR42" s="246">
        <f>IF(AND(O42&lt;0,O41&gt;0,AR41=0),DATE($A42,MAX(12-$R42,0)+SUM($S42:S42)+0.5,1),AR41)</f>
        <v>44136</v>
      </c>
      <c r="AS42" s="246">
        <f>IF(AND(P42&lt;0,P41&gt;0,AS41=0),DATE($A42,MAX(12-$R42,0)+SUM($S42:T42)+0.5,1),AS41)</f>
        <v>44256</v>
      </c>
      <c r="AT42" s="246">
        <f>IF(AND(Q42&lt;0,Q41&gt;0,AT41=0),DATE($A42,MAX(12-$R42,0)+SUM($S42:U42)+0.5,1),AT41)</f>
        <v>44470</v>
      </c>
      <c r="AU42" s="93"/>
      <c r="AV42" s="93"/>
      <c r="AW42" s="93"/>
      <c r="AX42" s="93"/>
      <c r="AY42" s="93"/>
      <c r="AZ42" s="93"/>
      <c r="BA42" s="93"/>
      <c r="BB42" s="93"/>
    </row>
    <row r="43" spans="1:54" x14ac:dyDescent="0.3">
      <c r="A43" s="141">
        <f t="shared" si="20"/>
        <v>2043</v>
      </c>
      <c r="B43" s="161">
        <f>'Success Cash Flow'!E41</f>
        <v>0</v>
      </c>
      <c r="C43" s="161">
        <f>IF(noteco=Lists!A$84,0,Exploration!AB66)</f>
        <v>0</v>
      </c>
      <c r="D43" s="161">
        <f>Development!BL122</f>
        <v>0</v>
      </c>
      <c r="E43" s="161">
        <f>Operations!S50</f>
        <v>0</v>
      </c>
      <c r="F43" s="161">
        <f>Abandonment!G47</f>
        <v>360.12613373360404</v>
      </c>
      <c r="G43" s="161">
        <f t="shared" si="3"/>
        <v>0</v>
      </c>
      <c r="H43" s="161">
        <f t="shared" si="12"/>
        <v>360.12613373360404</v>
      </c>
      <c r="I43" s="161">
        <f t="shared" si="13"/>
        <v>-29920.33381206742</v>
      </c>
      <c r="J43" s="161">
        <f>IF(A43&lt;Development!$C$6,0,IF(A43=Development!C$6,Development!$D$6,IF(I43&lt;0,IF(I42&gt;0,ROUNDDOWN(-I42/(I43-I42)*12,0),0),12)))</f>
        <v>0</v>
      </c>
      <c r="K43" s="161">
        <f>IF(OR(A43&lt;Development!$C$6,A43&gt;Abandonment!$B$4),0,(J43*I42-(I42-I43)*J43*(J43+1)/24)/12)</f>
        <v>0</v>
      </c>
      <c r="L43" s="161">
        <f>$K43*(L$7+'Selected Economics'!$G42)</f>
        <v>0</v>
      </c>
      <c r="M43" s="161">
        <f>$K43*(M$7+'Selected Economics'!$G42)</f>
        <v>0</v>
      </c>
      <c r="N43" s="161">
        <f>$K43*(N$7+'Selected Economics'!$G42)</f>
        <v>0</v>
      </c>
      <c r="O43" s="161">
        <f t="shared" si="23"/>
        <v>-29268.450957124485</v>
      </c>
      <c r="P43" s="161">
        <f t="shared" si="23"/>
        <v>-27964.685247238616</v>
      </c>
      <c r="Q43" s="161">
        <f t="shared" si="23"/>
        <v>-25791.742397428832</v>
      </c>
      <c r="R43" s="161">
        <f>IF(A43=Production!$B$4,Production!$B$5,IF(A43&lt;Production!$B$4,0,12+R42))</f>
        <v>311</v>
      </c>
      <c r="S43" s="161">
        <f>MIN($R43,IF(O43&lt;0,MAX(IF(Input!$B$33="Yes",MIN(12,24-R42),0),IF(AND(O42&gt;0,O43&lt;0),ROUNDDOWN(-O42/(O43-O42)*12,0)+0.5),0),12))</f>
        <v>0</v>
      </c>
      <c r="T43" s="161">
        <f>MAX(0,MIN($R43,IF(P43&lt;0,MAX(IF(Input!$B$33="Yes",MIN(12,36-R42),0),IF(AND(P42&gt;0,P43&lt;0),ROUNDDOWN(-P42/(P43-P42)*12,0)+0.5),0),12))-S43)</f>
        <v>0</v>
      </c>
      <c r="U43" s="161">
        <f>MAX(0,MIN($R43,IF(AND(Q42&gt;0,Q43&lt;0),ROUNDDOWN(-Q42/(Q43-Q42)*12,0)+0.5,IF(AND(Q43&gt;0,MIN(Q$11:Q42)&gt;=0),12,0)))-SUM(S43:T43))</f>
        <v>0</v>
      </c>
      <c r="V43" s="161">
        <f t="shared" si="6"/>
        <v>12</v>
      </c>
      <c r="W43" s="161">
        <f t="shared" si="14"/>
        <v>-360.12613373360404</v>
      </c>
      <c r="X43" s="161">
        <f t="shared" si="15"/>
        <v>0</v>
      </c>
      <c r="Y43" s="161">
        <f t="shared" si="7"/>
        <v>0</v>
      </c>
      <c r="Z43" s="161">
        <f t="shared" si="16"/>
        <v>0</v>
      </c>
      <c r="AA43" s="161">
        <f t="shared" si="8"/>
        <v>0</v>
      </c>
      <c r="AB43" s="161">
        <f t="shared" si="17"/>
        <v>0</v>
      </c>
      <c r="AC43" s="161">
        <f t="shared" si="9"/>
        <v>0</v>
      </c>
      <c r="AD43" s="161">
        <f t="shared" si="9"/>
        <v>0</v>
      </c>
      <c r="AE43" s="161">
        <f t="shared" si="9"/>
        <v>0</v>
      </c>
      <c r="AF43" s="161">
        <f t="shared" si="18"/>
        <v>0</v>
      </c>
      <c r="AG43" s="161">
        <f>IF(A43=Abandonment!$B$4,-W43,0)</f>
        <v>360.12613373360404</v>
      </c>
      <c r="AH43" s="161">
        <f t="shared" si="19"/>
        <v>0</v>
      </c>
      <c r="AI43" s="161">
        <f>MIN(AH43,MAX(0,$AL$3-SUM(AI44:AI$52)))</f>
        <v>0</v>
      </c>
      <c r="AJ43" s="161">
        <f t="shared" si="22"/>
        <v>0</v>
      </c>
      <c r="AK43" s="161">
        <f t="shared" si="10"/>
        <v>0</v>
      </c>
      <c r="AL43" s="161">
        <f>IF($A43=Abandonment!$B$4,LossRec,0)</f>
        <v>75.160820686464504</v>
      </c>
      <c r="AM43" s="161">
        <f t="shared" si="11"/>
        <v>-75.160820686464504</v>
      </c>
      <c r="AN43" s="93"/>
      <c r="AO43" s="93"/>
      <c r="AP43" s="93"/>
      <c r="AQ43" s="246">
        <f t="shared" si="21"/>
        <v>44044</v>
      </c>
      <c r="AR43" s="246">
        <f>IF(AND(O43&lt;0,O42&gt;0,AR42=0),DATE($A43,MAX(12-$R43,0)+SUM($S43:S43)+0.5,1),AR42)</f>
        <v>44136</v>
      </c>
      <c r="AS43" s="246">
        <f>IF(AND(P43&lt;0,P42&gt;0,AS42=0),DATE($A43,MAX(12-$R43,0)+SUM($S43:T43)+0.5,1),AS42)</f>
        <v>44256</v>
      </c>
      <c r="AT43" s="246">
        <f>IF(AND(Q43&lt;0,Q42&gt;0,AT42=0),DATE($A43,MAX(12-$R43,0)+SUM($S43:U43)+0.5,1),AT42)</f>
        <v>44470</v>
      </c>
      <c r="AU43" s="93"/>
      <c r="AV43" s="93"/>
      <c r="AW43" s="93"/>
      <c r="AX43" s="93"/>
      <c r="AY43" s="93"/>
      <c r="AZ43" s="93"/>
      <c r="BA43" s="93"/>
      <c r="BB43" s="93"/>
    </row>
    <row r="44" spans="1:54" x14ac:dyDescent="0.3">
      <c r="A44" s="141">
        <f t="shared" si="20"/>
        <v>2044</v>
      </c>
      <c r="B44" s="161">
        <f>'Success Cash Flow'!E42</f>
        <v>0</v>
      </c>
      <c r="C44" s="161">
        <f>IF(noteco=Lists!A$84,0,Exploration!AB67)</f>
        <v>0</v>
      </c>
      <c r="D44" s="161">
        <f>Development!BL123</f>
        <v>0</v>
      </c>
      <c r="E44" s="161">
        <f>Operations!S51</f>
        <v>0</v>
      </c>
      <c r="F44" s="161">
        <f>Abandonment!G48</f>
        <v>0</v>
      </c>
      <c r="G44" s="161">
        <f t="shared" si="3"/>
        <v>0</v>
      </c>
      <c r="H44" s="161">
        <f t="shared" si="12"/>
        <v>0</v>
      </c>
      <c r="I44" s="161">
        <f t="shared" si="13"/>
        <v>-29920.33381206742</v>
      </c>
      <c r="J44" s="161">
        <f>IF(A44&lt;Development!$C$6,0,IF(A44=Development!C$6,Development!$D$6,IF(I44&lt;0,IF(I43&gt;0,ROUNDDOWN(-I43/(I44-I43)*12,0),0),12)))</f>
        <v>0</v>
      </c>
      <c r="K44" s="161">
        <f>IF(OR(A44&lt;Development!$C$6,A44&gt;Abandonment!$B$4),0,(J44*I43-(I43-I44)*J44*(J44+1)/24)/12)</f>
        <v>0</v>
      </c>
      <c r="L44" s="161">
        <f>$K44*(L$7+'Selected Economics'!$G43)</f>
        <v>0</v>
      </c>
      <c r="M44" s="161">
        <f>$K44*(M$7+'Selected Economics'!$G43)</f>
        <v>0</v>
      </c>
      <c r="N44" s="161">
        <f>$K44*(N$7+'Selected Economics'!$G43)</f>
        <v>0</v>
      </c>
      <c r="O44" s="161">
        <f t="shared" si="23"/>
        <v>-29268.450957124485</v>
      </c>
      <c r="P44" s="161">
        <f t="shared" si="23"/>
        <v>-27964.685247238616</v>
      </c>
      <c r="Q44" s="161">
        <f t="shared" si="23"/>
        <v>-25791.742397428832</v>
      </c>
      <c r="R44" s="161">
        <f>IF(A44=Production!$B$4,Production!$B$5,IF(A44&lt;Production!$B$4,0,12+R43))</f>
        <v>323</v>
      </c>
      <c r="S44" s="161">
        <f>MIN($R44,IF(O44&lt;0,MAX(IF(Input!$B$33="Yes",MIN(12,24-R43),0),IF(AND(O43&gt;0,O44&lt;0),ROUNDDOWN(-O43/(O44-O43)*12,0)+0.5),0),12))</f>
        <v>0</v>
      </c>
      <c r="T44" s="161">
        <f>MAX(0,MIN($R44,IF(P44&lt;0,MAX(IF(Input!$B$33="Yes",MIN(12,36-R43),0),IF(AND(P43&gt;0,P44&lt;0),ROUNDDOWN(-P43/(P44-P43)*12,0)+0.5),0),12))-S44)</f>
        <v>0</v>
      </c>
      <c r="U44" s="161">
        <f>MAX(0,MIN($R44,IF(AND(Q43&gt;0,Q44&lt;0),ROUNDDOWN(-Q43/(Q44-Q43)*12,0)+0.5,IF(AND(Q44&gt;0,MIN(Q$11:Q43)&gt;=0),12,0)))-SUM(S44:T44))</f>
        <v>0</v>
      </c>
      <c r="V44" s="161">
        <f t="shared" si="6"/>
        <v>12</v>
      </c>
      <c r="W44" s="161">
        <f t="shared" si="14"/>
        <v>0</v>
      </c>
      <c r="X44" s="161">
        <f t="shared" si="15"/>
        <v>0</v>
      </c>
      <c r="Y44" s="161">
        <f t="shared" si="7"/>
        <v>0</v>
      </c>
      <c r="Z44" s="161">
        <f t="shared" si="16"/>
        <v>0</v>
      </c>
      <c r="AA44" s="161">
        <f t="shared" si="8"/>
        <v>0</v>
      </c>
      <c r="AB44" s="161">
        <f t="shared" si="17"/>
        <v>0</v>
      </c>
      <c r="AC44" s="161">
        <f t="shared" si="9"/>
        <v>0</v>
      </c>
      <c r="AD44" s="161">
        <f t="shared" si="9"/>
        <v>0</v>
      </c>
      <c r="AE44" s="161">
        <f t="shared" si="9"/>
        <v>0</v>
      </c>
      <c r="AF44" s="161">
        <f t="shared" si="18"/>
        <v>0</v>
      </c>
      <c r="AG44" s="161">
        <f>IF(A44=Abandonment!$B$4,-W44,0)</f>
        <v>0</v>
      </c>
      <c r="AH44" s="161">
        <f t="shared" si="19"/>
        <v>0</v>
      </c>
      <c r="AI44" s="161">
        <f>MIN(AH44,MAX(0,$AL$3-SUM(AI45:AI$52)))</f>
        <v>0</v>
      </c>
      <c r="AJ44" s="161">
        <f t="shared" si="22"/>
        <v>0</v>
      </c>
      <c r="AK44" s="161">
        <f t="shared" si="10"/>
        <v>0</v>
      </c>
      <c r="AL44" s="161">
        <f>IF($A44=Abandonment!$B$4,LossRec,0)</f>
        <v>0</v>
      </c>
      <c r="AM44" s="161">
        <f t="shared" si="11"/>
        <v>0</v>
      </c>
      <c r="AN44" s="93"/>
      <c r="AO44" s="93"/>
      <c r="AP44" s="93"/>
      <c r="AQ44" s="246">
        <f t="shared" si="21"/>
        <v>44044</v>
      </c>
      <c r="AR44" s="246">
        <f>IF(AND(O44&lt;0,O43&gt;0,AR43=0),DATE($A44,MAX(12-$R44,0)+SUM($S44:S44)+0.5,1),AR43)</f>
        <v>44136</v>
      </c>
      <c r="AS44" s="246">
        <f>IF(AND(P44&lt;0,P43&gt;0,AS43=0),DATE($A44,MAX(12-$R44,0)+SUM($S44:T44)+0.5,1),AS43)</f>
        <v>44256</v>
      </c>
      <c r="AT44" s="246">
        <f>IF(AND(Q44&lt;0,Q43&gt;0,AT43=0),DATE($A44,MAX(12-$R44,0)+SUM($S44:U44)+0.5,1),AT43)</f>
        <v>44470</v>
      </c>
      <c r="AU44" s="93"/>
      <c r="AV44" s="93"/>
      <c r="AW44" s="93"/>
      <c r="AX44" s="93"/>
      <c r="AY44" s="93"/>
      <c r="AZ44" s="93"/>
      <c r="BA44" s="93"/>
      <c r="BB44" s="93"/>
    </row>
    <row r="45" spans="1:54" x14ac:dyDescent="0.3">
      <c r="A45" s="141">
        <f t="shared" si="20"/>
        <v>2045</v>
      </c>
      <c r="B45" s="161">
        <f>'Success Cash Flow'!E43</f>
        <v>0</v>
      </c>
      <c r="C45" s="161">
        <f>IF(noteco=Lists!A$84,0,Exploration!AB68)</f>
        <v>0</v>
      </c>
      <c r="D45" s="161">
        <f>Development!BL124</f>
        <v>0</v>
      </c>
      <c r="E45" s="161">
        <f>Operations!S52</f>
        <v>0</v>
      </c>
      <c r="F45" s="161">
        <f>Abandonment!G49</f>
        <v>0</v>
      </c>
      <c r="G45" s="161">
        <f t="shared" si="3"/>
        <v>0</v>
      </c>
      <c r="H45" s="161">
        <f t="shared" si="12"/>
        <v>0</v>
      </c>
      <c r="I45" s="161">
        <f t="shared" si="13"/>
        <v>-29920.33381206742</v>
      </c>
      <c r="J45" s="161">
        <f>IF(A45&lt;Development!$C$6,0,IF(A45=Development!C$6,Development!$D$6,IF(I45&lt;0,IF(I44&gt;0,ROUNDDOWN(-I44/(I45-I44)*12,0),0),12)))</f>
        <v>0</v>
      </c>
      <c r="K45" s="161">
        <f>IF(OR(A45&lt;Development!$C$6,A45&gt;Abandonment!$B$4),0,(J45*I44-(I44-I45)*J45*(J45+1)/24)/12)</f>
        <v>0</v>
      </c>
      <c r="L45" s="161">
        <f>$K45*(L$7+'Selected Economics'!$G44)</f>
        <v>0</v>
      </c>
      <c r="M45" s="161">
        <f>$K45*(M$7+'Selected Economics'!$G44)</f>
        <v>0</v>
      </c>
      <c r="N45" s="161">
        <f>$K45*(N$7+'Selected Economics'!$G44)</f>
        <v>0</v>
      </c>
      <c r="O45" s="161">
        <f t="shared" ref="O45:Q51" si="24">$H45-$B45+L45+O44</f>
        <v>-29268.450957124485</v>
      </c>
      <c r="P45" s="161">
        <f t="shared" si="24"/>
        <v>-27964.685247238616</v>
      </c>
      <c r="Q45" s="161">
        <f t="shared" si="24"/>
        <v>-25791.742397428832</v>
      </c>
      <c r="R45" s="161">
        <f>IF(A45=Production!$B$4,Production!$B$5,IF(A45&lt;Production!$B$4,0,12+R44))</f>
        <v>335</v>
      </c>
      <c r="S45" s="161">
        <f>MIN($R45,IF(O45&lt;0,MAX(IF(Input!$B$33="Yes",MIN(12,24-R44),0),IF(AND(O44&gt;0,O45&lt;0),ROUNDDOWN(-O44/(O45-O44)*12,0)+0.5),0),12))</f>
        <v>0</v>
      </c>
      <c r="T45" s="161">
        <f>MAX(0,MIN($R45,IF(P45&lt;0,MAX(IF(Input!$B$33="Yes",MIN(12,36-R44),0),IF(AND(P44&gt;0,P45&lt;0),ROUNDDOWN(-P44/(P45-P44)*12,0)+0.5),0),12))-S45)</f>
        <v>0</v>
      </c>
      <c r="U45" s="161">
        <f>MAX(0,MIN($R45,IF(AND(Q44&gt;0,Q45&lt;0),ROUNDDOWN(-Q44/(Q45-Q44)*12,0)+0.5,IF(AND(Q45&gt;0,MIN(Q$11:Q44)&gt;=0),12,0)))-SUM(S45:T45))</f>
        <v>0</v>
      </c>
      <c r="V45" s="161">
        <f t="shared" si="6"/>
        <v>12</v>
      </c>
      <c r="W45" s="161">
        <f t="shared" si="14"/>
        <v>0</v>
      </c>
      <c r="X45" s="161">
        <f t="shared" si="15"/>
        <v>0</v>
      </c>
      <c r="Y45" s="161">
        <f t="shared" si="7"/>
        <v>0</v>
      </c>
      <c r="Z45" s="161">
        <f t="shared" si="16"/>
        <v>0</v>
      </c>
      <c r="AA45" s="161">
        <f t="shared" si="8"/>
        <v>0</v>
      </c>
      <c r="AB45" s="161">
        <f t="shared" si="17"/>
        <v>0</v>
      </c>
      <c r="AC45" s="161">
        <f t="shared" si="9"/>
        <v>0</v>
      </c>
      <c r="AD45" s="161">
        <f t="shared" si="9"/>
        <v>0</v>
      </c>
      <c r="AE45" s="161">
        <f t="shared" si="9"/>
        <v>0</v>
      </c>
      <c r="AF45" s="161">
        <f t="shared" si="18"/>
        <v>0</v>
      </c>
      <c r="AG45" s="161">
        <f>IF(A45=Abandonment!$B$4,-W45,0)</f>
        <v>0</v>
      </c>
      <c r="AH45" s="161">
        <f t="shared" si="19"/>
        <v>0</v>
      </c>
      <c r="AI45" s="161">
        <f>MIN(AH45,MAX(0,$AL$3-SUM(AI46:AI$52)))</f>
        <v>0</v>
      </c>
      <c r="AJ45" s="161">
        <f t="shared" si="22"/>
        <v>0</v>
      </c>
      <c r="AK45" s="161">
        <f t="shared" si="10"/>
        <v>0</v>
      </c>
      <c r="AL45" s="161">
        <f>IF($A45=Abandonment!$B$4,LossRec,0)</f>
        <v>0</v>
      </c>
      <c r="AM45" s="161">
        <f t="shared" si="11"/>
        <v>0</v>
      </c>
      <c r="AN45" s="93"/>
      <c r="AO45" s="93"/>
      <c r="AP45" s="93"/>
      <c r="AQ45" s="246">
        <f t="shared" si="21"/>
        <v>44044</v>
      </c>
      <c r="AR45" s="246">
        <f>IF(AND(O45&lt;0,O44&gt;0,AR44=0),DATE($A45,MAX(12-$R45,0)+SUM($S45:S45)+0.5,1),AR44)</f>
        <v>44136</v>
      </c>
      <c r="AS45" s="246">
        <f>IF(AND(P45&lt;0,P44&gt;0,AS44=0),DATE($A45,MAX(12-$R45,0)+SUM($S45:T45)+0.5,1),AS44)</f>
        <v>44256</v>
      </c>
      <c r="AT45" s="246">
        <f>IF(AND(Q45&lt;0,Q44&gt;0,AT44=0),DATE($A45,MAX(12-$R45,0)+SUM($S45:U45)+0.5,1),AT44)</f>
        <v>44470</v>
      </c>
      <c r="AU45" s="93"/>
      <c r="AV45" s="93"/>
      <c r="AW45" s="93"/>
      <c r="AX45" s="93"/>
      <c r="AY45" s="93"/>
      <c r="AZ45" s="93"/>
      <c r="BA45" s="93"/>
      <c r="BB45" s="93"/>
    </row>
    <row r="46" spans="1:54" x14ac:dyDescent="0.3">
      <c r="A46" s="141">
        <f t="shared" si="20"/>
        <v>2046</v>
      </c>
      <c r="B46" s="161">
        <f>'Success Cash Flow'!E44</f>
        <v>0</v>
      </c>
      <c r="C46" s="161">
        <f>IF(noteco=Lists!A$84,0,Exploration!AB69)</f>
        <v>0</v>
      </c>
      <c r="D46" s="161">
        <f>Development!BL125</f>
        <v>0</v>
      </c>
      <c r="E46" s="161">
        <f>Operations!S53</f>
        <v>0</v>
      </c>
      <c r="F46" s="161">
        <f>Abandonment!G50</f>
        <v>0</v>
      </c>
      <c r="G46" s="161">
        <f t="shared" si="3"/>
        <v>0</v>
      </c>
      <c r="H46" s="161">
        <f t="shared" si="12"/>
        <v>0</v>
      </c>
      <c r="I46" s="161">
        <f t="shared" si="13"/>
        <v>-29920.33381206742</v>
      </c>
      <c r="J46" s="161">
        <f>IF(A46&lt;Development!$C$6,0,IF(A46=Development!C$6,Development!$D$6,IF(I46&lt;0,IF(I45&gt;0,ROUNDDOWN(-I45/(I46-I45)*12,0),0),12)))</f>
        <v>0</v>
      </c>
      <c r="K46" s="161">
        <f>IF(OR(A46&lt;Development!$C$6,A46&gt;Abandonment!$B$4),0,(J46*I45-(I45-I46)*J46*(J46+1)/24)/12)</f>
        <v>0</v>
      </c>
      <c r="L46" s="161">
        <f>$K46*(L$7+'Selected Economics'!$G45)</f>
        <v>0</v>
      </c>
      <c r="M46" s="161">
        <f>$K46*(M$7+'Selected Economics'!$G45)</f>
        <v>0</v>
      </c>
      <c r="N46" s="161">
        <f>$K46*(N$7+'Selected Economics'!$G45)</f>
        <v>0</v>
      </c>
      <c r="O46" s="161">
        <f t="shared" si="24"/>
        <v>-29268.450957124485</v>
      </c>
      <c r="P46" s="161">
        <f t="shared" si="24"/>
        <v>-27964.685247238616</v>
      </c>
      <c r="Q46" s="161">
        <f t="shared" si="24"/>
        <v>-25791.742397428832</v>
      </c>
      <c r="R46" s="161">
        <f>IF(A46=Production!$B$4,Production!$B$5,IF(A46&lt;Production!$B$4,0,12+R45))</f>
        <v>347</v>
      </c>
      <c r="S46" s="161">
        <f>MIN($R46,IF(O46&lt;0,MAX(IF(Input!$B$33="Yes",MIN(12,24-R45),0),IF(AND(O45&gt;0,O46&lt;0),ROUNDDOWN(-O45/(O46-O45)*12,0)+0.5),0),12))</f>
        <v>0</v>
      </c>
      <c r="T46" s="161">
        <f>MAX(0,MIN($R46,IF(P46&lt;0,MAX(IF(Input!$B$33="Yes",MIN(12,36-R45),0),IF(AND(P45&gt;0,P46&lt;0),ROUNDDOWN(-P45/(P46-P45)*12,0)+0.5),0),12))-S46)</f>
        <v>0</v>
      </c>
      <c r="U46" s="161">
        <f>MAX(0,MIN($R46,IF(AND(Q45&gt;0,Q46&lt;0),ROUNDDOWN(-Q45/(Q46-Q45)*12,0)+0.5,IF(AND(Q46&gt;0,MIN(Q$11:Q45)&gt;=0),12,0)))-SUM(S46:T46))</f>
        <v>0</v>
      </c>
      <c r="V46" s="161">
        <f t="shared" si="6"/>
        <v>12</v>
      </c>
      <c r="W46" s="161">
        <f t="shared" si="14"/>
        <v>0</v>
      </c>
      <c r="X46" s="161">
        <f t="shared" si="15"/>
        <v>0</v>
      </c>
      <c r="Y46" s="161">
        <f t="shared" si="7"/>
        <v>0</v>
      </c>
      <c r="Z46" s="161">
        <f t="shared" si="16"/>
        <v>0</v>
      </c>
      <c r="AA46" s="161">
        <f t="shared" si="8"/>
        <v>0</v>
      </c>
      <c r="AB46" s="161">
        <f t="shared" si="17"/>
        <v>0</v>
      </c>
      <c r="AC46" s="161">
        <f t="shared" si="9"/>
        <v>0</v>
      </c>
      <c r="AD46" s="161">
        <f t="shared" si="9"/>
        <v>0</v>
      </c>
      <c r="AE46" s="161">
        <f t="shared" si="9"/>
        <v>0</v>
      </c>
      <c r="AF46" s="161">
        <f t="shared" si="18"/>
        <v>0</v>
      </c>
      <c r="AG46" s="161">
        <f>IF(A46=Abandonment!$B$4,-W46,0)</f>
        <v>0</v>
      </c>
      <c r="AH46" s="161">
        <f t="shared" si="19"/>
        <v>0</v>
      </c>
      <c r="AI46" s="161">
        <f>MIN(AH46,MAX(0,$AL$3-SUM(AI47:AI$52)))</f>
        <v>0</v>
      </c>
      <c r="AJ46" s="161">
        <f t="shared" si="22"/>
        <v>0</v>
      </c>
      <c r="AK46" s="161">
        <f t="shared" si="10"/>
        <v>0</v>
      </c>
      <c r="AL46" s="161">
        <f>IF($A46=Abandonment!$B$4,LossRec,0)</f>
        <v>0</v>
      </c>
      <c r="AM46" s="161">
        <f t="shared" si="11"/>
        <v>0</v>
      </c>
      <c r="AN46" s="93"/>
      <c r="AO46" s="93"/>
      <c r="AP46" s="93"/>
      <c r="AQ46" s="246">
        <f t="shared" si="21"/>
        <v>44044</v>
      </c>
      <c r="AR46" s="246">
        <f>IF(AND(O46&lt;0,O45&gt;0,AR45=0),DATE($A46,MAX(12-$R46,0)+SUM($S46:S46)+0.5,1),AR45)</f>
        <v>44136</v>
      </c>
      <c r="AS46" s="246">
        <f>IF(AND(P46&lt;0,P45&gt;0,AS45=0),DATE($A46,MAX(12-$R46,0)+SUM($S46:T46)+0.5,1),AS45)</f>
        <v>44256</v>
      </c>
      <c r="AT46" s="246">
        <f>IF(AND(Q46&lt;0,Q45&gt;0,AT45=0),DATE($A46,MAX(12-$R46,0)+SUM($S46:U46)+0.5,1),AT45)</f>
        <v>44470</v>
      </c>
      <c r="AU46" s="93"/>
      <c r="AV46" s="93"/>
      <c r="AW46" s="93"/>
      <c r="AX46" s="93"/>
      <c r="AY46" s="93"/>
      <c r="AZ46" s="93"/>
      <c r="BA46" s="93"/>
      <c r="BB46" s="93"/>
    </row>
    <row r="47" spans="1:54" x14ac:dyDescent="0.3">
      <c r="A47" s="141">
        <f t="shared" si="20"/>
        <v>2047</v>
      </c>
      <c r="B47" s="161">
        <f>'Success Cash Flow'!E45</f>
        <v>0</v>
      </c>
      <c r="C47" s="161">
        <f>IF(noteco=Lists!A$84,0,Exploration!AB70)</f>
        <v>0</v>
      </c>
      <c r="D47" s="161">
        <f>Development!BL126</f>
        <v>0</v>
      </c>
      <c r="E47" s="161">
        <f>Operations!S54</f>
        <v>0</v>
      </c>
      <c r="F47" s="161">
        <f>Abandonment!G51</f>
        <v>0</v>
      </c>
      <c r="G47" s="161">
        <f t="shared" si="3"/>
        <v>0</v>
      </c>
      <c r="H47" s="161">
        <f t="shared" si="12"/>
        <v>0</v>
      </c>
      <c r="I47" s="161">
        <f t="shared" si="13"/>
        <v>-29920.33381206742</v>
      </c>
      <c r="J47" s="161">
        <f>IF(A47&lt;Development!$C$6,0,IF(A47=Development!C$6,Development!$D$6,IF(I47&lt;0,IF(I46&gt;0,ROUNDDOWN(-I46/(I47-I46)*12,0),0),12)))</f>
        <v>0</v>
      </c>
      <c r="K47" s="161">
        <f>IF(OR(A47&lt;Development!$C$6,A47&gt;Abandonment!$B$4),0,(J47*I46-(I46-I47)*J47*(J47+1)/24)/12)</f>
        <v>0</v>
      </c>
      <c r="L47" s="161">
        <f>$K47*(L$7+'Selected Economics'!$G46)</f>
        <v>0</v>
      </c>
      <c r="M47" s="161">
        <f>$K47*(M$7+'Selected Economics'!$G46)</f>
        <v>0</v>
      </c>
      <c r="N47" s="161">
        <f>$K47*(N$7+'Selected Economics'!$G46)</f>
        <v>0</v>
      </c>
      <c r="O47" s="161">
        <f t="shared" si="24"/>
        <v>-29268.450957124485</v>
      </c>
      <c r="P47" s="161">
        <f t="shared" si="24"/>
        <v>-27964.685247238616</v>
      </c>
      <c r="Q47" s="161">
        <f t="shared" si="24"/>
        <v>-25791.742397428832</v>
      </c>
      <c r="R47" s="161">
        <f>IF(A47=Production!$B$4,Production!$B$5,IF(A47&lt;Production!$B$4,0,12+R46))</f>
        <v>359</v>
      </c>
      <c r="S47" s="161">
        <f>MIN($R47,IF(O47&lt;0,MAX(IF(Input!$B$33="Yes",MIN(12,24-R46),0),IF(AND(O46&gt;0,O47&lt;0),ROUNDDOWN(-O46/(O47-O46)*12,0)+0.5),0),12))</f>
        <v>0</v>
      </c>
      <c r="T47" s="161">
        <f>MAX(0,MIN($R47,IF(P47&lt;0,MAX(IF(Input!$B$33="Yes",MIN(12,36-R46),0),IF(AND(P46&gt;0,P47&lt;0),ROUNDDOWN(-P46/(P47-P46)*12,0)+0.5),0),12))-S47)</f>
        <v>0</v>
      </c>
      <c r="U47" s="161">
        <f>MAX(0,MIN($R47,IF(AND(Q46&gt;0,Q47&lt;0),ROUNDDOWN(-Q46/(Q47-Q46)*12,0)+0.5,IF(AND(Q47&gt;0,MIN(Q$11:Q46)&gt;=0),12,0)))-SUM(S47:T47))</f>
        <v>0</v>
      </c>
      <c r="V47" s="161">
        <f t="shared" si="6"/>
        <v>12</v>
      </c>
      <c r="W47" s="161">
        <f t="shared" si="14"/>
        <v>0</v>
      </c>
      <c r="X47" s="161">
        <f t="shared" si="15"/>
        <v>0</v>
      </c>
      <c r="Y47" s="161">
        <f t="shared" si="7"/>
        <v>0</v>
      </c>
      <c r="Z47" s="161">
        <f t="shared" si="16"/>
        <v>0</v>
      </c>
      <c r="AA47" s="161">
        <f t="shared" si="8"/>
        <v>0</v>
      </c>
      <c r="AB47" s="161">
        <f t="shared" si="17"/>
        <v>0</v>
      </c>
      <c r="AC47" s="161">
        <f t="shared" si="9"/>
        <v>0</v>
      </c>
      <c r="AD47" s="161">
        <f t="shared" si="9"/>
        <v>0</v>
      </c>
      <c r="AE47" s="161">
        <f t="shared" si="9"/>
        <v>0</v>
      </c>
      <c r="AF47" s="161">
        <f t="shared" si="18"/>
        <v>0</v>
      </c>
      <c r="AG47" s="161">
        <f>IF(A47=Abandonment!$B$4,-W47,0)</f>
        <v>0</v>
      </c>
      <c r="AH47" s="161">
        <f t="shared" si="19"/>
        <v>0</v>
      </c>
      <c r="AI47" s="161">
        <f>MIN(AH47,MAX(0,$AL$3-SUM(AI48:AI$52)))</f>
        <v>0</v>
      </c>
      <c r="AJ47" s="161">
        <f t="shared" si="22"/>
        <v>0</v>
      </c>
      <c r="AK47" s="161">
        <f t="shared" si="10"/>
        <v>0</v>
      </c>
      <c r="AL47" s="161">
        <f>IF($A47=Abandonment!$B$4,LossRec,0)</f>
        <v>0</v>
      </c>
      <c r="AM47" s="161">
        <f t="shared" si="11"/>
        <v>0</v>
      </c>
      <c r="AN47" s="93"/>
      <c r="AO47" s="93"/>
      <c r="AP47" s="93"/>
      <c r="AQ47" s="246">
        <f t="shared" si="21"/>
        <v>44044</v>
      </c>
      <c r="AR47" s="246">
        <f>IF(AND(O47&lt;0,O46&gt;0,AR46=0),DATE($A47,MAX(12-$R47,0)+SUM($S47:S47)+0.5,1),AR46)</f>
        <v>44136</v>
      </c>
      <c r="AS47" s="246">
        <f>IF(AND(P47&lt;0,P46&gt;0,AS46=0),DATE($A47,MAX(12-$R47,0)+SUM($S47:T47)+0.5,1),AS46)</f>
        <v>44256</v>
      </c>
      <c r="AT47" s="246">
        <f>IF(AND(Q47&lt;0,Q46&gt;0,AT46=0),DATE($A47,MAX(12-$R47,0)+SUM($S47:U47)+0.5,1),AT46)</f>
        <v>44470</v>
      </c>
      <c r="AU47" s="93"/>
      <c r="AV47" s="93"/>
      <c r="AW47" s="93"/>
      <c r="AX47" s="93"/>
      <c r="AY47" s="93"/>
      <c r="AZ47" s="93"/>
      <c r="BA47" s="93"/>
      <c r="BB47" s="93"/>
    </row>
    <row r="48" spans="1:54" x14ac:dyDescent="0.3">
      <c r="A48" s="141">
        <f t="shared" si="20"/>
        <v>2048</v>
      </c>
      <c r="B48" s="161">
        <f>'Success Cash Flow'!E46</f>
        <v>0</v>
      </c>
      <c r="C48" s="161">
        <f>IF(noteco=Lists!A$84,0,Exploration!AB71)</f>
        <v>0</v>
      </c>
      <c r="D48" s="161">
        <f>Development!BL127</f>
        <v>0</v>
      </c>
      <c r="E48" s="161">
        <f>Operations!S55</f>
        <v>0</v>
      </c>
      <c r="F48" s="161">
        <f>Abandonment!G52</f>
        <v>0</v>
      </c>
      <c r="G48" s="161">
        <f t="shared" si="3"/>
        <v>0</v>
      </c>
      <c r="H48" s="161">
        <f t="shared" si="12"/>
        <v>0</v>
      </c>
      <c r="I48" s="161">
        <f t="shared" si="13"/>
        <v>-29920.33381206742</v>
      </c>
      <c r="J48" s="161">
        <f>IF(A48&lt;Development!$C$6,0,IF(A48=Development!C$6,Development!$D$6,IF(I48&lt;0,IF(I47&gt;0,ROUNDDOWN(-I47/(I48-I47)*12,0),0),12)))</f>
        <v>0</v>
      </c>
      <c r="K48" s="161">
        <f>IF(OR(A48&lt;Development!$C$6,A48&gt;Abandonment!$B$4),0,(J48*I47-(I47-I48)*J48*(J48+1)/24)/12)</f>
        <v>0</v>
      </c>
      <c r="L48" s="161">
        <f>$K48*(L$7+'Selected Economics'!$G47)</f>
        <v>0</v>
      </c>
      <c r="M48" s="161">
        <f>$K48*(M$7+'Selected Economics'!$G47)</f>
        <v>0</v>
      </c>
      <c r="N48" s="161">
        <f>$K48*(N$7+'Selected Economics'!$G47)</f>
        <v>0</v>
      </c>
      <c r="O48" s="161">
        <f t="shared" si="24"/>
        <v>-29268.450957124485</v>
      </c>
      <c r="P48" s="161">
        <f t="shared" si="24"/>
        <v>-27964.685247238616</v>
      </c>
      <c r="Q48" s="161">
        <f t="shared" si="24"/>
        <v>-25791.742397428832</v>
      </c>
      <c r="R48" s="161">
        <f>IF(A48=Production!$B$4,Production!$B$5,IF(A48&lt;Production!$B$4,0,12+R47))</f>
        <v>371</v>
      </c>
      <c r="S48" s="161">
        <f>MIN($R48,IF(O48&lt;0,MAX(IF(Input!$B$33="Yes",MIN(12,24-R47),0),IF(AND(O47&gt;0,O48&lt;0),ROUNDDOWN(-O47/(O48-O47)*12,0)+0.5),0),12))</f>
        <v>0</v>
      </c>
      <c r="T48" s="161">
        <f>MAX(0,MIN($R48,IF(P48&lt;0,MAX(IF(Input!$B$33="Yes",MIN(12,36-R47),0),IF(AND(P47&gt;0,P48&lt;0),ROUNDDOWN(-P47/(P48-P47)*12,0)+0.5),0),12))-S48)</f>
        <v>0</v>
      </c>
      <c r="U48" s="161">
        <f>MAX(0,MIN($R48,IF(AND(Q47&gt;0,Q48&lt;0),ROUNDDOWN(-Q47/(Q48-Q47)*12,0)+0.5,IF(AND(Q48&gt;0,MIN(Q$11:Q47)&gt;=0),12,0)))-SUM(S48:T48))</f>
        <v>0</v>
      </c>
      <c r="V48" s="161">
        <f t="shared" si="6"/>
        <v>12</v>
      </c>
      <c r="W48" s="161">
        <f t="shared" si="14"/>
        <v>0</v>
      </c>
      <c r="X48" s="161">
        <f t="shared" si="15"/>
        <v>0</v>
      </c>
      <c r="Y48" s="161">
        <f t="shared" si="7"/>
        <v>0</v>
      </c>
      <c r="Z48" s="161">
        <f t="shared" si="16"/>
        <v>0</v>
      </c>
      <c r="AA48" s="161">
        <f t="shared" si="8"/>
        <v>0</v>
      </c>
      <c r="AB48" s="161">
        <f t="shared" si="17"/>
        <v>0</v>
      </c>
      <c r="AC48" s="161">
        <f t="shared" si="9"/>
        <v>0</v>
      </c>
      <c r="AD48" s="161">
        <f t="shared" si="9"/>
        <v>0</v>
      </c>
      <c r="AE48" s="161">
        <f t="shared" si="9"/>
        <v>0</v>
      </c>
      <c r="AF48" s="161">
        <f t="shared" si="18"/>
        <v>0</v>
      </c>
      <c r="AG48" s="161">
        <f>IF(A48=Abandonment!$B$4,-W48,0)</f>
        <v>0</v>
      </c>
      <c r="AH48" s="161">
        <f t="shared" si="19"/>
        <v>0</v>
      </c>
      <c r="AI48" s="161">
        <f>MIN(AH48,MAX(0,$AL$3-SUM(AI49:AI$52)))</f>
        <v>0</v>
      </c>
      <c r="AJ48" s="161">
        <f t="shared" si="22"/>
        <v>0</v>
      </c>
      <c r="AK48" s="161">
        <f t="shared" si="10"/>
        <v>0</v>
      </c>
      <c r="AL48" s="161">
        <f>IF($A48=Abandonment!$B$4,LossRec,0)</f>
        <v>0</v>
      </c>
      <c r="AM48" s="161">
        <f t="shared" si="11"/>
        <v>0</v>
      </c>
      <c r="AN48" s="93"/>
      <c r="AO48" s="93"/>
      <c r="AP48" s="93"/>
      <c r="AQ48" s="246">
        <f t="shared" si="21"/>
        <v>44044</v>
      </c>
      <c r="AR48" s="246">
        <f>IF(AND(O48&lt;0,O47&gt;0,AR47=0),DATE($A48,MAX(12-$R48,0)+SUM($S48:S48)+0.5,1),AR47)</f>
        <v>44136</v>
      </c>
      <c r="AS48" s="246">
        <f>IF(AND(P48&lt;0,P47&gt;0,AS47=0),DATE($A48,MAX(12-$R48,0)+SUM($S48:T48)+0.5,1),AS47)</f>
        <v>44256</v>
      </c>
      <c r="AT48" s="246">
        <f>IF(AND(Q48&lt;0,Q47&gt;0,AT47=0),DATE($A48,MAX(12-$R48,0)+SUM($S48:U48)+0.5,1),AT47)</f>
        <v>44470</v>
      </c>
      <c r="AU48" s="93"/>
      <c r="AV48" s="93"/>
      <c r="AW48" s="93"/>
      <c r="AX48" s="93"/>
      <c r="AY48" s="93"/>
      <c r="AZ48" s="93"/>
      <c r="BA48" s="93"/>
      <c r="BB48" s="93"/>
    </row>
    <row r="49" spans="1:54" x14ac:dyDescent="0.3">
      <c r="A49" s="141">
        <f t="shared" si="20"/>
        <v>2049</v>
      </c>
      <c r="B49" s="161">
        <f>'Success Cash Flow'!E47</f>
        <v>0</v>
      </c>
      <c r="C49" s="161">
        <f>IF(noteco=Lists!A$84,0,Exploration!AB72)</f>
        <v>0</v>
      </c>
      <c r="D49" s="161">
        <f>Development!BL128</f>
        <v>0</v>
      </c>
      <c r="E49" s="161">
        <f>Operations!S56</f>
        <v>0</v>
      </c>
      <c r="F49" s="161">
        <f>Abandonment!G53</f>
        <v>0</v>
      </c>
      <c r="G49" s="161">
        <f t="shared" si="3"/>
        <v>0</v>
      </c>
      <c r="H49" s="161">
        <f t="shared" si="12"/>
        <v>0</v>
      </c>
      <c r="I49" s="161">
        <f t="shared" si="13"/>
        <v>-29920.33381206742</v>
      </c>
      <c r="J49" s="161">
        <f>IF(A49&lt;Development!$C$6,0,IF(A49=Development!C$6,Development!$D$6,IF(I49&lt;0,IF(I48&gt;0,ROUNDDOWN(-I48/(I49-I48)*12,0),0),12)))</f>
        <v>0</v>
      </c>
      <c r="K49" s="161">
        <f>IF(OR(A49&lt;Development!$C$6,A49&gt;Abandonment!$B$4),0,(J49*I48-(I48-I49)*J49*(J49+1)/24)/12)</f>
        <v>0</v>
      </c>
      <c r="L49" s="161">
        <f>$K49*(L$7+'Selected Economics'!$G48)</f>
        <v>0</v>
      </c>
      <c r="M49" s="161">
        <f>$K49*(M$7+'Selected Economics'!$G48)</f>
        <v>0</v>
      </c>
      <c r="N49" s="161">
        <f>$K49*(N$7+'Selected Economics'!$G48)</f>
        <v>0</v>
      </c>
      <c r="O49" s="161">
        <f t="shared" si="24"/>
        <v>-29268.450957124485</v>
      </c>
      <c r="P49" s="161">
        <f t="shared" si="24"/>
        <v>-27964.685247238616</v>
      </c>
      <c r="Q49" s="161">
        <f t="shared" si="24"/>
        <v>-25791.742397428832</v>
      </c>
      <c r="R49" s="161">
        <f>IF(A49=Production!$B$4,Production!$B$5,IF(A49&lt;Production!$B$4,0,12+R48))</f>
        <v>383</v>
      </c>
      <c r="S49" s="161">
        <f>MIN($R49,IF(O49&lt;0,MAX(IF(Input!$B$33="Yes",MIN(12,24-R48),0),IF(AND(O48&gt;0,O49&lt;0),ROUNDDOWN(-O48/(O49-O48)*12,0)+0.5),0),12))</f>
        <v>0</v>
      </c>
      <c r="T49" s="161">
        <f>MAX(0,MIN($R49,IF(P49&lt;0,MAX(IF(Input!$B$33="Yes",MIN(12,36-R48),0),IF(AND(P48&gt;0,P49&lt;0),ROUNDDOWN(-P48/(P49-P48)*12,0)+0.5),0),12))-S49)</f>
        <v>0</v>
      </c>
      <c r="U49" s="161">
        <f>MAX(0,MIN($R49,IF(AND(Q48&gt;0,Q49&lt;0),ROUNDDOWN(-Q48/(Q49-Q48)*12,0)+0.5,IF(AND(Q49&gt;0,MIN(Q$11:Q48)&gt;=0),12,0)))-SUM(S49:T49))</f>
        <v>0</v>
      </c>
      <c r="V49" s="161">
        <f t="shared" si="6"/>
        <v>12</v>
      </c>
      <c r="W49" s="161">
        <f t="shared" si="14"/>
        <v>0</v>
      </c>
      <c r="X49" s="161">
        <f t="shared" si="15"/>
        <v>0</v>
      </c>
      <c r="Y49" s="161">
        <f t="shared" si="7"/>
        <v>0</v>
      </c>
      <c r="Z49" s="161">
        <f t="shared" si="16"/>
        <v>0</v>
      </c>
      <c r="AA49" s="161">
        <f t="shared" si="8"/>
        <v>0</v>
      </c>
      <c r="AB49" s="161">
        <f t="shared" si="17"/>
        <v>0</v>
      </c>
      <c r="AC49" s="161">
        <f t="shared" si="9"/>
        <v>0</v>
      </c>
      <c r="AD49" s="161">
        <f t="shared" si="9"/>
        <v>0</v>
      </c>
      <c r="AE49" s="161">
        <f t="shared" si="9"/>
        <v>0</v>
      </c>
      <c r="AF49" s="161">
        <f t="shared" si="18"/>
        <v>0</v>
      </c>
      <c r="AG49" s="161">
        <f>IF(A49=Abandonment!$B$4,-W49,0)</f>
        <v>0</v>
      </c>
      <c r="AH49" s="161">
        <f t="shared" si="19"/>
        <v>0</v>
      </c>
      <c r="AI49" s="161">
        <f>MIN(AH49,MAX(0,$AL$3-SUM(AI50:AI$52)))</f>
        <v>0</v>
      </c>
      <c r="AJ49" s="161">
        <f t="shared" si="22"/>
        <v>0</v>
      </c>
      <c r="AK49" s="161">
        <f t="shared" si="10"/>
        <v>0</v>
      </c>
      <c r="AL49" s="161">
        <f>IF($A49=Abandonment!$B$4,LossRec,0)</f>
        <v>0</v>
      </c>
      <c r="AM49" s="161">
        <f t="shared" si="11"/>
        <v>0</v>
      </c>
      <c r="AN49" s="93"/>
      <c r="AO49" s="93"/>
      <c r="AP49" s="93"/>
      <c r="AQ49" s="246">
        <f t="shared" si="21"/>
        <v>44044</v>
      </c>
      <c r="AR49" s="246">
        <f>IF(AND(O49&lt;0,O48&gt;0,AR48=0),DATE($A49,MAX(12-$R49,0)+SUM($S49:S49)+0.5,1),AR48)</f>
        <v>44136</v>
      </c>
      <c r="AS49" s="246">
        <f>IF(AND(P49&lt;0,P48&gt;0,AS48=0),DATE($A49,MAX(12-$R49,0)+SUM($S49:T49)+0.5,1),AS48)</f>
        <v>44256</v>
      </c>
      <c r="AT49" s="246">
        <f>IF(AND(Q49&lt;0,Q48&gt;0,AT48=0),DATE($A49,MAX(12-$R49,0)+SUM($S49:U49)+0.5,1),AT48)</f>
        <v>44470</v>
      </c>
      <c r="AU49" s="93"/>
      <c r="AV49" s="93"/>
      <c r="AW49" s="93"/>
      <c r="AX49" s="93"/>
      <c r="AY49" s="93"/>
      <c r="AZ49" s="93"/>
      <c r="BA49" s="93"/>
      <c r="BB49" s="93"/>
    </row>
    <row r="50" spans="1:54" x14ac:dyDescent="0.3">
      <c r="A50" s="141">
        <f t="shared" si="20"/>
        <v>2050</v>
      </c>
      <c r="B50" s="161">
        <f>'Success Cash Flow'!E48</f>
        <v>0</v>
      </c>
      <c r="C50" s="161">
        <f>IF(noteco=Lists!A$84,0,Exploration!AB73)</f>
        <v>0</v>
      </c>
      <c r="D50" s="161">
        <f>Development!BL129</f>
        <v>0</v>
      </c>
      <c r="E50" s="161">
        <f>Operations!S57</f>
        <v>0</v>
      </c>
      <c r="F50" s="161">
        <f>Abandonment!G54</f>
        <v>0</v>
      </c>
      <c r="G50" s="161">
        <f t="shared" si="3"/>
        <v>0</v>
      </c>
      <c r="H50" s="161">
        <f t="shared" si="12"/>
        <v>0</v>
      </c>
      <c r="I50" s="161">
        <f t="shared" si="13"/>
        <v>-29920.33381206742</v>
      </c>
      <c r="J50" s="161">
        <f>IF(A50&lt;Development!$C$6,0,IF(A50=Development!C$6,Development!$D$6,IF(I50&lt;0,IF(I49&gt;0,ROUNDDOWN(-I49/(I50-I49)*12,0),0),12)))</f>
        <v>0</v>
      </c>
      <c r="K50" s="161">
        <f>IF(OR(A50&lt;Development!$C$6,A50&gt;Abandonment!$B$4),0,(J50*I49-(I49-I50)*J50*(J50+1)/24)/12)</f>
        <v>0</v>
      </c>
      <c r="L50" s="161">
        <f>$K50*(L$7+'Selected Economics'!$G49)</f>
        <v>0</v>
      </c>
      <c r="M50" s="161">
        <f>$K50*(M$7+'Selected Economics'!$G49)</f>
        <v>0</v>
      </c>
      <c r="N50" s="161">
        <f>$K50*(N$7+'Selected Economics'!$G49)</f>
        <v>0</v>
      </c>
      <c r="O50" s="161">
        <f t="shared" si="24"/>
        <v>-29268.450957124485</v>
      </c>
      <c r="P50" s="161">
        <f t="shared" si="24"/>
        <v>-27964.685247238616</v>
      </c>
      <c r="Q50" s="161">
        <f t="shared" si="24"/>
        <v>-25791.742397428832</v>
      </c>
      <c r="R50" s="161">
        <f>IF(A50=Production!$B$4,Production!$B$5,IF(A50&lt;Production!$B$4,0,12+R49))</f>
        <v>395</v>
      </c>
      <c r="S50" s="161">
        <f>MIN($R50,IF(O50&lt;0,MAX(IF(Input!$B$33="Yes",MIN(12,24-R49),0),IF(AND(O49&gt;0,O50&lt;0),ROUNDDOWN(-O49/(O50-O49)*12,0)+0.5),0),12))</f>
        <v>0</v>
      </c>
      <c r="T50" s="161">
        <f>MAX(0,MIN($R50,IF(P50&lt;0,MAX(IF(Input!$B$33="Yes",MIN(12,36-R49),0),IF(AND(P49&gt;0,P50&lt;0),ROUNDDOWN(-P49/(P50-P49)*12,0)+0.5),0),12))-S50)</f>
        <v>0</v>
      </c>
      <c r="U50" s="161">
        <f>MAX(0,MIN($R50,IF(AND(Q49&gt;0,Q50&lt;0),ROUNDDOWN(-Q49/(Q50-Q49)*12,0)+0.5,IF(AND(Q50&gt;0,MIN(Q$11:Q49)&gt;=0),12,0)))-SUM(S50:T50))</f>
        <v>0</v>
      </c>
      <c r="V50" s="161">
        <f t="shared" si="6"/>
        <v>12</v>
      </c>
      <c r="W50" s="161">
        <f t="shared" si="14"/>
        <v>0</v>
      </c>
      <c r="X50" s="161">
        <f t="shared" si="15"/>
        <v>0</v>
      </c>
      <c r="Y50" s="161">
        <f t="shared" si="7"/>
        <v>0</v>
      </c>
      <c r="Z50" s="161">
        <f t="shared" si="16"/>
        <v>0</v>
      </c>
      <c r="AA50" s="161">
        <f t="shared" si="8"/>
        <v>0</v>
      </c>
      <c r="AB50" s="161">
        <f t="shared" si="17"/>
        <v>0</v>
      </c>
      <c r="AC50" s="161">
        <f t="shared" si="9"/>
        <v>0</v>
      </c>
      <c r="AD50" s="161">
        <f t="shared" si="9"/>
        <v>0</v>
      </c>
      <c r="AE50" s="161">
        <f t="shared" si="9"/>
        <v>0</v>
      </c>
      <c r="AF50" s="161">
        <f t="shared" si="18"/>
        <v>0</v>
      </c>
      <c r="AG50" s="161">
        <f>IF(A50=Abandonment!$B$4,-W50,0)</f>
        <v>0</v>
      </c>
      <c r="AH50" s="161">
        <f t="shared" si="19"/>
        <v>0</v>
      </c>
      <c r="AI50" s="161">
        <f>MIN(AH50,MAX(0,$AL$3-SUM(AI51:AI$52)))</f>
        <v>0</v>
      </c>
      <c r="AJ50" s="161">
        <f t="shared" si="22"/>
        <v>0</v>
      </c>
      <c r="AK50" s="161">
        <f t="shared" si="10"/>
        <v>0</v>
      </c>
      <c r="AL50" s="161">
        <f>IF($A50=Abandonment!$B$4,LossRec,0)</f>
        <v>0</v>
      </c>
      <c r="AM50" s="161">
        <f t="shared" si="11"/>
        <v>0</v>
      </c>
      <c r="AN50" s="93"/>
      <c r="AO50" s="93"/>
      <c r="AP50" s="93"/>
      <c r="AQ50" s="246">
        <f t="shared" si="21"/>
        <v>44044</v>
      </c>
      <c r="AR50" s="246">
        <f>IF(AND(O50&lt;0,O49&gt;0,AR49=0),DATE($A50,MAX(12-$R50,0)+SUM($S50:S50)+0.5,1),AR49)</f>
        <v>44136</v>
      </c>
      <c r="AS50" s="246">
        <f>IF(AND(P50&lt;0,P49&gt;0,AS49=0),DATE($A50,MAX(12-$R50,0)+SUM($S50:T50)+0.5,1),AS49)</f>
        <v>44256</v>
      </c>
      <c r="AT50" s="246">
        <f>IF(AND(Q50&lt;0,Q49&gt;0,AT49=0),DATE($A50,MAX(12-$R50,0)+SUM($S50:U50)+0.5,1),AT49)</f>
        <v>44470</v>
      </c>
      <c r="AU50" s="93"/>
      <c r="AV50" s="93"/>
      <c r="AW50" s="93"/>
      <c r="AX50" s="93"/>
      <c r="AY50" s="93"/>
      <c r="AZ50" s="93"/>
      <c r="BA50" s="93"/>
      <c r="BB50" s="93"/>
    </row>
    <row r="51" spans="1:54" x14ac:dyDescent="0.3">
      <c r="A51" s="149">
        <f t="shared" si="20"/>
        <v>2051</v>
      </c>
      <c r="B51" s="163">
        <f>'Success Cash Flow'!E49</f>
        <v>0</v>
      </c>
      <c r="C51" s="163">
        <f>IF(noteco=Lists!A$84,0,Exploration!AB74)</f>
        <v>0</v>
      </c>
      <c r="D51" s="163">
        <f>Development!BL130</f>
        <v>0</v>
      </c>
      <c r="E51" s="163">
        <f>Operations!S58</f>
        <v>0</v>
      </c>
      <c r="F51" s="163">
        <f>Abandonment!G55</f>
        <v>0</v>
      </c>
      <c r="G51" s="163">
        <f t="shared" si="3"/>
        <v>0</v>
      </c>
      <c r="H51" s="163">
        <f t="shared" si="12"/>
        <v>0</v>
      </c>
      <c r="I51" s="163">
        <f t="shared" si="13"/>
        <v>-29920.33381206742</v>
      </c>
      <c r="J51" s="163">
        <f>IF(A51&lt;Development!$C$6,0,IF(A51=Development!C$6,Development!$D$6,IF(I51&lt;0,IF(I50&gt;0,ROUNDDOWN(-I50/(I51-I50)*12,0),0),12)))</f>
        <v>0</v>
      </c>
      <c r="K51" s="163">
        <f>IF(OR(A51&lt;Development!$C$6,A51&gt;Abandonment!$B$4),0,(J51*I50-(I50-I51)*J51*(J51+1)/24)/12)</f>
        <v>0</v>
      </c>
      <c r="L51" s="163">
        <f>$K51*(L$7+'Selected Economics'!$G50)</f>
        <v>0</v>
      </c>
      <c r="M51" s="163">
        <f>$K51*(M$7+'Selected Economics'!$G50)</f>
        <v>0</v>
      </c>
      <c r="N51" s="163">
        <f>$K51*(N$7+'Selected Economics'!$G50)</f>
        <v>0</v>
      </c>
      <c r="O51" s="163">
        <f t="shared" si="24"/>
        <v>-29268.450957124485</v>
      </c>
      <c r="P51" s="163">
        <f t="shared" si="24"/>
        <v>-27964.685247238616</v>
      </c>
      <c r="Q51" s="163">
        <f t="shared" si="24"/>
        <v>-25791.742397428832</v>
      </c>
      <c r="R51" s="163">
        <f>IF(A51=Production!$B$4,Production!$B$5,IF(A51&lt;Production!$B$4,0,12+R50))</f>
        <v>407</v>
      </c>
      <c r="S51" s="163">
        <f>MIN($R51,IF(O51&lt;0,MAX(IF(Input!$B$33="Yes",MIN(12,24-R50),0),IF(AND(O50&gt;0,O51&lt;0),ROUNDDOWN(-O50/(O51-O50)*12,0)+0.5),0),12))</f>
        <v>0</v>
      </c>
      <c r="T51" s="163">
        <f>MAX(0,MIN($R51,IF(P51&lt;0,MAX(IF(Input!$B$33="Yes",MIN(12,36-R50),0),IF(AND(P50&gt;0,P51&lt;0),ROUNDDOWN(-P50/(P51-P50)*12,0)+0.5),0),12))-S51)</f>
        <v>0</v>
      </c>
      <c r="U51" s="163">
        <f>MAX(0,MIN($R51,IF(AND(Q50&gt;0,Q51&lt;0),ROUNDDOWN(-Q50/(Q51-Q50)*12,0)+0.5,IF(AND(Q51&gt;0,MIN(Q$11:Q50)&gt;=0),12,0)))-SUM(S51:T51))</f>
        <v>0</v>
      </c>
      <c r="V51" s="163">
        <f t="shared" si="6"/>
        <v>12</v>
      </c>
      <c r="W51" s="163">
        <f t="shared" si="14"/>
        <v>0</v>
      </c>
      <c r="X51" s="163">
        <f t="shared" si="15"/>
        <v>0</v>
      </c>
      <c r="Y51" s="163">
        <f t="shared" si="7"/>
        <v>0</v>
      </c>
      <c r="Z51" s="163">
        <f t="shared" si="16"/>
        <v>0</v>
      </c>
      <c r="AA51" s="163">
        <f t="shared" si="8"/>
        <v>0</v>
      </c>
      <c r="AB51" s="163">
        <f t="shared" si="17"/>
        <v>0</v>
      </c>
      <c r="AC51" s="163">
        <f t="shared" si="9"/>
        <v>0</v>
      </c>
      <c r="AD51" s="163">
        <f t="shared" si="9"/>
        <v>0</v>
      </c>
      <c r="AE51" s="163">
        <f t="shared" si="9"/>
        <v>0</v>
      </c>
      <c r="AF51" s="163">
        <f t="shared" si="18"/>
        <v>0</v>
      </c>
      <c r="AG51" s="163">
        <f>IF(A51=Abandonment!$B$4,-W51,0)</f>
        <v>0</v>
      </c>
      <c r="AH51" s="163">
        <f t="shared" si="19"/>
        <v>0</v>
      </c>
      <c r="AI51" s="163">
        <f>MIN(AH51,MAX(0,$AL$3-SUM(AI52:AI$52)))</f>
        <v>0</v>
      </c>
      <c r="AJ51" s="163">
        <f t="shared" si="22"/>
        <v>0</v>
      </c>
      <c r="AK51" s="163">
        <f t="shared" si="10"/>
        <v>0</v>
      </c>
      <c r="AL51" s="163">
        <f>IF($A51=Abandonment!$B$4,LossRec,0)</f>
        <v>0</v>
      </c>
      <c r="AM51" s="163">
        <f t="shared" si="11"/>
        <v>0</v>
      </c>
      <c r="AN51" s="93"/>
      <c r="AO51" s="93"/>
      <c r="AP51" s="93"/>
      <c r="AQ51" s="247">
        <f t="shared" si="21"/>
        <v>44044</v>
      </c>
      <c r="AR51" s="247">
        <f>IF(AND(O51&lt;0,O50&gt;0,AR50=0),DATE($A51,MAX(12-$R51,0)+SUM($S51:S51)+0.5,1),AR50)</f>
        <v>44136</v>
      </c>
      <c r="AS51" s="247">
        <f>IF(AND(P51&lt;0,P50&gt;0,AS50=0),DATE($A51,MAX(12-$R51,0)+SUM($S51:T51)+0.5,1),AS50)</f>
        <v>44256</v>
      </c>
      <c r="AT51" s="247">
        <f>IF(AND(Q51&lt;0,Q50&gt;0,AT50=0),DATE($A51,MAX(12-$R51,0)+SUM($S51:U51)+0.5,1),AT50)</f>
        <v>44470</v>
      </c>
      <c r="AU51" s="93"/>
      <c r="AV51" s="93"/>
      <c r="AW51" s="93"/>
      <c r="AX51" s="93"/>
      <c r="AY51" s="93"/>
      <c r="AZ51" s="93"/>
      <c r="BA51" s="93"/>
      <c r="BB51" s="93"/>
    </row>
    <row r="52" spans="1:54"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row>
  </sheetData>
  <sheetProtection password="8BC3" sheet="1" objects="1" scenarios="1"/>
  <mergeCells count="6">
    <mergeCell ref="AQ5:AT5"/>
    <mergeCell ref="L5:N5"/>
    <mergeCell ref="O5:Q5"/>
    <mergeCell ref="S5:V5"/>
    <mergeCell ref="X5:AA5"/>
    <mergeCell ref="AB5:AE5"/>
  </mergeCells>
  <hyperlinks>
    <hyperlink ref="F1" location="Guide" display="Guide"/>
    <hyperlink ref="F2" location="Input" display="Input"/>
  </hyperlinks>
  <pageMargins left="0.7" right="0.7" top="0.75" bottom="0.75" header="0.3" footer="0.3"/>
  <pageSetup paperSize="9" scale="64" fitToWidth="0" orientation="landscape" r:id="rId1"/>
  <headerFooter>
    <oddFooter>&amp;LNova Scotia Exploration Economics Model&amp;Rwww.indeva.com</oddFooter>
  </headerFooter>
  <colBreaks count="1" manualBreakCount="1">
    <brk id="23"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79998168889431442"/>
    <pageSetUpPr fitToPage="1"/>
  </sheetPr>
  <dimension ref="A1:X52"/>
  <sheetViews>
    <sheetView showGridLine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activeCell="D9" sqref="D9"/>
    </sheetView>
  </sheetViews>
  <sheetFormatPr defaultRowHeight="14.4" x14ac:dyDescent="0.3"/>
  <cols>
    <col min="1" max="1" width="18.109375" customWidth="1"/>
    <col min="2" max="2" width="14.33203125" customWidth="1"/>
    <col min="3" max="3" width="11.88671875" customWidth="1"/>
    <col min="4" max="4" width="12.44140625" customWidth="1"/>
    <col min="5" max="5" width="13.44140625" customWidth="1"/>
    <col min="6" max="6" width="11.44140625" customWidth="1"/>
    <col min="7" max="7" width="13.5546875" customWidth="1"/>
    <col min="8" max="9" width="13.44140625" customWidth="1"/>
    <col min="10" max="10" width="10.33203125" customWidth="1"/>
    <col min="11" max="11" width="13.109375" customWidth="1"/>
    <col min="12" max="12" width="12.33203125" customWidth="1"/>
    <col min="13" max="14" width="11.88671875" customWidth="1"/>
    <col min="15" max="15" width="10.44140625" customWidth="1"/>
    <col min="16" max="16" width="10.44140625" bestFit="1" customWidth="1"/>
    <col min="17" max="17" width="11" customWidth="1"/>
    <col min="18" max="19" width="12.33203125" customWidth="1"/>
    <col min="20" max="20" width="13.44140625" customWidth="1"/>
    <col min="21" max="21" width="13.5546875" customWidth="1"/>
    <col min="22" max="22" width="12.5546875" customWidth="1"/>
    <col min="23" max="23" width="13.6640625" customWidth="1"/>
    <col min="24" max="24" width="11.88671875" customWidth="1"/>
    <col min="25" max="25" width="11" bestFit="1" customWidth="1"/>
    <col min="26" max="26" width="17.109375" customWidth="1"/>
  </cols>
  <sheetData>
    <row r="1" spans="1:24" ht="18.75" x14ac:dyDescent="0.3">
      <c r="A1" s="143" t="str">
        <f>Input!B8</f>
        <v>Prospect X</v>
      </c>
      <c r="B1" s="143" t="s">
        <v>389</v>
      </c>
      <c r="C1" s="93"/>
      <c r="D1" s="93"/>
      <c r="E1" s="93"/>
      <c r="F1" s="93"/>
      <c r="G1" s="144" t="s">
        <v>769</v>
      </c>
      <c r="H1" s="93"/>
      <c r="I1" s="93"/>
      <c r="J1" s="93"/>
      <c r="K1" s="93"/>
      <c r="L1" s="93"/>
      <c r="M1" s="93"/>
      <c r="N1" s="93"/>
      <c r="O1" s="93"/>
      <c r="P1" s="93"/>
      <c r="Q1" s="93"/>
      <c r="R1" s="93"/>
      <c r="S1" s="93"/>
      <c r="T1" s="93"/>
      <c r="U1" s="93"/>
      <c r="V1" s="93"/>
      <c r="W1" s="93"/>
      <c r="X1" s="93"/>
    </row>
    <row r="2" spans="1:24" ht="18.75" x14ac:dyDescent="0.25">
      <c r="A2" s="93"/>
      <c r="B2" s="93"/>
      <c r="C2" s="93"/>
      <c r="D2" s="93"/>
      <c r="E2" s="93"/>
      <c r="F2" s="93"/>
      <c r="G2" s="144" t="s">
        <v>143</v>
      </c>
      <c r="H2" s="93"/>
      <c r="I2" s="93"/>
      <c r="J2" s="93"/>
      <c r="K2" s="93"/>
      <c r="L2" s="93"/>
      <c r="M2" s="239"/>
      <c r="N2" s="93"/>
      <c r="O2" s="93"/>
      <c r="P2" s="93"/>
      <c r="Q2" s="93"/>
      <c r="R2" s="93"/>
      <c r="S2" s="239"/>
      <c r="T2" s="93"/>
      <c r="U2" s="93"/>
      <c r="V2" s="93"/>
      <c r="W2" s="93"/>
      <c r="X2" s="93"/>
    </row>
    <row r="3" spans="1:24" ht="15" x14ac:dyDescent="0.25">
      <c r="A3" s="93"/>
      <c r="B3" s="93"/>
      <c r="C3" s="93"/>
      <c r="D3" s="239"/>
      <c r="E3" s="93"/>
      <c r="F3" s="93"/>
      <c r="G3" s="93"/>
      <c r="H3" s="93"/>
      <c r="I3" s="93"/>
      <c r="J3" s="93"/>
      <c r="K3" s="93"/>
      <c r="L3" s="93"/>
      <c r="M3" s="239"/>
      <c r="N3" s="93"/>
      <c r="O3" s="93"/>
      <c r="P3" s="93"/>
      <c r="Q3" s="93"/>
      <c r="R3" s="93"/>
      <c r="S3" s="93"/>
      <c r="T3" s="93"/>
      <c r="U3" s="93"/>
      <c r="V3" s="93"/>
      <c r="W3" s="93"/>
      <c r="X3" s="93"/>
    </row>
    <row r="4" spans="1:24" ht="15" x14ac:dyDescent="0.25">
      <c r="A4" s="140" t="s">
        <v>14</v>
      </c>
      <c r="B4" s="140" t="s">
        <v>15</v>
      </c>
      <c r="C4" s="140" t="s">
        <v>18</v>
      </c>
      <c r="D4" s="140" t="s">
        <v>41</v>
      </c>
      <c r="E4" s="140" t="s">
        <v>390</v>
      </c>
      <c r="F4" s="140"/>
      <c r="G4" s="140" t="s">
        <v>305</v>
      </c>
      <c r="H4" s="140" t="s">
        <v>391</v>
      </c>
      <c r="I4" s="140" t="s">
        <v>390</v>
      </c>
      <c r="J4" s="140" t="s">
        <v>392</v>
      </c>
      <c r="K4" s="140" t="s">
        <v>393</v>
      </c>
      <c r="L4" s="140" t="s">
        <v>394</v>
      </c>
      <c r="M4" s="140" t="s">
        <v>32</v>
      </c>
      <c r="N4" s="140" t="s">
        <v>41</v>
      </c>
      <c r="O4" s="140"/>
      <c r="P4" s="140" t="s">
        <v>304</v>
      </c>
      <c r="Q4" s="140" t="s">
        <v>217</v>
      </c>
      <c r="R4" s="140" t="s">
        <v>395</v>
      </c>
      <c r="S4" s="140" t="s">
        <v>396</v>
      </c>
      <c r="T4" s="140" t="s">
        <v>397</v>
      </c>
      <c r="U4" s="140" t="s">
        <v>398</v>
      </c>
      <c r="V4" s="140" t="s">
        <v>399</v>
      </c>
      <c r="W4" s="140" t="s">
        <v>400</v>
      </c>
      <c r="X4" s="140" t="s">
        <v>401</v>
      </c>
    </row>
    <row r="5" spans="1:24" ht="15" x14ac:dyDescent="0.25">
      <c r="A5" s="149"/>
      <c r="B5" s="149"/>
      <c r="C5" s="149" t="s">
        <v>41</v>
      </c>
      <c r="D5" s="149" t="s">
        <v>402</v>
      </c>
      <c r="E5" s="149" t="s">
        <v>403</v>
      </c>
      <c r="F5" s="149" t="s">
        <v>61</v>
      </c>
      <c r="G5" s="241">
        <v>0.25</v>
      </c>
      <c r="H5" s="149" t="s">
        <v>404</v>
      </c>
      <c r="I5" s="149" t="s">
        <v>403</v>
      </c>
      <c r="J5" s="149" t="s">
        <v>61</v>
      </c>
      <c r="K5" s="241">
        <f>IF(Abandonment!B7&lt;=15,20%,8%)</f>
        <v>0.08</v>
      </c>
      <c r="L5" s="149" t="s">
        <v>405</v>
      </c>
      <c r="M5" s="149"/>
      <c r="N5" s="149" t="s">
        <v>406</v>
      </c>
      <c r="O5" s="149" t="s">
        <v>61</v>
      </c>
      <c r="P5" s="241">
        <v>0.3</v>
      </c>
      <c r="Q5" s="149"/>
      <c r="R5" s="149" t="s">
        <v>407</v>
      </c>
      <c r="S5" s="149"/>
      <c r="T5" s="149" t="s">
        <v>408</v>
      </c>
      <c r="U5" s="149" t="s">
        <v>409</v>
      </c>
      <c r="V5" s="149" t="s">
        <v>405</v>
      </c>
      <c r="W5" s="149"/>
      <c r="X5" s="149" t="s">
        <v>54</v>
      </c>
    </row>
    <row r="6" spans="1:24" ht="15" x14ac:dyDescent="0.25">
      <c r="A6" s="135" t="s">
        <v>13</v>
      </c>
      <c r="B6" s="152">
        <f>SUM(B8:B48)</f>
        <v>44169.277685928435</v>
      </c>
      <c r="C6" s="152">
        <f>SUM(C8:C48)</f>
        <v>7565.9678054528422</v>
      </c>
      <c r="D6" s="152">
        <f>SUM(D8:D48)</f>
        <v>3815.3825669209618</v>
      </c>
      <c r="E6" s="152">
        <f>SUM(E8:E48)</f>
        <v>3815.3825669209618</v>
      </c>
      <c r="F6" s="152"/>
      <c r="G6" s="152">
        <f>SUM(G9:G49)</f>
        <v>3815.3825669209623</v>
      </c>
      <c r="H6" s="152">
        <f t="shared" ref="H6:S6" si="0">SUM(H9:H49)</f>
        <v>0</v>
      </c>
      <c r="I6" s="152">
        <f t="shared" si="0"/>
        <v>0</v>
      </c>
      <c r="J6" s="152"/>
      <c r="K6" s="152">
        <f t="shared" si="0"/>
        <v>0</v>
      </c>
      <c r="L6" s="152">
        <f t="shared" si="0"/>
        <v>32787.92731355461</v>
      </c>
      <c r="M6" s="152">
        <f t="shared" si="0"/>
        <v>9771.0292467226209</v>
      </c>
      <c r="N6" s="152">
        <f t="shared" si="0"/>
        <v>1852.2932843845733</v>
      </c>
      <c r="O6" s="152"/>
      <c r="P6" s="152">
        <f t="shared" si="0"/>
        <v>1852.2932843845736</v>
      </c>
      <c r="Q6" s="152">
        <f t="shared" si="0"/>
        <v>78.729090909089635</v>
      </c>
      <c r="R6" s="152">
        <f t="shared" si="0"/>
        <v>21085.875691538338</v>
      </c>
      <c r="S6" s="152">
        <f t="shared" si="0"/>
        <v>-98.203451112601641</v>
      </c>
      <c r="T6" s="152"/>
      <c r="U6" s="152"/>
      <c r="V6" s="152">
        <f>SUM(V9:V49)</f>
        <v>21096.875691538338</v>
      </c>
      <c r="W6" s="152"/>
      <c r="X6" s="152">
        <f>SUM(X9:X49)</f>
        <v>4005.1633855275113</v>
      </c>
    </row>
    <row r="7" spans="1:24" ht="15" x14ac:dyDescent="0.25">
      <c r="A7" s="93"/>
      <c r="B7" s="157"/>
      <c r="C7" s="157"/>
      <c r="D7" s="157"/>
      <c r="E7" s="157"/>
      <c r="F7" s="157"/>
      <c r="G7" s="157"/>
      <c r="H7" s="157"/>
      <c r="I7" s="157"/>
      <c r="J7" s="157"/>
      <c r="K7" s="157"/>
      <c r="L7" s="157"/>
      <c r="M7" s="157"/>
      <c r="N7" s="157"/>
      <c r="O7" s="157"/>
      <c r="P7" s="157"/>
      <c r="Q7" s="157"/>
      <c r="R7" s="157"/>
      <c r="S7" s="157"/>
      <c r="T7" s="157"/>
      <c r="U7" s="157"/>
      <c r="V7" s="157"/>
      <c r="W7" s="157"/>
      <c r="X7" s="157"/>
    </row>
    <row r="8" spans="1:24" ht="15" x14ac:dyDescent="0.25">
      <c r="A8" s="93"/>
      <c r="B8" s="157"/>
      <c r="C8" s="157"/>
      <c r="D8" s="157"/>
      <c r="E8" s="157"/>
      <c r="F8" s="157"/>
      <c r="G8" s="157"/>
      <c r="H8" s="157"/>
      <c r="I8" s="157"/>
      <c r="J8" s="157"/>
      <c r="K8" s="157"/>
      <c r="L8" s="157"/>
      <c r="M8" s="157"/>
      <c r="N8" s="157"/>
      <c r="O8" s="157"/>
      <c r="P8" s="157"/>
      <c r="Q8" s="157"/>
      <c r="R8" s="157"/>
      <c r="S8" s="157"/>
      <c r="T8" s="157"/>
      <c r="U8" s="157"/>
      <c r="V8" s="157"/>
      <c r="W8" s="157"/>
      <c r="X8" s="157"/>
    </row>
    <row r="9" spans="1:24" ht="15" x14ac:dyDescent="0.25">
      <c r="A9" s="156" t="s">
        <v>63</v>
      </c>
      <c r="B9" s="248"/>
      <c r="C9" s="152"/>
      <c r="D9" s="152">
        <f>IF(Overrides!C95=Lists!A37,Overrides!C100,Exploration!V27)</f>
        <v>0</v>
      </c>
      <c r="E9" s="152"/>
      <c r="F9" s="152"/>
      <c r="G9" s="152"/>
      <c r="H9" s="152">
        <v>0</v>
      </c>
      <c r="I9" s="152"/>
      <c r="J9" s="152">
        <v>0</v>
      </c>
      <c r="K9" s="152"/>
      <c r="L9" s="152"/>
      <c r="M9" s="152"/>
      <c r="N9" s="152"/>
      <c r="O9" s="152">
        <f>IF(Overrides!C95=Lists!A37,Overrides!C102,Exploration!V26)</f>
        <v>0</v>
      </c>
      <c r="P9" s="152"/>
      <c r="Q9" s="152">
        <f>IF(Overrides!C95=Lists!A37,Overrides!C103,Exploration!V25)</f>
        <v>11</v>
      </c>
      <c r="R9" s="152">
        <f>-Q9</f>
        <v>-11</v>
      </c>
      <c r="S9" s="152"/>
      <c r="T9" s="152"/>
      <c r="U9" s="152">
        <f>MIN(0,R9+U8-S9)</f>
        <v>-11</v>
      </c>
      <c r="V9" s="152"/>
      <c r="W9" s="152"/>
      <c r="X9" s="152"/>
    </row>
    <row r="10" spans="1:24" ht="15" x14ac:dyDescent="0.25">
      <c r="A10" s="141"/>
      <c r="B10" s="249"/>
      <c r="C10" s="159"/>
      <c r="D10" s="159"/>
      <c r="E10" s="159"/>
      <c r="F10" s="159"/>
      <c r="G10" s="159"/>
      <c r="H10" s="159"/>
      <c r="I10" s="159"/>
      <c r="J10" s="159"/>
      <c r="K10" s="159"/>
      <c r="L10" s="159"/>
      <c r="M10" s="159"/>
      <c r="N10" s="159"/>
      <c r="O10" s="159"/>
      <c r="P10" s="159"/>
      <c r="Q10" s="159"/>
      <c r="R10" s="159"/>
      <c r="S10" s="159"/>
      <c r="T10" s="159"/>
      <c r="U10" s="159"/>
      <c r="V10" s="159"/>
      <c r="W10" s="159"/>
      <c r="X10" s="159"/>
    </row>
    <row r="11" spans="1:24" ht="15" x14ac:dyDescent="0.25">
      <c r="A11" s="141">
        <f>'Success Cash Flow'!A10</f>
        <v>2012</v>
      </c>
      <c r="B11" s="159">
        <f>Revenue!Q11</f>
        <v>0</v>
      </c>
      <c r="C11" s="159">
        <f>Operations!M19+Abandonment!G16</f>
        <v>0</v>
      </c>
      <c r="D11" s="159">
        <f>Development!BH91</f>
        <v>0</v>
      </c>
      <c r="E11" s="159">
        <f>IF($A11&lt;Production!$B$4,0,IF($A11=Production!$B$4,SUM(D$9:D11),D11))</f>
        <v>0</v>
      </c>
      <c r="F11" s="159">
        <f>0.5*E10+0.5*E11+F9-G9</f>
        <v>0</v>
      </c>
      <c r="G11" s="159">
        <f>F11*IF(A11&gt;=Abandonment!$B$4,1,G$5)</f>
        <v>0</v>
      </c>
      <c r="H11" s="159">
        <f>Development!BI91</f>
        <v>0</v>
      </c>
      <c r="I11" s="159">
        <f>IF($A11&lt;Production!$B$4,0,IF($A11=Production!$B$4,SUM(H$9:H11),H11))</f>
        <v>0</v>
      </c>
      <c r="J11" s="159">
        <f>0.5*I9+0.5*I11+J9-K9</f>
        <v>0</v>
      </c>
      <c r="K11" s="159">
        <f>J11*IF(Abandonment!$B$4='Federal Tax'!A11,1,K$5)</f>
        <v>0</v>
      </c>
      <c r="L11" s="159">
        <f t="shared" ref="L11:L50" si="1">B11-C11-G11-K11</f>
        <v>0</v>
      </c>
      <c r="M11" s="159">
        <f>Royalty!AM12</f>
        <v>0</v>
      </c>
      <c r="N11" s="159">
        <f>Development!BG91</f>
        <v>0</v>
      </c>
      <c r="O11" s="159">
        <f>O9+N11-P9</f>
        <v>0</v>
      </c>
      <c r="P11" s="159">
        <f>O11*IF(A11=Abandonment!$B$4,1,P$5)</f>
        <v>0</v>
      </c>
      <c r="Q11" s="159">
        <f>Exploration!Z35</f>
        <v>67.729090909089635</v>
      </c>
      <c r="R11" s="159">
        <f t="shared" ref="R11:R50" si="2">L11-M11-P11-Q11</f>
        <v>-67.729090909089635</v>
      </c>
      <c r="S11" s="159">
        <f>-MIN(-MIN(R11,0),MAX(0,SUM(V7:V9)-SUM(S7:S9)+T9))</f>
        <v>0</v>
      </c>
      <c r="T11" s="159">
        <f>MIN(0,MAX(0,R7)+S11+T9)</f>
        <v>0</v>
      </c>
      <c r="U11" s="159">
        <f>MIN(0,R11+U9-S11)</f>
        <v>-78.729090909089635</v>
      </c>
      <c r="V11" s="159">
        <f>IF(Input!$B$35="Yes",R11,MAX(0,R11+U9)+S11)</f>
        <v>-67.729090909089635</v>
      </c>
      <c r="W11" s="250">
        <v>0.22120000000000001</v>
      </c>
      <c r="X11" s="159">
        <f>V11*W11</f>
        <v>-14.981674909090628</v>
      </c>
    </row>
    <row r="12" spans="1:24" ht="15" x14ac:dyDescent="0.25">
      <c r="A12" s="141">
        <f>A11+1</f>
        <v>2013</v>
      </c>
      <c r="B12" s="161">
        <f>Revenue!Q12</f>
        <v>0</v>
      </c>
      <c r="C12" s="161">
        <f>Operations!M20+Abandonment!G17</f>
        <v>0</v>
      </c>
      <c r="D12" s="161">
        <f>Development!BH92</f>
        <v>0</v>
      </c>
      <c r="E12" s="161">
        <f>IF($A12&lt;Production!$B$4,0,IF($A12=Production!$B$4,SUM(D$9:D12),D12))</f>
        <v>0</v>
      </c>
      <c r="F12" s="161">
        <f t="shared" ref="F12:F50" si="3">0.5*E11+0.5*E12+F10-G10</f>
        <v>0</v>
      </c>
      <c r="G12" s="161">
        <f>F12*IF(A12&gt;=Abandonment!$B$4,1,G$5)</f>
        <v>0</v>
      </c>
      <c r="H12" s="161">
        <f>Development!BI92</f>
        <v>0</v>
      </c>
      <c r="I12" s="161">
        <f>IF($A12&lt;Production!$B$4,0,IF($A12=Production!$B$4,SUM(H$9:H12),H12))</f>
        <v>0</v>
      </c>
      <c r="J12" s="161">
        <f t="shared" ref="J12:J50" si="4">0.5*I11+0.5*I12+J11-K11</f>
        <v>0</v>
      </c>
      <c r="K12" s="161">
        <f>J12*IF(Abandonment!$B$4='Federal Tax'!A12,1,K$5)</f>
        <v>0</v>
      </c>
      <c r="L12" s="161">
        <f t="shared" si="1"/>
        <v>0</v>
      </c>
      <c r="M12" s="161">
        <f>Royalty!AM13</f>
        <v>0</v>
      </c>
      <c r="N12" s="161">
        <f>Development!BG92</f>
        <v>138.84463636363375</v>
      </c>
      <c r="O12" s="161">
        <f t="shared" ref="O12:O50" si="5">O11+N12-P11</f>
        <v>138.84463636363375</v>
      </c>
      <c r="P12" s="161">
        <f>O12*IF(A12=Abandonment!$B$4,1,P$5)</f>
        <v>41.653390909090128</v>
      </c>
      <c r="Q12" s="161">
        <f>Exploration!Z36</f>
        <v>0</v>
      </c>
      <c r="R12" s="161">
        <f t="shared" si="2"/>
        <v>-41.653390909090128</v>
      </c>
      <c r="S12" s="161">
        <f>-MIN(-MIN(R12,0),MAX(0,SUM(V8:V11)-SUM(S8:S11)+T11))</f>
        <v>0</v>
      </c>
      <c r="T12" s="161">
        <f>MIN(0,MAX(0,R8)+S12+T11)</f>
        <v>0</v>
      </c>
      <c r="U12" s="161">
        <f t="shared" ref="U12:U50" si="6">MIN(0,R12+U11-S12)</f>
        <v>-120.38248181817977</v>
      </c>
      <c r="V12" s="161">
        <f>IF(Input!$B$35="Yes",R12,MAX(0,R12+U11)+S12)</f>
        <v>-41.653390909090128</v>
      </c>
      <c r="W12" s="251">
        <v>0.20499999999999999</v>
      </c>
      <c r="X12" s="161">
        <f t="shared" ref="X12:X50" si="7">V12*W12</f>
        <v>-8.5389451363634752</v>
      </c>
    </row>
    <row r="13" spans="1:24" ht="15" x14ac:dyDescent="0.25">
      <c r="A13" s="141">
        <f t="shared" ref="A13:A50" si="8">A12+1</f>
        <v>2014</v>
      </c>
      <c r="B13" s="161">
        <f>Revenue!Q13</f>
        <v>0</v>
      </c>
      <c r="C13" s="161">
        <f>Operations!M21+Abandonment!G18</f>
        <v>0</v>
      </c>
      <c r="D13" s="161">
        <f>Development!BH93</f>
        <v>2.5193987500000001</v>
      </c>
      <c r="E13" s="161">
        <f>IF($A13&lt;Production!$B$4,0,IF($A13=Production!$B$4,SUM(D$9:D13),D13))</f>
        <v>0</v>
      </c>
      <c r="F13" s="161">
        <f t="shared" si="3"/>
        <v>0</v>
      </c>
      <c r="G13" s="161">
        <f>F13*IF(A13&gt;=Abandonment!$B$4,1,G$5)</f>
        <v>0</v>
      </c>
      <c r="H13" s="161">
        <f>Development!BI93</f>
        <v>0</v>
      </c>
      <c r="I13" s="161">
        <f>IF($A13&lt;Production!$B$4,0,IF($A13=Production!$B$4,SUM(H$9:H13),H13))</f>
        <v>0</v>
      </c>
      <c r="J13" s="161">
        <f t="shared" si="4"/>
        <v>0</v>
      </c>
      <c r="K13" s="161">
        <f>J13*IF(Abandonment!$B$4='Federal Tax'!A13,1,K$5)</f>
        <v>0</v>
      </c>
      <c r="L13" s="161">
        <f t="shared" si="1"/>
        <v>0</v>
      </c>
      <c r="M13" s="161">
        <f>Royalty!AM14</f>
        <v>0</v>
      </c>
      <c r="N13" s="161">
        <f>Development!BG93</f>
        <v>71.15787613636229</v>
      </c>
      <c r="O13" s="161">
        <f t="shared" si="5"/>
        <v>168.34912159090592</v>
      </c>
      <c r="P13" s="161">
        <f>O13*IF(A13=Abandonment!$B$4,1,P$5)</f>
        <v>50.504736477271777</v>
      </c>
      <c r="Q13" s="161">
        <f>Exploration!Z37</f>
        <v>0</v>
      </c>
      <c r="R13" s="161">
        <f t="shared" si="2"/>
        <v>-50.504736477271777</v>
      </c>
      <c r="S13" s="161">
        <f>-MIN(-MIN(R13,0),MAX(0,SUM(V9:V12)-SUM(S9:S12)+T12))</f>
        <v>0</v>
      </c>
      <c r="T13" s="161">
        <f>MIN(0,MAX(0,R9)+S13+T12)</f>
        <v>0</v>
      </c>
      <c r="U13" s="161">
        <f t="shared" si="6"/>
        <v>-170.88721829545153</v>
      </c>
      <c r="V13" s="161">
        <f>IF(Input!$B$35="Yes",R13,MAX(0,R13+U12)+S13)</f>
        <v>-50.504736477271777</v>
      </c>
      <c r="W13" s="251">
        <v>0.2</v>
      </c>
      <c r="X13" s="161">
        <f t="shared" si="7"/>
        <v>-10.100947295454356</v>
      </c>
    </row>
    <row r="14" spans="1:24" ht="15" x14ac:dyDescent="0.25">
      <c r="A14" s="141">
        <f t="shared" si="8"/>
        <v>2015</v>
      </c>
      <c r="B14" s="161">
        <f>Revenue!Q14</f>
        <v>0</v>
      </c>
      <c r="C14" s="161">
        <f>Operations!M22+Abandonment!G19</f>
        <v>0</v>
      </c>
      <c r="D14" s="161">
        <f>Development!BH94</f>
        <v>9.1557240937499991</v>
      </c>
      <c r="E14" s="161">
        <f>IF($A14&lt;Production!$B$4,0,IF($A14=Production!$B$4,SUM(D$9:D14),D14))</f>
        <v>0</v>
      </c>
      <c r="F14" s="161">
        <f t="shared" si="3"/>
        <v>0</v>
      </c>
      <c r="G14" s="161">
        <f>F14*IF(A14&gt;=Abandonment!$B$4,1,G$5)</f>
        <v>0</v>
      </c>
      <c r="H14" s="161">
        <f>Development!BI94</f>
        <v>0</v>
      </c>
      <c r="I14" s="161">
        <f>IF($A14&lt;Production!$B$4,0,IF($A14=Production!$B$4,SUM(H$9:H14),H14))</f>
        <v>0</v>
      </c>
      <c r="J14" s="161">
        <f t="shared" si="4"/>
        <v>0</v>
      </c>
      <c r="K14" s="161">
        <f>J14*IF(Abandonment!$B$4='Federal Tax'!A14,1,K$5)</f>
        <v>0</v>
      </c>
      <c r="L14" s="161">
        <f t="shared" si="1"/>
        <v>0</v>
      </c>
      <c r="M14" s="161">
        <f>Royalty!AM15</f>
        <v>0</v>
      </c>
      <c r="N14" s="161">
        <f>Development!BG94</f>
        <v>0</v>
      </c>
      <c r="O14" s="161">
        <f t="shared" si="5"/>
        <v>117.84438511363415</v>
      </c>
      <c r="P14" s="161">
        <f>O14*IF(A14=Abandonment!$B$4,1,P$5)</f>
        <v>35.353315534090243</v>
      </c>
      <c r="Q14" s="161">
        <f>Exploration!Z38</f>
        <v>0</v>
      </c>
      <c r="R14" s="161">
        <f t="shared" si="2"/>
        <v>-35.353315534090243</v>
      </c>
      <c r="S14" s="161">
        <f t="shared" ref="S14:S50" si="9">-MIN(-MIN(R14,0),MAX(0,SUM(V11:V13)-SUM(S11:S13)+T13))</f>
        <v>0</v>
      </c>
      <c r="T14" s="161">
        <f>MIN(0,MAX(0,R11)+S14+T13)</f>
        <v>0</v>
      </c>
      <c r="U14" s="161">
        <f t="shared" si="6"/>
        <v>-206.24053382954179</v>
      </c>
      <c r="V14" s="161">
        <f>IF(Input!$B$35="Yes",R14,MAX(0,R14+U13)+S14)</f>
        <v>-35.353315534090243</v>
      </c>
      <c r="W14" s="251">
        <v>0.19</v>
      </c>
      <c r="X14" s="161">
        <f t="shared" si="7"/>
        <v>-6.7171299514771459</v>
      </c>
    </row>
    <row r="15" spans="1:24" ht="15" x14ac:dyDescent="0.25">
      <c r="A15" s="141">
        <f t="shared" si="8"/>
        <v>2016</v>
      </c>
      <c r="B15" s="161">
        <f>Revenue!Q15</f>
        <v>0</v>
      </c>
      <c r="C15" s="161">
        <f>Operations!M23+Abandonment!G20</f>
        <v>0</v>
      </c>
      <c r="D15" s="161">
        <f>Development!BH95</f>
        <v>103.4256291139633</v>
      </c>
      <c r="E15" s="161">
        <f>IF($A15&lt;Production!$B$4,0,IF($A15=Production!$B$4,SUM(D$9:D15),D15))</f>
        <v>0</v>
      </c>
      <c r="F15" s="161">
        <f t="shared" si="3"/>
        <v>0</v>
      </c>
      <c r="G15" s="161">
        <f>F15*IF(A15&gt;=Abandonment!$B$4,1,G$5)</f>
        <v>0</v>
      </c>
      <c r="H15" s="161">
        <f>Development!BI95</f>
        <v>0</v>
      </c>
      <c r="I15" s="161">
        <f>IF($A15&lt;Production!$B$4,0,IF($A15=Production!$B$4,SUM(H$9:H15),H15))</f>
        <v>0</v>
      </c>
      <c r="J15" s="161">
        <f t="shared" si="4"/>
        <v>0</v>
      </c>
      <c r="K15" s="161">
        <f>J15*IF(Abandonment!$B$4='Federal Tax'!A15,1,K$5)</f>
        <v>0</v>
      </c>
      <c r="L15" s="161">
        <f t="shared" si="1"/>
        <v>0</v>
      </c>
      <c r="M15" s="161">
        <f>Royalty!AM16</f>
        <v>0</v>
      </c>
      <c r="N15" s="161">
        <f>Development!BG95</f>
        <v>0</v>
      </c>
      <c r="O15" s="161">
        <f t="shared" si="5"/>
        <v>82.491069579543904</v>
      </c>
      <c r="P15" s="161">
        <f>O15*IF(A15=Abandonment!$B$4,1,P$5)</f>
        <v>24.74732087386317</v>
      </c>
      <c r="Q15" s="161">
        <f>Exploration!Z39</f>
        <v>0</v>
      </c>
      <c r="R15" s="161">
        <f t="shared" si="2"/>
        <v>-24.74732087386317</v>
      </c>
      <c r="S15" s="161">
        <f t="shared" si="9"/>
        <v>0</v>
      </c>
      <c r="T15" s="161">
        <f t="shared" ref="T15:T50" si="10">MIN(0,MAX(0,R12)+S15+T14)</f>
        <v>0</v>
      </c>
      <c r="U15" s="161">
        <f t="shared" si="6"/>
        <v>-230.98785470340496</v>
      </c>
      <c r="V15" s="161">
        <f>IF(Input!$B$35="Yes",R15,MAX(0,R15+U14)+S15)</f>
        <v>-24.74732087386317</v>
      </c>
      <c r="W15" s="251">
        <v>0.19</v>
      </c>
      <c r="X15" s="161">
        <f t="shared" si="7"/>
        <v>-4.7019909660340025</v>
      </c>
    </row>
    <row r="16" spans="1:24" ht="15" x14ac:dyDescent="0.25">
      <c r="A16" s="141">
        <f t="shared" si="8"/>
        <v>2017</v>
      </c>
      <c r="B16" s="161">
        <f>Revenue!Q16</f>
        <v>0</v>
      </c>
      <c r="C16" s="161">
        <f>Operations!M24+Abandonment!G21</f>
        <v>0</v>
      </c>
      <c r="D16" s="161">
        <f>Development!BH96</f>
        <v>1220.1315226286367</v>
      </c>
      <c r="E16" s="161">
        <f>IF($A16&lt;Production!$B$4,0,IF($A16=Production!$B$4,SUM(D$9:D16),D16))</f>
        <v>0</v>
      </c>
      <c r="F16" s="161">
        <f t="shared" si="3"/>
        <v>0</v>
      </c>
      <c r="G16" s="161">
        <f>F16*IF(A16&gt;=Abandonment!$B$4,1,G$5)</f>
        <v>0</v>
      </c>
      <c r="H16" s="161">
        <f>Development!BI96</f>
        <v>0</v>
      </c>
      <c r="I16" s="161">
        <f>IF($A16&lt;Production!$B$4,0,IF($A16=Production!$B$4,SUM(H$9:H16),H16))</f>
        <v>0</v>
      </c>
      <c r="J16" s="161">
        <f t="shared" si="4"/>
        <v>0</v>
      </c>
      <c r="K16" s="161">
        <f>J16*IF(Abandonment!$B$4='Federal Tax'!A16,1,K$5)</f>
        <v>0</v>
      </c>
      <c r="L16" s="161">
        <f t="shared" si="1"/>
        <v>0</v>
      </c>
      <c r="M16" s="161">
        <f>Royalty!AM17</f>
        <v>0</v>
      </c>
      <c r="N16" s="161">
        <f>Development!BG96</f>
        <v>0</v>
      </c>
      <c r="O16" s="161">
        <f t="shared" si="5"/>
        <v>57.74374870568073</v>
      </c>
      <c r="P16" s="161">
        <f>O16*IF(A16=Abandonment!$B$4,1,P$5)</f>
        <v>17.32312461170422</v>
      </c>
      <c r="Q16" s="161">
        <f>Exploration!Z40</f>
        <v>0</v>
      </c>
      <c r="R16" s="161">
        <f t="shared" si="2"/>
        <v>-17.32312461170422</v>
      </c>
      <c r="S16" s="161">
        <f t="shared" si="9"/>
        <v>0</v>
      </c>
      <c r="T16" s="161">
        <f t="shared" si="10"/>
        <v>0</v>
      </c>
      <c r="U16" s="161">
        <f t="shared" si="6"/>
        <v>-248.31097931510919</v>
      </c>
      <c r="V16" s="161">
        <f>IF(Input!$B$35="Yes",R16,MAX(0,R16+U15)+S16)</f>
        <v>-17.32312461170422</v>
      </c>
      <c r="W16" s="251">
        <v>0.19</v>
      </c>
      <c r="X16" s="161">
        <f t="shared" si="7"/>
        <v>-3.2913936762238016</v>
      </c>
    </row>
    <row r="17" spans="1:24" ht="15" x14ac:dyDescent="0.25">
      <c r="A17" s="141">
        <f t="shared" si="8"/>
        <v>2018</v>
      </c>
      <c r="B17" s="161">
        <f>Revenue!Q17</f>
        <v>360.11146769631807</v>
      </c>
      <c r="C17" s="161">
        <f>Operations!M25+Abandonment!G22</f>
        <v>108.49376115602891</v>
      </c>
      <c r="D17" s="161">
        <f>Development!BH97</f>
        <v>2480.150292334612</v>
      </c>
      <c r="E17" s="161">
        <f>IF($A17&lt;Production!$B$4,0,IF($A17=Production!$B$4,SUM(D$9:D17),D17))</f>
        <v>3815.3825669209618</v>
      </c>
      <c r="F17" s="161">
        <f t="shared" si="3"/>
        <v>1907.6912834604809</v>
      </c>
      <c r="G17" s="161">
        <f>F17*IF(A17&gt;=Abandonment!$B$4,1,G$5)</f>
        <v>476.92282086512023</v>
      </c>
      <c r="H17" s="161">
        <f>Development!BI97</f>
        <v>0</v>
      </c>
      <c r="I17" s="161">
        <f>IF($A17&lt;Production!$B$4,0,IF($A17=Production!$B$4,SUM(H$9:H17),H17))</f>
        <v>0</v>
      </c>
      <c r="J17" s="161">
        <f t="shared" si="4"/>
        <v>0</v>
      </c>
      <c r="K17" s="161">
        <f>J17*IF(Abandonment!$B$4='Federal Tax'!A17,1,K$5)</f>
        <v>0</v>
      </c>
      <c r="L17" s="161">
        <f t="shared" si="1"/>
        <v>-225.30511432483107</v>
      </c>
      <c r="M17" s="161">
        <f>Royalty!AM18</f>
        <v>7.202229353926362</v>
      </c>
      <c r="N17" s="161">
        <f>Development!BG97</f>
        <v>1025.6947978943158</v>
      </c>
      <c r="O17" s="161">
        <f t="shared" si="5"/>
        <v>1066.1154219882922</v>
      </c>
      <c r="P17" s="161">
        <f>O17*IF(A17=Abandonment!$B$4,1,P$5)</f>
        <v>319.83462659648762</v>
      </c>
      <c r="Q17" s="161">
        <f>Exploration!Z41</f>
        <v>0</v>
      </c>
      <c r="R17" s="161">
        <f t="shared" si="2"/>
        <v>-552.3419702752451</v>
      </c>
      <c r="S17" s="161">
        <f t="shared" si="9"/>
        <v>0</v>
      </c>
      <c r="T17" s="161">
        <f t="shared" si="10"/>
        <v>0</v>
      </c>
      <c r="U17" s="161">
        <f t="shared" si="6"/>
        <v>-800.6529495903543</v>
      </c>
      <c r="V17" s="161">
        <f>IF(Input!$B$35="Yes",R17,MAX(0,R17+U16)+S17)</f>
        <v>-552.3419702752451</v>
      </c>
      <c r="W17" s="251">
        <v>0.19</v>
      </c>
      <c r="X17" s="161">
        <f t="shared" si="7"/>
        <v>-104.94497435229657</v>
      </c>
    </row>
    <row r="18" spans="1:24" ht="15" x14ac:dyDescent="0.25">
      <c r="A18" s="141">
        <f t="shared" si="8"/>
        <v>2019</v>
      </c>
      <c r="B18" s="161">
        <f>Revenue!Q18</f>
        <v>3777.5401884622411</v>
      </c>
      <c r="C18" s="161">
        <f>Operations!M26+Abandonment!G23</f>
        <v>358.38750793875175</v>
      </c>
      <c r="D18" s="161">
        <f>Development!BH98</f>
        <v>0</v>
      </c>
      <c r="E18" s="161">
        <f>IF($A18&lt;Production!$B$4,0,IF($A18=Production!$B$4,SUM(D$9:D18),D18))</f>
        <v>0</v>
      </c>
      <c r="F18" s="161">
        <f t="shared" si="3"/>
        <v>1907.6912834604809</v>
      </c>
      <c r="G18" s="161">
        <f>F18*IF(A18&gt;=Abandonment!$B$4,1,G$5)</f>
        <v>476.92282086512023</v>
      </c>
      <c r="H18" s="161">
        <f>Development!BI98</f>
        <v>0</v>
      </c>
      <c r="I18" s="161">
        <f>IF($A18&lt;Production!$B$4,0,IF($A18=Production!$B$4,SUM(H$9:H18),H18))</f>
        <v>0</v>
      </c>
      <c r="J18" s="161">
        <f t="shared" si="4"/>
        <v>0</v>
      </c>
      <c r="K18" s="161">
        <f>J18*IF(Abandonment!$B$4='Federal Tax'!A18,1,K$5)</f>
        <v>0</v>
      </c>
      <c r="L18" s="161">
        <f t="shared" si="1"/>
        <v>2942.2298596583692</v>
      </c>
      <c r="M18" s="161">
        <f>Royalty!AM19</f>
        <v>75.550803769244823</v>
      </c>
      <c r="N18" s="161">
        <f>Development!BG98</f>
        <v>616.59597399026154</v>
      </c>
      <c r="O18" s="161">
        <f t="shared" si="5"/>
        <v>1362.8767693820662</v>
      </c>
      <c r="P18" s="161">
        <f>O18*IF(A18=Abandonment!$B$4,1,P$5)</f>
        <v>408.86303081461983</v>
      </c>
      <c r="Q18" s="161">
        <f>Exploration!Z42</f>
        <v>0</v>
      </c>
      <c r="R18" s="161">
        <f t="shared" si="2"/>
        <v>2457.8160250745045</v>
      </c>
      <c r="S18" s="161">
        <f t="shared" si="9"/>
        <v>0</v>
      </c>
      <c r="T18" s="161">
        <f t="shared" si="10"/>
        <v>0</v>
      </c>
      <c r="U18" s="161">
        <f t="shared" si="6"/>
        <v>0</v>
      </c>
      <c r="V18" s="161">
        <f>IF(Input!$B$35="Yes",R18,MAX(0,R18+U17)+S18)</f>
        <v>2457.8160250745045</v>
      </c>
      <c r="W18" s="251">
        <v>0.19</v>
      </c>
      <c r="X18" s="161">
        <f t="shared" si="7"/>
        <v>466.98504476415587</v>
      </c>
    </row>
    <row r="19" spans="1:24" ht="15" x14ac:dyDescent="0.25">
      <c r="A19" s="141">
        <f t="shared" si="8"/>
        <v>2020</v>
      </c>
      <c r="B19" s="161">
        <f>Revenue!Q19</f>
        <v>3932.8596255193238</v>
      </c>
      <c r="C19" s="161">
        <f>Operations!M27+Abandonment!G24</f>
        <v>370.47242524755427</v>
      </c>
      <c r="D19" s="161">
        <f>Development!BH99</f>
        <v>0</v>
      </c>
      <c r="E19" s="161">
        <f>IF($A19&lt;Production!$B$4,0,IF($A19=Production!$B$4,SUM(D$9:D19),D19))</f>
        <v>0</v>
      </c>
      <c r="F19" s="161">
        <f t="shared" si="3"/>
        <v>1430.7684625953607</v>
      </c>
      <c r="G19" s="161">
        <f>F19*IF(A19&gt;=Abandonment!$B$4,1,G$5)</f>
        <v>357.69211564884017</v>
      </c>
      <c r="H19" s="161">
        <f>Development!BI99</f>
        <v>0</v>
      </c>
      <c r="I19" s="161">
        <f>IF($A19&lt;Production!$B$4,0,IF($A19=Production!$B$4,SUM(H$9:H19),H19))</f>
        <v>0</v>
      </c>
      <c r="J19" s="161">
        <f t="shared" si="4"/>
        <v>0</v>
      </c>
      <c r="K19" s="161">
        <f>J19*IF(Abandonment!$B$4='Federal Tax'!A19,1,K$5)</f>
        <v>0</v>
      </c>
      <c r="L19" s="161">
        <f t="shared" si="1"/>
        <v>3204.6950846229292</v>
      </c>
      <c r="M19" s="161">
        <f>Royalty!AM20</f>
        <v>93.405416106083948</v>
      </c>
      <c r="N19" s="161">
        <f>Development!BG99</f>
        <v>0</v>
      </c>
      <c r="O19" s="161">
        <f t="shared" si="5"/>
        <v>954.01373856744635</v>
      </c>
      <c r="P19" s="161">
        <f>O19*IF(A19=Abandonment!$B$4,1,P$5)</f>
        <v>286.20412157023389</v>
      </c>
      <c r="Q19" s="161">
        <f>Exploration!Z43</f>
        <v>0</v>
      </c>
      <c r="R19" s="161">
        <f t="shared" si="2"/>
        <v>2825.0855469466114</v>
      </c>
      <c r="S19" s="161">
        <f t="shared" si="9"/>
        <v>0</v>
      </c>
      <c r="T19" s="161">
        <f t="shared" si="10"/>
        <v>0</v>
      </c>
      <c r="U19" s="161">
        <f t="shared" si="6"/>
        <v>0</v>
      </c>
      <c r="V19" s="161">
        <f>IF(Input!$B$35="Yes",R19,MAX(0,R19+U18)+S19)</f>
        <v>2825.0855469466114</v>
      </c>
      <c r="W19" s="251">
        <v>0.19</v>
      </c>
      <c r="X19" s="161">
        <f t="shared" si="7"/>
        <v>536.76625391985613</v>
      </c>
    </row>
    <row r="20" spans="1:24" ht="15" x14ac:dyDescent="0.25">
      <c r="A20" s="141">
        <f t="shared" si="8"/>
        <v>2021</v>
      </c>
      <c r="B20" s="161">
        <f>Revenue!Q20</f>
        <v>4020.1669601022318</v>
      </c>
      <c r="C20" s="161">
        <f>Operations!M28+Abandonment!G25</f>
        <v>379.47762019998663</v>
      </c>
      <c r="D20" s="161">
        <f>Development!BH100</f>
        <v>0</v>
      </c>
      <c r="E20" s="161">
        <f>IF($A20&lt;Production!$B$4,0,IF($A20=Production!$B$4,SUM(D$9:D20),D20))</f>
        <v>0</v>
      </c>
      <c r="F20" s="161">
        <f t="shared" si="3"/>
        <v>1430.7684625953607</v>
      </c>
      <c r="G20" s="161">
        <f>F20*IF(A20&gt;=Abandonment!$B$4,1,G$5)</f>
        <v>357.69211564884017</v>
      </c>
      <c r="H20" s="161">
        <f>Development!BI100</f>
        <v>0</v>
      </c>
      <c r="I20" s="161">
        <f>IF($A20&lt;Production!$B$4,0,IF($A20=Production!$B$4,SUM(H$9:H20),H20))</f>
        <v>0</v>
      </c>
      <c r="J20" s="161">
        <f t="shared" si="4"/>
        <v>0</v>
      </c>
      <c r="K20" s="161">
        <f>J20*IF(Abandonment!$B$4='Federal Tax'!A20,1,K$5)</f>
        <v>0</v>
      </c>
      <c r="L20" s="161">
        <f t="shared" si="1"/>
        <v>3282.997224253405</v>
      </c>
      <c r="M20" s="161">
        <f>Royalty!AM21</f>
        <v>724.8964966412409</v>
      </c>
      <c r="N20" s="161">
        <f>Development!BG100</f>
        <v>0</v>
      </c>
      <c r="O20" s="161">
        <f t="shared" si="5"/>
        <v>667.80961699721252</v>
      </c>
      <c r="P20" s="161">
        <f>O20*IF(A20=Abandonment!$B$4,1,P$5)</f>
        <v>200.34288509916374</v>
      </c>
      <c r="Q20" s="161">
        <f>Exploration!Z44</f>
        <v>0</v>
      </c>
      <c r="R20" s="161">
        <f t="shared" si="2"/>
        <v>2357.7578425130005</v>
      </c>
      <c r="S20" s="161">
        <f t="shared" si="9"/>
        <v>0</v>
      </c>
      <c r="T20" s="161">
        <f t="shared" si="10"/>
        <v>0</v>
      </c>
      <c r="U20" s="161">
        <f t="shared" si="6"/>
        <v>0</v>
      </c>
      <c r="V20" s="161">
        <f>IF(Input!$B$35="Yes",R20,MAX(0,R20+U19)+S20)</f>
        <v>2357.7578425130005</v>
      </c>
      <c r="W20" s="251">
        <v>0.19</v>
      </c>
      <c r="X20" s="161">
        <f t="shared" si="7"/>
        <v>447.97399007747009</v>
      </c>
    </row>
    <row r="21" spans="1:24" ht="15" x14ac:dyDescent="0.25">
      <c r="A21" s="141">
        <f t="shared" si="8"/>
        <v>2022</v>
      </c>
      <c r="B21" s="161">
        <f>Revenue!Q21</f>
        <v>4118.1820041617557</v>
      </c>
      <c r="C21" s="161">
        <f>Operations!M29+Abandonment!G26</f>
        <v>388.82182862222982</v>
      </c>
      <c r="D21" s="161">
        <f>Development!BH101</f>
        <v>0</v>
      </c>
      <c r="E21" s="161">
        <f>IF($A21&lt;Production!$B$4,0,IF($A21=Production!$B$4,SUM(D$9:D21),D21))</f>
        <v>0</v>
      </c>
      <c r="F21" s="161">
        <f t="shared" si="3"/>
        <v>1073.0763469465205</v>
      </c>
      <c r="G21" s="161">
        <f>F21*IF(A21&gt;=Abandonment!$B$4,1,G$5)</f>
        <v>268.26908673663013</v>
      </c>
      <c r="H21" s="161">
        <f>Development!BI101</f>
        <v>0</v>
      </c>
      <c r="I21" s="161">
        <f>IF($A21&lt;Production!$B$4,0,IF($A21=Production!$B$4,SUM(H$9:H21),H21))</f>
        <v>0</v>
      </c>
      <c r="J21" s="161">
        <f t="shared" si="4"/>
        <v>0</v>
      </c>
      <c r="K21" s="161">
        <f>J21*IF(Abandonment!$B$4='Federal Tax'!A21,1,K$5)</f>
        <v>0</v>
      </c>
      <c r="L21" s="161">
        <f t="shared" si="1"/>
        <v>3461.0910888028957</v>
      </c>
      <c r="M21" s="161">
        <f>Royalty!AM22</f>
        <v>1291.6672974370558</v>
      </c>
      <c r="N21" s="161">
        <f>Development!BG101</f>
        <v>0</v>
      </c>
      <c r="O21" s="161">
        <f t="shared" si="5"/>
        <v>467.46673189804881</v>
      </c>
      <c r="P21" s="161">
        <f>O21*IF(A21=Abandonment!$B$4,1,P$5)</f>
        <v>140.24001956941464</v>
      </c>
      <c r="Q21" s="161">
        <f>Exploration!Z45</f>
        <v>0</v>
      </c>
      <c r="R21" s="161">
        <f t="shared" si="2"/>
        <v>2029.1837717964252</v>
      </c>
      <c r="S21" s="161">
        <f t="shared" si="9"/>
        <v>0</v>
      </c>
      <c r="T21" s="161">
        <f t="shared" si="10"/>
        <v>0</v>
      </c>
      <c r="U21" s="161">
        <f t="shared" si="6"/>
        <v>0</v>
      </c>
      <c r="V21" s="161">
        <f>IF(Input!$B$35="Yes",R21,MAX(0,R21+U20)+S21)</f>
        <v>2029.1837717964252</v>
      </c>
      <c r="W21" s="251">
        <v>0.19</v>
      </c>
      <c r="X21" s="161">
        <f t="shared" si="7"/>
        <v>385.54491664132081</v>
      </c>
    </row>
    <row r="22" spans="1:24" ht="15" x14ac:dyDescent="0.25">
      <c r="A22" s="141">
        <f t="shared" si="8"/>
        <v>2023</v>
      </c>
      <c r="B22" s="161">
        <f>Revenue!Q22</f>
        <v>3843.9652627015721</v>
      </c>
      <c r="C22" s="161">
        <f>Operations!M30+Abandonment!G27</f>
        <v>376.91455850131791</v>
      </c>
      <c r="D22" s="161">
        <f>Development!BH102</f>
        <v>0</v>
      </c>
      <c r="E22" s="161">
        <f>IF($A22&lt;Production!$B$4,0,IF($A22=Production!$B$4,SUM(D$9:D22),D22))</f>
        <v>0</v>
      </c>
      <c r="F22" s="161">
        <f t="shared" si="3"/>
        <v>1073.0763469465205</v>
      </c>
      <c r="G22" s="161">
        <f>F22*IF(A22&gt;=Abandonment!$B$4,1,G$5)</f>
        <v>268.26908673663013</v>
      </c>
      <c r="H22" s="161">
        <f>Development!BI102</f>
        <v>0</v>
      </c>
      <c r="I22" s="161">
        <f>IF($A22&lt;Production!$B$4,0,IF($A22=Production!$B$4,SUM(H$9:H22),H22))</f>
        <v>0</v>
      </c>
      <c r="J22" s="161">
        <f t="shared" si="4"/>
        <v>0</v>
      </c>
      <c r="K22" s="161">
        <f>J22*IF(Abandonment!$B$4='Federal Tax'!A22,1,K$5)</f>
        <v>0</v>
      </c>
      <c r="L22" s="161">
        <f t="shared" si="1"/>
        <v>3198.7816174636241</v>
      </c>
      <c r="M22" s="161">
        <f>Royalty!AM23</f>
        <v>1200.2757369225428</v>
      </c>
      <c r="N22" s="161">
        <f>Development!BG102</f>
        <v>0</v>
      </c>
      <c r="O22" s="161">
        <f t="shared" si="5"/>
        <v>327.22671232863416</v>
      </c>
      <c r="P22" s="161">
        <f>O22*IF(A22=Abandonment!$B$4,1,P$5)</f>
        <v>98.168013698590244</v>
      </c>
      <c r="Q22" s="161">
        <f>Exploration!Z46</f>
        <v>0</v>
      </c>
      <c r="R22" s="161">
        <f t="shared" si="2"/>
        <v>1900.3378668424912</v>
      </c>
      <c r="S22" s="161">
        <f t="shared" si="9"/>
        <v>0</v>
      </c>
      <c r="T22" s="161">
        <f t="shared" si="10"/>
        <v>0</v>
      </c>
      <c r="U22" s="161">
        <f t="shared" si="6"/>
        <v>0</v>
      </c>
      <c r="V22" s="161">
        <f>IF(Input!$B$35="Yes",R22,MAX(0,R22+U21)+S22)</f>
        <v>1900.3378668424912</v>
      </c>
      <c r="W22" s="251">
        <v>0.19</v>
      </c>
      <c r="X22" s="161">
        <f t="shared" si="7"/>
        <v>361.0641947000733</v>
      </c>
    </row>
    <row r="23" spans="1:24" ht="15" x14ac:dyDescent="0.25">
      <c r="A23" s="141">
        <f t="shared" si="8"/>
        <v>2024</v>
      </c>
      <c r="B23" s="161">
        <f>Revenue!Q23</f>
        <v>3357.5029376807242</v>
      </c>
      <c r="C23" s="161">
        <f>Operations!M31+Abandonment!G28</f>
        <v>352.61979360069023</v>
      </c>
      <c r="D23" s="161">
        <f>Development!BH103</f>
        <v>0</v>
      </c>
      <c r="E23" s="161">
        <f>IF($A23&lt;Production!$B$4,0,IF($A23=Production!$B$4,SUM(D$9:D23),D23))</f>
        <v>0</v>
      </c>
      <c r="F23" s="161">
        <f t="shared" si="3"/>
        <v>804.80726020989039</v>
      </c>
      <c r="G23" s="161">
        <f>F23*IF(A23&gt;=Abandonment!$B$4,1,G$5)</f>
        <v>201.2018150524726</v>
      </c>
      <c r="H23" s="161">
        <f>Development!BI103</f>
        <v>0</v>
      </c>
      <c r="I23" s="161">
        <f>IF($A23&lt;Production!$B$4,0,IF($A23=Production!$B$4,SUM(H$9:H23),H23))</f>
        <v>0</v>
      </c>
      <c r="J23" s="161">
        <f t="shared" si="4"/>
        <v>0</v>
      </c>
      <c r="K23" s="161">
        <f>J23*IF(Abandonment!$B$4='Federal Tax'!A23,1,K$5)</f>
        <v>0</v>
      </c>
      <c r="L23" s="161">
        <f t="shared" si="1"/>
        <v>2803.6813290275613</v>
      </c>
      <c r="M23" s="161">
        <f>Royalty!AM24</f>
        <v>1039.3674076519876</v>
      </c>
      <c r="N23" s="161">
        <f>Development!BG103</f>
        <v>0</v>
      </c>
      <c r="O23" s="161">
        <f t="shared" si="5"/>
        <v>229.05869863004392</v>
      </c>
      <c r="P23" s="161">
        <f>O23*IF(A23=Abandonment!$B$4,1,P$5)</f>
        <v>68.717609589013179</v>
      </c>
      <c r="Q23" s="161">
        <f>Exploration!Z47</f>
        <v>0</v>
      </c>
      <c r="R23" s="161">
        <f t="shared" si="2"/>
        <v>1695.5963117865606</v>
      </c>
      <c r="S23" s="161">
        <f t="shared" si="9"/>
        <v>0</v>
      </c>
      <c r="T23" s="161">
        <f t="shared" si="10"/>
        <v>0</v>
      </c>
      <c r="U23" s="161">
        <f t="shared" si="6"/>
        <v>0</v>
      </c>
      <c r="V23" s="161">
        <f>IF(Input!$B$35="Yes",R23,MAX(0,R23+U22)+S23)</f>
        <v>1695.5963117865606</v>
      </c>
      <c r="W23" s="251">
        <v>0.19</v>
      </c>
      <c r="X23" s="161">
        <f t="shared" si="7"/>
        <v>322.16329923944653</v>
      </c>
    </row>
    <row r="24" spans="1:24" ht="15" x14ac:dyDescent="0.25">
      <c r="A24" s="141">
        <f t="shared" si="8"/>
        <v>2025</v>
      </c>
      <c r="B24" s="161">
        <f>Revenue!Q24</f>
        <v>2916.5650268385516</v>
      </c>
      <c r="C24" s="161">
        <f>Operations!M32+Abandonment!G29</f>
        <v>331.65790058317492</v>
      </c>
      <c r="D24" s="161">
        <f>Development!BH104</f>
        <v>0</v>
      </c>
      <c r="E24" s="161">
        <f>IF($A24&lt;Production!$B$4,0,IF($A24=Production!$B$4,SUM(D$9:D24),D24))</f>
        <v>0</v>
      </c>
      <c r="F24" s="161">
        <f t="shared" si="3"/>
        <v>804.80726020989039</v>
      </c>
      <c r="G24" s="161">
        <f>F24*IF(A24&gt;=Abandonment!$B$4,1,G$5)</f>
        <v>201.2018150524726</v>
      </c>
      <c r="H24" s="161">
        <f>Development!BI104</f>
        <v>0</v>
      </c>
      <c r="I24" s="161">
        <f>IF($A24&lt;Production!$B$4,0,IF($A24=Production!$B$4,SUM(H$9:H24),H24))</f>
        <v>0</v>
      </c>
      <c r="J24" s="161">
        <f t="shared" si="4"/>
        <v>0</v>
      </c>
      <c r="K24" s="161">
        <f>J24*IF(Abandonment!$B$4='Federal Tax'!A24,1,K$5)</f>
        <v>0</v>
      </c>
      <c r="L24" s="161">
        <f t="shared" si="1"/>
        <v>2383.7053112029039</v>
      </c>
      <c r="M24" s="161">
        <f>Royalty!AM25</f>
        <v>893.10946766897075</v>
      </c>
      <c r="N24" s="161">
        <f>Development!BG104</f>
        <v>0</v>
      </c>
      <c r="O24" s="161">
        <f t="shared" si="5"/>
        <v>160.34108904103073</v>
      </c>
      <c r="P24" s="161">
        <f>O24*IF(A24=Abandonment!$B$4,1,P$5)</f>
        <v>48.102326712309214</v>
      </c>
      <c r="Q24" s="161">
        <f>Exploration!Z48</f>
        <v>0</v>
      </c>
      <c r="R24" s="161">
        <f t="shared" si="2"/>
        <v>1442.4935168216239</v>
      </c>
      <c r="S24" s="161">
        <f t="shared" si="9"/>
        <v>0</v>
      </c>
      <c r="T24" s="161">
        <f t="shared" si="10"/>
        <v>0</v>
      </c>
      <c r="U24" s="161">
        <f t="shared" si="6"/>
        <v>0</v>
      </c>
      <c r="V24" s="161">
        <f>IF(Input!$B$35="Yes",R24,MAX(0,R24+U23)+S24)</f>
        <v>1442.4935168216239</v>
      </c>
      <c r="W24" s="251">
        <v>0.19</v>
      </c>
      <c r="X24" s="161">
        <f t="shared" si="7"/>
        <v>274.07376819610852</v>
      </c>
    </row>
    <row r="25" spans="1:24" ht="15" x14ac:dyDescent="0.25">
      <c r="A25" s="141">
        <f t="shared" si="8"/>
        <v>2026</v>
      </c>
      <c r="B25" s="161">
        <f>Revenue!Q25</f>
        <v>2541.057279633088</v>
      </c>
      <c r="C25" s="161">
        <f>Operations!M33+Abandonment!G30</f>
        <v>314.23587016205687</v>
      </c>
      <c r="D25" s="161">
        <f>Development!BH105</f>
        <v>0</v>
      </c>
      <c r="E25" s="161">
        <f>IF($A25&lt;Production!$B$4,0,IF($A25=Production!$B$4,SUM(D$9:D25),D25))</f>
        <v>0</v>
      </c>
      <c r="F25" s="161">
        <f t="shared" si="3"/>
        <v>603.60544515741776</v>
      </c>
      <c r="G25" s="161">
        <f>F25*IF(A25&gt;=Abandonment!$B$4,1,G$5)</f>
        <v>150.90136128935444</v>
      </c>
      <c r="H25" s="161">
        <f>Development!BI105</f>
        <v>0</v>
      </c>
      <c r="I25" s="161">
        <f>IF($A25&lt;Production!$B$4,0,IF($A25=Production!$B$4,SUM(H$9:H25),H25))</f>
        <v>0</v>
      </c>
      <c r="J25" s="161">
        <f t="shared" si="4"/>
        <v>0</v>
      </c>
      <c r="K25" s="161">
        <f>J25*IF(Abandonment!$B$4='Federal Tax'!A25,1,K$5)</f>
        <v>0</v>
      </c>
      <c r="L25" s="161">
        <f t="shared" si="1"/>
        <v>2075.9200481816765</v>
      </c>
      <c r="M25" s="161">
        <f>Royalty!AM26</f>
        <v>768.38923785918871</v>
      </c>
      <c r="N25" s="161">
        <f>Development!BG105</f>
        <v>0</v>
      </c>
      <c r="O25" s="161">
        <f t="shared" si="5"/>
        <v>112.23876232872152</v>
      </c>
      <c r="P25" s="161">
        <f>O25*IF(A25=Abandonment!$B$4,1,P$5)</f>
        <v>33.671628698616452</v>
      </c>
      <c r="Q25" s="161">
        <f>Exploration!Z49</f>
        <v>0</v>
      </c>
      <c r="R25" s="161">
        <f t="shared" si="2"/>
        <v>1273.8591816238716</v>
      </c>
      <c r="S25" s="161">
        <f t="shared" si="9"/>
        <v>0</v>
      </c>
      <c r="T25" s="161">
        <f t="shared" si="10"/>
        <v>0</v>
      </c>
      <c r="U25" s="161">
        <f t="shared" si="6"/>
        <v>0</v>
      </c>
      <c r="V25" s="161">
        <f>IF(Input!$B$35="Yes",R25,MAX(0,R25+U24)+S25)</f>
        <v>1273.8591816238716</v>
      </c>
      <c r="W25" s="251">
        <v>0.19</v>
      </c>
      <c r="X25" s="161">
        <f t="shared" si="7"/>
        <v>242.0332445085356</v>
      </c>
    </row>
    <row r="26" spans="1:24" ht="15" x14ac:dyDescent="0.25">
      <c r="A26" s="141">
        <f t="shared" si="8"/>
        <v>2027</v>
      </c>
      <c r="B26" s="161">
        <f>Revenue!Q26</f>
        <v>2213.8961548803268</v>
      </c>
      <c r="C26" s="161">
        <f>Operations!M34+Abandonment!G31</f>
        <v>299.68889926463186</v>
      </c>
      <c r="D26" s="161">
        <f>Development!BH106</f>
        <v>0</v>
      </c>
      <c r="E26" s="161">
        <f>IF($A26&lt;Production!$B$4,0,IF($A26=Production!$B$4,SUM(D$9:D26),D26))</f>
        <v>0</v>
      </c>
      <c r="F26" s="161">
        <f t="shared" si="3"/>
        <v>603.60544515741776</v>
      </c>
      <c r="G26" s="161">
        <f>F26*IF(A26&gt;=Abandonment!$B$4,1,G$5)</f>
        <v>150.90136128935444</v>
      </c>
      <c r="H26" s="161">
        <f>Development!BI106</f>
        <v>0</v>
      </c>
      <c r="I26" s="161">
        <f>IF($A26&lt;Production!$B$4,0,IF($A26=Production!$B$4,SUM(H$9:H26),H26))</f>
        <v>0</v>
      </c>
      <c r="J26" s="161">
        <f t="shared" si="4"/>
        <v>0</v>
      </c>
      <c r="K26" s="161">
        <f>J26*IF(Abandonment!$B$4='Federal Tax'!A26,1,K$5)</f>
        <v>0</v>
      </c>
      <c r="L26" s="161">
        <f t="shared" si="1"/>
        <v>1763.3058943263404</v>
      </c>
      <c r="M26" s="161">
        <f>Royalty!AM27</f>
        <v>659.483427991231</v>
      </c>
      <c r="N26" s="161">
        <f>Development!BG106</f>
        <v>0</v>
      </c>
      <c r="O26" s="161">
        <f t="shared" si="5"/>
        <v>78.567133630105076</v>
      </c>
      <c r="P26" s="161">
        <f>O26*IF(A26=Abandonment!$B$4,1,P$5)</f>
        <v>23.570140089031522</v>
      </c>
      <c r="Q26" s="161">
        <f>Exploration!Z50</f>
        <v>0</v>
      </c>
      <c r="R26" s="161">
        <f t="shared" si="2"/>
        <v>1080.2523262460777</v>
      </c>
      <c r="S26" s="161">
        <f t="shared" si="9"/>
        <v>0</v>
      </c>
      <c r="T26" s="161">
        <f t="shared" si="10"/>
        <v>0</v>
      </c>
      <c r="U26" s="161">
        <f t="shared" si="6"/>
        <v>0</v>
      </c>
      <c r="V26" s="161">
        <f>IF(Input!$B$35="Yes",R26,MAX(0,R26+U25)+S26)</f>
        <v>1080.2523262460777</v>
      </c>
      <c r="W26" s="251">
        <v>0.19</v>
      </c>
      <c r="X26" s="161">
        <f t="shared" si="7"/>
        <v>205.24794198675477</v>
      </c>
    </row>
    <row r="27" spans="1:24" ht="15" x14ac:dyDescent="0.25">
      <c r="A27" s="141">
        <f t="shared" si="8"/>
        <v>2028</v>
      </c>
      <c r="B27" s="161">
        <f>Revenue!Q27</f>
        <v>1933.7226888743185</v>
      </c>
      <c r="C27" s="161">
        <f>Operations!M35+Abandonment!G32</f>
        <v>287.76176600540771</v>
      </c>
      <c r="D27" s="161">
        <f>Development!BH107</f>
        <v>0</v>
      </c>
      <c r="E27" s="161">
        <f>IF($A27&lt;Production!$B$4,0,IF($A27=Production!$B$4,SUM(D$9:D27),D27))</f>
        <v>0</v>
      </c>
      <c r="F27" s="161">
        <f t="shared" si="3"/>
        <v>452.70408386806332</v>
      </c>
      <c r="G27" s="161">
        <f>F27*IF(A27&gt;=Abandonment!$B$4,1,G$5)</f>
        <v>113.17602096701583</v>
      </c>
      <c r="H27" s="161">
        <f>Development!BI107</f>
        <v>0</v>
      </c>
      <c r="I27" s="161">
        <f>IF($A27&lt;Production!$B$4,0,IF($A27=Production!$B$4,SUM(H$9:H27),H27))</f>
        <v>0</v>
      </c>
      <c r="J27" s="161">
        <f t="shared" si="4"/>
        <v>0</v>
      </c>
      <c r="K27" s="161">
        <f>J27*IF(Abandonment!$B$4='Federal Tax'!A27,1,K$5)</f>
        <v>0</v>
      </c>
      <c r="L27" s="161">
        <f t="shared" si="1"/>
        <v>1532.784901901895</v>
      </c>
      <c r="M27" s="161">
        <f>Royalty!AM28</f>
        <v>566.01466119392944</v>
      </c>
      <c r="N27" s="161">
        <f>Development!BG107</f>
        <v>0</v>
      </c>
      <c r="O27" s="161">
        <f t="shared" si="5"/>
        <v>54.99699354107355</v>
      </c>
      <c r="P27" s="161">
        <f>O27*IF(A27=Abandonment!$B$4,1,P$5)</f>
        <v>16.499098062322066</v>
      </c>
      <c r="Q27" s="161">
        <f>Exploration!Z51</f>
        <v>0</v>
      </c>
      <c r="R27" s="161">
        <f t="shared" si="2"/>
        <v>950.27114264564341</v>
      </c>
      <c r="S27" s="161">
        <f t="shared" si="9"/>
        <v>0</v>
      </c>
      <c r="T27" s="161">
        <f t="shared" si="10"/>
        <v>0</v>
      </c>
      <c r="U27" s="161">
        <f t="shared" si="6"/>
        <v>0</v>
      </c>
      <c r="V27" s="161">
        <f>IF(Input!$B$35="Yes",R27,MAX(0,R27+U26)+S27)</f>
        <v>950.27114264564341</v>
      </c>
      <c r="W27" s="251">
        <v>0.19</v>
      </c>
      <c r="X27" s="161">
        <f t="shared" si="7"/>
        <v>180.55151710267225</v>
      </c>
    </row>
    <row r="28" spans="1:24" ht="15" x14ac:dyDescent="0.25">
      <c r="A28" s="141">
        <f t="shared" si="8"/>
        <v>2029</v>
      </c>
      <c r="B28" s="161">
        <f>Revenue!Q28</f>
        <v>1679.7685871485455</v>
      </c>
      <c r="C28" s="161">
        <f>Operations!M36+Abandonment!G33</f>
        <v>277.80579969113001</v>
      </c>
      <c r="D28" s="161">
        <f>Development!BH108</f>
        <v>0</v>
      </c>
      <c r="E28" s="161">
        <f>IF($A28&lt;Production!$B$4,0,IF($A28=Production!$B$4,SUM(D$9:D28),D28))</f>
        <v>0</v>
      </c>
      <c r="F28" s="161">
        <f t="shared" si="3"/>
        <v>452.70408386806332</v>
      </c>
      <c r="G28" s="161">
        <f>F28*IF(A28&gt;=Abandonment!$B$4,1,G$5)</f>
        <v>113.17602096701583</v>
      </c>
      <c r="H28" s="161">
        <f>Development!BI108</f>
        <v>0</v>
      </c>
      <c r="I28" s="161">
        <f>IF($A28&lt;Production!$B$4,0,IF($A28=Production!$B$4,SUM(H$9:H28),H28))</f>
        <v>0</v>
      </c>
      <c r="J28" s="161">
        <f t="shared" si="4"/>
        <v>0</v>
      </c>
      <c r="K28" s="161">
        <f>J28*IF(Abandonment!$B$4='Federal Tax'!A28,1,K$5)</f>
        <v>0</v>
      </c>
      <c r="L28" s="161">
        <f t="shared" si="1"/>
        <v>1288.7867664903997</v>
      </c>
      <c r="M28" s="161">
        <f>Royalty!AM29</f>
        <v>480.9637726209059</v>
      </c>
      <c r="N28" s="161">
        <f>Development!BG108</f>
        <v>0</v>
      </c>
      <c r="O28" s="161">
        <f t="shared" si="5"/>
        <v>38.497895478751488</v>
      </c>
      <c r="P28" s="161">
        <f>O28*IF(A28=Abandonment!$B$4,1,P$5)</f>
        <v>11.549368643625446</v>
      </c>
      <c r="Q28" s="161">
        <f>Exploration!Z52</f>
        <v>0</v>
      </c>
      <c r="R28" s="161">
        <f t="shared" si="2"/>
        <v>796.27362522586827</v>
      </c>
      <c r="S28" s="161">
        <f t="shared" si="9"/>
        <v>0</v>
      </c>
      <c r="T28" s="161">
        <f t="shared" si="10"/>
        <v>0</v>
      </c>
      <c r="U28" s="161">
        <f t="shared" si="6"/>
        <v>0</v>
      </c>
      <c r="V28" s="161">
        <f>IF(Input!$B$35="Yes",R28,MAX(0,R28+U27)+S28)</f>
        <v>796.27362522586827</v>
      </c>
      <c r="W28" s="251">
        <v>0.19</v>
      </c>
      <c r="X28" s="161">
        <f t="shared" si="7"/>
        <v>151.29198879291496</v>
      </c>
    </row>
    <row r="29" spans="1:24" ht="15" x14ac:dyDescent="0.25">
      <c r="A29" s="141">
        <f t="shared" si="8"/>
        <v>2030</v>
      </c>
      <c r="B29" s="161">
        <f>Revenue!Q29</f>
        <v>1463.4983815531698</v>
      </c>
      <c r="C29" s="161">
        <f>Operations!M37+Abandonment!G34</f>
        <v>269.94150546115264</v>
      </c>
      <c r="D29" s="161">
        <f>Development!BH109</f>
        <v>0</v>
      </c>
      <c r="E29" s="161">
        <f>IF($A29&lt;Production!$B$4,0,IF($A29=Production!$B$4,SUM(D$9:D29),D29))</f>
        <v>0</v>
      </c>
      <c r="F29" s="161">
        <f t="shared" si="3"/>
        <v>339.52806290104752</v>
      </c>
      <c r="G29" s="161">
        <f>F29*IF(A29&gt;=Abandonment!$B$4,1,G$5)</f>
        <v>84.88201572526188</v>
      </c>
      <c r="H29" s="161">
        <f>Development!BI109</f>
        <v>0</v>
      </c>
      <c r="I29" s="161">
        <f>IF($A29&lt;Production!$B$4,0,IF($A29=Production!$B$4,SUM(H$9:H29),H29))</f>
        <v>0</v>
      </c>
      <c r="J29" s="161">
        <f t="shared" si="4"/>
        <v>0</v>
      </c>
      <c r="K29" s="161">
        <f>J29*IF(Abandonment!$B$4='Federal Tax'!A29,1,K$5)</f>
        <v>0</v>
      </c>
      <c r="L29" s="161">
        <f t="shared" si="1"/>
        <v>1108.6748603667552</v>
      </c>
      <c r="M29" s="161">
        <f>Royalty!AM30</f>
        <v>408.29695394106562</v>
      </c>
      <c r="N29" s="161">
        <f>Development!BG109</f>
        <v>0</v>
      </c>
      <c r="O29" s="161">
        <f t="shared" si="5"/>
        <v>26.948526835126042</v>
      </c>
      <c r="P29" s="161">
        <f>O29*IF(A29=Abandonment!$B$4,1,P$5)</f>
        <v>8.0845580505378116</v>
      </c>
      <c r="Q29" s="161">
        <f>Exploration!Z53</f>
        <v>0</v>
      </c>
      <c r="R29" s="161">
        <f t="shared" si="2"/>
        <v>692.29334837515182</v>
      </c>
      <c r="S29" s="161">
        <f t="shared" si="9"/>
        <v>0</v>
      </c>
      <c r="T29" s="161">
        <f t="shared" si="10"/>
        <v>0</v>
      </c>
      <c r="U29" s="161">
        <f t="shared" si="6"/>
        <v>0</v>
      </c>
      <c r="V29" s="161">
        <f>IF(Input!$B$35="Yes",R29,MAX(0,R29+U28)+S29)</f>
        <v>692.29334837515182</v>
      </c>
      <c r="W29" s="251">
        <v>0.19</v>
      </c>
      <c r="X29" s="161">
        <f t="shared" si="7"/>
        <v>131.53573619127886</v>
      </c>
    </row>
    <row r="30" spans="1:24" ht="15" x14ac:dyDescent="0.25">
      <c r="A30" s="141">
        <f t="shared" si="8"/>
        <v>2031</v>
      </c>
      <c r="B30" s="161">
        <f>Revenue!Q30</f>
        <v>1275.0729649281996</v>
      </c>
      <c r="C30" s="161">
        <f>Operations!M38+Abandonment!G35</f>
        <v>263.78731917529132</v>
      </c>
      <c r="D30" s="161">
        <f>Development!BH110</f>
        <v>0</v>
      </c>
      <c r="E30" s="161">
        <f>IF($A30&lt;Production!$B$4,0,IF($A30=Production!$B$4,SUM(D$9:D30),D30))</f>
        <v>0</v>
      </c>
      <c r="F30" s="161">
        <f t="shared" si="3"/>
        <v>339.52806290104752</v>
      </c>
      <c r="G30" s="161">
        <f>F30*IF(A30&gt;=Abandonment!$B$4,1,G$5)</f>
        <v>84.88201572526188</v>
      </c>
      <c r="H30" s="161">
        <f>Development!BI110</f>
        <v>0</v>
      </c>
      <c r="I30" s="161">
        <f>IF($A30&lt;Production!$B$4,0,IF($A30=Production!$B$4,SUM(H$9:H30),H30))</f>
        <v>0</v>
      </c>
      <c r="J30" s="161">
        <f t="shared" si="4"/>
        <v>0</v>
      </c>
      <c r="K30" s="161">
        <f>J30*IF(Abandonment!$B$4='Federal Tax'!A30,1,K$5)</f>
        <v>0</v>
      </c>
      <c r="L30" s="161">
        <f t="shared" si="1"/>
        <v>926.40363002764639</v>
      </c>
      <c r="M30" s="161">
        <f>Royalty!AM31</f>
        <v>344.71741984238264</v>
      </c>
      <c r="N30" s="161">
        <f>Development!BG110</f>
        <v>0</v>
      </c>
      <c r="O30" s="161">
        <f t="shared" si="5"/>
        <v>18.863968784588231</v>
      </c>
      <c r="P30" s="161">
        <f>O30*IF(A30=Abandonment!$B$4,1,P$5)</f>
        <v>5.6591906353764694</v>
      </c>
      <c r="Q30" s="161">
        <f>Exploration!Z54</f>
        <v>0</v>
      </c>
      <c r="R30" s="161">
        <f t="shared" si="2"/>
        <v>576.0270195498872</v>
      </c>
      <c r="S30" s="161">
        <f t="shared" si="9"/>
        <v>0</v>
      </c>
      <c r="T30" s="161">
        <f t="shared" si="10"/>
        <v>0</v>
      </c>
      <c r="U30" s="161">
        <f t="shared" si="6"/>
        <v>0</v>
      </c>
      <c r="V30" s="161">
        <f>IF(Input!$B$35="Yes",R30,MAX(0,R30+U29)+S30)</f>
        <v>576.0270195498872</v>
      </c>
      <c r="W30" s="251">
        <v>0.19</v>
      </c>
      <c r="X30" s="161">
        <f t="shared" si="7"/>
        <v>109.44513371447857</v>
      </c>
    </row>
    <row r="31" spans="1:24" ht="15" x14ac:dyDescent="0.25">
      <c r="A31" s="141">
        <f t="shared" si="8"/>
        <v>2032</v>
      </c>
      <c r="B31" s="161">
        <f>Revenue!Q31</f>
        <v>1113.7096547264161</v>
      </c>
      <c r="C31" s="161">
        <f>Operations!M39+Abandonment!G36</f>
        <v>259.19760425647735</v>
      </c>
      <c r="D31" s="161">
        <f>Development!BH111</f>
        <v>0</v>
      </c>
      <c r="E31" s="161">
        <f>IF($A31&lt;Production!$B$4,0,IF($A31=Production!$B$4,SUM(D$9:D31),D31))</f>
        <v>0</v>
      </c>
      <c r="F31" s="161">
        <f t="shared" si="3"/>
        <v>254.64604717578564</v>
      </c>
      <c r="G31" s="161">
        <f>F31*IF(A31&gt;=Abandonment!$B$4,1,G$5)</f>
        <v>63.66151179394641</v>
      </c>
      <c r="H31" s="161">
        <f>Development!BI111</f>
        <v>0</v>
      </c>
      <c r="I31" s="161">
        <f>IF($A31&lt;Production!$B$4,0,IF($A31=Production!$B$4,SUM(H$9:H31),H31))</f>
        <v>0</v>
      </c>
      <c r="J31" s="161">
        <f t="shared" si="4"/>
        <v>0</v>
      </c>
      <c r="K31" s="161">
        <f>J31*IF(Abandonment!$B$4='Federal Tax'!A31,1,K$5)</f>
        <v>0</v>
      </c>
      <c r="L31" s="161">
        <f t="shared" si="1"/>
        <v>790.85053867599242</v>
      </c>
      <c r="M31" s="161">
        <f>Royalty!AM32</f>
        <v>290.00730151550187</v>
      </c>
      <c r="N31" s="161">
        <f>Development!BG111</f>
        <v>0</v>
      </c>
      <c r="O31" s="161">
        <f t="shared" si="5"/>
        <v>13.204778149211762</v>
      </c>
      <c r="P31" s="161">
        <f>O31*IF(A31=Abandonment!$B$4,1,P$5)</f>
        <v>3.9614334447635287</v>
      </c>
      <c r="Q31" s="161">
        <f>Exploration!Z55</f>
        <v>0</v>
      </c>
      <c r="R31" s="161">
        <f t="shared" si="2"/>
        <v>496.88180371572702</v>
      </c>
      <c r="S31" s="161">
        <f t="shared" si="9"/>
        <v>0</v>
      </c>
      <c r="T31" s="161">
        <f t="shared" si="10"/>
        <v>0</v>
      </c>
      <c r="U31" s="161">
        <f t="shared" si="6"/>
        <v>0</v>
      </c>
      <c r="V31" s="161">
        <f>IF(Input!$B$35="Yes",R31,MAX(0,R31+U30)+S31)</f>
        <v>496.88180371572702</v>
      </c>
      <c r="W31" s="251">
        <v>0.19</v>
      </c>
      <c r="X31" s="161">
        <f t="shared" si="7"/>
        <v>94.407542705988135</v>
      </c>
    </row>
    <row r="32" spans="1:24" ht="15" x14ac:dyDescent="0.25">
      <c r="A32" s="141">
        <f t="shared" si="8"/>
        <v>2033</v>
      </c>
      <c r="B32" s="161">
        <f>Revenue!Q32</f>
        <v>967.44714429684871</v>
      </c>
      <c r="C32" s="161">
        <f>Operations!M40+Abandonment!G37</f>
        <v>255.80015483709607</v>
      </c>
      <c r="D32" s="161">
        <f>Development!BH112</f>
        <v>0</v>
      </c>
      <c r="E32" s="161">
        <f>IF($A32&lt;Production!$B$4,0,IF($A32=Production!$B$4,SUM(D$9:D32),D32))</f>
        <v>0</v>
      </c>
      <c r="F32" s="161">
        <f t="shared" si="3"/>
        <v>254.64604717578564</v>
      </c>
      <c r="G32" s="161">
        <f>F32*IF(A32&gt;=Abandonment!$B$4,1,G$5)</f>
        <v>63.66151179394641</v>
      </c>
      <c r="H32" s="161">
        <f>Development!BI112</f>
        <v>0</v>
      </c>
      <c r="I32" s="161">
        <f>IF($A32&lt;Production!$B$4,0,IF($A32=Production!$B$4,SUM(H$9:H32),H32))</f>
        <v>0</v>
      </c>
      <c r="J32" s="161">
        <f t="shared" si="4"/>
        <v>0</v>
      </c>
      <c r="K32" s="161">
        <f>J32*IF(Abandonment!$B$4='Federal Tax'!A32,1,K$5)</f>
        <v>0</v>
      </c>
      <c r="L32" s="161">
        <f t="shared" si="1"/>
        <v>647.98547766580623</v>
      </c>
      <c r="M32" s="161">
        <f>Royalty!AM33</f>
        <v>240.12344089161505</v>
      </c>
      <c r="N32" s="161">
        <f>Development!BG112</f>
        <v>0</v>
      </c>
      <c r="O32" s="161">
        <f t="shared" si="5"/>
        <v>9.2433447044482335</v>
      </c>
      <c r="P32" s="161">
        <f>O32*IF(A32=Abandonment!$B$4,1,P$5)</f>
        <v>2.7730034113344701</v>
      </c>
      <c r="Q32" s="161">
        <f>Exploration!Z56</f>
        <v>0</v>
      </c>
      <c r="R32" s="161">
        <f t="shared" si="2"/>
        <v>405.08903336285675</v>
      </c>
      <c r="S32" s="161">
        <f t="shared" si="9"/>
        <v>0</v>
      </c>
      <c r="T32" s="161">
        <f t="shared" si="10"/>
        <v>0</v>
      </c>
      <c r="U32" s="161">
        <f t="shared" si="6"/>
        <v>0</v>
      </c>
      <c r="V32" s="161">
        <f>IF(Input!$B$35="Yes",R32,MAX(0,R32+U31)+S32)</f>
        <v>405.08903336285675</v>
      </c>
      <c r="W32" s="251">
        <v>0.19</v>
      </c>
      <c r="X32" s="161">
        <f t="shared" si="7"/>
        <v>76.966916338942781</v>
      </c>
    </row>
    <row r="33" spans="1:24" ht="15" x14ac:dyDescent="0.25">
      <c r="A33" s="141">
        <f t="shared" si="8"/>
        <v>2034</v>
      </c>
      <c r="B33" s="161">
        <f>Revenue!Q33</f>
        <v>842.88832446863</v>
      </c>
      <c r="C33" s="161">
        <f>Operations!M41+Abandonment!G38</f>
        <v>253.66579948924561</v>
      </c>
      <c r="D33" s="161">
        <f>Development!BH113</f>
        <v>0</v>
      </c>
      <c r="E33" s="161">
        <f>IF($A33&lt;Production!$B$4,0,IF($A33=Production!$B$4,SUM(D$9:D33),D33))</f>
        <v>0</v>
      </c>
      <c r="F33" s="161">
        <f t="shared" si="3"/>
        <v>190.98453538183924</v>
      </c>
      <c r="G33" s="161">
        <f>F33*IF(A33&gt;=Abandonment!$B$4,1,G$5)</f>
        <v>47.746133845459809</v>
      </c>
      <c r="H33" s="161">
        <f>Development!BI113</f>
        <v>0</v>
      </c>
      <c r="I33" s="161">
        <f>IF($A33&lt;Production!$B$4,0,IF($A33=Production!$B$4,SUM(H$9:H33),H33))</f>
        <v>0</v>
      </c>
      <c r="J33" s="161">
        <f t="shared" si="4"/>
        <v>0</v>
      </c>
      <c r="K33" s="161">
        <f>J33*IF(Abandonment!$B$4='Federal Tax'!A33,1,K$5)</f>
        <v>0</v>
      </c>
      <c r="L33" s="161">
        <f t="shared" si="1"/>
        <v>541.47639113392461</v>
      </c>
      <c r="M33" s="161">
        <f>Royalty!AM34</f>
        <v>197.34958076066093</v>
      </c>
      <c r="N33" s="161">
        <f>Development!BG113</f>
        <v>0</v>
      </c>
      <c r="O33" s="161">
        <f t="shared" si="5"/>
        <v>6.4703412931137638</v>
      </c>
      <c r="P33" s="161">
        <f>O33*IF(A33=Abandonment!$B$4,1,P$5)</f>
        <v>1.9411023879341291</v>
      </c>
      <c r="Q33" s="161">
        <f>Exploration!Z57</f>
        <v>0</v>
      </c>
      <c r="R33" s="161">
        <f t="shared" si="2"/>
        <v>342.18570798532954</v>
      </c>
      <c r="S33" s="161">
        <f t="shared" si="9"/>
        <v>0</v>
      </c>
      <c r="T33" s="161">
        <f t="shared" si="10"/>
        <v>0</v>
      </c>
      <c r="U33" s="161">
        <f t="shared" si="6"/>
        <v>0</v>
      </c>
      <c r="V33" s="161">
        <f>IF(Input!$B$35="Yes",R33,MAX(0,R33+U32)+S33)</f>
        <v>342.18570798532954</v>
      </c>
      <c r="W33" s="251">
        <v>0.19</v>
      </c>
      <c r="X33" s="161">
        <f t="shared" si="7"/>
        <v>65.015284517212621</v>
      </c>
    </row>
    <row r="34" spans="1:24" ht="15" x14ac:dyDescent="0.25">
      <c r="A34" s="141">
        <f t="shared" si="8"/>
        <v>2035</v>
      </c>
      <c r="B34" s="161">
        <f>Revenue!Q34</f>
        <v>734.36645269329279</v>
      </c>
      <c r="C34" s="161">
        <f>Operations!M42+Abandonment!G39</f>
        <v>252.57624025711652</v>
      </c>
      <c r="D34" s="161">
        <f>Development!BH114</f>
        <v>0</v>
      </c>
      <c r="E34" s="161">
        <f>IF($A34&lt;Production!$B$4,0,IF($A34=Production!$B$4,SUM(D$9:D34),D34))</f>
        <v>0</v>
      </c>
      <c r="F34" s="161">
        <f t="shared" si="3"/>
        <v>190.98453538183924</v>
      </c>
      <c r="G34" s="161">
        <f>F34*IF(A34&gt;=Abandonment!$B$4,1,G$5)</f>
        <v>47.746133845459809</v>
      </c>
      <c r="H34" s="161">
        <f>Development!BI114</f>
        <v>0</v>
      </c>
      <c r="I34" s="161">
        <f>IF($A34&lt;Production!$B$4,0,IF($A34=Production!$B$4,SUM(H$9:H34),H34))</f>
        <v>0</v>
      </c>
      <c r="J34" s="161">
        <f t="shared" si="4"/>
        <v>0</v>
      </c>
      <c r="K34" s="161">
        <f>J34*IF(Abandonment!$B$4='Federal Tax'!A34,1,K$5)</f>
        <v>0</v>
      </c>
      <c r="L34" s="161">
        <f t="shared" si="1"/>
        <v>434.04407859071648</v>
      </c>
      <c r="M34" s="161">
        <f>Royalty!AM35</f>
        <v>159.7864059436626</v>
      </c>
      <c r="N34" s="161">
        <f>Development!BG114</f>
        <v>0</v>
      </c>
      <c r="O34" s="161">
        <f t="shared" si="5"/>
        <v>4.5292389051796347</v>
      </c>
      <c r="P34" s="161">
        <f>O34*IF(A34=Abandonment!$B$4,1,P$5)</f>
        <v>1.3587716715538904</v>
      </c>
      <c r="Q34" s="161">
        <f>Exploration!Z58</f>
        <v>0</v>
      </c>
      <c r="R34" s="161">
        <f t="shared" si="2"/>
        <v>272.8989009755</v>
      </c>
      <c r="S34" s="161">
        <f t="shared" si="9"/>
        <v>0</v>
      </c>
      <c r="T34" s="161">
        <f t="shared" si="10"/>
        <v>0</v>
      </c>
      <c r="U34" s="161">
        <f t="shared" si="6"/>
        <v>0</v>
      </c>
      <c r="V34" s="161">
        <f>IF(Input!$B$35="Yes",R34,MAX(0,R34+U33)+S34)</f>
        <v>272.8989009755</v>
      </c>
      <c r="W34" s="251">
        <v>0.19</v>
      </c>
      <c r="X34" s="161">
        <f t="shared" si="7"/>
        <v>51.850791185345003</v>
      </c>
    </row>
    <row r="35" spans="1:24" ht="15" x14ac:dyDescent="0.25">
      <c r="A35" s="141">
        <f t="shared" si="8"/>
        <v>2036</v>
      </c>
      <c r="B35" s="161">
        <f>Revenue!Q35</f>
        <v>641.43075021417849</v>
      </c>
      <c r="C35" s="161">
        <f>Operations!M43+Abandonment!G40</f>
        <v>252.44909598687371</v>
      </c>
      <c r="D35" s="161">
        <f>Development!BH115</f>
        <v>0</v>
      </c>
      <c r="E35" s="161">
        <f>IF($A35&lt;Production!$B$4,0,IF($A35=Production!$B$4,SUM(D$9:D35),D35))</f>
        <v>0</v>
      </c>
      <c r="F35" s="161">
        <f t="shared" si="3"/>
        <v>143.23840153637943</v>
      </c>
      <c r="G35" s="161">
        <f>F35*IF(A35&gt;=Abandonment!$B$4,1,G$5)</f>
        <v>35.809600384094857</v>
      </c>
      <c r="H35" s="161">
        <f>Development!BI115</f>
        <v>0</v>
      </c>
      <c r="I35" s="161">
        <f>IF($A35&lt;Production!$B$4,0,IF($A35=Production!$B$4,SUM(H$9:H35),H35))</f>
        <v>0</v>
      </c>
      <c r="J35" s="161">
        <f t="shared" si="4"/>
        <v>0</v>
      </c>
      <c r="K35" s="161">
        <f>J35*IF(Abandonment!$B$4='Federal Tax'!A35,1,K$5)</f>
        <v>0</v>
      </c>
      <c r="L35" s="161">
        <f t="shared" si="1"/>
        <v>353.17205384320994</v>
      </c>
      <c r="M35" s="161">
        <f>Royalty!AM36</f>
        <v>127.30786062001607</v>
      </c>
      <c r="N35" s="161">
        <f>Development!BG115</f>
        <v>0</v>
      </c>
      <c r="O35" s="161">
        <f t="shared" si="5"/>
        <v>3.170467233625744</v>
      </c>
      <c r="P35" s="161">
        <f>O35*IF(A35=Abandonment!$B$4,1,P$5)</f>
        <v>0.95114017008772311</v>
      </c>
      <c r="Q35" s="161">
        <f>Exploration!Z59</f>
        <v>0</v>
      </c>
      <c r="R35" s="161">
        <f t="shared" si="2"/>
        <v>224.91305305310615</v>
      </c>
      <c r="S35" s="161">
        <f t="shared" si="9"/>
        <v>0</v>
      </c>
      <c r="T35" s="161">
        <f t="shared" si="10"/>
        <v>0</v>
      </c>
      <c r="U35" s="161">
        <f t="shared" si="6"/>
        <v>0</v>
      </c>
      <c r="V35" s="161">
        <f>IF(Input!$B$35="Yes",R35,MAX(0,R35+U34)+S35)</f>
        <v>224.91305305310615</v>
      </c>
      <c r="W35" s="251">
        <v>0.19</v>
      </c>
      <c r="X35" s="161">
        <f t="shared" si="7"/>
        <v>42.733480080090168</v>
      </c>
    </row>
    <row r="36" spans="1:24" ht="15" x14ac:dyDescent="0.25">
      <c r="A36" s="141">
        <f t="shared" si="8"/>
        <v>2037</v>
      </c>
      <c r="B36" s="161">
        <f>Revenue!Q36</f>
        <v>557.19221336132716</v>
      </c>
      <c r="C36" s="161">
        <f>Operations!M44+Abandonment!G41</f>
        <v>253.07153246442351</v>
      </c>
      <c r="D36" s="161">
        <f>Development!BH116</f>
        <v>0</v>
      </c>
      <c r="E36" s="161">
        <f>IF($A36&lt;Production!$B$4,0,IF($A36=Production!$B$4,SUM(D$9:D36),D36))</f>
        <v>0</v>
      </c>
      <c r="F36" s="161">
        <f t="shared" si="3"/>
        <v>143.23840153637943</v>
      </c>
      <c r="G36" s="161">
        <f>F36*IF(A36&gt;=Abandonment!$B$4,1,G$5)</f>
        <v>35.809600384094857</v>
      </c>
      <c r="H36" s="161">
        <f>Development!BI116</f>
        <v>0</v>
      </c>
      <c r="I36" s="161">
        <f>IF($A36&lt;Production!$B$4,0,IF($A36=Production!$B$4,SUM(H$9:H36),H36))</f>
        <v>0</v>
      </c>
      <c r="J36" s="161">
        <f t="shared" si="4"/>
        <v>0</v>
      </c>
      <c r="K36" s="161">
        <f>J36*IF(Abandonment!$B$4='Federal Tax'!A36,1,K$5)</f>
        <v>0</v>
      </c>
      <c r="L36" s="161">
        <f t="shared" si="1"/>
        <v>268.31108051280881</v>
      </c>
      <c r="M36" s="161">
        <f>Royalty!AM37</f>
        <v>97.584734677661416</v>
      </c>
      <c r="N36" s="161">
        <f>Development!BG116</f>
        <v>0</v>
      </c>
      <c r="O36" s="161">
        <f t="shared" si="5"/>
        <v>2.2193270635380209</v>
      </c>
      <c r="P36" s="161">
        <f>O36*IF(A36=Abandonment!$B$4,1,P$5)</f>
        <v>0.66579811906140629</v>
      </c>
      <c r="Q36" s="161">
        <f>Exploration!Z60</f>
        <v>0</v>
      </c>
      <c r="R36" s="161">
        <f t="shared" si="2"/>
        <v>170.06054771608601</v>
      </c>
      <c r="S36" s="161">
        <f t="shared" si="9"/>
        <v>0</v>
      </c>
      <c r="T36" s="161">
        <f t="shared" si="10"/>
        <v>0</v>
      </c>
      <c r="U36" s="161">
        <f t="shared" si="6"/>
        <v>0</v>
      </c>
      <c r="V36" s="161">
        <f>IF(Input!$B$35="Yes",R36,MAX(0,R36+U35)+S36)</f>
        <v>170.06054771608601</v>
      </c>
      <c r="W36" s="251">
        <v>0.19</v>
      </c>
      <c r="X36" s="161">
        <f t="shared" si="7"/>
        <v>32.311504066056344</v>
      </c>
    </row>
    <row r="37" spans="1:24" ht="15" x14ac:dyDescent="0.25">
      <c r="A37" s="141">
        <f t="shared" si="8"/>
        <v>2038</v>
      </c>
      <c r="B37" s="161">
        <f>Revenue!Q37</f>
        <v>485.45371589105798</v>
      </c>
      <c r="C37" s="161">
        <f>Operations!M45+Abandonment!G42</f>
        <v>254.4859154113785</v>
      </c>
      <c r="D37" s="161">
        <f>Development!BH117</f>
        <v>0</v>
      </c>
      <c r="E37" s="161">
        <f>IF($A37&lt;Production!$B$4,0,IF($A37=Production!$B$4,SUM(D$9:D37),D37))</f>
        <v>0</v>
      </c>
      <c r="F37" s="161">
        <f t="shared" si="3"/>
        <v>107.42880115228456</v>
      </c>
      <c r="G37" s="161">
        <f>F37*IF(A37&gt;=Abandonment!$B$4,1,G$5)</f>
        <v>26.857200288071141</v>
      </c>
      <c r="H37" s="161">
        <f>Development!BI117</f>
        <v>0</v>
      </c>
      <c r="I37" s="161">
        <f>IF($A37&lt;Production!$B$4,0,IF($A37=Production!$B$4,SUM(H$9:H37),H37))</f>
        <v>0</v>
      </c>
      <c r="J37" s="161">
        <f t="shared" si="4"/>
        <v>0</v>
      </c>
      <c r="K37" s="161">
        <f>J37*IF(Abandonment!$B$4='Federal Tax'!A37,1,K$5)</f>
        <v>0</v>
      </c>
      <c r="L37" s="161">
        <f t="shared" si="1"/>
        <v>204.11060019160834</v>
      </c>
      <c r="M37" s="161">
        <f>Royalty!AM38</f>
        <v>71.931723128489566</v>
      </c>
      <c r="N37" s="161">
        <f>Development!BG117</f>
        <v>0</v>
      </c>
      <c r="O37" s="161">
        <f t="shared" si="5"/>
        <v>1.5535289444766147</v>
      </c>
      <c r="P37" s="161">
        <f>O37*IF(A37=Abandonment!$B$4,1,P$5)</f>
        <v>0.46605868334298439</v>
      </c>
      <c r="Q37" s="161">
        <f>Exploration!Z61</f>
        <v>0</v>
      </c>
      <c r="R37" s="161">
        <f t="shared" si="2"/>
        <v>131.71281837977577</v>
      </c>
      <c r="S37" s="161">
        <f t="shared" si="9"/>
        <v>0</v>
      </c>
      <c r="T37" s="161">
        <f t="shared" si="10"/>
        <v>0</v>
      </c>
      <c r="U37" s="161">
        <f t="shared" si="6"/>
        <v>0</v>
      </c>
      <c r="V37" s="161">
        <f>IF(Input!$B$35="Yes",R37,MAX(0,R37+U36)+S37)</f>
        <v>131.71281837977577</v>
      </c>
      <c r="W37" s="251">
        <v>0.19</v>
      </c>
      <c r="X37" s="161">
        <f t="shared" si="7"/>
        <v>25.025435492157396</v>
      </c>
    </row>
    <row r="38" spans="1:24" ht="15" x14ac:dyDescent="0.25">
      <c r="A38" s="141">
        <f t="shared" si="8"/>
        <v>2039</v>
      </c>
      <c r="B38" s="161">
        <f>Revenue!Q38</f>
        <v>422.9515499700841</v>
      </c>
      <c r="C38" s="161">
        <f>Operations!M46+Abandonment!G43</f>
        <v>256.56813012270663</v>
      </c>
      <c r="D38" s="161">
        <f>Development!BH118</f>
        <v>0</v>
      </c>
      <c r="E38" s="161">
        <f>IF($A38&lt;Production!$B$4,0,IF($A38=Production!$B$4,SUM(D$9:D38),D38))</f>
        <v>0</v>
      </c>
      <c r="F38" s="161">
        <f t="shared" si="3"/>
        <v>107.42880115228456</v>
      </c>
      <c r="G38" s="161">
        <f>F38*IF(A38&gt;=Abandonment!$B$4,1,G$5)</f>
        <v>26.857200288071141</v>
      </c>
      <c r="H38" s="161">
        <f>Development!BI118</f>
        <v>0</v>
      </c>
      <c r="I38" s="161">
        <f>IF($A38&lt;Production!$B$4,0,IF($A38=Production!$B$4,SUM(H$9:H38),H38))</f>
        <v>0</v>
      </c>
      <c r="J38" s="161">
        <f t="shared" si="4"/>
        <v>0</v>
      </c>
      <c r="K38" s="161">
        <f>J38*IF(Abandonment!$B$4='Federal Tax'!A38,1,K$5)</f>
        <v>0</v>
      </c>
      <c r="L38" s="161">
        <f t="shared" si="1"/>
        <v>139.52621955930633</v>
      </c>
      <c r="M38" s="161">
        <f>Royalty!AM39</f>
        <v>49.254312392287375</v>
      </c>
      <c r="N38" s="161">
        <f>Development!BG118</f>
        <v>0</v>
      </c>
      <c r="O38" s="161">
        <f t="shared" si="5"/>
        <v>1.0874702611336304</v>
      </c>
      <c r="P38" s="161">
        <f>O38*IF(A38=Abandonment!$B$4,1,P$5)</f>
        <v>0.32624107834008914</v>
      </c>
      <c r="Q38" s="161">
        <f>Exploration!Z62</f>
        <v>0</v>
      </c>
      <c r="R38" s="161">
        <f t="shared" si="2"/>
        <v>89.945666088678863</v>
      </c>
      <c r="S38" s="161">
        <f t="shared" si="9"/>
        <v>0</v>
      </c>
      <c r="T38" s="161">
        <f t="shared" si="10"/>
        <v>0</v>
      </c>
      <c r="U38" s="161">
        <f t="shared" si="6"/>
        <v>0</v>
      </c>
      <c r="V38" s="161">
        <f>IF(Input!$B$35="Yes",R38,MAX(0,R38+U37)+S38)</f>
        <v>89.945666088678863</v>
      </c>
      <c r="W38" s="251">
        <v>0.19</v>
      </c>
      <c r="X38" s="161">
        <f t="shared" si="7"/>
        <v>17.089676556848985</v>
      </c>
    </row>
    <row r="39" spans="1:24" x14ac:dyDescent="0.3">
      <c r="A39" s="141">
        <f t="shared" si="8"/>
        <v>2040</v>
      </c>
      <c r="B39" s="161">
        <f>Revenue!Q39</f>
        <v>369.42609375276629</v>
      </c>
      <c r="C39" s="161">
        <f>Operations!M47+Abandonment!G44</f>
        <v>259.27238221482975</v>
      </c>
      <c r="D39" s="161">
        <f>Development!BH119</f>
        <v>0</v>
      </c>
      <c r="E39" s="161">
        <f>IF($A39&lt;Production!$B$4,0,IF($A39=Production!$B$4,SUM(D$9:D39),D39))</f>
        <v>0</v>
      </c>
      <c r="F39" s="161">
        <f t="shared" si="3"/>
        <v>80.571600864213423</v>
      </c>
      <c r="G39" s="161">
        <f>F39*IF(A39&gt;=Abandonment!$B$4,1,G$5)</f>
        <v>20.142900216053356</v>
      </c>
      <c r="H39" s="161">
        <f>Development!BI119</f>
        <v>0</v>
      </c>
      <c r="I39" s="161">
        <f>IF($A39&lt;Production!$B$4,0,IF($A39=Production!$B$4,SUM(H$9:H39),H39))</f>
        <v>0</v>
      </c>
      <c r="J39" s="161">
        <f t="shared" si="4"/>
        <v>0</v>
      </c>
      <c r="K39" s="161">
        <f>J39*IF(Abandonment!$B$4='Federal Tax'!A39,1,K$5)</f>
        <v>0</v>
      </c>
      <c r="L39" s="161">
        <f t="shared" si="1"/>
        <v>90.010811321883182</v>
      </c>
      <c r="M39" s="161">
        <f>Royalty!AM40</f>
        <v>29.479265660758745</v>
      </c>
      <c r="N39" s="161">
        <f>Development!BG119</f>
        <v>0</v>
      </c>
      <c r="O39" s="161">
        <f t="shared" si="5"/>
        <v>0.76122918279354135</v>
      </c>
      <c r="P39" s="161">
        <f>O39*IF(A39=Abandonment!$B$4,1,P$5)</f>
        <v>0.2283687548380624</v>
      </c>
      <c r="Q39" s="161">
        <f>Exploration!Z63</f>
        <v>0</v>
      </c>
      <c r="R39" s="161">
        <f t="shared" si="2"/>
        <v>60.303176906286375</v>
      </c>
      <c r="S39" s="161">
        <f t="shared" si="9"/>
        <v>0</v>
      </c>
      <c r="T39" s="161">
        <f t="shared" si="10"/>
        <v>0</v>
      </c>
      <c r="U39" s="161">
        <f t="shared" si="6"/>
        <v>0</v>
      </c>
      <c r="V39" s="161">
        <f>IF(Input!$B$35="Yes",R39,MAX(0,R39+U38)+S39)</f>
        <v>60.303176906286375</v>
      </c>
      <c r="W39" s="251">
        <v>0.19</v>
      </c>
      <c r="X39" s="161">
        <f t="shared" si="7"/>
        <v>11.457603612194411</v>
      </c>
    </row>
    <row r="40" spans="1:24" x14ac:dyDescent="0.3">
      <c r="A40" s="141">
        <f t="shared" si="8"/>
        <v>2041</v>
      </c>
      <c r="B40" s="161">
        <f>Revenue!Q40</f>
        <v>320.90968944473371</v>
      </c>
      <c r="C40" s="161">
        <f>Operations!M48+Abandonment!G45</f>
        <v>262.47778538052569</v>
      </c>
      <c r="D40" s="161">
        <f>Development!BH120</f>
        <v>0</v>
      </c>
      <c r="E40" s="161">
        <f>IF($A40&lt;Production!$B$4,0,IF($A40=Production!$B$4,SUM(D$9:D40),D40))</f>
        <v>0</v>
      </c>
      <c r="F40" s="161">
        <f t="shared" si="3"/>
        <v>80.571600864213423</v>
      </c>
      <c r="G40" s="161">
        <f>F40*IF(A40&gt;=Abandonment!$B$4,1,G$5)</f>
        <v>20.142900216053356</v>
      </c>
      <c r="H40" s="161">
        <f>Development!BI120</f>
        <v>0</v>
      </c>
      <c r="I40" s="161">
        <f>IF($A40&lt;Production!$B$4,0,IF($A40=Production!$B$4,SUM(H$9:H40),H40))</f>
        <v>0</v>
      </c>
      <c r="J40" s="161">
        <f t="shared" si="4"/>
        <v>0</v>
      </c>
      <c r="K40" s="161">
        <f>J40*IF(Abandonment!$B$4='Federal Tax'!A40,1,K$5)</f>
        <v>0</v>
      </c>
      <c r="L40" s="161">
        <f t="shared" si="1"/>
        <v>38.289003848154671</v>
      </c>
      <c r="M40" s="161">
        <f>Royalty!AM41</f>
        <v>16.045484472236687</v>
      </c>
      <c r="N40" s="161">
        <f>Development!BG120</f>
        <v>0</v>
      </c>
      <c r="O40" s="161">
        <f t="shared" si="5"/>
        <v>0.53286042795547894</v>
      </c>
      <c r="P40" s="161">
        <f>O40*IF(A40=Abandonment!$B$4,1,P$5)</f>
        <v>0.15985812838664368</v>
      </c>
      <c r="Q40" s="161">
        <f>Exploration!Z64</f>
        <v>0</v>
      </c>
      <c r="R40" s="161">
        <f t="shared" si="2"/>
        <v>22.083661247531339</v>
      </c>
      <c r="S40" s="161">
        <f t="shared" si="9"/>
        <v>0</v>
      </c>
      <c r="T40" s="161">
        <f t="shared" si="10"/>
        <v>0</v>
      </c>
      <c r="U40" s="161">
        <f t="shared" si="6"/>
        <v>0</v>
      </c>
      <c r="V40" s="161">
        <f>IF(Input!$B$35="Yes",R40,MAX(0,R40+U39)+S40)</f>
        <v>22.083661247531339</v>
      </c>
      <c r="W40" s="251">
        <v>0.19</v>
      </c>
      <c r="X40" s="161">
        <f t="shared" si="7"/>
        <v>4.1958956370309544</v>
      </c>
    </row>
    <row r="41" spans="1:24" x14ac:dyDescent="0.3">
      <c r="A41" s="141">
        <f t="shared" si="8"/>
        <v>2042</v>
      </c>
      <c r="B41" s="161">
        <f>Revenue!Q41</f>
        <v>279.59256692872322</v>
      </c>
      <c r="C41" s="161">
        <f>Operations!M49+Abandonment!G46</f>
        <v>266.21047568916032</v>
      </c>
      <c r="D41" s="161">
        <f>Development!BH121</f>
        <v>0</v>
      </c>
      <c r="E41" s="161">
        <f>IF($A41&lt;Production!$B$4,0,IF($A41=Production!$B$4,SUM(D$9:D41),D41))</f>
        <v>0</v>
      </c>
      <c r="F41" s="161">
        <f t="shared" si="3"/>
        <v>60.428700648160067</v>
      </c>
      <c r="G41" s="161">
        <f>F41*IF(A41&gt;=Abandonment!$B$4,1,G$5)</f>
        <v>15.107175162040017</v>
      </c>
      <c r="H41" s="161">
        <f>Development!BI121</f>
        <v>0</v>
      </c>
      <c r="I41" s="161">
        <f>IF($A41&lt;Production!$B$4,0,IF($A41=Production!$B$4,SUM(H$9:H41),H41))</f>
        <v>0</v>
      </c>
      <c r="J41" s="161">
        <f t="shared" si="4"/>
        <v>0</v>
      </c>
      <c r="K41" s="161">
        <f>J41*IF(Abandonment!$B$4='Federal Tax'!A41,1,K$5)</f>
        <v>0</v>
      </c>
      <c r="L41" s="161">
        <f t="shared" si="1"/>
        <v>-1.7250839224771202</v>
      </c>
      <c r="M41" s="161">
        <f>Royalty!AM42</f>
        <v>13.979628346436163</v>
      </c>
      <c r="N41" s="161">
        <f>Development!BG121</f>
        <v>0</v>
      </c>
      <c r="O41" s="161">
        <f t="shared" si="5"/>
        <v>0.37300229956883524</v>
      </c>
      <c r="P41" s="161">
        <f>O41*IF(A41=Abandonment!$B$4,1,P$5)</f>
        <v>0.11190068987065056</v>
      </c>
      <c r="Q41" s="161">
        <f>Exploration!Z65</f>
        <v>0</v>
      </c>
      <c r="R41" s="161">
        <f t="shared" si="2"/>
        <v>-15.816612958783933</v>
      </c>
      <c r="S41" s="161">
        <f t="shared" si="9"/>
        <v>-15.816612958783933</v>
      </c>
      <c r="T41" s="161">
        <f t="shared" si="10"/>
        <v>0</v>
      </c>
      <c r="U41" s="161">
        <f t="shared" si="6"/>
        <v>0</v>
      </c>
      <c r="V41" s="161">
        <f>IF(Input!$B$35="Yes",R41,MAX(0,R41+U40)+S41)</f>
        <v>-15.816612958783933</v>
      </c>
      <c r="W41" s="251">
        <v>0.19</v>
      </c>
      <c r="X41" s="161">
        <f t="shared" si="7"/>
        <v>-3.0051564621689475</v>
      </c>
    </row>
    <row r="42" spans="1:24" x14ac:dyDescent="0.3">
      <c r="A42" s="141">
        <f t="shared" si="8"/>
        <v>2043</v>
      </c>
      <c r="B42" s="161">
        <f>Revenue!Q42</f>
        <v>0</v>
      </c>
      <c r="C42" s="161">
        <f>Operations!M50+Abandonment!G47</f>
        <v>360.12613373360404</v>
      </c>
      <c r="D42" s="161">
        <f>Development!BH122</f>
        <v>0</v>
      </c>
      <c r="E42" s="161">
        <f>IF($A42&lt;Production!$B$4,0,IF($A42=Production!$B$4,SUM(D$9:D42),D42))</f>
        <v>0</v>
      </c>
      <c r="F42" s="161">
        <f t="shared" si="3"/>
        <v>60.428700648160067</v>
      </c>
      <c r="G42" s="161">
        <f>F42*IF(A42&gt;=Abandonment!$B$4,1,G$5)</f>
        <v>60.428700648160067</v>
      </c>
      <c r="H42" s="161">
        <f>Development!BI122</f>
        <v>0</v>
      </c>
      <c r="I42" s="161">
        <f>IF($A42&lt;Production!$B$4,0,IF($A42=Production!$B$4,SUM(H$9:H42),H42))</f>
        <v>0</v>
      </c>
      <c r="J42" s="161">
        <f t="shared" si="4"/>
        <v>0</v>
      </c>
      <c r="K42" s="161">
        <f>J42*IF(Abandonment!$B$4='Federal Tax'!A42,1,K$5)</f>
        <v>0</v>
      </c>
      <c r="L42" s="161">
        <f t="shared" si="1"/>
        <v>-420.55483438176412</v>
      </c>
      <c r="M42" s="161">
        <f>Royalty!AM43</f>
        <v>-75.160820686464504</v>
      </c>
      <c r="N42" s="161">
        <f>Development!BG122</f>
        <v>0</v>
      </c>
      <c r="O42" s="161">
        <f t="shared" si="5"/>
        <v>0.26110160969818469</v>
      </c>
      <c r="P42" s="161">
        <f>O42*IF(A42=Abandonment!$B$4,1,P$5)</f>
        <v>0.26110160969818469</v>
      </c>
      <c r="Q42" s="161">
        <f>Exploration!Z66</f>
        <v>0</v>
      </c>
      <c r="R42" s="161">
        <f t="shared" si="2"/>
        <v>-345.65511530499782</v>
      </c>
      <c r="S42" s="161">
        <f t="shared" si="9"/>
        <v>-82.386838153817706</v>
      </c>
      <c r="T42" s="161">
        <f t="shared" si="10"/>
        <v>-22.083661247531332</v>
      </c>
      <c r="U42" s="161">
        <f t="shared" si="6"/>
        <v>-263.26827715118009</v>
      </c>
      <c r="V42" s="161">
        <f>IF(Input!$B$35="Yes",R42,MAX(0,R42+U41)+S42)</f>
        <v>-345.65511530499782</v>
      </c>
      <c r="W42" s="251">
        <v>0.19</v>
      </c>
      <c r="X42" s="161">
        <f t="shared" si="7"/>
        <v>-65.674471907949581</v>
      </c>
    </row>
    <row r="43" spans="1:24" x14ac:dyDescent="0.3">
      <c r="A43" s="141">
        <f t="shared" si="8"/>
        <v>2044</v>
      </c>
      <c r="B43" s="161">
        <f>Revenue!Q43</f>
        <v>0</v>
      </c>
      <c r="C43" s="161">
        <f>Operations!M51+Abandonment!G48</f>
        <v>0</v>
      </c>
      <c r="D43" s="161">
        <f>Development!BH123</f>
        <v>0</v>
      </c>
      <c r="E43" s="161">
        <f>IF($A43&lt;Production!$B$4,0,IF($A43=Production!$B$4,SUM(D$9:D43),D43))</f>
        <v>0</v>
      </c>
      <c r="F43" s="161">
        <f t="shared" si="3"/>
        <v>45.321525486120052</v>
      </c>
      <c r="G43" s="161">
        <f>F43*IF(A43&gt;=Abandonment!$B$4,1,G$5)</f>
        <v>45.321525486120052</v>
      </c>
      <c r="H43" s="161">
        <f>Development!BI123</f>
        <v>0</v>
      </c>
      <c r="I43" s="161">
        <f>IF($A43&lt;Production!$B$4,0,IF($A43=Production!$B$4,SUM(H$9:H43),H43))</f>
        <v>0</v>
      </c>
      <c r="J43" s="161">
        <f t="shared" si="4"/>
        <v>0</v>
      </c>
      <c r="K43" s="161">
        <f>J43*IF(Abandonment!$B$4='Federal Tax'!A43,1,K$5)</f>
        <v>0</v>
      </c>
      <c r="L43" s="161">
        <f t="shared" si="1"/>
        <v>-45.321525486120052</v>
      </c>
      <c r="M43" s="161">
        <f>Royalty!AM44</f>
        <v>0</v>
      </c>
      <c r="N43" s="161">
        <f>Development!BG123</f>
        <v>0</v>
      </c>
      <c r="O43" s="161">
        <f t="shared" si="5"/>
        <v>0</v>
      </c>
      <c r="P43" s="161">
        <f>O43*IF(A43=Abandonment!$B$4,1,P$5)</f>
        <v>0</v>
      </c>
      <c r="Q43" s="161">
        <f>Exploration!Z67</f>
        <v>0</v>
      </c>
      <c r="R43" s="161">
        <f t="shared" si="2"/>
        <v>-45.321525486120052</v>
      </c>
      <c r="S43" s="161">
        <f t="shared" si="9"/>
        <v>0</v>
      </c>
      <c r="T43" s="161">
        <f t="shared" si="10"/>
        <v>0</v>
      </c>
      <c r="U43" s="161">
        <f t="shared" si="6"/>
        <v>-308.58980263730012</v>
      </c>
      <c r="V43" s="161">
        <f>IF(Input!$B$35="Yes",R43,MAX(0,R43+U42)+S43)</f>
        <v>-45.321525486120052</v>
      </c>
      <c r="W43" s="251">
        <v>0.19</v>
      </c>
      <c r="X43" s="161">
        <f t="shared" si="7"/>
        <v>-8.6110898423628104</v>
      </c>
    </row>
    <row r="44" spans="1:24" x14ac:dyDescent="0.3">
      <c r="A44" s="141">
        <f t="shared" si="8"/>
        <v>2045</v>
      </c>
      <c r="B44" s="161">
        <f>Revenue!Q44</f>
        <v>0</v>
      </c>
      <c r="C44" s="161">
        <f>Operations!M52+Abandonment!G49</f>
        <v>0</v>
      </c>
      <c r="D44" s="161">
        <f>Development!BH124</f>
        <v>0</v>
      </c>
      <c r="E44" s="161">
        <f>IF($A44&lt;Production!$B$4,0,IF($A44=Production!$B$4,SUM(D$9:D44),D44))</f>
        <v>0</v>
      </c>
      <c r="F44" s="161">
        <f t="shared" si="3"/>
        <v>0</v>
      </c>
      <c r="G44" s="161">
        <f>F44*IF(A44&gt;=Abandonment!$B$4,1,G$5)</f>
        <v>0</v>
      </c>
      <c r="H44" s="161">
        <f>Development!BI124</f>
        <v>0</v>
      </c>
      <c r="I44" s="161">
        <f>IF($A44&lt;Production!$B$4,0,IF($A44=Production!$B$4,SUM(H$9:H44),H44))</f>
        <v>0</v>
      </c>
      <c r="J44" s="161">
        <f t="shared" si="4"/>
        <v>0</v>
      </c>
      <c r="K44" s="161">
        <f>J44*IF(Abandonment!$B$4='Federal Tax'!A44,1,K$5)</f>
        <v>0</v>
      </c>
      <c r="L44" s="161">
        <f t="shared" si="1"/>
        <v>0</v>
      </c>
      <c r="M44" s="161">
        <f>Royalty!AM45</f>
        <v>0</v>
      </c>
      <c r="N44" s="161">
        <f>Development!BG124</f>
        <v>0</v>
      </c>
      <c r="O44" s="161">
        <f t="shared" si="5"/>
        <v>0</v>
      </c>
      <c r="P44" s="161">
        <f>O44*IF(A44=Abandonment!$B$4,1,P$5)</f>
        <v>0</v>
      </c>
      <c r="Q44" s="161">
        <f>Exploration!Z68</f>
        <v>0</v>
      </c>
      <c r="R44" s="161">
        <f t="shared" si="2"/>
        <v>0</v>
      </c>
      <c r="S44" s="161">
        <f t="shared" si="9"/>
        <v>0</v>
      </c>
      <c r="T44" s="161">
        <f t="shared" si="10"/>
        <v>0</v>
      </c>
      <c r="U44" s="161">
        <f t="shared" si="6"/>
        <v>-308.58980263730012</v>
      </c>
      <c r="V44" s="161">
        <f>IF(Input!$B$35="Yes",R44,MAX(0,R44+U43)+S44)</f>
        <v>0</v>
      </c>
      <c r="W44" s="251">
        <v>0.19</v>
      </c>
      <c r="X44" s="161">
        <f t="shared" si="7"/>
        <v>0</v>
      </c>
    </row>
    <row r="45" spans="1:24" x14ac:dyDescent="0.3">
      <c r="A45" s="141">
        <f t="shared" si="8"/>
        <v>2046</v>
      </c>
      <c r="B45" s="161">
        <f>Revenue!Q45</f>
        <v>0</v>
      </c>
      <c r="C45" s="161">
        <f>Operations!M53+Abandonment!G50</f>
        <v>0</v>
      </c>
      <c r="D45" s="161">
        <f>Development!BH125</f>
        <v>0</v>
      </c>
      <c r="E45" s="161">
        <f>IF($A45&lt;Production!$B$4,0,IF($A45=Production!$B$4,SUM(D$9:D45),D45))</f>
        <v>0</v>
      </c>
      <c r="F45" s="161">
        <f t="shared" si="3"/>
        <v>0</v>
      </c>
      <c r="G45" s="161">
        <f>F45*IF(A45&gt;=Abandonment!$B$4,1,G$5)</f>
        <v>0</v>
      </c>
      <c r="H45" s="161">
        <f>Development!BI125</f>
        <v>0</v>
      </c>
      <c r="I45" s="161">
        <f>IF($A45&lt;Production!$B$4,0,IF($A45=Production!$B$4,SUM(H$9:H45),H45))</f>
        <v>0</v>
      </c>
      <c r="J45" s="161">
        <f t="shared" si="4"/>
        <v>0</v>
      </c>
      <c r="K45" s="161">
        <f>J45*IF(Abandonment!$B$4='Federal Tax'!A45,1,K$5)</f>
        <v>0</v>
      </c>
      <c r="L45" s="161">
        <f t="shared" si="1"/>
        <v>0</v>
      </c>
      <c r="M45" s="161">
        <f>Royalty!AM46</f>
        <v>0</v>
      </c>
      <c r="N45" s="161">
        <f>Development!BG125</f>
        <v>0</v>
      </c>
      <c r="O45" s="161">
        <f t="shared" si="5"/>
        <v>0</v>
      </c>
      <c r="P45" s="161">
        <f>O45*IF(A45=Abandonment!$B$4,1,P$5)</f>
        <v>0</v>
      </c>
      <c r="Q45" s="161">
        <f>Exploration!Z69</f>
        <v>0</v>
      </c>
      <c r="R45" s="161">
        <f t="shared" si="2"/>
        <v>0</v>
      </c>
      <c r="S45" s="161">
        <f t="shared" si="9"/>
        <v>0</v>
      </c>
      <c r="T45" s="161">
        <f t="shared" si="10"/>
        <v>0</v>
      </c>
      <c r="U45" s="161">
        <f t="shared" si="6"/>
        <v>-308.58980263730012</v>
      </c>
      <c r="V45" s="161">
        <f>IF(Input!$B$35="Yes",R45,MAX(0,R45+U44)+S45)</f>
        <v>0</v>
      </c>
      <c r="W45" s="251">
        <v>0.19</v>
      </c>
      <c r="X45" s="161">
        <f t="shared" si="7"/>
        <v>0</v>
      </c>
    </row>
    <row r="46" spans="1:24" x14ac:dyDescent="0.3">
      <c r="A46" s="141">
        <f t="shared" si="8"/>
        <v>2047</v>
      </c>
      <c r="B46" s="161">
        <f>Revenue!Q46</f>
        <v>0</v>
      </c>
      <c r="C46" s="161">
        <f>Operations!M54+Abandonment!G51</f>
        <v>0</v>
      </c>
      <c r="D46" s="161">
        <f>Development!BH126</f>
        <v>0</v>
      </c>
      <c r="E46" s="161">
        <f>IF($A46&lt;Production!$B$4,0,IF($A46=Production!$B$4,SUM(D$9:D46),D46))</f>
        <v>0</v>
      </c>
      <c r="F46" s="161">
        <f t="shared" si="3"/>
        <v>0</v>
      </c>
      <c r="G46" s="161">
        <f>F46*IF(A46&gt;=Abandonment!$B$4,1,G$5)</f>
        <v>0</v>
      </c>
      <c r="H46" s="161">
        <f>Development!BI126</f>
        <v>0</v>
      </c>
      <c r="I46" s="161">
        <f>IF($A46&lt;Production!$B$4,0,IF($A46=Production!$B$4,SUM(H$9:H46),H46))</f>
        <v>0</v>
      </c>
      <c r="J46" s="161">
        <f t="shared" si="4"/>
        <v>0</v>
      </c>
      <c r="K46" s="161">
        <f>J46*IF(Abandonment!$B$4='Federal Tax'!A46,1,K$5)</f>
        <v>0</v>
      </c>
      <c r="L46" s="161">
        <f t="shared" si="1"/>
        <v>0</v>
      </c>
      <c r="M46" s="161">
        <f>Royalty!AM47</f>
        <v>0</v>
      </c>
      <c r="N46" s="161">
        <f>Development!BG126</f>
        <v>0</v>
      </c>
      <c r="O46" s="161">
        <f t="shared" si="5"/>
        <v>0</v>
      </c>
      <c r="P46" s="161">
        <f>O46*IF(A46=Abandonment!$B$4,1,P$5)</f>
        <v>0</v>
      </c>
      <c r="Q46" s="161">
        <f>Exploration!Z70</f>
        <v>0</v>
      </c>
      <c r="R46" s="161">
        <f t="shared" si="2"/>
        <v>0</v>
      </c>
      <c r="S46" s="161">
        <f t="shared" si="9"/>
        <v>0</v>
      </c>
      <c r="T46" s="161">
        <f t="shared" si="10"/>
        <v>0</v>
      </c>
      <c r="U46" s="161">
        <f t="shared" si="6"/>
        <v>-308.58980263730012</v>
      </c>
      <c r="V46" s="161">
        <f>IF(Input!$B$35="Yes",R46,MAX(0,R46+U45)+S46)</f>
        <v>0</v>
      </c>
      <c r="W46" s="251">
        <v>0.19</v>
      </c>
      <c r="X46" s="161">
        <f t="shared" si="7"/>
        <v>0</v>
      </c>
    </row>
    <row r="47" spans="1:24" x14ac:dyDescent="0.3">
      <c r="A47" s="141">
        <f t="shared" si="8"/>
        <v>2048</v>
      </c>
      <c r="B47" s="161">
        <f>Revenue!Q47</f>
        <v>0</v>
      </c>
      <c r="C47" s="161">
        <f>Operations!M55+Abandonment!G52</f>
        <v>0</v>
      </c>
      <c r="D47" s="161">
        <f>Development!BH127</f>
        <v>0</v>
      </c>
      <c r="E47" s="161">
        <f>IF($A47&lt;Production!$B$4,0,IF($A47=Production!$B$4,SUM(D$9:D47),D47))</f>
        <v>0</v>
      </c>
      <c r="F47" s="161">
        <f t="shared" si="3"/>
        <v>0</v>
      </c>
      <c r="G47" s="161">
        <f>F47*IF(A47&gt;=Abandonment!$B$4,1,G$5)</f>
        <v>0</v>
      </c>
      <c r="H47" s="161">
        <f>Development!BI127</f>
        <v>0</v>
      </c>
      <c r="I47" s="161">
        <f>IF($A47&lt;Production!$B$4,0,IF($A47=Production!$B$4,SUM(H$9:H47),H47))</f>
        <v>0</v>
      </c>
      <c r="J47" s="161">
        <f t="shared" si="4"/>
        <v>0</v>
      </c>
      <c r="K47" s="161">
        <f>J47*IF(Abandonment!$B$4='Federal Tax'!A47,1,K$5)</f>
        <v>0</v>
      </c>
      <c r="L47" s="161">
        <f t="shared" si="1"/>
        <v>0</v>
      </c>
      <c r="M47" s="161">
        <f>Royalty!AM48</f>
        <v>0</v>
      </c>
      <c r="N47" s="161">
        <f>Development!BG127</f>
        <v>0</v>
      </c>
      <c r="O47" s="161">
        <f t="shared" si="5"/>
        <v>0</v>
      </c>
      <c r="P47" s="161">
        <f>O47*IF(A47=Abandonment!$B$4,1,P$5)</f>
        <v>0</v>
      </c>
      <c r="Q47" s="161">
        <f>Exploration!Z71</f>
        <v>0</v>
      </c>
      <c r="R47" s="161">
        <f t="shared" si="2"/>
        <v>0</v>
      </c>
      <c r="S47" s="161">
        <f t="shared" si="9"/>
        <v>0</v>
      </c>
      <c r="T47" s="161">
        <f t="shared" si="10"/>
        <v>0</v>
      </c>
      <c r="U47" s="161">
        <f t="shared" si="6"/>
        <v>-308.58980263730012</v>
      </c>
      <c r="V47" s="161">
        <f>IF(Input!$B$35="Yes",R47,MAX(0,R47+U46)+S47)</f>
        <v>0</v>
      </c>
      <c r="W47" s="251">
        <v>0.19</v>
      </c>
      <c r="X47" s="161">
        <f t="shared" si="7"/>
        <v>0</v>
      </c>
    </row>
    <row r="48" spans="1:24" x14ac:dyDescent="0.3">
      <c r="A48" s="141">
        <f t="shared" si="8"/>
        <v>2049</v>
      </c>
      <c r="B48" s="161">
        <f>Revenue!Q48</f>
        <v>0</v>
      </c>
      <c r="C48" s="161">
        <f>Operations!M56+Abandonment!G53</f>
        <v>0</v>
      </c>
      <c r="D48" s="161">
        <f>Development!BH128</f>
        <v>0</v>
      </c>
      <c r="E48" s="161">
        <f>IF($A48&lt;Production!$B$4,0,IF($A48=Production!$B$4,SUM(D$9:D48),D48))</f>
        <v>0</v>
      </c>
      <c r="F48" s="161">
        <f t="shared" si="3"/>
        <v>0</v>
      </c>
      <c r="G48" s="161">
        <f>F48*IF(A48&gt;=Abandonment!$B$4,1,G$5)</f>
        <v>0</v>
      </c>
      <c r="H48" s="161">
        <f>Development!BI128</f>
        <v>0</v>
      </c>
      <c r="I48" s="161">
        <f>IF($A48&lt;Production!$B$4,0,IF($A48=Production!$B$4,SUM(H$9:H48),H48))</f>
        <v>0</v>
      </c>
      <c r="J48" s="161">
        <f t="shared" si="4"/>
        <v>0</v>
      </c>
      <c r="K48" s="161">
        <f>J48*IF(Abandonment!$B$4='Federal Tax'!A48,1,K$5)</f>
        <v>0</v>
      </c>
      <c r="L48" s="161">
        <f t="shared" si="1"/>
        <v>0</v>
      </c>
      <c r="M48" s="161">
        <f>Royalty!AM49</f>
        <v>0</v>
      </c>
      <c r="N48" s="161">
        <f>Development!BG128</f>
        <v>0</v>
      </c>
      <c r="O48" s="161">
        <f t="shared" si="5"/>
        <v>0</v>
      </c>
      <c r="P48" s="161">
        <f>O48*IF(A48=Abandonment!$B$4,1,P$5)</f>
        <v>0</v>
      </c>
      <c r="Q48" s="161">
        <f>Exploration!Z72</f>
        <v>0</v>
      </c>
      <c r="R48" s="161">
        <f t="shared" si="2"/>
        <v>0</v>
      </c>
      <c r="S48" s="161">
        <f t="shared" si="9"/>
        <v>0</v>
      </c>
      <c r="T48" s="161">
        <f t="shared" si="10"/>
        <v>0</v>
      </c>
      <c r="U48" s="161">
        <f t="shared" si="6"/>
        <v>-308.58980263730012</v>
      </c>
      <c r="V48" s="161">
        <f>IF(Input!$B$35="Yes",R48,MAX(0,R48+U47)+S48)</f>
        <v>0</v>
      </c>
      <c r="W48" s="251">
        <v>0.19</v>
      </c>
      <c r="X48" s="161">
        <f t="shared" si="7"/>
        <v>0</v>
      </c>
    </row>
    <row r="49" spans="1:24" x14ac:dyDescent="0.3">
      <c r="A49" s="141">
        <f t="shared" si="8"/>
        <v>2050</v>
      </c>
      <c r="B49" s="161">
        <f>Revenue!Q49</f>
        <v>0</v>
      </c>
      <c r="C49" s="161">
        <f>Operations!M57+Abandonment!G54</f>
        <v>0</v>
      </c>
      <c r="D49" s="161">
        <f>Development!BH129</f>
        <v>0</v>
      </c>
      <c r="E49" s="161">
        <f>IF($A49&lt;Production!$B$4,0,IF($A49=Production!$B$4,SUM(D$9:D49),D49))</f>
        <v>0</v>
      </c>
      <c r="F49" s="161">
        <f t="shared" si="3"/>
        <v>0</v>
      </c>
      <c r="G49" s="161">
        <f>F49*IF(A49&gt;=Abandonment!$B$4,1,G$5)</f>
        <v>0</v>
      </c>
      <c r="H49" s="161">
        <f>Development!BI129</f>
        <v>0</v>
      </c>
      <c r="I49" s="161">
        <f>IF($A49&lt;Production!$B$4,0,IF($A49=Production!$B$4,SUM(H$9:H49),H49))</f>
        <v>0</v>
      </c>
      <c r="J49" s="161">
        <f t="shared" si="4"/>
        <v>0</v>
      </c>
      <c r="K49" s="161">
        <f>J49*IF(Abandonment!$B$4='Federal Tax'!A49,1,K$5)</f>
        <v>0</v>
      </c>
      <c r="L49" s="161">
        <f t="shared" si="1"/>
        <v>0</v>
      </c>
      <c r="M49" s="161">
        <f>Royalty!AM50</f>
        <v>0</v>
      </c>
      <c r="N49" s="161">
        <f>Development!BG129</f>
        <v>0</v>
      </c>
      <c r="O49" s="161">
        <f t="shared" si="5"/>
        <v>0</v>
      </c>
      <c r="P49" s="161">
        <f>O49*IF(A49=Abandonment!$B$4,1,P$5)</f>
        <v>0</v>
      </c>
      <c r="Q49" s="161">
        <f>Exploration!Z73</f>
        <v>0</v>
      </c>
      <c r="R49" s="161">
        <f t="shared" si="2"/>
        <v>0</v>
      </c>
      <c r="S49" s="161">
        <f t="shared" si="9"/>
        <v>0</v>
      </c>
      <c r="T49" s="161">
        <f t="shared" si="10"/>
        <v>0</v>
      </c>
      <c r="U49" s="161">
        <f t="shared" si="6"/>
        <v>-308.58980263730012</v>
      </c>
      <c r="V49" s="161">
        <f>IF(Input!$B$35="Yes",R49,MAX(0,R49+U48)+S49)</f>
        <v>0</v>
      </c>
      <c r="W49" s="251">
        <v>0.19</v>
      </c>
      <c r="X49" s="161">
        <f t="shared" si="7"/>
        <v>0</v>
      </c>
    </row>
    <row r="50" spans="1:24" x14ac:dyDescent="0.3">
      <c r="A50" s="149">
        <f t="shared" si="8"/>
        <v>2051</v>
      </c>
      <c r="B50" s="163">
        <f>Revenue!Q50</f>
        <v>0</v>
      </c>
      <c r="C50" s="163">
        <f>Operations!M58+Abandonment!G55</f>
        <v>0</v>
      </c>
      <c r="D50" s="163">
        <f>Development!BH130</f>
        <v>0</v>
      </c>
      <c r="E50" s="163">
        <f>IF($A50&lt;Production!$B$4,0,IF($A50=Production!$B$4,SUM(D$9:D50),D50))</f>
        <v>0</v>
      </c>
      <c r="F50" s="163">
        <f t="shared" si="3"/>
        <v>0</v>
      </c>
      <c r="G50" s="163">
        <f>F50*IF(A50&gt;=Abandonment!$B$4,1,G$5)</f>
        <v>0</v>
      </c>
      <c r="H50" s="163">
        <f>Development!BI130</f>
        <v>0</v>
      </c>
      <c r="I50" s="163">
        <f>IF($A50&lt;Production!$B$4,0,IF($A50=Production!$B$4,SUM(H$9:H50),H50))</f>
        <v>0</v>
      </c>
      <c r="J50" s="163">
        <f t="shared" si="4"/>
        <v>0</v>
      </c>
      <c r="K50" s="163">
        <f>J50*IF(Abandonment!$B$4='Federal Tax'!A50,1,K$5)</f>
        <v>0</v>
      </c>
      <c r="L50" s="163">
        <f t="shared" si="1"/>
        <v>0</v>
      </c>
      <c r="M50" s="163">
        <f>Royalty!AM51</f>
        <v>0</v>
      </c>
      <c r="N50" s="163">
        <f>Development!BG130</f>
        <v>0</v>
      </c>
      <c r="O50" s="163">
        <f t="shared" si="5"/>
        <v>0</v>
      </c>
      <c r="P50" s="163">
        <f>O50*IF(A50=Abandonment!$B$4,1,P$5)</f>
        <v>0</v>
      </c>
      <c r="Q50" s="163">
        <f>Exploration!Z74</f>
        <v>0</v>
      </c>
      <c r="R50" s="163">
        <f t="shared" si="2"/>
        <v>0</v>
      </c>
      <c r="S50" s="163">
        <f t="shared" si="9"/>
        <v>0</v>
      </c>
      <c r="T50" s="163">
        <f t="shared" si="10"/>
        <v>0</v>
      </c>
      <c r="U50" s="163">
        <f t="shared" si="6"/>
        <v>-308.58980263730012</v>
      </c>
      <c r="V50" s="163">
        <f>IF(Input!$B$35="Yes",R50,MAX(0,R50+U49)+S50)</f>
        <v>0</v>
      </c>
      <c r="W50" s="252">
        <v>0.19</v>
      </c>
      <c r="X50" s="163">
        <f t="shared" si="7"/>
        <v>0</v>
      </c>
    </row>
    <row r="51" spans="1:24" x14ac:dyDescent="0.3">
      <c r="A51" s="93"/>
      <c r="B51" s="174"/>
      <c r="C51" s="93"/>
      <c r="D51" s="93"/>
      <c r="E51" s="93"/>
      <c r="F51" s="93"/>
      <c r="G51" s="174"/>
      <c r="H51" s="93"/>
      <c r="I51" s="93"/>
      <c r="J51" s="93"/>
      <c r="K51" s="93"/>
      <c r="L51" s="93"/>
      <c r="M51" s="93"/>
      <c r="N51" s="93"/>
      <c r="O51" s="93"/>
      <c r="P51" s="93"/>
      <c r="Q51" s="174"/>
      <c r="R51" s="93"/>
      <c r="S51" s="93"/>
      <c r="T51" s="93"/>
      <c r="U51" s="93"/>
      <c r="V51" s="93"/>
      <c r="W51" s="93"/>
      <c r="X51" s="93"/>
    </row>
    <row r="52" spans="1:24" x14ac:dyDescent="0.3">
      <c r="A52" s="93"/>
      <c r="B52" s="174"/>
      <c r="C52" s="93"/>
      <c r="D52" s="93"/>
      <c r="E52" s="93"/>
      <c r="F52" s="93"/>
      <c r="G52" s="174"/>
      <c r="H52" s="93"/>
      <c r="I52" s="93"/>
      <c r="J52" s="93"/>
      <c r="K52" s="93"/>
      <c r="L52" s="93"/>
      <c r="M52" s="93"/>
      <c r="N52" s="93"/>
      <c r="O52" s="93"/>
      <c r="P52" s="93"/>
      <c r="Q52" s="174"/>
      <c r="R52" s="93"/>
      <c r="S52" s="93"/>
      <c r="T52" s="93"/>
      <c r="U52" s="93"/>
      <c r="V52" s="93"/>
      <c r="W52" s="93"/>
      <c r="X52" s="93"/>
    </row>
  </sheetData>
  <sheetProtection password="8BC3" sheet="1" objects="1" scenarios="1"/>
  <hyperlinks>
    <hyperlink ref="G1" location="Guide" display="Guide"/>
    <hyperlink ref="G2" location="Input" display="Input"/>
  </hyperlinks>
  <pageMargins left="0.7" right="0.7" top="0.75" bottom="0.75" header="0.3" footer="0.3"/>
  <pageSetup paperSize="9" scale="44" fitToHeight="0" orientation="landscape" horizontalDpi="300" r:id="rId1"/>
  <headerFooter>
    <oddFooter>&amp;LNova Scotia Exploration Economics Model&amp;Rwww.indeva.com</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79998168889431442"/>
    <pageSetUpPr fitToPage="1"/>
  </sheetPr>
  <dimension ref="A1:Y49"/>
  <sheetViews>
    <sheetView showGridLine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activeCell="D8" sqref="D8"/>
    </sheetView>
  </sheetViews>
  <sheetFormatPr defaultRowHeight="14.4" x14ac:dyDescent="0.3"/>
  <cols>
    <col min="1" max="1" width="22.44140625" customWidth="1"/>
    <col min="2" max="3" width="14.44140625" bestFit="1" customWidth="1"/>
    <col min="4" max="4" width="16" customWidth="1"/>
    <col min="5" max="5" width="14.44140625" bestFit="1" customWidth="1"/>
    <col min="6" max="6" width="15.44140625" customWidth="1"/>
    <col min="7" max="7" width="14.44140625" bestFit="1" customWidth="1"/>
    <col min="8" max="8" width="15.88671875" customWidth="1"/>
    <col min="9" max="10" width="14.44140625" bestFit="1" customWidth="1"/>
    <col min="11" max="11" width="13.33203125" bestFit="1" customWidth="1"/>
    <col min="12" max="12" width="15.109375" bestFit="1" customWidth="1"/>
    <col min="13" max="13" width="15.5546875" customWidth="1"/>
    <col min="15" max="15" width="13.5546875" customWidth="1"/>
    <col min="16" max="16" width="13.33203125" bestFit="1" customWidth="1"/>
    <col min="17" max="17" width="14.44140625" bestFit="1" customWidth="1"/>
    <col min="18" max="18" width="18.6640625" customWidth="1"/>
    <col min="19" max="19" width="15.109375" bestFit="1" customWidth="1"/>
    <col min="20" max="20" width="11.6640625" customWidth="1"/>
    <col min="21" max="21" width="14.33203125" customWidth="1"/>
    <col min="22" max="22" width="18.33203125" customWidth="1"/>
    <col min="23" max="23" width="9.33203125" bestFit="1" customWidth="1"/>
    <col min="24" max="24" width="13.88671875" bestFit="1" customWidth="1"/>
  </cols>
  <sheetData>
    <row r="1" spans="1:25" ht="18.75" x14ac:dyDescent="0.3">
      <c r="A1" s="143" t="str">
        <f>Input!B8</f>
        <v>Prospect X</v>
      </c>
      <c r="B1" s="143" t="s">
        <v>410</v>
      </c>
      <c r="C1" s="93"/>
      <c r="D1" s="93"/>
      <c r="E1" s="93"/>
      <c r="F1" s="144" t="s">
        <v>769</v>
      </c>
      <c r="G1" s="93"/>
      <c r="H1" s="93"/>
      <c r="I1" s="93"/>
      <c r="J1" s="93"/>
      <c r="K1" s="93"/>
      <c r="L1" s="93"/>
      <c r="M1" s="93"/>
      <c r="N1" s="93"/>
      <c r="O1" s="93"/>
      <c r="P1" s="93"/>
      <c r="Q1" s="93"/>
      <c r="R1" s="93"/>
      <c r="S1" s="93"/>
      <c r="T1" s="93"/>
      <c r="U1" s="93"/>
      <c r="V1" s="93"/>
      <c r="W1" s="93"/>
      <c r="X1" s="93"/>
      <c r="Y1" s="93"/>
    </row>
    <row r="2" spans="1:25" ht="18.75" x14ac:dyDescent="0.25">
      <c r="A2" s="93"/>
      <c r="B2" s="93"/>
      <c r="C2" s="93"/>
      <c r="D2" s="93"/>
      <c r="E2" s="93"/>
      <c r="F2" s="144" t="s">
        <v>143</v>
      </c>
      <c r="G2" s="93"/>
      <c r="H2" s="93"/>
      <c r="I2" s="93"/>
      <c r="J2" s="93"/>
      <c r="K2" s="93"/>
      <c r="L2" s="93"/>
      <c r="M2" s="93"/>
      <c r="N2" s="93"/>
      <c r="O2" s="93"/>
      <c r="P2" s="93"/>
      <c r="Q2" s="93"/>
      <c r="R2" s="93"/>
      <c r="S2" s="93"/>
      <c r="T2" s="93"/>
      <c r="U2" s="93"/>
      <c r="V2" s="93"/>
      <c r="W2" s="93"/>
      <c r="X2" s="93"/>
      <c r="Y2" s="93"/>
    </row>
    <row r="3" spans="1:25" ht="15" x14ac:dyDescent="0.25">
      <c r="A3" s="93"/>
      <c r="B3" s="93"/>
      <c r="C3" s="93"/>
      <c r="D3" s="239"/>
      <c r="E3" s="93"/>
      <c r="F3" s="93"/>
      <c r="G3" s="93"/>
      <c r="H3" s="93"/>
      <c r="I3" s="93"/>
      <c r="J3" s="93"/>
      <c r="K3" s="93"/>
      <c r="L3" s="93"/>
      <c r="M3" s="239"/>
      <c r="N3" s="93"/>
      <c r="O3" s="93"/>
      <c r="P3" s="93"/>
      <c r="Q3" s="93"/>
      <c r="R3" s="93"/>
      <c r="S3" s="93"/>
      <c r="T3" s="93"/>
      <c r="U3" s="93"/>
      <c r="V3" s="93"/>
      <c r="W3" s="93"/>
      <c r="X3" s="93"/>
      <c r="Y3" s="93"/>
    </row>
    <row r="4" spans="1:25" ht="15" x14ac:dyDescent="0.25">
      <c r="A4" s="140" t="s">
        <v>14</v>
      </c>
      <c r="B4" s="140" t="s">
        <v>15</v>
      </c>
      <c r="C4" s="140" t="s">
        <v>18</v>
      </c>
      <c r="D4" s="140" t="s">
        <v>41</v>
      </c>
      <c r="E4" s="140" t="s">
        <v>390</v>
      </c>
      <c r="F4" s="140"/>
      <c r="G4" s="140" t="s">
        <v>305</v>
      </c>
      <c r="H4" s="140" t="s">
        <v>391</v>
      </c>
      <c r="I4" s="140" t="s">
        <v>390</v>
      </c>
      <c r="J4" s="140" t="s">
        <v>392</v>
      </c>
      <c r="K4" s="140" t="s">
        <v>393</v>
      </c>
      <c r="L4" s="140" t="s">
        <v>394</v>
      </c>
      <c r="M4" s="140" t="s">
        <v>32</v>
      </c>
      <c r="N4" s="140" t="s">
        <v>41</v>
      </c>
      <c r="O4" s="140"/>
      <c r="P4" s="140" t="s">
        <v>304</v>
      </c>
      <c r="Q4" s="140" t="s">
        <v>217</v>
      </c>
      <c r="R4" s="140" t="s">
        <v>395</v>
      </c>
      <c r="S4" s="140" t="s">
        <v>396</v>
      </c>
      <c r="T4" s="140" t="s">
        <v>397</v>
      </c>
      <c r="U4" s="140" t="s">
        <v>398</v>
      </c>
      <c r="V4" s="140" t="s">
        <v>399</v>
      </c>
      <c r="W4" s="140" t="s">
        <v>400</v>
      </c>
      <c r="X4" s="140" t="s">
        <v>401</v>
      </c>
      <c r="Y4" s="93"/>
    </row>
    <row r="5" spans="1:25" ht="15" x14ac:dyDescent="0.25">
      <c r="A5" s="149"/>
      <c r="B5" s="149"/>
      <c r="C5" s="149" t="s">
        <v>41</v>
      </c>
      <c r="D5" s="149" t="s">
        <v>402</v>
      </c>
      <c r="E5" s="149" t="s">
        <v>403</v>
      </c>
      <c r="F5" s="149" t="s">
        <v>61</v>
      </c>
      <c r="G5" s="241">
        <f>'Federal Tax'!G5</f>
        <v>0.25</v>
      </c>
      <c r="H5" s="149" t="s">
        <v>404</v>
      </c>
      <c r="I5" s="149" t="s">
        <v>403</v>
      </c>
      <c r="J5" s="149" t="s">
        <v>61</v>
      </c>
      <c r="K5" s="241">
        <f>IF(Abandonment!B7&lt;=15,20%,8%)</f>
        <v>0.08</v>
      </c>
      <c r="L5" s="149" t="s">
        <v>405</v>
      </c>
      <c r="M5" s="149"/>
      <c r="N5" s="149" t="s">
        <v>406</v>
      </c>
      <c r="O5" s="149" t="s">
        <v>61</v>
      </c>
      <c r="P5" s="241">
        <f>'Federal Tax'!P5</f>
        <v>0.3</v>
      </c>
      <c r="Q5" s="149"/>
      <c r="R5" s="149" t="s">
        <v>407</v>
      </c>
      <c r="S5" s="149"/>
      <c r="T5" s="149" t="s">
        <v>408</v>
      </c>
      <c r="U5" s="149" t="s">
        <v>409</v>
      </c>
      <c r="V5" s="149" t="s">
        <v>405</v>
      </c>
      <c r="W5" s="149"/>
      <c r="X5" s="141" t="s">
        <v>54</v>
      </c>
      <c r="Y5" s="93"/>
    </row>
    <row r="6" spans="1:25" ht="15" x14ac:dyDescent="0.25">
      <c r="A6" s="135" t="s">
        <v>13</v>
      </c>
      <c r="B6" s="253">
        <f>SUM(B8:B47)</f>
        <v>44169.277685928435</v>
      </c>
      <c r="C6" s="253">
        <f>SUM(C8:C47)</f>
        <v>7565.9678054528422</v>
      </c>
      <c r="D6" s="253">
        <f>SUM(D8:D47)</f>
        <v>3815.3825669209618</v>
      </c>
      <c r="E6" s="253">
        <f>SUM(E8:E47)</f>
        <v>3815.3825669209618</v>
      </c>
      <c r="F6" s="253"/>
      <c r="G6" s="253">
        <f>SUM(G9:G48)</f>
        <v>3815.3825669209605</v>
      </c>
      <c r="H6" s="253">
        <f t="shared" ref="H6:S6" si="0">SUM(H9:H48)</f>
        <v>0</v>
      </c>
      <c r="I6" s="253">
        <f t="shared" si="0"/>
        <v>0</v>
      </c>
      <c r="J6" s="253"/>
      <c r="K6" s="253">
        <f t="shared" si="0"/>
        <v>0</v>
      </c>
      <c r="L6" s="253">
        <f t="shared" si="0"/>
        <v>32787.927313554617</v>
      </c>
      <c r="M6" s="253">
        <f t="shared" si="0"/>
        <v>9771.0292467226209</v>
      </c>
      <c r="N6" s="253">
        <f t="shared" si="0"/>
        <v>1852.2932843845733</v>
      </c>
      <c r="O6" s="253"/>
      <c r="P6" s="253">
        <f t="shared" si="0"/>
        <v>1852.2932843845736</v>
      </c>
      <c r="Q6" s="253">
        <f t="shared" si="0"/>
        <v>78.729090909089635</v>
      </c>
      <c r="R6" s="253">
        <f t="shared" si="0"/>
        <v>21085.875691538338</v>
      </c>
      <c r="S6" s="253">
        <f t="shared" si="0"/>
        <v>-121.02482281217014</v>
      </c>
      <c r="T6" s="253"/>
      <c r="U6" s="253"/>
      <c r="V6" s="253">
        <f>SUM(V9:V48)</f>
        <v>21096.875691538338</v>
      </c>
      <c r="W6" s="253"/>
      <c r="X6" s="254"/>
      <c r="Y6" s="93"/>
    </row>
    <row r="7" spans="1:25" ht="15" x14ac:dyDescent="0.25">
      <c r="A7" s="93"/>
      <c r="B7" s="255"/>
      <c r="C7" s="255"/>
      <c r="D7" s="255"/>
      <c r="E7" s="255"/>
      <c r="F7" s="255"/>
      <c r="G7" s="255"/>
      <c r="H7" s="255"/>
      <c r="I7" s="255"/>
      <c r="J7" s="255"/>
      <c r="K7" s="255"/>
      <c r="L7" s="255"/>
      <c r="M7" s="255"/>
      <c r="N7" s="255"/>
      <c r="O7" s="255"/>
      <c r="P7" s="255"/>
      <c r="Q7" s="255"/>
      <c r="R7" s="255"/>
      <c r="S7" s="255"/>
      <c r="T7" s="255"/>
      <c r="U7" s="255"/>
      <c r="V7" s="255"/>
      <c r="W7" s="255"/>
      <c r="X7" s="255"/>
      <c r="Y7" s="215"/>
    </row>
    <row r="8" spans="1:25" ht="15" x14ac:dyDescent="0.25">
      <c r="A8" s="93"/>
      <c r="B8" s="255"/>
      <c r="C8" s="255"/>
      <c r="D8" s="255"/>
      <c r="E8" s="255"/>
      <c r="F8" s="255"/>
      <c r="G8" s="255"/>
      <c r="H8" s="255"/>
      <c r="I8" s="255"/>
      <c r="J8" s="255"/>
      <c r="K8" s="255"/>
      <c r="L8" s="255"/>
      <c r="M8" s="255"/>
      <c r="N8" s="255"/>
      <c r="O8" s="255"/>
      <c r="P8" s="255"/>
      <c r="Q8" s="255"/>
      <c r="R8" s="255"/>
      <c r="S8" s="255"/>
      <c r="T8" s="255"/>
      <c r="U8" s="255"/>
      <c r="V8" s="255"/>
      <c r="W8" s="255"/>
      <c r="X8" s="255"/>
      <c r="Y8" s="215"/>
    </row>
    <row r="9" spans="1:25" ht="15" x14ac:dyDescent="0.25">
      <c r="A9" s="135" t="s">
        <v>63</v>
      </c>
      <c r="B9" s="253"/>
      <c r="C9" s="253"/>
      <c r="D9" s="253">
        <f>Exploration!V27</f>
        <v>0</v>
      </c>
      <c r="E9" s="253"/>
      <c r="F9" s="253"/>
      <c r="G9" s="253"/>
      <c r="H9" s="253">
        <v>0</v>
      </c>
      <c r="I9" s="253"/>
      <c r="J9" s="253">
        <v>0</v>
      </c>
      <c r="K9" s="253"/>
      <c r="L9" s="253"/>
      <c r="M9" s="253"/>
      <c r="N9" s="253"/>
      <c r="O9" s="253">
        <f>IF(Overrides!C95=Lists!A37,Overrides!C102,Exploration!V26)</f>
        <v>0</v>
      </c>
      <c r="P9" s="253"/>
      <c r="Q9" s="253">
        <f>IF(Overrides!C95=Lists!A37,Overrides!C103,Exploration!V25)</f>
        <v>11</v>
      </c>
      <c r="R9" s="253">
        <f>-Q9</f>
        <v>-11</v>
      </c>
      <c r="S9" s="253"/>
      <c r="T9" s="253"/>
      <c r="U9" s="253">
        <f>MIN(0,R9+U8-S9)</f>
        <v>-11</v>
      </c>
      <c r="V9" s="253"/>
      <c r="W9" s="253"/>
      <c r="X9" s="253"/>
      <c r="Y9" s="93"/>
    </row>
    <row r="10" spans="1:25" ht="15" x14ac:dyDescent="0.25">
      <c r="A10" s="158">
        <f>'Success Cash Flow'!A10</f>
        <v>2012</v>
      </c>
      <c r="B10" s="256">
        <f>Revenue!Q11</f>
        <v>0</v>
      </c>
      <c r="C10" s="256">
        <f>Operations!M19+Abandonment!G16</f>
        <v>0</v>
      </c>
      <c r="D10" s="256">
        <f>Development!BH91</f>
        <v>0</v>
      </c>
      <c r="E10" s="256">
        <f>IF($A10&lt;Production!$B$4,0,IF($A10=Production!$B$4,SUM(D$9:D10),D10))</f>
        <v>0</v>
      </c>
      <c r="F10" s="256">
        <f>0.5*E9+0.5*E10+F9-G9</f>
        <v>0</v>
      </c>
      <c r="G10" s="256">
        <f>F10*IF(A10=Abandonment!$B$4,1,G$5)</f>
        <v>0</v>
      </c>
      <c r="H10" s="256">
        <f>Development!BI91</f>
        <v>0</v>
      </c>
      <c r="I10" s="256">
        <f>IF($A10&lt;Production!$B$4,0,IF($A10=Production!$B$4,SUM(H$9:H10),H10))</f>
        <v>0</v>
      </c>
      <c r="J10" s="256">
        <f t="shared" ref="J10:J49" si="1">0.5*I9+0.5*I10+J9-K9</f>
        <v>0</v>
      </c>
      <c r="K10" s="256">
        <f>J10*IF(Abandonment!$B$4='Federal Tax'!A11,1,K$5)</f>
        <v>0</v>
      </c>
      <c r="L10" s="256">
        <f t="shared" ref="L10:L49" si="2">B10-C10-G10-K10</f>
        <v>0</v>
      </c>
      <c r="M10" s="256">
        <f>Royalty!AM12</f>
        <v>0</v>
      </c>
      <c r="N10" s="256">
        <f>Development!BG91</f>
        <v>0</v>
      </c>
      <c r="O10" s="256">
        <f>O9+N10-P9</f>
        <v>0</v>
      </c>
      <c r="P10" s="256">
        <f>O10*IF(A10=Abandonment!$B$4,1,P$5)</f>
        <v>0</v>
      </c>
      <c r="Q10" s="256">
        <f>Exploration!Z35</f>
        <v>67.729090909089635</v>
      </c>
      <c r="R10" s="256">
        <f t="shared" ref="R10:R49" si="3">L10-M10-P10-Q10</f>
        <v>-67.729090909089635</v>
      </c>
      <c r="S10" s="256">
        <f t="shared" ref="S10:S49" si="4">-MIN(-MIN(R10,0),MAX(0,SUM(V7:V9)-SUM(S7:S9)+T9))</f>
        <v>0</v>
      </c>
      <c r="T10" s="256">
        <f>MIN(0,MAX(0,R7)+S10+T9)</f>
        <v>0</v>
      </c>
      <c r="U10" s="256">
        <f t="shared" ref="U10:U49" si="5">MIN(0,R10+U9-S10)</f>
        <v>-78.729090909089635</v>
      </c>
      <c r="V10" s="256">
        <f>IF(Input!$B$35="Yes",R10,MAX(0,R10+U9)+S10)</f>
        <v>-67.729090909089635</v>
      </c>
      <c r="W10" s="257">
        <v>0.16</v>
      </c>
      <c r="X10" s="256">
        <f>W10*V10</f>
        <v>-10.836654545454342</v>
      </c>
      <c r="Y10" s="93"/>
    </row>
    <row r="11" spans="1:25" ht="15" x14ac:dyDescent="0.25">
      <c r="A11" s="160">
        <f>A10+1</f>
        <v>2013</v>
      </c>
      <c r="B11" s="258">
        <f>Revenue!Q12</f>
        <v>0</v>
      </c>
      <c r="C11" s="258">
        <f>Operations!M20+Abandonment!G17</f>
        <v>0</v>
      </c>
      <c r="D11" s="258">
        <f>Development!BH92</f>
        <v>0</v>
      </c>
      <c r="E11" s="258">
        <f>IF($A11&lt;Production!$B$4,0,IF($A11=Production!$B$4,SUM(D$9:D11),D11))</f>
        <v>0</v>
      </c>
      <c r="F11" s="258">
        <f t="shared" ref="F11:F49" si="6">0.5*E10+0.5*E11+F10-G10</f>
        <v>0</v>
      </c>
      <c r="G11" s="258">
        <f>F11*IF(A11=Abandonment!$B$4,1,G$5)</f>
        <v>0</v>
      </c>
      <c r="H11" s="258">
        <f>Development!BI92</f>
        <v>0</v>
      </c>
      <c r="I11" s="258">
        <f>IF($A11&lt;Production!$B$4,0,IF($A11=Production!$B$4,SUM(H$9:H11),H11))</f>
        <v>0</v>
      </c>
      <c r="J11" s="258">
        <f t="shared" si="1"/>
        <v>0</v>
      </c>
      <c r="K11" s="258">
        <f>J11*IF(Abandonment!$B$4='Federal Tax'!A12,1,K$5)</f>
        <v>0</v>
      </c>
      <c r="L11" s="258">
        <f t="shared" si="2"/>
        <v>0</v>
      </c>
      <c r="M11" s="258">
        <f>Royalty!AM13</f>
        <v>0</v>
      </c>
      <c r="N11" s="258">
        <f>Development!BG92</f>
        <v>138.84463636363375</v>
      </c>
      <c r="O11" s="258">
        <f t="shared" ref="O11:O49" si="7">O10+N11-P10</f>
        <v>138.84463636363375</v>
      </c>
      <c r="P11" s="258">
        <f>O11*IF(A11=Abandonment!$B$4,1,P$5)</f>
        <v>41.653390909090128</v>
      </c>
      <c r="Q11" s="258">
        <f>Exploration!Z36</f>
        <v>0</v>
      </c>
      <c r="R11" s="258">
        <f t="shared" si="3"/>
        <v>-41.653390909090128</v>
      </c>
      <c r="S11" s="258">
        <f t="shared" si="4"/>
        <v>0</v>
      </c>
      <c r="T11" s="258">
        <f>MIN(0,MAX(0,R8)+S11+T10)</f>
        <v>0</v>
      </c>
      <c r="U11" s="258">
        <f t="shared" si="5"/>
        <v>-120.38248181817977</v>
      </c>
      <c r="V11" s="258">
        <f>IF(Input!$B$35="Yes",R11,MAX(0,R11+U10)+S11)</f>
        <v>-41.653390909090128</v>
      </c>
      <c r="W11" s="259">
        <v>0.16</v>
      </c>
      <c r="X11" s="258">
        <f t="shared" ref="X11:X49" si="8">W11*V11</f>
        <v>-6.6645425454544203</v>
      </c>
      <c r="Y11" s="93"/>
    </row>
    <row r="12" spans="1:25" ht="15" x14ac:dyDescent="0.25">
      <c r="A12" s="160">
        <f t="shared" ref="A12:A49" si="9">A11+1</f>
        <v>2014</v>
      </c>
      <c r="B12" s="258">
        <f>Revenue!Q13</f>
        <v>0</v>
      </c>
      <c r="C12" s="258">
        <f>Operations!M21+Abandonment!G18</f>
        <v>0</v>
      </c>
      <c r="D12" s="258">
        <f>Development!BH93</f>
        <v>2.5193987500000001</v>
      </c>
      <c r="E12" s="258">
        <f>IF($A12&lt;Production!$B$4,0,IF($A12=Production!$B$4,SUM(D$9:D12),D12))</f>
        <v>0</v>
      </c>
      <c r="F12" s="258">
        <f t="shared" si="6"/>
        <v>0</v>
      </c>
      <c r="G12" s="258">
        <f>F12*IF(A12=Abandonment!$B$4,1,G$5)</f>
        <v>0</v>
      </c>
      <c r="H12" s="258">
        <f>Development!BI93</f>
        <v>0</v>
      </c>
      <c r="I12" s="258">
        <f>IF($A12&lt;Production!$B$4,0,IF($A12=Production!$B$4,SUM(H$9:H12),H12))</f>
        <v>0</v>
      </c>
      <c r="J12" s="258">
        <f t="shared" si="1"/>
        <v>0</v>
      </c>
      <c r="K12" s="258">
        <f>J12*IF(Abandonment!$B$4='Federal Tax'!A13,1,K$5)</f>
        <v>0</v>
      </c>
      <c r="L12" s="258">
        <f t="shared" si="2"/>
        <v>0</v>
      </c>
      <c r="M12" s="258">
        <f>Royalty!AM14</f>
        <v>0</v>
      </c>
      <c r="N12" s="258">
        <f>Development!BG93</f>
        <v>71.15787613636229</v>
      </c>
      <c r="O12" s="258">
        <f t="shared" si="7"/>
        <v>168.34912159090592</v>
      </c>
      <c r="P12" s="258">
        <f>O12*IF(A12=Abandonment!$B$4,1,P$5)</f>
        <v>50.504736477271777</v>
      </c>
      <c r="Q12" s="258">
        <f>Exploration!Z37</f>
        <v>0</v>
      </c>
      <c r="R12" s="258">
        <f t="shared" si="3"/>
        <v>-50.504736477271777</v>
      </c>
      <c r="S12" s="258">
        <f t="shared" si="4"/>
        <v>0</v>
      </c>
      <c r="T12" s="258">
        <f>MIN(0,MAX(0,R9)+S12+T11)</f>
        <v>0</v>
      </c>
      <c r="U12" s="258">
        <f t="shared" si="5"/>
        <v>-170.88721829545153</v>
      </c>
      <c r="V12" s="258">
        <f>IF(Input!$B$35="Yes",R12,MAX(0,R12+U11)+S12)</f>
        <v>-50.504736477271777</v>
      </c>
      <c r="W12" s="259">
        <v>0.16</v>
      </c>
      <c r="X12" s="258">
        <f t="shared" si="8"/>
        <v>-8.0807578363634853</v>
      </c>
      <c r="Y12" s="93"/>
    </row>
    <row r="13" spans="1:25" ht="15" x14ac:dyDescent="0.25">
      <c r="A13" s="160">
        <f t="shared" si="9"/>
        <v>2015</v>
      </c>
      <c r="B13" s="258">
        <f>Revenue!Q14</f>
        <v>0</v>
      </c>
      <c r="C13" s="258">
        <f>Operations!M22+Abandonment!G19</f>
        <v>0</v>
      </c>
      <c r="D13" s="258">
        <f>Development!BH94</f>
        <v>9.1557240937499991</v>
      </c>
      <c r="E13" s="258">
        <f>IF($A13&lt;Production!$B$4,0,IF($A13=Production!$B$4,SUM(D$9:D13),D13))</f>
        <v>0</v>
      </c>
      <c r="F13" s="258">
        <f t="shared" si="6"/>
        <v>0</v>
      </c>
      <c r="G13" s="258">
        <f>F13*IF(A13=Abandonment!$B$4,1,G$5)</f>
        <v>0</v>
      </c>
      <c r="H13" s="258">
        <f>Development!BI94</f>
        <v>0</v>
      </c>
      <c r="I13" s="258">
        <f>IF($A13&lt;Production!$B$4,0,IF($A13=Production!$B$4,SUM(H$9:H13),H13))</f>
        <v>0</v>
      </c>
      <c r="J13" s="258">
        <f t="shared" si="1"/>
        <v>0</v>
      </c>
      <c r="K13" s="258">
        <f>J13*IF(Abandonment!$B$4='Federal Tax'!A14,1,K$5)</f>
        <v>0</v>
      </c>
      <c r="L13" s="258">
        <f t="shared" si="2"/>
        <v>0</v>
      </c>
      <c r="M13" s="258">
        <f>Royalty!AM15</f>
        <v>0</v>
      </c>
      <c r="N13" s="258">
        <f>Development!BG94</f>
        <v>0</v>
      </c>
      <c r="O13" s="258">
        <f t="shared" si="7"/>
        <v>117.84438511363415</v>
      </c>
      <c r="P13" s="258">
        <f>O13*IF(A13=Abandonment!$B$4,1,P$5)</f>
        <v>35.353315534090243</v>
      </c>
      <c r="Q13" s="258">
        <f>Exploration!Z38</f>
        <v>0</v>
      </c>
      <c r="R13" s="258">
        <f t="shared" si="3"/>
        <v>-35.353315534090243</v>
      </c>
      <c r="S13" s="258">
        <f t="shared" si="4"/>
        <v>0</v>
      </c>
      <c r="T13" s="258">
        <f>MIN(0,MAX(0,R10)+S13+T12)</f>
        <v>0</v>
      </c>
      <c r="U13" s="258">
        <f t="shared" si="5"/>
        <v>-206.24053382954179</v>
      </c>
      <c r="V13" s="258">
        <f>IF(Input!$B$35="Yes",R13,MAX(0,R13+U12)+S13)</f>
        <v>-35.353315534090243</v>
      </c>
      <c r="W13" s="259">
        <v>0.16</v>
      </c>
      <c r="X13" s="258">
        <f t="shared" si="8"/>
        <v>-5.6565304854544385</v>
      </c>
      <c r="Y13" s="93"/>
    </row>
    <row r="14" spans="1:25" ht="15" x14ac:dyDescent="0.25">
      <c r="A14" s="160">
        <f t="shared" si="9"/>
        <v>2016</v>
      </c>
      <c r="B14" s="258">
        <f>Revenue!Q15</f>
        <v>0</v>
      </c>
      <c r="C14" s="258">
        <f>Operations!M23+Abandonment!G20</f>
        <v>0</v>
      </c>
      <c r="D14" s="258">
        <f>Development!BH95</f>
        <v>103.4256291139633</v>
      </c>
      <c r="E14" s="258">
        <f>IF($A14&lt;Production!$B$4,0,IF($A14=Production!$B$4,SUM(D$9:D14),D14))</f>
        <v>0</v>
      </c>
      <c r="F14" s="258">
        <f t="shared" si="6"/>
        <v>0</v>
      </c>
      <c r="G14" s="258">
        <f>F14*IF(A14=Abandonment!$B$4,1,G$5)</f>
        <v>0</v>
      </c>
      <c r="H14" s="258">
        <f>Development!BI95</f>
        <v>0</v>
      </c>
      <c r="I14" s="258">
        <f>IF($A14&lt;Production!$B$4,0,IF($A14=Production!$B$4,SUM(H$9:H14),H14))</f>
        <v>0</v>
      </c>
      <c r="J14" s="258">
        <f t="shared" si="1"/>
        <v>0</v>
      </c>
      <c r="K14" s="258">
        <f>J14*IF(Abandonment!$B$4='Federal Tax'!A15,1,K$5)</f>
        <v>0</v>
      </c>
      <c r="L14" s="258">
        <f t="shared" si="2"/>
        <v>0</v>
      </c>
      <c r="M14" s="258">
        <f>Royalty!AM16</f>
        <v>0</v>
      </c>
      <c r="N14" s="258">
        <f>Development!BG95</f>
        <v>0</v>
      </c>
      <c r="O14" s="258">
        <f t="shared" si="7"/>
        <v>82.491069579543904</v>
      </c>
      <c r="P14" s="258">
        <f>O14*IF(A14=Abandonment!$B$4,1,P$5)</f>
        <v>24.74732087386317</v>
      </c>
      <c r="Q14" s="258">
        <f>Exploration!Z39</f>
        <v>0</v>
      </c>
      <c r="R14" s="258">
        <f t="shared" si="3"/>
        <v>-24.74732087386317</v>
      </c>
      <c r="S14" s="258">
        <f t="shared" si="4"/>
        <v>0</v>
      </c>
      <c r="T14" s="258">
        <f t="shared" ref="T14:T49" si="10">MIN(0,MAX(0,R11)+S14+T13)</f>
        <v>0</v>
      </c>
      <c r="U14" s="258">
        <f t="shared" si="5"/>
        <v>-230.98785470340496</v>
      </c>
      <c r="V14" s="258">
        <f>IF(Input!$B$35="Yes",R14,MAX(0,R14+U13)+S14)</f>
        <v>-24.74732087386317</v>
      </c>
      <c r="W14" s="259">
        <v>0.16</v>
      </c>
      <c r="X14" s="258">
        <f t="shared" si="8"/>
        <v>-3.9595713398181074</v>
      </c>
      <c r="Y14" s="93"/>
    </row>
    <row r="15" spans="1:25" ht="15" x14ac:dyDescent="0.25">
      <c r="A15" s="160">
        <f t="shared" si="9"/>
        <v>2017</v>
      </c>
      <c r="B15" s="258">
        <f>Revenue!Q16</f>
        <v>0</v>
      </c>
      <c r="C15" s="258">
        <f>Operations!M24+Abandonment!G21</f>
        <v>0</v>
      </c>
      <c r="D15" s="258">
        <f>Development!BH96</f>
        <v>1220.1315226286367</v>
      </c>
      <c r="E15" s="258">
        <f>IF($A15&lt;Production!$B$4,0,IF($A15=Production!$B$4,SUM(D$9:D15),D15))</f>
        <v>0</v>
      </c>
      <c r="F15" s="258">
        <f t="shared" si="6"/>
        <v>0</v>
      </c>
      <c r="G15" s="258">
        <f>F15*IF(A15=Abandonment!$B$4,1,G$5)</f>
        <v>0</v>
      </c>
      <c r="H15" s="258">
        <f>Development!BI96</f>
        <v>0</v>
      </c>
      <c r="I15" s="258">
        <f>IF($A15&lt;Production!$B$4,0,IF($A15=Production!$B$4,SUM(H$9:H15),H15))</f>
        <v>0</v>
      </c>
      <c r="J15" s="258">
        <f t="shared" si="1"/>
        <v>0</v>
      </c>
      <c r="K15" s="258">
        <f>J15*IF(Abandonment!$B$4='Federal Tax'!A16,1,K$5)</f>
        <v>0</v>
      </c>
      <c r="L15" s="258">
        <f t="shared" si="2"/>
        <v>0</v>
      </c>
      <c r="M15" s="258">
        <f>Royalty!AM17</f>
        <v>0</v>
      </c>
      <c r="N15" s="258">
        <f>Development!BG96</f>
        <v>0</v>
      </c>
      <c r="O15" s="258">
        <f t="shared" si="7"/>
        <v>57.74374870568073</v>
      </c>
      <c r="P15" s="258">
        <f>O15*IF(A15=Abandonment!$B$4,1,P$5)</f>
        <v>17.32312461170422</v>
      </c>
      <c r="Q15" s="258">
        <f>Exploration!Z40</f>
        <v>0</v>
      </c>
      <c r="R15" s="258">
        <f t="shared" si="3"/>
        <v>-17.32312461170422</v>
      </c>
      <c r="S15" s="258">
        <f t="shared" si="4"/>
        <v>0</v>
      </c>
      <c r="T15" s="258">
        <f t="shared" si="10"/>
        <v>0</v>
      </c>
      <c r="U15" s="258">
        <f t="shared" si="5"/>
        <v>-248.31097931510919</v>
      </c>
      <c r="V15" s="258">
        <f>IF(Input!$B$35="Yes",R15,MAX(0,R15+U14)+S15)</f>
        <v>-17.32312461170422</v>
      </c>
      <c r="W15" s="259">
        <v>0.16</v>
      </c>
      <c r="X15" s="258">
        <f t="shared" si="8"/>
        <v>-2.771699937872675</v>
      </c>
      <c r="Y15" s="93"/>
    </row>
    <row r="16" spans="1:25" ht="15" x14ac:dyDescent="0.25">
      <c r="A16" s="160">
        <f t="shared" si="9"/>
        <v>2018</v>
      </c>
      <c r="B16" s="258">
        <f>Revenue!Q17</f>
        <v>360.11146769631807</v>
      </c>
      <c r="C16" s="258">
        <f>Operations!M25+Abandonment!G22</f>
        <v>108.49376115602891</v>
      </c>
      <c r="D16" s="258">
        <f>Development!BH97</f>
        <v>2480.150292334612</v>
      </c>
      <c r="E16" s="258">
        <f>IF($A16&lt;Production!$B$4,0,IF($A16=Production!$B$4,SUM(D$9:D16),D16))</f>
        <v>3815.3825669209618</v>
      </c>
      <c r="F16" s="258">
        <f t="shared" si="6"/>
        <v>1907.6912834604809</v>
      </c>
      <c r="G16" s="258">
        <f>F16*IF(A16=Abandonment!$B$4,1,G$5)</f>
        <v>476.92282086512023</v>
      </c>
      <c r="H16" s="258">
        <f>Development!BI97</f>
        <v>0</v>
      </c>
      <c r="I16" s="258">
        <f>IF($A16&lt;Production!$B$4,0,IF($A16=Production!$B$4,SUM(H$9:H16),H16))</f>
        <v>0</v>
      </c>
      <c r="J16" s="258">
        <f t="shared" si="1"/>
        <v>0</v>
      </c>
      <c r="K16" s="258">
        <f>J16*IF(Abandonment!$B$4='Federal Tax'!A17,1,K$5)</f>
        <v>0</v>
      </c>
      <c r="L16" s="258">
        <f t="shared" si="2"/>
        <v>-225.30511432483107</v>
      </c>
      <c r="M16" s="258">
        <f>Royalty!AM18</f>
        <v>7.202229353926362</v>
      </c>
      <c r="N16" s="258">
        <f>Development!BG97</f>
        <v>1025.6947978943158</v>
      </c>
      <c r="O16" s="258">
        <f t="shared" si="7"/>
        <v>1066.1154219882922</v>
      </c>
      <c r="P16" s="258">
        <f>O16*IF(A16=Abandonment!$B$4,1,P$5)</f>
        <v>319.83462659648762</v>
      </c>
      <c r="Q16" s="258">
        <f>Exploration!Z41</f>
        <v>0</v>
      </c>
      <c r="R16" s="258">
        <f t="shared" si="3"/>
        <v>-552.3419702752451</v>
      </c>
      <c r="S16" s="258">
        <f t="shared" si="4"/>
        <v>0</v>
      </c>
      <c r="T16" s="258">
        <f t="shared" si="10"/>
        <v>0</v>
      </c>
      <c r="U16" s="258">
        <f t="shared" si="5"/>
        <v>-800.6529495903543</v>
      </c>
      <c r="V16" s="258">
        <f>IF(Input!$B$35="Yes",R16,MAX(0,R16+U15)+S16)</f>
        <v>-552.3419702752451</v>
      </c>
      <c r="W16" s="259">
        <v>0.16</v>
      </c>
      <c r="X16" s="258">
        <f t="shared" si="8"/>
        <v>-88.374715244039223</v>
      </c>
      <c r="Y16" s="93"/>
    </row>
    <row r="17" spans="1:25" ht="15" x14ac:dyDescent="0.25">
      <c r="A17" s="160">
        <f t="shared" si="9"/>
        <v>2019</v>
      </c>
      <c r="B17" s="258">
        <f>Revenue!Q18</f>
        <v>3777.5401884622411</v>
      </c>
      <c r="C17" s="258">
        <f>Operations!M26+Abandonment!G23</f>
        <v>358.38750793875175</v>
      </c>
      <c r="D17" s="258">
        <f>Development!BH98</f>
        <v>0</v>
      </c>
      <c r="E17" s="258">
        <f>IF($A17&lt;Production!$B$4,0,IF($A17=Production!$B$4,SUM(D$9:D17),D17))</f>
        <v>0</v>
      </c>
      <c r="F17" s="258">
        <f t="shared" si="6"/>
        <v>3338.4597460558416</v>
      </c>
      <c r="G17" s="258">
        <f>F17*IF(A17=Abandonment!$B$4,1,G$5)</f>
        <v>834.6149365139604</v>
      </c>
      <c r="H17" s="258">
        <f>Development!BI98</f>
        <v>0</v>
      </c>
      <c r="I17" s="258">
        <f>IF($A17&lt;Production!$B$4,0,IF($A17=Production!$B$4,SUM(H$9:H17),H17))</f>
        <v>0</v>
      </c>
      <c r="J17" s="258">
        <f t="shared" si="1"/>
        <v>0</v>
      </c>
      <c r="K17" s="258">
        <f>J17*IF(Abandonment!$B$4='Federal Tax'!A18,1,K$5)</f>
        <v>0</v>
      </c>
      <c r="L17" s="258">
        <f t="shared" si="2"/>
        <v>2584.537744009529</v>
      </c>
      <c r="M17" s="258">
        <f>Royalty!AM19</f>
        <v>75.550803769244823</v>
      </c>
      <c r="N17" s="258">
        <f>Development!BG98</f>
        <v>616.59597399026154</v>
      </c>
      <c r="O17" s="258">
        <f t="shared" si="7"/>
        <v>1362.8767693820662</v>
      </c>
      <c r="P17" s="258">
        <f>O17*IF(A17=Abandonment!$B$4,1,P$5)</f>
        <v>408.86303081461983</v>
      </c>
      <c r="Q17" s="258">
        <f>Exploration!Z42</f>
        <v>0</v>
      </c>
      <c r="R17" s="258">
        <f t="shared" si="3"/>
        <v>2100.1239094256644</v>
      </c>
      <c r="S17" s="258">
        <f t="shared" si="4"/>
        <v>0</v>
      </c>
      <c r="T17" s="258">
        <f t="shared" si="10"/>
        <v>0</v>
      </c>
      <c r="U17" s="258">
        <f t="shared" si="5"/>
        <v>0</v>
      </c>
      <c r="V17" s="258">
        <f>IF(Input!$B$35="Yes",R17,MAX(0,R17+U16)+S17)</f>
        <v>2100.1239094256644</v>
      </c>
      <c r="W17" s="259">
        <v>0.16</v>
      </c>
      <c r="X17" s="258">
        <f t="shared" si="8"/>
        <v>336.01982550810629</v>
      </c>
      <c r="Y17" s="93"/>
    </row>
    <row r="18" spans="1:25" ht="15" x14ac:dyDescent="0.25">
      <c r="A18" s="160">
        <f t="shared" si="9"/>
        <v>2020</v>
      </c>
      <c r="B18" s="258">
        <f>Revenue!Q19</f>
        <v>3932.8596255193238</v>
      </c>
      <c r="C18" s="258">
        <f>Operations!M27+Abandonment!G24</f>
        <v>370.47242524755427</v>
      </c>
      <c r="D18" s="258">
        <f>Development!BH99</f>
        <v>0</v>
      </c>
      <c r="E18" s="258">
        <f>IF($A18&lt;Production!$B$4,0,IF($A18=Production!$B$4,SUM(D$9:D18),D18))</f>
        <v>0</v>
      </c>
      <c r="F18" s="258">
        <f t="shared" si="6"/>
        <v>2503.8448095418812</v>
      </c>
      <c r="G18" s="258">
        <f>F18*IF(A18=Abandonment!$B$4,1,G$5)</f>
        <v>625.9612023854703</v>
      </c>
      <c r="H18" s="258">
        <f>Development!BI99</f>
        <v>0</v>
      </c>
      <c r="I18" s="258">
        <f>IF($A18&lt;Production!$B$4,0,IF($A18=Production!$B$4,SUM(H$9:H18),H18))</f>
        <v>0</v>
      </c>
      <c r="J18" s="258">
        <f t="shared" si="1"/>
        <v>0</v>
      </c>
      <c r="K18" s="258">
        <f>J18*IF(Abandonment!$B$4='Federal Tax'!A19,1,K$5)</f>
        <v>0</v>
      </c>
      <c r="L18" s="258">
        <f t="shared" si="2"/>
        <v>2936.4259978862992</v>
      </c>
      <c r="M18" s="258">
        <f>Royalty!AM20</f>
        <v>93.405416106083948</v>
      </c>
      <c r="N18" s="258">
        <f>Development!BG99</f>
        <v>0</v>
      </c>
      <c r="O18" s="258">
        <f t="shared" si="7"/>
        <v>954.01373856744635</v>
      </c>
      <c r="P18" s="258">
        <f>O18*IF(A18=Abandonment!$B$4,1,P$5)</f>
        <v>286.20412157023389</v>
      </c>
      <c r="Q18" s="258">
        <f>Exploration!Z43</f>
        <v>0</v>
      </c>
      <c r="R18" s="258">
        <f t="shared" si="3"/>
        <v>2556.8164602099814</v>
      </c>
      <c r="S18" s="258">
        <f t="shared" si="4"/>
        <v>0</v>
      </c>
      <c r="T18" s="258">
        <f t="shared" si="10"/>
        <v>0</v>
      </c>
      <c r="U18" s="258">
        <f t="shared" si="5"/>
        <v>0</v>
      </c>
      <c r="V18" s="258">
        <f>IF(Input!$B$35="Yes",R18,MAX(0,R18+U17)+S18)</f>
        <v>2556.8164602099814</v>
      </c>
      <c r="W18" s="259">
        <v>0.16</v>
      </c>
      <c r="X18" s="258">
        <f t="shared" si="8"/>
        <v>409.09063363359701</v>
      </c>
      <c r="Y18" s="93"/>
    </row>
    <row r="19" spans="1:25" ht="15" x14ac:dyDescent="0.25">
      <c r="A19" s="160">
        <f t="shared" si="9"/>
        <v>2021</v>
      </c>
      <c r="B19" s="258">
        <f>Revenue!Q20</f>
        <v>4020.1669601022318</v>
      </c>
      <c r="C19" s="258">
        <f>Operations!M28+Abandonment!G25</f>
        <v>379.47762019998663</v>
      </c>
      <c r="D19" s="258">
        <f>Development!BH100</f>
        <v>0</v>
      </c>
      <c r="E19" s="258">
        <f>IF($A19&lt;Production!$B$4,0,IF($A19=Production!$B$4,SUM(D$9:D19),D19))</f>
        <v>0</v>
      </c>
      <c r="F19" s="258">
        <f t="shared" si="6"/>
        <v>1877.883607156411</v>
      </c>
      <c r="G19" s="258">
        <f>F19*IF(A19=Abandonment!$B$4,1,G$5)</f>
        <v>469.47090178910275</v>
      </c>
      <c r="H19" s="258">
        <f>Development!BI100</f>
        <v>0</v>
      </c>
      <c r="I19" s="258">
        <f>IF($A19&lt;Production!$B$4,0,IF($A19=Production!$B$4,SUM(H$9:H19),H19))</f>
        <v>0</v>
      </c>
      <c r="J19" s="258">
        <f t="shared" si="1"/>
        <v>0</v>
      </c>
      <c r="K19" s="258">
        <f>J19*IF(Abandonment!$B$4='Federal Tax'!A20,1,K$5)</f>
        <v>0</v>
      </c>
      <c r="L19" s="258">
        <f t="shared" si="2"/>
        <v>3171.2184381131424</v>
      </c>
      <c r="M19" s="258">
        <f>Royalty!AM21</f>
        <v>724.8964966412409</v>
      </c>
      <c r="N19" s="258">
        <f>Development!BG100</f>
        <v>0</v>
      </c>
      <c r="O19" s="258">
        <f t="shared" si="7"/>
        <v>667.80961699721252</v>
      </c>
      <c r="P19" s="258">
        <f>O19*IF(A19=Abandonment!$B$4,1,P$5)</f>
        <v>200.34288509916374</v>
      </c>
      <c r="Q19" s="258">
        <f>Exploration!Z44</f>
        <v>0</v>
      </c>
      <c r="R19" s="258">
        <f t="shared" si="3"/>
        <v>2245.9790563727379</v>
      </c>
      <c r="S19" s="258">
        <f t="shared" si="4"/>
        <v>0</v>
      </c>
      <c r="T19" s="258">
        <f t="shared" si="10"/>
        <v>0</v>
      </c>
      <c r="U19" s="258">
        <f t="shared" si="5"/>
        <v>0</v>
      </c>
      <c r="V19" s="258">
        <f>IF(Input!$B$35="Yes",R19,MAX(0,R19+U18)+S19)</f>
        <v>2245.9790563727379</v>
      </c>
      <c r="W19" s="259">
        <v>0.16</v>
      </c>
      <c r="X19" s="258">
        <f t="shared" si="8"/>
        <v>359.35664901963804</v>
      </c>
      <c r="Y19" s="93"/>
    </row>
    <row r="20" spans="1:25" ht="15" x14ac:dyDescent="0.25">
      <c r="A20" s="160">
        <f t="shared" si="9"/>
        <v>2022</v>
      </c>
      <c r="B20" s="258">
        <f>Revenue!Q21</f>
        <v>4118.1820041617557</v>
      </c>
      <c r="C20" s="258">
        <f>Operations!M29+Abandonment!G26</f>
        <v>388.82182862222982</v>
      </c>
      <c r="D20" s="258">
        <f>Development!BH101</f>
        <v>0</v>
      </c>
      <c r="E20" s="258">
        <f>IF($A20&lt;Production!$B$4,0,IF($A20=Production!$B$4,SUM(D$9:D20),D20))</f>
        <v>0</v>
      </c>
      <c r="F20" s="258">
        <f t="shared" si="6"/>
        <v>1408.4127053673083</v>
      </c>
      <c r="G20" s="258">
        <f>F20*IF(A20=Abandonment!$B$4,1,G$5)</f>
        <v>352.10317634182707</v>
      </c>
      <c r="H20" s="258">
        <f>Development!BI101</f>
        <v>0</v>
      </c>
      <c r="I20" s="258">
        <f>IF($A20&lt;Production!$B$4,0,IF($A20=Production!$B$4,SUM(H$9:H20),H20))</f>
        <v>0</v>
      </c>
      <c r="J20" s="258">
        <f t="shared" si="1"/>
        <v>0</v>
      </c>
      <c r="K20" s="258">
        <f>J20*IF(Abandonment!$B$4='Federal Tax'!A21,1,K$5)</f>
        <v>0</v>
      </c>
      <c r="L20" s="258">
        <f t="shared" si="2"/>
        <v>3377.2569991976989</v>
      </c>
      <c r="M20" s="258">
        <f>Royalty!AM22</f>
        <v>1291.6672974370558</v>
      </c>
      <c r="N20" s="258">
        <f>Development!BG101</f>
        <v>0</v>
      </c>
      <c r="O20" s="258">
        <f t="shared" si="7"/>
        <v>467.46673189804881</v>
      </c>
      <c r="P20" s="258">
        <f>O20*IF(A20=Abandonment!$B$4,1,P$5)</f>
        <v>140.24001956941464</v>
      </c>
      <c r="Q20" s="258">
        <f>Exploration!Z45</f>
        <v>0</v>
      </c>
      <c r="R20" s="258">
        <f t="shared" si="3"/>
        <v>1945.3496821912283</v>
      </c>
      <c r="S20" s="258">
        <f t="shared" si="4"/>
        <v>0</v>
      </c>
      <c r="T20" s="258">
        <f t="shared" si="10"/>
        <v>0</v>
      </c>
      <c r="U20" s="258">
        <f t="shared" si="5"/>
        <v>0</v>
      </c>
      <c r="V20" s="258">
        <f>IF(Input!$B$35="Yes",R20,MAX(0,R20+U19)+S20)</f>
        <v>1945.3496821912283</v>
      </c>
      <c r="W20" s="259">
        <v>0.16</v>
      </c>
      <c r="X20" s="258">
        <f t="shared" si="8"/>
        <v>311.25594915059656</v>
      </c>
      <c r="Y20" s="93"/>
    </row>
    <row r="21" spans="1:25" ht="15" x14ac:dyDescent="0.25">
      <c r="A21" s="160">
        <f t="shared" si="9"/>
        <v>2023</v>
      </c>
      <c r="B21" s="258">
        <f>Revenue!Q22</f>
        <v>3843.9652627015721</v>
      </c>
      <c r="C21" s="258">
        <f>Operations!M30+Abandonment!G27</f>
        <v>376.91455850131791</v>
      </c>
      <c r="D21" s="258">
        <f>Development!BH102</f>
        <v>0</v>
      </c>
      <c r="E21" s="258">
        <f>IF($A21&lt;Production!$B$4,0,IF($A21=Production!$B$4,SUM(D$9:D21),D21))</f>
        <v>0</v>
      </c>
      <c r="F21" s="258">
        <f t="shared" si="6"/>
        <v>1056.3095290254812</v>
      </c>
      <c r="G21" s="258">
        <f>F21*IF(A21=Abandonment!$B$4,1,G$5)</f>
        <v>264.0773822563703</v>
      </c>
      <c r="H21" s="258">
        <f>Development!BI102</f>
        <v>0</v>
      </c>
      <c r="I21" s="258">
        <f>IF($A21&lt;Production!$B$4,0,IF($A21=Production!$B$4,SUM(H$9:H21),H21))</f>
        <v>0</v>
      </c>
      <c r="J21" s="258">
        <f t="shared" si="1"/>
        <v>0</v>
      </c>
      <c r="K21" s="258">
        <f>J21*IF(Abandonment!$B$4='Federal Tax'!A22,1,K$5)</f>
        <v>0</v>
      </c>
      <c r="L21" s="258">
        <f t="shared" si="2"/>
        <v>3202.973321943884</v>
      </c>
      <c r="M21" s="258">
        <f>Royalty!AM23</f>
        <v>1200.2757369225428</v>
      </c>
      <c r="N21" s="258">
        <f>Development!BG102</f>
        <v>0</v>
      </c>
      <c r="O21" s="258">
        <f t="shared" si="7"/>
        <v>327.22671232863416</v>
      </c>
      <c r="P21" s="258">
        <f>O21*IF(A21=Abandonment!$B$4,1,P$5)</f>
        <v>98.168013698590244</v>
      </c>
      <c r="Q21" s="258">
        <f>Exploration!Z46</f>
        <v>0</v>
      </c>
      <c r="R21" s="258">
        <f t="shared" si="3"/>
        <v>1904.5295713227511</v>
      </c>
      <c r="S21" s="258">
        <f t="shared" si="4"/>
        <v>0</v>
      </c>
      <c r="T21" s="258">
        <f t="shared" si="10"/>
        <v>0</v>
      </c>
      <c r="U21" s="258">
        <f t="shared" si="5"/>
        <v>0</v>
      </c>
      <c r="V21" s="258">
        <f>IF(Input!$B$35="Yes",R21,MAX(0,R21+U20)+S21)</f>
        <v>1904.5295713227511</v>
      </c>
      <c r="W21" s="259">
        <v>0.16</v>
      </c>
      <c r="X21" s="258">
        <f t="shared" si="8"/>
        <v>304.72473141164016</v>
      </c>
      <c r="Y21" s="93"/>
    </row>
    <row r="22" spans="1:25" ht="15" x14ac:dyDescent="0.25">
      <c r="A22" s="160">
        <f t="shared" si="9"/>
        <v>2024</v>
      </c>
      <c r="B22" s="258">
        <f>Revenue!Q23</f>
        <v>3357.5029376807242</v>
      </c>
      <c r="C22" s="258">
        <f>Operations!M31+Abandonment!G28</f>
        <v>352.61979360069023</v>
      </c>
      <c r="D22" s="258">
        <f>Development!BH103</f>
        <v>0</v>
      </c>
      <c r="E22" s="258">
        <f>IF($A22&lt;Production!$B$4,0,IF($A22=Production!$B$4,SUM(D$9:D22),D22))</f>
        <v>0</v>
      </c>
      <c r="F22" s="258">
        <f t="shared" si="6"/>
        <v>792.23214676911084</v>
      </c>
      <c r="G22" s="258">
        <f>F22*IF(A22=Abandonment!$B$4,1,G$5)</f>
        <v>198.05803669227771</v>
      </c>
      <c r="H22" s="258">
        <f>Development!BI103</f>
        <v>0</v>
      </c>
      <c r="I22" s="258">
        <f>IF($A22&lt;Production!$B$4,0,IF($A22=Production!$B$4,SUM(H$9:H22),H22))</f>
        <v>0</v>
      </c>
      <c r="J22" s="258">
        <f t="shared" si="1"/>
        <v>0</v>
      </c>
      <c r="K22" s="258">
        <f>J22*IF(Abandonment!$B$4='Federal Tax'!A23,1,K$5)</f>
        <v>0</v>
      </c>
      <c r="L22" s="258">
        <f t="shared" si="2"/>
        <v>2806.8251073877564</v>
      </c>
      <c r="M22" s="258">
        <f>Royalty!AM24</f>
        <v>1039.3674076519876</v>
      </c>
      <c r="N22" s="258">
        <f>Development!BG103</f>
        <v>0</v>
      </c>
      <c r="O22" s="258">
        <f t="shared" si="7"/>
        <v>229.05869863004392</v>
      </c>
      <c r="P22" s="258">
        <f>O22*IF(A22=Abandonment!$B$4,1,P$5)</f>
        <v>68.717609589013179</v>
      </c>
      <c r="Q22" s="258">
        <f>Exploration!Z47</f>
        <v>0</v>
      </c>
      <c r="R22" s="258">
        <f t="shared" si="3"/>
        <v>1698.7400901467556</v>
      </c>
      <c r="S22" s="258">
        <f t="shared" si="4"/>
        <v>0</v>
      </c>
      <c r="T22" s="258">
        <f t="shared" si="10"/>
        <v>0</v>
      </c>
      <c r="U22" s="258">
        <f t="shared" si="5"/>
        <v>0</v>
      </c>
      <c r="V22" s="258">
        <f>IF(Input!$B$35="Yes",R22,MAX(0,R22+U21)+S22)</f>
        <v>1698.7400901467556</v>
      </c>
      <c r="W22" s="259">
        <v>0.16</v>
      </c>
      <c r="X22" s="258">
        <f t="shared" si="8"/>
        <v>271.79841442348089</v>
      </c>
      <c r="Y22" s="93"/>
    </row>
    <row r="23" spans="1:25" ht="15" x14ac:dyDescent="0.25">
      <c r="A23" s="160">
        <f t="shared" si="9"/>
        <v>2025</v>
      </c>
      <c r="B23" s="258">
        <f>Revenue!Q24</f>
        <v>2916.5650268385516</v>
      </c>
      <c r="C23" s="258">
        <f>Operations!M32+Abandonment!G29</f>
        <v>331.65790058317492</v>
      </c>
      <c r="D23" s="258">
        <f>Development!BH104</f>
        <v>0</v>
      </c>
      <c r="E23" s="258">
        <f>IF($A23&lt;Production!$B$4,0,IF($A23=Production!$B$4,SUM(D$9:D23),D23))</f>
        <v>0</v>
      </c>
      <c r="F23" s="258">
        <f t="shared" si="6"/>
        <v>594.17411007683313</v>
      </c>
      <c r="G23" s="258">
        <f>F23*IF(A23=Abandonment!$B$4,1,G$5)</f>
        <v>148.54352751920828</v>
      </c>
      <c r="H23" s="258">
        <f>Development!BI104</f>
        <v>0</v>
      </c>
      <c r="I23" s="258">
        <f>IF($A23&lt;Production!$B$4,0,IF($A23=Production!$B$4,SUM(H$9:H23),H23))</f>
        <v>0</v>
      </c>
      <c r="J23" s="258">
        <f t="shared" si="1"/>
        <v>0</v>
      </c>
      <c r="K23" s="258">
        <f>J23*IF(Abandonment!$B$4='Federal Tax'!A24,1,K$5)</f>
        <v>0</v>
      </c>
      <c r="L23" s="258">
        <f t="shared" si="2"/>
        <v>2436.3635987361686</v>
      </c>
      <c r="M23" s="258">
        <f>Royalty!AM25</f>
        <v>893.10946766897075</v>
      </c>
      <c r="N23" s="258">
        <f>Development!BG104</f>
        <v>0</v>
      </c>
      <c r="O23" s="258">
        <f t="shared" si="7"/>
        <v>160.34108904103073</v>
      </c>
      <c r="P23" s="258">
        <f>O23*IF(A23=Abandonment!$B$4,1,P$5)</f>
        <v>48.102326712309214</v>
      </c>
      <c r="Q23" s="258">
        <f>Exploration!Z48</f>
        <v>0</v>
      </c>
      <c r="R23" s="258">
        <f t="shared" si="3"/>
        <v>1495.1518043548886</v>
      </c>
      <c r="S23" s="258">
        <f t="shared" si="4"/>
        <v>0</v>
      </c>
      <c r="T23" s="258">
        <f t="shared" si="10"/>
        <v>0</v>
      </c>
      <c r="U23" s="258">
        <f t="shared" si="5"/>
        <v>0</v>
      </c>
      <c r="V23" s="258">
        <f>IF(Input!$B$35="Yes",R23,MAX(0,R23+U22)+S23)</f>
        <v>1495.1518043548886</v>
      </c>
      <c r="W23" s="259">
        <v>0.16</v>
      </c>
      <c r="X23" s="258">
        <f t="shared" si="8"/>
        <v>239.22428869678217</v>
      </c>
      <c r="Y23" s="93"/>
    </row>
    <row r="24" spans="1:25" ht="15" x14ac:dyDescent="0.25">
      <c r="A24" s="160">
        <f t="shared" si="9"/>
        <v>2026</v>
      </c>
      <c r="B24" s="258">
        <f>Revenue!Q25</f>
        <v>2541.057279633088</v>
      </c>
      <c r="C24" s="258">
        <f>Operations!M33+Abandonment!G30</f>
        <v>314.23587016205687</v>
      </c>
      <c r="D24" s="258">
        <f>Development!BH105</f>
        <v>0</v>
      </c>
      <c r="E24" s="258">
        <f>IF($A24&lt;Production!$B$4,0,IF($A24=Production!$B$4,SUM(D$9:D24),D24))</f>
        <v>0</v>
      </c>
      <c r="F24" s="258">
        <f t="shared" si="6"/>
        <v>445.63058255762485</v>
      </c>
      <c r="G24" s="258">
        <f>F24*IF(A24=Abandonment!$B$4,1,G$5)</f>
        <v>111.40764563940621</v>
      </c>
      <c r="H24" s="258">
        <f>Development!BI105</f>
        <v>0</v>
      </c>
      <c r="I24" s="258">
        <f>IF($A24&lt;Production!$B$4,0,IF($A24=Production!$B$4,SUM(H$9:H24),H24))</f>
        <v>0</v>
      </c>
      <c r="J24" s="258">
        <f t="shared" si="1"/>
        <v>0</v>
      </c>
      <c r="K24" s="258">
        <f>J24*IF(Abandonment!$B$4='Federal Tax'!A25,1,K$5)</f>
        <v>0</v>
      </c>
      <c r="L24" s="258">
        <f t="shared" si="2"/>
        <v>2115.4137638316247</v>
      </c>
      <c r="M24" s="258">
        <f>Royalty!AM26</f>
        <v>768.38923785918871</v>
      </c>
      <c r="N24" s="258">
        <f>Development!BG105</f>
        <v>0</v>
      </c>
      <c r="O24" s="258">
        <f t="shared" si="7"/>
        <v>112.23876232872152</v>
      </c>
      <c r="P24" s="258">
        <f>O24*IF(A24=Abandonment!$B$4,1,P$5)</f>
        <v>33.671628698616452</v>
      </c>
      <c r="Q24" s="258">
        <f>Exploration!Z49</f>
        <v>0</v>
      </c>
      <c r="R24" s="258">
        <f t="shared" si="3"/>
        <v>1313.3528972738197</v>
      </c>
      <c r="S24" s="258">
        <f t="shared" si="4"/>
        <v>0</v>
      </c>
      <c r="T24" s="258">
        <f t="shared" si="10"/>
        <v>0</v>
      </c>
      <c r="U24" s="258">
        <f t="shared" si="5"/>
        <v>0</v>
      </c>
      <c r="V24" s="258">
        <f>IF(Input!$B$35="Yes",R24,MAX(0,R24+U23)+S24)</f>
        <v>1313.3528972738197</v>
      </c>
      <c r="W24" s="259">
        <v>0.16</v>
      </c>
      <c r="X24" s="258">
        <f t="shared" si="8"/>
        <v>210.13646356381116</v>
      </c>
      <c r="Y24" s="93"/>
    </row>
    <row r="25" spans="1:25" ht="15" x14ac:dyDescent="0.25">
      <c r="A25" s="160">
        <f t="shared" si="9"/>
        <v>2027</v>
      </c>
      <c r="B25" s="258">
        <f>Revenue!Q26</f>
        <v>2213.8961548803268</v>
      </c>
      <c r="C25" s="258">
        <f>Operations!M34+Abandonment!G31</f>
        <v>299.68889926463186</v>
      </c>
      <c r="D25" s="258">
        <f>Development!BH106</f>
        <v>0</v>
      </c>
      <c r="E25" s="258">
        <f>IF($A25&lt;Production!$B$4,0,IF($A25=Production!$B$4,SUM(D$9:D25),D25))</f>
        <v>0</v>
      </c>
      <c r="F25" s="258">
        <f t="shared" si="6"/>
        <v>334.22293691821864</v>
      </c>
      <c r="G25" s="258">
        <f>F25*IF(A25=Abandonment!$B$4,1,G$5)</f>
        <v>83.555734229554659</v>
      </c>
      <c r="H25" s="258">
        <f>Development!BI106</f>
        <v>0</v>
      </c>
      <c r="I25" s="258">
        <f>IF($A25&lt;Production!$B$4,0,IF($A25=Production!$B$4,SUM(H$9:H25),H25))</f>
        <v>0</v>
      </c>
      <c r="J25" s="258">
        <f t="shared" si="1"/>
        <v>0</v>
      </c>
      <c r="K25" s="258">
        <f>J25*IF(Abandonment!$B$4='Federal Tax'!A26,1,K$5)</f>
        <v>0</v>
      </c>
      <c r="L25" s="258">
        <f t="shared" si="2"/>
        <v>1830.6515213861403</v>
      </c>
      <c r="M25" s="258">
        <f>Royalty!AM27</f>
        <v>659.483427991231</v>
      </c>
      <c r="N25" s="258">
        <f>Development!BG106</f>
        <v>0</v>
      </c>
      <c r="O25" s="258">
        <f t="shared" si="7"/>
        <v>78.567133630105076</v>
      </c>
      <c r="P25" s="258">
        <f>O25*IF(A25=Abandonment!$B$4,1,P$5)</f>
        <v>23.570140089031522</v>
      </c>
      <c r="Q25" s="258">
        <f>Exploration!Z50</f>
        <v>0</v>
      </c>
      <c r="R25" s="258">
        <f t="shared" si="3"/>
        <v>1147.5979533058776</v>
      </c>
      <c r="S25" s="258">
        <f t="shared" si="4"/>
        <v>0</v>
      </c>
      <c r="T25" s="258">
        <f t="shared" si="10"/>
        <v>0</v>
      </c>
      <c r="U25" s="258">
        <f t="shared" si="5"/>
        <v>0</v>
      </c>
      <c r="V25" s="258">
        <f>IF(Input!$B$35="Yes",R25,MAX(0,R25+U24)+S25)</f>
        <v>1147.5979533058776</v>
      </c>
      <c r="W25" s="259">
        <v>0.16</v>
      </c>
      <c r="X25" s="258">
        <f t="shared" si="8"/>
        <v>183.61567252894042</v>
      </c>
      <c r="Y25" s="93"/>
    </row>
    <row r="26" spans="1:25" ht="15" x14ac:dyDescent="0.25">
      <c r="A26" s="160">
        <f t="shared" si="9"/>
        <v>2028</v>
      </c>
      <c r="B26" s="258">
        <f>Revenue!Q27</f>
        <v>1933.7226888743185</v>
      </c>
      <c r="C26" s="258">
        <f>Operations!M35+Abandonment!G32</f>
        <v>287.76176600540771</v>
      </c>
      <c r="D26" s="258">
        <f>Development!BH107</f>
        <v>0</v>
      </c>
      <c r="E26" s="258">
        <f>IF($A26&lt;Production!$B$4,0,IF($A26=Production!$B$4,SUM(D$9:D26),D26))</f>
        <v>0</v>
      </c>
      <c r="F26" s="258">
        <f t="shared" si="6"/>
        <v>250.66720268866396</v>
      </c>
      <c r="G26" s="258">
        <f>F26*IF(A26=Abandonment!$B$4,1,G$5)</f>
        <v>62.666800672165991</v>
      </c>
      <c r="H26" s="258">
        <f>Development!BI107</f>
        <v>0</v>
      </c>
      <c r="I26" s="258">
        <f>IF($A26&lt;Production!$B$4,0,IF($A26=Production!$B$4,SUM(H$9:H26),H26))</f>
        <v>0</v>
      </c>
      <c r="J26" s="258">
        <f t="shared" si="1"/>
        <v>0</v>
      </c>
      <c r="K26" s="258">
        <f>J26*IF(Abandonment!$B$4='Federal Tax'!A27,1,K$5)</f>
        <v>0</v>
      </c>
      <c r="L26" s="258">
        <f t="shared" si="2"/>
        <v>1583.2941221967449</v>
      </c>
      <c r="M26" s="258">
        <f>Royalty!AM28</f>
        <v>566.01466119392944</v>
      </c>
      <c r="N26" s="258">
        <f>Development!BG107</f>
        <v>0</v>
      </c>
      <c r="O26" s="258">
        <f t="shared" si="7"/>
        <v>54.99699354107355</v>
      </c>
      <c r="P26" s="258">
        <f>O26*IF(A26=Abandonment!$B$4,1,P$5)</f>
        <v>16.499098062322066</v>
      </c>
      <c r="Q26" s="258">
        <f>Exploration!Z51</f>
        <v>0</v>
      </c>
      <c r="R26" s="258">
        <f t="shared" si="3"/>
        <v>1000.7803629404933</v>
      </c>
      <c r="S26" s="258">
        <f t="shared" si="4"/>
        <v>0</v>
      </c>
      <c r="T26" s="258">
        <f t="shared" si="10"/>
        <v>0</v>
      </c>
      <c r="U26" s="258">
        <f t="shared" si="5"/>
        <v>0</v>
      </c>
      <c r="V26" s="258">
        <f>IF(Input!$B$35="Yes",R26,MAX(0,R26+U25)+S26)</f>
        <v>1000.7803629404933</v>
      </c>
      <c r="W26" s="259">
        <v>0.16</v>
      </c>
      <c r="X26" s="258">
        <f t="shared" si="8"/>
        <v>160.12485807047892</v>
      </c>
      <c r="Y26" s="93"/>
    </row>
    <row r="27" spans="1:25" ht="15" x14ac:dyDescent="0.25">
      <c r="A27" s="160">
        <f t="shared" si="9"/>
        <v>2029</v>
      </c>
      <c r="B27" s="258">
        <f>Revenue!Q28</f>
        <v>1679.7685871485455</v>
      </c>
      <c r="C27" s="258">
        <f>Operations!M36+Abandonment!G33</f>
        <v>277.80579969113001</v>
      </c>
      <c r="D27" s="258">
        <f>Development!BH108</f>
        <v>0</v>
      </c>
      <c r="E27" s="258">
        <f>IF($A27&lt;Production!$B$4,0,IF($A27=Production!$B$4,SUM(D$9:D27),D27))</f>
        <v>0</v>
      </c>
      <c r="F27" s="258">
        <f t="shared" si="6"/>
        <v>188.00040201649796</v>
      </c>
      <c r="G27" s="258">
        <f>F27*IF(A27=Abandonment!$B$4,1,G$5)</f>
        <v>47.000100504124489</v>
      </c>
      <c r="H27" s="258">
        <f>Development!BI108</f>
        <v>0</v>
      </c>
      <c r="I27" s="258">
        <f>IF($A27&lt;Production!$B$4,0,IF($A27=Production!$B$4,SUM(H$9:H27),H27))</f>
        <v>0</v>
      </c>
      <c r="J27" s="258">
        <f t="shared" si="1"/>
        <v>0</v>
      </c>
      <c r="K27" s="258">
        <f>J27*IF(Abandonment!$B$4='Federal Tax'!A28,1,K$5)</f>
        <v>0</v>
      </c>
      <c r="L27" s="258">
        <f t="shared" si="2"/>
        <v>1354.962686953291</v>
      </c>
      <c r="M27" s="258">
        <f>Royalty!AM29</f>
        <v>480.9637726209059</v>
      </c>
      <c r="N27" s="258">
        <f>Development!BG108</f>
        <v>0</v>
      </c>
      <c r="O27" s="258">
        <f t="shared" si="7"/>
        <v>38.497895478751488</v>
      </c>
      <c r="P27" s="258">
        <f>O27*IF(A27=Abandonment!$B$4,1,P$5)</f>
        <v>11.549368643625446</v>
      </c>
      <c r="Q27" s="258">
        <f>Exploration!Z52</f>
        <v>0</v>
      </c>
      <c r="R27" s="258">
        <f t="shared" si="3"/>
        <v>862.4495456887596</v>
      </c>
      <c r="S27" s="258">
        <f t="shared" si="4"/>
        <v>0</v>
      </c>
      <c r="T27" s="258">
        <f t="shared" si="10"/>
        <v>0</v>
      </c>
      <c r="U27" s="258">
        <f t="shared" si="5"/>
        <v>0</v>
      </c>
      <c r="V27" s="258">
        <f>IF(Input!$B$35="Yes",R27,MAX(0,R27+U26)+S27)</f>
        <v>862.4495456887596</v>
      </c>
      <c r="W27" s="259">
        <v>0.16</v>
      </c>
      <c r="X27" s="258">
        <f t="shared" si="8"/>
        <v>137.99192731020153</v>
      </c>
      <c r="Y27" s="93"/>
    </row>
    <row r="28" spans="1:25" ht="15" x14ac:dyDescent="0.25">
      <c r="A28" s="160">
        <f t="shared" si="9"/>
        <v>2030</v>
      </c>
      <c r="B28" s="258">
        <f>Revenue!Q29</f>
        <v>1463.4983815531698</v>
      </c>
      <c r="C28" s="258">
        <f>Operations!M37+Abandonment!G34</f>
        <v>269.94150546115264</v>
      </c>
      <c r="D28" s="258">
        <f>Development!BH109</f>
        <v>0</v>
      </c>
      <c r="E28" s="258">
        <f>IF($A28&lt;Production!$B$4,0,IF($A28=Production!$B$4,SUM(D$9:D28),D28))</f>
        <v>0</v>
      </c>
      <c r="F28" s="258">
        <f t="shared" si="6"/>
        <v>141.00030151237348</v>
      </c>
      <c r="G28" s="258">
        <f>F28*IF(A28=Abandonment!$B$4,1,G$5)</f>
        <v>35.250075378093371</v>
      </c>
      <c r="H28" s="258">
        <f>Development!BI109</f>
        <v>0</v>
      </c>
      <c r="I28" s="258">
        <f>IF($A28&lt;Production!$B$4,0,IF($A28=Production!$B$4,SUM(H$9:H28),H28))</f>
        <v>0</v>
      </c>
      <c r="J28" s="258">
        <f t="shared" si="1"/>
        <v>0</v>
      </c>
      <c r="K28" s="258">
        <f>J28*IF(Abandonment!$B$4='Federal Tax'!A29,1,K$5)</f>
        <v>0</v>
      </c>
      <c r="L28" s="258">
        <f t="shared" si="2"/>
        <v>1158.3068007139236</v>
      </c>
      <c r="M28" s="258">
        <f>Royalty!AM30</f>
        <v>408.29695394106562</v>
      </c>
      <c r="N28" s="258">
        <f>Development!BG109</f>
        <v>0</v>
      </c>
      <c r="O28" s="258">
        <f t="shared" si="7"/>
        <v>26.948526835126042</v>
      </c>
      <c r="P28" s="258">
        <f>O28*IF(A28=Abandonment!$B$4,1,P$5)</f>
        <v>8.0845580505378116</v>
      </c>
      <c r="Q28" s="258">
        <f>Exploration!Z53</f>
        <v>0</v>
      </c>
      <c r="R28" s="258">
        <f t="shared" si="3"/>
        <v>741.92528872232026</v>
      </c>
      <c r="S28" s="258">
        <f t="shared" si="4"/>
        <v>0</v>
      </c>
      <c r="T28" s="258">
        <f t="shared" si="10"/>
        <v>0</v>
      </c>
      <c r="U28" s="258">
        <f t="shared" si="5"/>
        <v>0</v>
      </c>
      <c r="V28" s="258">
        <f>IF(Input!$B$35="Yes",R28,MAX(0,R28+U27)+S28)</f>
        <v>741.92528872232026</v>
      </c>
      <c r="W28" s="259">
        <v>0.16</v>
      </c>
      <c r="X28" s="258">
        <f t="shared" si="8"/>
        <v>118.70804619557124</v>
      </c>
      <c r="Y28" s="93"/>
    </row>
    <row r="29" spans="1:25" ht="15" x14ac:dyDescent="0.25">
      <c r="A29" s="160">
        <f t="shared" si="9"/>
        <v>2031</v>
      </c>
      <c r="B29" s="258">
        <f>Revenue!Q30</f>
        <v>1275.0729649281996</v>
      </c>
      <c r="C29" s="258">
        <f>Operations!M38+Abandonment!G35</f>
        <v>263.78731917529132</v>
      </c>
      <c r="D29" s="258">
        <f>Development!BH110</f>
        <v>0</v>
      </c>
      <c r="E29" s="258">
        <f>IF($A29&lt;Production!$B$4,0,IF($A29=Production!$B$4,SUM(D$9:D29),D29))</f>
        <v>0</v>
      </c>
      <c r="F29" s="258">
        <f t="shared" si="6"/>
        <v>105.75022613428011</v>
      </c>
      <c r="G29" s="258">
        <f>F29*IF(A29=Abandonment!$B$4,1,G$5)</f>
        <v>26.437556533570028</v>
      </c>
      <c r="H29" s="258">
        <f>Development!BI110</f>
        <v>0</v>
      </c>
      <c r="I29" s="258">
        <f>IF($A29&lt;Production!$B$4,0,IF($A29=Production!$B$4,SUM(H$9:H29),H29))</f>
        <v>0</v>
      </c>
      <c r="J29" s="258">
        <f t="shared" si="1"/>
        <v>0</v>
      </c>
      <c r="K29" s="258">
        <f>J29*IF(Abandonment!$B$4='Federal Tax'!A30,1,K$5)</f>
        <v>0</v>
      </c>
      <c r="L29" s="258">
        <f t="shared" si="2"/>
        <v>984.84808921933825</v>
      </c>
      <c r="M29" s="258">
        <f>Royalty!AM31</f>
        <v>344.71741984238264</v>
      </c>
      <c r="N29" s="258">
        <f>Development!BG110</f>
        <v>0</v>
      </c>
      <c r="O29" s="258">
        <f t="shared" si="7"/>
        <v>18.863968784588231</v>
      </c>
      <c r="P29" s="258">
        <f>O29*IF(A29=Abandonment!$B$4,1,P$5)</f>
        <v>5.6591906353764694</v>
      </c>
      <c r="Q29" s="258">
        <f>Exploration!Z54</f>
        <v>0</v>
      </c>
      <c r="R29" s="258">
        <f t="shared" si="3"/>
        <v>634.47147874157918</v>
      </c>
      <c r="S29" s="258">
        <f t="shared" si="4"/>
        <v>0</v>
      </c>
      <c r="T29" s="258">
        <f t="shared" si="10"/>
        <v>0</v>
      </c>
      <c r="U29" s="258">
        <f t="shared" si="5"/>
        <v>0</v>
      </c>
      <c r="V29" s="258">
        <f>IF(Input!$B$35="Yes",R29,MAX(0,R29+U28)+S29)</f>
        <v>634.47147874157918</v>
      </c>
      <c r="W29" s="259">
        <v>0.16</v>
      </c>
      <c r="X29" s="258">
        <f t="shared" si="8"/>
        <v>101.51543659865267</v>
      </c>
      <c r="Y29" s="93"/>
    </row>
    <row r="30" spans="1:25" ht="15" x14ac:dyDescent="0.25">
      <c r="A30" s="160">
        <f t="shared" si="9"/>
        <v>2032</v>
      </c>
      <c r="B30" s="258">
        <f>Revenue!Q31</f>
        <v>1113.7096547264161</v>
      </c>
      <c r="C30" s="258">
        <f>Operations!M39+Abandonment!G36</f>
        <v>259.19760425647735</v>
      </c>
      <c r="D30" s="258">
        <f>Development!BH111</f>
        <v>0</v>
      </c>
      <c r="E30" s="258">
        <f>IF($A30&lt;Production!$B$4,0,IF($A30=Production!$B$4,SUM(D$9:D30),D30))</f>
        <v>0</v>
      </c>
      <c r="F30" s="258">
        <f t="shared" si="6"/>
        <v>79.31266960071008</v>
      </c>
      <c r="G30" s="258">
        <f>F30*IF(A30=Abandonment!$B$4,1,G$5)</f>
        <v>19.82816740017752</v>
      </c>
      <c r="H30" s="258">
        <f>Development!BI111</f>
        <v>0</v>
      </c>
      <c r="I30" s="258">
        <f>IF($A30&lt;Production!$B$4,0,IF($A30=Production!$B$4,SUM(H$9:H30),H30))</f>
        <v>0</v>
      </c>
      <c r="J30" s="258">
        <f t="shared" si="1"/>
        <v>0</v>
      </c>
      <c r="K30" s="258">
        <f>J30*IF(Abandonment!$B$4='Federal Tax'!A31,1,K$5)</f>
        <v>0</v>
      </c>
      <c r="L30" s="258">
        <f t="shared" si="2"/>
        <v>834.68388306976124</v>
      </c>
      <c r="M30" s="258">
        <f>Royalty!AM32</f>
        <v>290.00730151550187</v>
      </c>
      <c r="N30" s="258">
        <f>Development!BG111</f>
        <v>0</v>
      </c>
      <c r="O30" s="258">
        <f t="shared" si="7"/>
        <v>13.204778149211762</v>
      </c>
      <c r="P30" s="258">
        <f>O30*IF(A30=Abandonment!$B$4,1,P$5)</f>
        <v>3.9614334447635287</v>
      </c>
      <c r="Q30" s="258">
        <f>Exploration!Z55</f>
        <v>0</v>
      </c>
      <c r="R30" s="258">
        <f t="shared" si="3"/>
        <v>540.71514810949589</v>
      </c>
      <c r="S30" s="258">
        <f t="shared" si="4"/>
        <v>0</v>
      </c>
      <c r="T30" s="258">
        <f t="shared" si="10"/>
        <v>0</v>
      </c>
      <c r="U30" s="258">
        <f t="shared" si="5"/>
        <v>0</v>
      </c>
      <c r="V30" s="258">
        <f>IF(Input!$B$35="Yes",R30,MAX(0,R30+U29)+S30)</f>
        <v>540.71514810949589</v>
      </c>
      <c r="W30" s="259">
        <v>0.16</v>
      </c>
      <c r="X30" s="258">
        <f t="shared" si="8"/>
        <v>86.514423697519348</v>
      </c>
      <c r="Y30" s="93"/>
    </row>
    <row r="31" spans="1:25" ht="15" x14ac:dyDescent="0.25">
      <c r="A31" s="160">
        <f t="shared" si="9"/>
        <v>2033</v>
      </c>
      <c r="B31" s="258">
        <f>Revenue!Q32</f>
        <v>967.44714429684871</v>
      </c>
      <c r="C31" s="258">
        <f>Operations!M40+Abandonment!G37</f>
        <v>255.80015483709607</v>
      </c>
      <c r="D31" s="258">
        <f>Development!BH112</f>
        <v>0</v>
      </c>
      <c r="E31" s="258">
        <f>IF($A31&lt;Production!$B$4,0,IF($A31=Production!$B$4,SUM(D$9:D31),D31))</f>
        <v>0</v>
      </c>
      <c r="F31" s="258">
        <f t="shared" si="6"/>
        <v>59.48450220053256</v>
      </c>
      <c r="G31" s="258">
        <f>F31*IF(A31=Abandonment!$B$4,1,G$5)</f>
        <v>14.87112555013314</v>
      </c>
      <c r="H31" s="258">
        <f>Development!BI112</f>
        <v>0</v>
      </c>
      <c r="I31" s="258">
        <f>IF($A31&lt;Production!$B$4,0,IF($A31=Production!$B$4,SUM(H$9:H31),H31))</f>
        <v>0</v>
      </c>
      <c r="J31" s="258">
        <f t="shared" si="1"/>
        <v>0</v>
      </c>
      <c r="K31" s="258">
        <f>J31*IF(Abandonment!$B$4='Federal Tax'!A32,1,K$5)</f>
        <v>0</v>
      </c>
      <c r="L31" s="258">
        <f t="shared" si="2"/>
        <v>696.77586390961949</v>
      </c>
      <c r="M31" s="258">
        <f>Royalty!AM33</f>
        <v>240.12344089161505</v>
      </c>
      <c r="N31" s="258">
        <f>Development!BG112</f>
        <v>0</v>
      </c>
      <c r="O31" s="258">
        <f t="shared" si="7"/>
        <v>9.2433447044482335</v>
      </c>
      <c r="P31" s="258">
        <f>O31*IF(A31=Abandonment!$B$4,1,P$5)</f>
        <v>2.7730034113344701</v>
      </c>
      <c r="Q31" s="258">
        <f>Exploration!Z56</f>
        <v>0</v>
      </c>
      <c r="R31" s="258">
        <f t="shared" si="3"/>
        <v>453.87941960667001</v>
      </c>
      <c r="S31" s="258">
        <f>-MIN(-MIN(R31,0),MAX(0,SUM(V28:V30)-SUM(S28:S30)+T30))</f>
        <v>0</v>
      </c>
      <c r="T31" s="258">
        <f t="shared" si="10"/>
        <v>0</v>
      </c>
      <c r="U31" s="258">
        <f t="shared" si="5"/>
        <v>0</v>
      </c>
      <c r="V31" s="258">
        <f>IF(Input!$B$35="Yes",R31,MAX(0,R31+U30)+S31)</f>
        <v>453.87941960667001</v>
      </c>
      <c r="W31" s="259">
        <v>0.16</v>
      </c>
      <c r="X31" s="258">
        <f t="shared" si="8"/>
        <v>72.6207071370672</v>
      </c>
      <c r="Y31" s="93"/>
    </row>
    <row r="32" spans="1:25" ht="15" x14ac:dyDescent="0.25">
      <c r="A32" s="160">
        <f t="shared" si="9"/>
        <v>2034</v>
      </c>
      <c r="B32" s="258">
        <f>Revenue!Q33</f>
        <v>842.88832446863</v>
      </c>
      <c r="C32" s="258">
        <f>Operations!M41+Abandonment!G38</f>
        <v>253.66579948924561</v>
      </c>
      <c r="D32" s="258">
        <f>Development!BH113</f>
        <v>0</v>
      </c>
      <c r="E32" s="258">
        <f>IF($A32&lt;Production!$B$4,0,IF($A32=Production!$B$4,SUM(D$9:D32),D32))</f>
        <v>0</v>
      </c>
      <c r="F32" s="258">
        <f t="shared" si="6"/>
        <v>44.613376650399417</v>
      </c>
      <c r="G32" s="258">
        <f>F32*IF(A32=Abandonment!$B$4,1,G$5)</f>
        <v>11.153344162599854</v>
      </c>
      <c r="H32" s="258">
        <f>Development!BI113</f>
        <v>0</v>
      </c>
      <c r="I32" s="258">
        <f>IF($A32&lt;Production!$B$4,0,IF($A32=Production!$B$4,SUM(H$9:H32),H32))</f>
        <v>0</v>
      </c>
      <c r="J32" s="258">
        <f t="shared" si="1"/>
        <v>0</v>
      </c>
      <c r="K32" s="258">
        <f>J32*IF(Abandonment!$B$4='Federal Tax'!A33,1,K$5)</f>
        <v>0</v>
      </c>
      <c r="L32" s="258">
        <f t="shared" si="2"/>
        <v>578.06918081678452</v>
      </c>
      <c r="M32" s="258">
        <f>Royalty!AM34</f>
        <v>197.34958076066093</v>
      </c>
      <c r="N32" s="258">
        <f>Development!BG113</f>
        <v>0</v>
      </c>
      <c r="O32" s="258">
        <f t="shared" si="7"/>
        <v>6.4703412931137638</v>
      </c>
      <c r="P32" s="258">
        <f>O32*IF(A32=Abandonment!$B$4,1,P$5)</f>
        <v>1.9411023879341291</v>
      </c>
      <c r="Q32" s="258">
        <f>Exploration!Z57</f>
        <v>0</v>
      </c>
      <c r="R32" s="258">
        <f t="shared" si="3"/>
        <v>378.77849766818946</v>
      </c>
      <c r="S32" s="258">
        <f t="shared" si="4"/>
        <v>0</v>
      </c>
      <c r="T32" s="258">
        <f t="shared" si="10"/>
        <v>0</v>
      </c>
      <c r="U32" s="258">
        <f t="shared" si="5"/>
        <v>0</v>
      </c>
      <c r="V32" s="258">
        <f>IF(Input!$B$35="Yes",R32,MAX(0,R32+U31)+S32)</f>
        <v>378.77849766818946</v>
      </c>
      <c r="W32" s="259">
        <v>0.16</v>
      </c>
      <c r="X32" s="258">
        <f t="shared" si="8"/>
        <v>60.604559626910316</v>
      </c>
      <c r="Y32" s="93"/>
    </row>
    <row r="33" spans="1:25" ht="15" x14ac:dyDescent="0.25">
      <c r="A33" s="160">
        <f t="shared" si="9"/>
        <v>2035</v>
      </c>
      <c r="B33" s="258">
        <f>Revenue!Q34</f>
        <v>734.36645269329279</v>
      </c>
      <c r="C33" s="258">
        <f>Operations!M42+Abandonment!G39</f>
        <v>252.57624025711652</v>
      </c>
      <c r="D33" s="258">
        <f>Development!BH114</f>
        <v>0</v>
      </c>
      <c r="E33" s="258">
        <f>IF($A33&lt;Production!$B$4,0,IF($A33=Production!$B$4,SUM(D$9:D33),D33))</f>
        <v>0</v>
      </c>
      <c r="F33" s="258">
        <f t="shared" si="6"/>
        <v>33.460032487799566</v>
      </c>
      <c r="G33" s="258">
        <f>F33*IF(A33=Abandonment!$B$4,1,G$5)</f>
        <v>8.3650081219498915</v>
      </c>
      <c r="H33" s="258">
        <f>Development!BI114</f>
        <v>0</v>
      </c>
      <c r="I33" s="258">
        <f>IF($A33&lt;Production!$B$4,0,IF($A33=Production!$B$4,SUM(H$9:H33),H33))</f>
        <v>0</v>
      </c>
      <c r="J33" s="258">
        <f t="shared" si="1"/>
        <v>0</v>
      </c>
      <c r="K33" s="258">
        <f>J33*IF(Abandonment!$B$4='Federal Tax'!A34,1,K$5)</f>
        <v>0</v>
      </c>
      <c r="L33" s="258">
        <f t="shared" si="2"/>
        <v>473.42520431422639</v>
      </c>
      <c r="M33" s="258">
        <f>Royalty!AM35</f>
        <v>159.7864059436626</v>
      </c>
      <c r="N33" s="258">
        <f>Development!BG114</f>
        <v>0</v>
      </c>
      <c r="O33" s="258">
        <f t="shared" si="7"/>
        <v>4.5292389051796347</v>
      </c>
      <c r="P33" s="258">
        <f>O33*IF(A33=Abandonment!$B$4,1,P$5)</f>
        <v>1.3587716715538904</v>
      </c>
      <c r="Q33" s="258">
        <f>Exploration!Z58</f>
        <v>0</v>
      </c>
      <c r="R33" s="258">
        <f t="shared" si="3"/>
        <v>312.28002669900991</v>
      </c>
      <c r="S33" s="258">
        <f t="shared" si="4"/>
        <v>0</v>
      </c>
      <c r="T33" s="258">
        <f t="shared" si="10"/>
        <v>0</v>
      </c>
      <c r="U33" s="258">
        <f t="shared" si="5"/>
        <v>0</v>
      </c>
      <c r="V33" s="258">
        <f>IF(Input!$B$35="Yes",R33,MAX(0,R33+U32)+S33)</f>
        <v>312.28002669900991</v>
      </c>
      <c r="W33" s="259">
        <v>0.16</v>
      </c>
      <c r="X33" s="258">
        <f t="shared" si="8"/>
        <v>49.964804271841587</v>
      </c>
      <c r="Y33" s="93"/>
    </row>
    <row r="34" spans="1:25" ht="15" x14ac:dyDescent="0.25">
      <c r="A34" s="160">
        <f t="shared" si="9"/>
        <v>2036</v>
      </c>
      <c r="B34" s="258">
        <f>Revenue!Q35</f>
        <v>641.43075021417849</v>
      </c>
      <c r="C34" s="258">
        <f>Operations!M43+Abandonment!G40</f>
        <v>252.44909598687371</v>
      </c>
      <c r="D34" s="258">
        <f>Development!BH115</f>
        <v>0</v>
      </c>
      <c r="E34" s="258">
        <f>IF($A34&lt;Production!$B$4,0,IF($A34=Production!$B$4,SUM(D$9:D34),D34))</f>
        <v>0</v>
      </c>
      <c r="F34" s="258">
        <f t="shared" si="6"/>
        <v>25.095024365849675</v>
      </c>
      <c r="G34" s="258">
        <f>F34*IF(A34=Abandonment!$B$4,1,G$5)</f>
        <v>6.2737560914624186</v>
      </c>
      <c r="H34" s="258">
        <f>Development!BI115</f>
        <v>0</v>
      </c>
      <c r="I34" s="258">
        <f>IF($A34&lt;Production!$B$4,0,IF($A34=Production!$B$4,SUM(H$9:H34),H34))</f>
        <v>0</v>
      </c>
      <c r="J34" s="258">
        <f t="shared" si="1"/>
        <v>0</v>
      </c>
      <c r="K34" s="258">
        <f>J34*IF(Abandonment!$B$4='Federal Tax'!A35,1,K$5)</f>
        <v>0</v>
      </c>
      <c r="L34" s="258">
        <f t="shared" si="2"/>
        <v>382.70789813584236</v>
      </c>
      <c r="M34" s="258">
        <f>Royalty!AM36</f>
        <v>127.30786062001607</v>
      </c>
      <c r="N34" s="258">
        <f>Development!BG115</f>
        <v>0</v>
      </c>
      <c r="O34" s="258">
        <f t="shared" si="7"/>
        <v>3.170467233625744</v>
      </c>
      <c r="P34" s="258">
        <f>O34*IF(A34=Abandonment!$B$4,1,P$5)</f>
        <v>0.95114017008772311</v>
      </c>
      <c r="Q34" s="258">
        <f>Exploration!Z59</f>
        <v>0</v>
      </c>
      <c r="R34" s="258">
        <f t="shared" si="3"/>
        <v>254.44889734573857</v>
      </c>
      <c r="S34" s="258">
        <f t="shared" si="4"/>
        <v>0</v>
      </c>
      <c r="T34" s="258">
        <f t="shared" si="10"/>
        <v>0</v>
      </c>
      <c r="U34" s="258">
        <f t="shared" si="5"/>
        <v>0</v>
      </c>
      <c r="V34" s="258">
        <f>IF(Input!$B$35="Yes",R34,MAX(0,R34+U33)+S34)</f>
        <v>254.44889734573857</v>
      </c>
      <c r="W34" s="259">
        <v>0.16</v>
      </c>
      <c r="X34" s="258">
        <f t="shared" si="8"/>
        <v>40.711823575318171</v>
      </c>
      <c r="Y34" s="93"/>
    </row>
    <row r="35" spans="1:25" ht="15" x14ac:dyDescent="0.25">
      <c r="A35" s="160">
        <f t="shared" si="9"/>
        <v>2037</v>
      </c>
      <c r="B35" s="258">
        <f>Revenue!Q36</f>
        <v>557.19221336132716</v>
      </c>
      <c r="C35" s="258">
        <f>Operations!M44+Abandonment!G41</f>
        <v>253.07153246442351</v>
      </c>
      <c r="D35" s="258">
        <f>Development!BH116</f>
        <v>0</v>
      </c>
      <c r="E35" s="258">
        <f>IF($A35&lt;Production!$B$4,0,IF($A35=Production!$B$4,SUM(D$9:D35),D35))</f>
        <v>0</v>
      </c>
      <c r="F35" s="258">
        <f t="shared" si="6"/>
        <v>18.821268274387258</v>
      </c>
      <c r="G35" s="258">
        <f>F35*IF(A35=Abandonment!$B$4,1,G$5)</f>
        <v>4.7053170685968144</v>
      </c>
      <c r="H35" s="258">
        <f>Development!BI116</f>
        <v>0</v>
      </c>
      <c r="I35" s="258">
        <f>IF($A35&lt;Production!$B$4,0,IF($A35=Production!$B$4,SUM(H$9:H35),H35))</f>
        <v>0</v>
      </c>
      <c r="J35" s="258">
        <f t="shared" si="1"/>
        <v>0</v>
      </c>
      <c r="K35" s="258">
        <f>J35*IF(Abandonment!$B$4='Federal Tax'!A36,1,K$5)</f>
        <v>0</v>
      </c>
      <c r="L35" s="258">
        <f t="shared" si="2"/>
        <v>299.41536382830685</v>
      </c>
      <c r="M35" s="258">
        <f>Royalty!AM37</f>
        <v>97.584734677661416</v>
      </c>
      <c r="N35" s="258">
        <f>Development!BG116</f>
        <v>0</v>
      </c>
      <c r="O35" s="258">
        <f t="shared" si="7"/>
        <v>2.2193270635380209</v>
      </c>
      <c r="P35" s="258">
        <f>O35*IF(A35=Abandonment!$B$4,1,P$5)</f>
        <v>0.66579811906140629</v>
      </c>
      <c r="Q35" s="258">
        <f>Exploration!Z60</f>
        <v>0</v>
      </c>
      <c r="R35" s="258">
        <f t="shared" si="3"/>
        <v>201.16483103158404</v>
      </c>
      <c r="S35" s="258">
        <f t="shared" si="4"/>
        <v>0</v>
      </c>
      <c r="T35" s="258">
        <f t="shared" si="10"/>
        <v>0</v>
      </c>
      <c r="U35" s="258">
        <f t="shared" si="5"/>
        <v>0</v>
      </c>
      <c r="V35" s="258">
        <f>IF(Input!$B$35="Yes",R35,MAX(0,R35+U34)+S35)</f>
        <v>201.16483103158404</v>
      </c>
      <c r="W35" s="259">
        <v>0.16</v>
      </c>
      <c r="X35" s="258">
        <f t="shared" si="8"/>
        <v>32.186372965053451</v>
      </c>
      <c r="Y35" s="93"/>
    </row>
    <row r="36" spans="1:25" ht="15" x14ac:dyDescent="0.25">
      <c r="A36" s="160">
        <f t="shared" si="9"/>
        <v>2038</v>
      </c>
      <c r="B36" s="258">
        <f>Revenue!Q37</f>
        <v>485.45371589105798</v>
      </c>
      <c r="C36" s="258">
        <f>Operations!M45+Abandonment!G42</f>
        <v>254.4859154113785</v>
      </c>
      <c r="D36" s="258">
        <f>Development!BH117</f>
        <v>0</v>
      </c>
      <c r="E36" s="258">
        <f>IF($A36&lt;Production!$B$4,0,IF($A36=Production!$B$4,SUM(D$9:D36),D36))</f>
        <v>0</v>
      </c>
      <c r="F36" s="258">
        <f t="shared" si="6"/>
        <v>14.115951205790443</v>
      </c>
      <c r="G36" s="258">
        <f>F36*IF(A36=Abandonment!$B$4,1,G$5)</f>
        <v>3.5289878014476108</v>
      </c>
      <c r="H36" s="258">
        <f>Development!BI117</f>
        <v>0</v>
      </c>
      <c r="I36" s="258">
        <f>IF($A36&lt;Production!$B$4,0,IF($A36=Production!$B$4,SUM(H$9:H36),H36))</f>
        <v>0</v>
      </c>
      <c r="J36" s="258">
        <f t="shared" si="1"/>
        <v>0</v>
      </c>
      <c r="K36" s="258">
        <f>J36*IF(Abandonment!$B$4='Federal Tax'!A37,1,K$5)</f>
        <v>0</v>
      </c>
      <c r="L36" s="258">
        <f t="shared" si="2"/>
        <v>227.43881267823187</v>
      </c>
      <c r="M36" s="258">
        <f>Royalty!AM38</f>
        <v>71.931723128489566</v>
      </c>
      <c r="N36" s="258">
        <f>Development!BG117</f>
        <v>0</v>
      </c>
      <c r="O36" s="258">
        <f t="shared" si="7"/>
        <v>1.5535289444766147</v>
      </c>
      <c r="P36" s="258">
        <f>O36*IF(A36=Abandonment!$B$4,1,P$5)</f>
        <v>0.46605868334298439</v>
      </c>
      <c r="Q36" s="258">
        <f>Exploration!Z61</f>
        <v>0</v>
      </c>
      <c r="R36" s="258">
        <f t="shared" si="3"/>
        <v>155.04103086639932</v>
      </c>
      <c r="S36" s="258">
        <f t="shared" si="4"/>
        <v>0</v>
      </c>
      <c r="T36" s="258">
        <f t="shared" si="10"/>
        <v>0</v>
      </c>
      <c r="U36" s="258">
        <f t="shared" si="5"/>
        <v>0</v>
      </c>
      <c r="V36" s="258">
        <f>IF(Input!$B$35="Yes",R36,MAX(0,R36+U35)+S36)</f>
        <v>155.04103086639932</v>
      </c>
      <c r="W36" s="259">
        <v>0.16</v>
      </c>
      <c r="X36" s="258">
        <f t="shared" si="8"/>
        <v>24.806564938623893</v>
      </c>
      <c r="Y36" s="93"/>
    </row>
    <row r="37" spans="1:25" ht="15" x14ac:dyDescent="0.25">
      <c r="A37" s="160">
        <f t="shared" si="9"/>
        <v>2039</v>
      </c>
      <c r="B37" s="258">
        <f>Revenue!Q38</f>
        <v>422.9515499700841</v>
      </c>
      <c r="C37" s="258">
        <f>Operations!M46+Abandonment!G43</f>
        <v>256.56813012270663</v>
      </c>
      <c r="D37" s="258">
        <f>Development!BH118</f>
        <v>0</v>
      </c>
      <c r="E37" s="258">
        <f>IF($A37&lt;Production!$B$4,0,IF($A37=Production!$B$4,SUM(D$9:D37),D37))</f>
        <v>0</v>
      </c>
      <c r="F37" s="258">
        <f t="shared" si="6"/>
        <v>10.586963404342832</v>
      </c>
      <c r="G37" s="258">
        <f>F37*IF(A37=Abandonment!$B$4,1,G$5)</f>
        <v>2.646740851085708</v>
      </c>
      <c r="H37" s="258">
        <f>Development!BI118</f>
        <v>0</v>
      </c>
      <c r="I37" s="258">
        <f>IF($A37&lt;Production!$B$4,0,IF($A37=Production!$B$4,SUM(H$9:H37),H37))</f>
        <v>0</v>
      </c>
      <c r="J37" s="258">
        <f t="shared" si="1"/>
        <v>0</v>
      </c>
      <c r="K37" s="258">
        <f>J37*IF(Abandonment!$B$4='Federal Tax'!A38,1,K$5)</f>
        <v>0</v>
      </c>
      <c r="L37" s="258">
        <f t="shared" si="2"/>
        <v>163.73667899629177</v>
      </c>
      <c r="M37" s="258">
        <f>Royalty!AM39</f>
        <v>49.254312392287375</v>
      </c>
      <c r="N37" s="258">
        <f>Development!BG118</f>
        <v>0</v>
      </c>
      <c r="O37" s="258">
        <f t="shared" si="7"/>
        <v>1.0874702611336304</v>
      </c>
      <c r="P37" s="258">
        <f>O37*IF(A37=Abandonment!$B$4,1,P$5)</f>
        <v>0.32624107834008914</v>
      </c>
      <c r="Q37" s="258">
        <f>Exploration!Z62</f>
        <v>0</v>
      </c>
      <c r="R37" s="258">
        <f t="shared" si="3"/>
        <v>114.15612552566431</v>
      </c>
      <c r="S37" s="258">
        <f t="shared" si="4"/>
        <v>0</v>
      </c>
      <c r="T37" s="258">
        <f t="shared" si="10"/>
        <v>0</v>
      </c>
      <c r="U37" s="258">
        <f t="shared" si="5"/>
        <v>0</v>
      </c>
      <c r="V37" s="258">
        <f>IF(Input!$B$35="Yes",R37,MAX(0,R37+U36)+S37)</f>
        <v>114.15612552566431</v>
      </c>
      <c r="W37" s="259">
        <v>0.16</v>
      </c>
      <c r="X37" s="258">
        <f t="shared" si="8"/>
        <v>18.264980084106291</v>
      </c>
      <c r="Y37" s="93"/>
    </row>
    <row r="38" spans="1:25" ht="15" x14ac:dyDescent="0.25">
      <c r="A38" s="160">
        <f t="shared" si="9"/>
        <v>2040</v>
      </c>
      <c r="B38" s="258">
        <f>Revenue!Q39</f>
        <v>369.42609375276629</v>
      </c>
      <c r="C38" s="258">
        <f>Operations!M47+Abandonment!G44</f>
        <v>259.27238221482975</v>
      </c>
      <c r="D38" s="258">
        <f>Development!BH119</f>
        <v>0</v>
      </c>
      <c r="E38" s="258">
        <f>IF($A38&lt;Production!$B$4,0,IF($A38=Production!$B$4,SUM(D$9:D38),D38))</f>
        <v>0</v>
      </c>
      <c r="F38" s="258">
        <f t="shared" si="6"/>
        <v>7.940222553257124</v>
      </c>
      <c r="G38" s="258">
        <f>F38*IF(A38=Abandonment!$B$4,1,G$5)</f>
        <v>1.985055638314281</v>
      </c>
      <c r="H38" s="258">
        <f>Development!BI119</f>
        <v>0</v>
      </c>
      <c r="I38" s="258">
        <f>IF($A38&lt;Production!$B$4,0,IF($A38=Production!$B$4,SUM(H$9:H38),H38))</f>
        <v>0</v>
      </c>
      <c r="J38" s="258">
        <f t="shared" si="1"/>
        <v>0</v>
      </c>
      <c r="K38" s="258">
        <f>J38*IF(Abandonment!$B$4='Federal Tax'!A39,1,K$5)</f>
        <v>0</v>
      </c>
      <c r="L38" s="258">
        <f t="shared" si="2"/>
        <v>108.16865589962227</v>
      </c>
      <c r="M38" s="258">
        <f>Royalty!AM40</f>
        <v>29.479265660758745</v>
      </c>
      <c r="N38" s="258">
        <f>Development!BG119</f>
        <v>0</v>
      </c>
      <c r="O38" s="258">
        <f t="shared" si="7"/>
        <v>0.76122918279354135</v>
      </c>
      <c r="P38" s="258">
        <f>O38*IF(A38=Abandonment!$B$4,1,P$5)</f>
        <v>0.2283687548380624</v>
      </c>
      <c r="Q38" s="258">
        <f>Exploration!Z63</f>
        <v>0</v>
      </c>
      <c r="R38" s="258">
        <f t="shared" si="3"/>
        <v>78.461021484025466</v>
      </c>
      <c r="S38" s="258">
        <f t="shared" si="4"/>
        <v>0</v>
      </c>
      <c r="T38" s="258">
        <f t="shared" si="10"/>
        <v>0</v>
      </c>
      <c r="U38" s="258">
        <f t="shared" si="5"/>
        <v>0</v>
      </c>
      <c r="V38" s="258">
        <f>IF(Input!$B$35="Yes",R38,MAX(0,R38+U37)+S38)</f>
        <v>78.461021484025466</v>
      </c>
      <c r="W38" s="259">
        <v>0.16</v>
      </c>
      <c r="X38" s="258">
        <f t="shared" si="8"/>
        <v>12.553763437444076</v>
      </c>
      <c r="Y38" s="93"/>
    </row>
    <row r="39" spans="1:25" x14ac:dyDescent="0.3">
      <c r="A39" s="160">
        <f t="shared" si="9"/>
        <v>2041</v>
      </c>
      <c r="B39" s="258">
        <f>Revenue!Q40</f>
        <v>320.90968944473371</v>
      </c>
      <c r="C39" s="258">
        <f>Operations!M48+Abandonment!G45</f>
        <v>262.47778538052569</v>
      </c>
      <c r="D39" s="258">
        <f>Development!BH120</f>
        <v>0</v>
      </c>
      <c r="E39" s="258">
        <f>IF($A39&lt;Production!$B$4,0,IF($A39=Production!$B$4,SUM(D$9:D39),D39))</f>
        <v>0</v>
      </c>
      <c r="F39" s="258">
        <f t="shared" si="6"/>
        <v>5.9551669149428434</v>
      </c>
      <c r="G39" s="258">
        <f>F39*IF(A39=Abandonment!$B$4,1,G$5)</f>
        <v>1.4887917287357109</v>
      </c>
      <c r="H39" s="258">
        <f>Development!BI120</f>
        <v>0</v>
      </c>
      <c r="I39" s="258">
        <f>IF($A39&lt;Production!$B$4,0,IF($A39=Production!$B$4,SUM(H$9:H39),H39))</f>
        <v>0</v>
      </c>
      <c r="J39" s="258">
        <f t="shared" si="1"/>
        <v>0</v>
      </c>
      <c r="K39" s="258">
        <f>J39*IF(Abandonment!$B$4='Federal Tax'!A40,1,K$5)</f>
        <v>0</v>
      </c>
      <c r="L39" s="258">
        <f t="shared" si="2"/>
        <v>56.943112335472314</v>
      </c>
      <c r="M39" s="258">
        <f>Royalty!AM41</f>
        <v>16.045484472236687</v>
      </c>
      <c r="N39" s="258">
        <f>Development!BG120</f>
        <v>0</v>
      </c>
      <c r="O39" s="258">
        <f t="shared" si="7"/>
        <v>0.53286042795547894</v>
      </c>
      <c r="P39" s="258">
        <f>O39*IF(A39=Abandonment!$B$4,1,P$5)</f>
        <v>0.15985812838664368</v>
      </c>
      <c r="Q39" s="258">
        <f>Exploration!Z64</f>
        <v>0</v>
      </c>
      <c r="R39" s="258">
        <f t="shared" si="3"/>
        <v>40.737769734848982</v>
      </c>
      <c r="S39" s="258">
        <f t="shared" si="4"/>
        <v>0</v>
      </c>
      <c r="T39" s="258">
        <f t="shared" si="10"/>
        <v>0</v>
      </c>
      <c r="U39" s="258">
        <f t="shared" si="5"/>
        <v>0</v>
      </c>
      <c r="V39" s="258">
        <f>IF(Input!$B$35="Yes",R39,MAX(0,R39+U38)+S39)</f>
        <v>40.737769734848982</v>
      </c>
      <c r="W39" s="259">
        <v>0.16</v>
      </c>
      <c r="X39" s="258">
        <f t="shared" si="8"/>
        <v>6.5180431575758373</v>
      </c>
      <c r="Y39" s="93"/>
    </row>
    <row r="40" spans="1:25" x14ac:dyDescent="0.3">
      <c r="A40" s="160">
        <f t="shared" si="9"/>
        <v>2042</v>
      </c>
      <c r="B40" s="258">
        <f>Revenue!Q41</f>
        <v>279.59256692872322</v>
      </c>
      <c r="C40" s="258">
        <f>Operations!M49+Abandonment!G46</f>
        <v>266.21047568916032</v>
      </c>
      <c r="D40" s="258">
        <f>Development!BH121</f>
        <v>0</v>
      </c>
      <c r="E40" s="258">
        <f>IF($A40&lt;Production!$B$4,0,IF($A40=Production!$B$4,SUM(D$9:D40),D40))</f>
        <v>0</v>
      </c>
      <c r="F40" s="258">
        <f t="shared" si="6"/>
        <v>4.4663751862071326</v>
      </c>
      <c r="G40" s="258">
        <f>F40*IF(A40=Abandonment!$B$4,1,G$5)</f>
        <v>1.1165937965517831</v>
      </c>
      <c r="H40" s="258">
        <f>Development!BI121</f>
        <v>0</v>
      </c>
      <c r="I40" s="258">
        <f>IF($A40&lt;Production!$B$4,0,IF($A40=Production!$B$4,SUM(H$9:H40),H40))</f>
        <v>0</v>
      </c>
      <c r="J40" s="258">
        <f t="shared" si="1"/>
        <v>0</v>
      </c>
      <c r="K40" s="258">
        <f>J40*IF(Abandonment!$B$4='Federal Tax'!A41,1,K$5)</f>
        <v>0</v>
      </c>
      <c r="L40" s="258">
        <f t="shared" si="2"/>
        <v>12.265497443011114</v>
      </c>
      <c r="M40" s="258">
        <f>Royalty!AM42</f>
        <v>13.979628346436163</v>
      </c>
      <c r="N40" s="258">
        <f>Development!BG121</f>
        <v>0</v>
      </c>
      <c r="O40" s="258">
        <f t="shared" si="7"/>
        <v>0.37300229956883524</v>
      </c>
      <c r="P40" s="258">
        <f>O40*IF(A40=Abandonment!$B$4,1,P$5)</f>
        <v>0.11190068987065056</v>
      </c>
      <c r="Q40" s="258">
        <f>Exploration!Z65</f>
        <v>0</v>
      </c>
      <c r="R40" s="258">
        <f t="shared" si="3"/>
        <v>-1.8260315932956999</v>
      </c>
      <c r="S40" s="258">
        <f t="shared" si="4"/>
        <v>-1.8260315932956999</v>
      </c>
      <c r="T40" s="258">
        <f t="shared" si="10"/>
        <v>0</v>
      </c>
      <c r="U40" s="258">
        <f t="shared" si="5"/>
        <v>0</v>
      </c>
      <c r="V40" s="258">
        <f>IF(Input!$B$35="Yes",R40,MAX(0,R40+U39)+S40)</f>
        <v>-1.8260315932956999</v>
      </c>
      <c r="W40" s="259">
        <v>0.16</v>
      </c>
      <c r="X40" s="258">
        <f t="shared" si="8"/>
        <v>-0.29216505492731198</v>
      </c>
      <c r="Y40" s="93"/>
    </row>
    <row r="41" spans="1:25" x14ac:dyDescent="0.3">
      <c r="A41" s="160">
        <f t="shared" si="9"/>
        <v>2043</v>
      </c>
      <c r="B41" s="258">
        <f>Revenue!Q42</f>
        <v>0</v>
      </c>
      <c r="C41" s="258">
        <f>Operations!M50+Abandonment!G47</f>
        <v>360.12613373360404</v>
      </c>
      <c r="D41" s="258">
        <f>Development!BH122</f>
        <v>0</v>
      </c>
      <c r="E41" s="258">
        <f>IF($A41&lt;Production!$B$4,0,IF($A41=Production!$B$4,SUM(D$9:D41),D41))</f>
        <v>0</v>
      </c>
      <c r="F41" s="258">
        <f t="shared" si="6"/>
        <v>3.3497813896553494</v>
      </c>
      <c r="G41" s="258">
        <f>F41*IF(A41=Abandonment!$B$4,1,G$5)</f>
        <v>3.3497813896553494</v>
      </c>
      <c r="H41" s="258">
        <f>Development!BI122</f>
        <v>0</v>
      </c>
      <c r="I41" s="258">
        <f>IF($A41&lt;Production!$B$4,0,IF($A41=Production!$B$4,SUM(H$9:H41),H41))</f>
        <v>0</v>
      </c>
      <c r="J41" s="258">
        <f t="shared" si="1"/>
        <v>0</v>
      </c>
      <c r="K41" s="258">
        <f>J41*IF(Abandonment!$B$4='Federal Tax'!A42,1,K$5)</f>
        <v>0</v>
      </c>
      <c r="L41" s="258">
        <f t="shared" si="2"/>
        <v>-363.47591512325937</v>
      </c>
      <c r="M41" s="258">
        <f>Royalty!AM43</f>
        <v>-75.160820686464504</v>
      </c>
      <c r="N41" s="258">
        <f>Development!BG122</f>
        <v>0</v>
      </c>
      <c r="O41" s="258">
        <f t="shared" si="7"/>
        <v>0.26110160969818469</v>
      </c>
      <c r="P41" s="258">
        <f>O41*IF(A41=Abandonment!$B$4,1,P$5)</f>
        <v>0.26110160969818469</v>
      </c>
      <c r="Q41" s="258">
        <f>Exploration!Z66</f>
        <v>0</v>
      </c>
      <c r="R41" s="258">
        <f t="shared" si="3"/>
        <v>-288.57619604649307</v>
      </c>
      <c r="S41" s="258">
        <f t="shared" si="4"/>
        <v>-119.19879121887445</v>
      </c>
      <c r="T41" s="258">
        <f t="shared" si="10"/>
        <v>-40.737769734848982</v>
      </c>
      <c r="U41" s="258">
        <f t="shared" si="5"/>
        <v>-169.37740482761862</v>
      </c>
      <c r="V41" s="258">
        <f>IF(Input!$B$35="Yes",R41,MAX(0,R41+U40)+S41)</f>
        <v>-288.57619604649307</v>
      </c>
      <c r="W41" s="259">
        <v>0.16</v>
      </c>
      <c r="X41" s="258">
        <f t="shared" si="8"/>
        <v>-46.172191367438892</v>
      </c>
      <c r="Y41" s="93"/>
    </row>
    <row r="42" spans="1:25" x14ac:dyDescent="0.3">
      <c r="A42" s="160">
        <f t="shared" si="9"/>
        <v>2044</v>
      </c>
      <c r="B42" s="258">
        <f>Revenue!Q43</f>
        <v>0</v>
      </c>
      <c r="C42" s="258">
        <f>Operations!M51+Abandonment!G48</f>
        <v>0</v>
      </c>
      <c r="D42" s="258">
        <f>Development!BH123</f>
        <v>0</v>
      </c>
      <c r="E42" s="258">
        <f>IF($A42&lt;Production!$B$4,0,IF($A42=Production!$B$4,SUM(D$9:D42),D42))</f>
        <v>0</v>
      </c>
      <c r="F42" s="258">
        <f t="shared" si="6"/>
        <v>0</v>
      </c>
      <c r="G42" s="258">
        <f>F42*IF(A42=Abandonment!$B$4,1,G$5)</f>
        <v>0</v>
      </c>
      <c r="H42" s="258">
        <f>Development!BI123</f>
        <v>0</v>
      </c>
      <c r="I42" s="258">
        <f>IF($A42&lt;Production!$B$4,0,IF($A42=Production!$B$4,SUM(H$9:H42),H42))</f>
        <v>0</v>
      </c>
      <c r="J42" s="258">
        <f t="shared" si="1"/>
        <v>0</v>
      </c>
      <c r="K42" s="258">
        <f>J42*IF(Abandonment!$B$4='Federal Tax'!A43,1,K$5)</f>
        <v>0</v>
      </c>
      <c r="L42" s="258">
        <f t="shared" si="2"/>
        <v>0</v>
      </c>
      <c r="M42" s="258">
        <f>Royalty!AM44</f>
        <v>0</v>
      </c>
      <c r="N42" s="258">
        <f>Development!BG123</f>
        <v>0</v>
      </c>
      <c r="O42" s="258">
        <f t="shared" si="7"/>
        <v>0</v>
      </c>
      <c r="P42" s="258">
        <f>O42*IF(A42=Abandonment!$B$4,1,P$5)</f>
        <v>0</v>
      </c>
      <c r="Q42" s="258">
        <f>Exploration!Z67</f>
        <v>0</v>
      </c>
      <c r="R42" s="258">
        <f t="shared" si="3"/>
        <v>0</v>
      </c>
      <c r="S42" s="258">
        <f t="shared" si="4"/>
        <v>0</v>
      </c>
      <c r="T42" s="258">
        <f t="shared" si="10"/>
        <v>0</v>
      </c>
      <c r="U42" s="258">
        <f t="shared" si="5"/>
        <v>-169.37740482761862</v>
      </c>
      <c r="V42" s="258">
        <f>IF(Input!$B$35="Yes",R42,MAX(0,R42+U41)+S42)</f>
        <v>0</v>
      </c>
      <c r="W42" s="259">
        <v>0.16</v>
      </c>
      <c r="X42" s="258">
        <f t="shared" si="8"/>
        <v>0</v>
      </c>
      <c r="Y42" s="93"/>
    </row>
    <row r="43" spans="1:25" x14ac:dyDescent="0.3">
      <c r="A43" s="160">
        <f t="shared" si="9"/>
        <v>2045</v>
      </c>
      <c r="B43" s="258">
        <f>Revenue!Q44</f>
        <v>0</v>
      </c>
      <c r="C43" s="258">
        <f>Operations!M52+Abandonment!G49</f>
        <v>0</v>
      </c>
      <c r="D43" s="258">
        <f>Development!BH124</f>
        <v>0</v>
      </c>
      <c r="E43" s="258">
        <f>IF($A43&lt;Production!$B$4,0,IF($A43=Production!$B$4,SUM(D$9:D43),D43))</f>
        <v>0</v>
      </c>
      <c r="F43" s="258">
        <f t="shared" si="6"/>
        <v>0</v>
      </c>
      <c r="G43" s="258">
        <f>F43*IF(A43=Abandonment!$B$4,1,G$5)</f>
        <v>0</v>
      </c>
      <c r="H43" s="258">
        <f>Development!BI124</f>
        <v>0</v>
      </c>
      <c r="I43" s="258">
        <f>IF($A43&lt;Production!$B$4,0,IF($A43=Production!$B$4,SUM(H$9:H43),H43))</f>
        <v>0</v>
      </c>
      <c r="J43" s="258">
        <f t="shared" si="1"/>
        <v>0</v>
      </c>
      <c r="K43" s="258">
        <f>J43*IF(Abandonment!$B$4='Federal Tax'!A44,1,K$5)</f>
        <v>0</v>
      </c>
      <c r="L43" s="258">
        <f t="shared" si="2"/>
        <v>0</v>
      </c>
      <c r="M43" s="258">
        <f>Royalty!AM45</f>
        <v>0</v>
      </c>
      <c r="N43" s="258">
        <f>Development!BG124</f>
        <v>0</v>
      </c>
      <c r="O43" s="258">
        <f t="shared" si="7"/>
        <v>0</v>
      </c>
      <c r="P43" s="258">
        <f>O43*IF(A43=Abandonment!$B$4,1,P$5)</f>
        <v>0</v>
      </c>
      <c r="Q43" s="258">
        <f>Exploration!Z68</f>
        <v>0</v>
      </c>
      <c r="R43" s="258">
        <f t="shared" si="3"/>
        <v>0</v>
      </c>
      <c r="S43" s="258">
        <f t="shared" si="4"/>
        <v>0</v>
      </c>
      <c r="T43" s="258">
        <f t="shared" si="10"/>
        <v>0</v>
      </c>
      <c r="U43" s="258">
        <f t="shared" si="5"/>
        <v>-169.37740482761862</v>
      </c>
      <c r="V43" s="258">
        <f>IF(Input!$B$35="Yes",R43,MAX(0,R43+U42)+S43)</f>
        <v>0</v>
      </c>
      <c r="W43" s="259">
        <v>0.16</v>
      </c>
      <c r="X43" s="258">
        <f t="shared" si="8"/>
        <v>0</v>
      </c>
      <c r="Y43" s="93"/>
    </row>
    <row r="44" spans="1:25" x14ac:dyDescent="0.3">
      <c r="A44" s="160">
        <f t="shared" si="9"/>
        <v>2046</v>
      </c>
      <c r="B44" s="258">
        <f>Revenue!Q45</f>
        <v>0</v>
      </c>
      <c r="C44" s="258">
        <f>Operations!M53+Abandonment!G50</f>
        <v>0</v>
      </c>
      <c r="D44" s="258">
        <f>Development!BH125</f>
        <v>0</v>
      </c>
      <c r="E44" s="258">
        <f>IF($A44&lt;Production!$B$4,0,IF($A44=Production!$B$4,SUM(D$9:D44),D44))</f>
        <v>0</v>
      </c>
      <c r="F44" s="258">
        <f t="shared" si="6"/>
        <v>0</v>
      </c>
      <c r="G44" s="258">
        <f>F44*IF(A44=Abandonment!$B$4,1,G$5)</f>
        <v>0</v>
      </c>
      <c r="H44" s="258">
        <f>Development!BI125</f>
        <v>0</v>
      </c>
      <c r="I44" s="258">
        <f>IF($A44&lt;Production!$B$4,0,IF($A44=Production!$B$4,SUM(H$9:H44),H44))</f>
        <v>0</v>
      </c>
      <c r="J44" s="258">
        <f t="shared" si="1"/>
        <v>0</v>
      </c>
      <c r="K44" s="258">
        <f>J44*IF(Abandonment!$B$4='Federal Tax'!A45,1,K$5)</f>
        <v>0</v>
      </c>
      <c r="L44" s="258">
        <f t="shared" si="2"/>
        <v>0</v>
      </c>
      <c r="M44" s="258">
        <f>Royalty!AM46</f>
        <v>0</v>
      </c>
      <c r="N44" s="258">
        <f>Development!BG125</f>
        <v>0</v>
      </c>
      <c r="O44" s="258">
        <f t="shared" si="7"/>
        <v>0</v>
      </c>
      <c r="P44" s="258">
        <f>O44*IF(A44=Abandonment!$B$4,1,P$5)</f>
        <v>0</v>
      </c>
      <c r="Q44" s="258">
        <f>Exploration!Z69</f>
        <v>0</v>
      </c>
      <c r="R44" s="258">
        <f t="shared" si="3"/>
        <v>0</v>
      </c>
      <c r="S44" s="258">
        <f t="shared" si="4"/>
        <v>0</v>
      </c>
      <c r="T44" s="258">
        <f t="shared" si="10"/>
        <v>0</v>
      </c>
      <c r="U44" s="258">
        <f t="shared" si="5"/>
        <v>-169.37740482761862</v>
      </c>
      <c r="V44" s="258">
        <f>IF(Input!$B$35="Yes",R44,MAX(0,R44+U43)+S44)</f>
        <v>0</v>
      </c>
      <c r="W44" s="259">
        <v>0.16</v>
      </c>
      <c r="X44" s="258">
        <f t="shared" si="8"/>
        <v>0</v>
      </c>
      <c r="Y44" s="93"/>
    </row>
    <row r="45" spans="1:25" x14ac:dyDescent="0.3">
      <c r="A45" s="160">
        <f t="shared" si="9"/>
        <v>2047</v>
      </c>
      <c r="B45" s="258">
        <f>Revenue!Q46</f>
        <v>0</v>
      </c>
      <c r="C45" s="258">
        <f>Operations!M54+Abandonment!G51</f>
        <v>0</v>
      </c>
      <c r="D45" s="258">
        <f>Development!BH126</f>
        <v>0</v>
      </c>
      <c r="E45" s="258">
        <f>IF($A45&lt;Production!$B$4,0,IF($A45=Production!$B$4,SUM(D$9:D45),D45))</f>
        <v>0</v>
      </c>
      <c r="F45" s="258">
        <f t="shared" si="6"/>
        <v>0</v>
      </c>
      <c r="G45" s="258">
        <f>F45*IF(A45=Abandonment!$B$4,1,G$5)</f>
        <v>0</v>
      </c>
      <c r="H45" s="258">
        <f>Development!BI126</f>
        <v>0</v>
      </c>
      <c r="I45" s="258">
        <f>IF($A45&lt;Production!$B$4,0,IF($A45=Production!$B$4,SUM(H$9:H45),H45))</f>
        <v>0</v>
      </c>
      <c r="J45" s="258">
        <f t="shared" si="1"/>
        <v>0</v>
      </c>
      <c r="K45" s="258">
        <f>J45*IF(Abandonment!$B$4='Federal Tax'!A46,1,K$5)</f>
        <v>0</v>
      </c>
      <c r="L45" s="258">
        <f t="shared" si="2"/>
        <v>0</v>
      </c>
      <c r="M45" s="258">
        <f>Royalty!AM47</f>
        <v>0</v>
      </c>
      <c r="N45" s="258">
        <f>Development!BG126</f>
        <v>0</v>
      </c>
      <c r="O45" s="258">
        <f t="shared" si="7"/>
        <v>0</v>
      </c>
      <c r="P45" s="258">
        <f>O45*IF(A45=Abandonment!$B$4,1,P$5)</f>
        <v>0</v>
      </c>
      <c r="Q45" s="258">
        <f>Exploration!Z70</f>
        <v>0</v>
      </c>
      <c r="R45" s="258">
        <f t="shared" si="3"/>
        <v>0</v>
      </c>
      <c r="S45" s="258">
        <f t="shared" si="4"/>
        <v>0</v>
      </c>
      <c r="T45" s="258">
        <f t="shared" si="10"/>
        <v>0</v>
      </c>
      <c r="U45" s="258">
        <f t="shared" si="5"/>
        <v>-169.37740482761862</v>
      </c>
      <c r="V45" s="258">
        <f>IF(Input!$B$35="Yes",R45,MAX(0,R45+U44)+S45)</f>
        <v>0</v>
      </c>
      <c r="W45" s="259">
        <v>0.16</v>
      </c>
      <c r="X45" s="258">
        <f t="shared" si="8"/>
        <v>0</v>
      </c>
      <c r="Y45" s="93"/>
    </row>
    <row r="46" spans="1:25" x14ac:dyDescent="0.3">
      <c r="A46" s="160">
        <f t="shared" si="9"/>
        <v>2048</v>
      </c>
      <c r="B46" s="258">
        <f>Revenue!Q47</f>
        <v>0</v>
      </c>
      <c r="C46" s="258">
        <f>Operations!M55+Abandonment!G52</f>
        <v>0</v>
      </c>
      <c r="D46" s="258">
        <f>Development!BH127</f>
        <v>0</v>
      </c>
      <c r="E46" s="258">
        <f>IF($A46&lt;Production!$B$4,0,IF($A46=Production!$B$4,SUM(D$9:D46),D46))</f>
        <v>0</v>
      </c>
      <c r="F46" s="258">
        <f t="shared" si="6"/>
        <v>0</v>
      </c>
      <c r="G46" s="258">
        <f>F46*IF(A46=Abandonment!$B$4,1,G$5)</f>
        <v>0</v>
      </c>
      <c r="H46" s="258">
        <f>Development!BI127</f>
        <v>0</v>
      </c>
      <c r="I46" s="258">
        <f>IF($A46&lt;Production!$B$4,0,IF($A46=Production!$B$4,SUM(H$9:H46),H46))</f>
        <v>0</v>
      </c>
      <c r="J46" s="258">
        <f t="shared" si="1"/>
        <v>0</v>
      </c>
      <c r="K46" s="258">
        <f>J46*IF(Abandonment!$B$4='Federal Tax'!A47,1,K$5)</f>
        <v>0</v>
      </c>
      <c r="L46" s="258">
        <f t="shared" si="2"/>
        <v>0</v>
      </c>
      <c r="M46" s="258">
        <f>Royalty!AM48</f>
        <v>0</v>
      </c>
      <c r="N46" s="258">
        <f>Development!BG127</f>
        <v>0</v>
      </c>
      <c r="O46" s="258">
        <f t="shared" si="7"/>
        <v>0</v>
      </c>
      <c r="P46" s="258">
        <f>O46*IF(A46=Abandonment!$B$4,1,P$5)</f>
        <v>0</v>
      </c>
      <c r="Q46" s="258">
        <f>Exploration!Z71</f>
        <v>0</v>
      </c>
      <c r="R46" s="258">
        <f t="shared" si="3"/>
        <v>0</v>
      </c>
      <c r="S46" s="258">
        <f t="shared" si="4"/>
        <v>0</v>
      </c>
      <c r="T46" s="258">
        <f t="shared" si="10"/>
        <v>0</v>
      </c>
      <c r="U46" s="258">
        <f t="shared" si="5"/>
        <v>-169.37740482761862</v>
      </c>
      <c r="V46" s="258">
        <f>IF(Input!$B$35="Yes",R46,MAX(0,R46+U45)+S46)</f>
        <v>0</v>
      </c>
      <c r="W46" s="259">
        <v>0.16</v>
      </c>
      <c r="X46" s="258">
        <f t="shared" si="8"/>
        <v>0</v>
      </c>
      <c r="Y46" s="93"/>
    </row>
    <row r="47" spans="1:25" x14ac:dyDescent="0.3">
      <c r="A47" s="160">
        <f t="shared" si="9"/>
        <v>2049</v>
      </c>
      <c r="B47" s="258">
        <f>Revenue!Q48</f>
        <v>0</v>
      </c>
      <c r="C47" s="258">
        <f>Operations!M56+Abandonment!G53</f>
        <v>0</v>
      </c>
      <c r="D47" s="258">
        <f>Development!BH128</f>
        <v>0</v>
      </c>
      <c r="E47" s="258">
        <f>IF($A47&lt;Production!$B$4,0,IF($A47=Production!$B$4,SUM(D$9:D47),D47))</f>
        <v>0</v>
      </c>
      <c r="F47" s="258">
        <f t="shared" si="6"/>
        <v>0</v>
      </c>
      <c r="G47" s="258">
        <f>F47*IF(A47=Abandonment!$B$4,1,G$5)</f>
        <v>0</v>
      </c>
      <c r="H47" s="258">
        <f>Development!BI128</f>
        <v>0</v>
      </c>
      <c r="I47" s="258">
        <f>IF($A47&lt;Production!$B$4,0,IF($A47=Production!$B$4,SUM(H$9:H47),H47))</f>
        <v>0</v>
      </c>
      <c r="J47" s="258">
        <f t="shared" si="1"/>
        <v>0</v>
      </c>
      <c r="K47" s="258">
        <f>J47*IF(Abandonment!$B$4='Federal Tax'!A48,1,K$5)</f>
        <v>0</v>
      </c>
      <c r="L47" s="258">
        <f t="shared" si="2"/>
        <v>0</v>
      </c>
      <c r="M47" s="258">
        <f>Royalty!AM49</f>
        <v>0</v>
      </c>
      <c r="N47" s="258">
        <f>Development!BG128</f>
        <v>0</v>
      </c>
      <c r="O47" s="258">
        <f t="shared" si="7"/>
        <v>0</v>
      </c>
      <c r="P47" s="258">
        <f>O47*IF(A47=Abandonment!$B$4,1,P$5)</f>
        <v>0</v>
      </c>
      <c r="Q47" s="258">
        <f>Exploration!Z72</f>
        <v>0</v>
      </c>
      <c r="R47" s="258">
        <f t="shared" si="3"/>
        <v>0</v>
      </c>
      <c r="S47" s="258">
        <f t="shared" si="4"/>
        <v>0</v>
      </c>
      <c r="T47" s="258">
        <f t="shared" si="10"/>
        <v>0</v>
      </c>
      <c r="U47" s="258">
        <f t="shared" si="5"/>
        <v>-169.37740482761862</v>
      </c>
      <c r="V47" s="258">
        <f>IF(Input!$B$35="Yes",R47,MAX(0,R47+U46)+S47)</f>
        <v>0</v>
      </c>
      <c r="W47" s="259">
        <v>0.16</v>
      </c>
      <c r="X47" s="258">
        <f t="shared" si="8"/>
        <v>0</v>
      </c>
      <c r="Y47" s="93"/>
    </row>
    <row r="48" spans="1:25" x14ac:dyDescent="0.3">
      <c r="A48" s="160">
        <f t="shared" si="9"/>
        <v>2050</v>
      </c>
      <c r="B48" s="258">
        <f>Revenue!Q49</f>
        <v>0</v>
      </c>
      <c r="C48" s="258">
        <f>Operations!M57+Abandonment!G54</f>
        <v>0</v>
      </c>
      <c r="D48" s="258">
        <f>Development!BH129</f>
        <v>0</v>
      </c>
      <c r="E48" s="258">
        <f>IF($A48&lt;Production!$B$4,0,IF($A48=Production!$B$4,SUM(D$9:D48),D48))</f>
        <v>0</v>
      </c>
      <c r="F48" s="258">
        <f t="shared" si="6"/>
        <v>0</v>
      </c>
      <c r="G48" s="258">
        <f>F48*IF(A48=Abandonment!$B$4,1,G$5)</f>
        <v>0</v>
      </c>
      <c r="H48" s="258">
        <f>Development!BI129</f>
        <v>0</v>
      </c>
      <c r="I48" s="258">
        <f>IF($A48&lt;Production!$B$4,0,IF($A48=Production!$B$4,SUM(H$9:H48),H48))</f>
        <v>0</v>
      </c>
      <c r="J48" s="258">
        <f t="shared" si="1"/>
        <v>0</v>
      </c>
      <c r="K48" s="258">
        <f>J48*IF(Abandonment!$B$4='Federal Tax'!A49,1,K$5)</f>
        <v>0</v>
      </c>
      <c r="L48" s="258">
        <f t="shared" si="2"/>
        <v>0</v>
      </c>
      <c r="M48" s="258">
        <f>Royalty!AM50</f>
        <v>0</v>
      </c>
      <c r="N48" s="258">
        <f>Development!BG129</f>
        <v>0</v>
      </c>
      <c r="O48" s="258">
        <f t="shared" si="7"/>
        <v>0</v>
      </c>
      <c r="P48" s="258">
        <f>O48*IF(A48=Abandonment!$B$4,1,P$5)</f>
        <v>0</v>
      </c>
      <c r="Q48" s="258">
        <f>Exploration!Z73</f>
        <v>0</v>
      </c>
      <c r="R48" s="258">
        <f t="shared" si="3"/>
        <v>0</v>
      </c>
      <c r="S48" s="258">
        <f t="shared" si="4"/>
        <v>0</v>
      </c>
      <c r="T48" s="258">
        <f t="shared" si="10"/>
        <v>0</v>
      </c>
      <c r="U48" s="258">
        <f t="shared" si="5"/>
        <v>-169.37740482761862</v>
      </c>
      <c r="V48" s="258">
        <f>IF(Input!$B$35="Yes",R48,MAX(0,R48+U47)+S48)</f>
        <v>0</v>
      </c>
      <c r="W48" s="259">
        <v>0.16</v>
      </c>
      <c r="X48" s="258">
        <f t="shared" si="8"/>
        <v>0</v>
      </c>
      <c r="Y48" s="93"/>
    </row>
    <row r="49" spans="1:25" x14ac:dyDescent="0.3">
      <c r="A49" s="162">
        <f t="shared" si="9"/>
        <v>2051</v>
      </c>
      <c r="B49" s="260">
        <f>Revenue!Q50</f>
        <v>0</v>
      </c>
      <c r="C49" s="260">
        <f>Operations!M58+Abandonment!G55</f>
        <v>0</v>
      </c>
      <c r="D49" s="260">
        <f>Development!BH130</f>
        <v>0</v>
      </c>
      <c r="E49" s="260">
        <f>IF($A49&lt;Production!$B$4,0,IF($A49=Production!$B$4,SUM(D$9:D49),D49))</f>
        <v>0</v>
      </c>
      <c r="F49" s="260">
        <f t="shared" si="6"/>
        <v>0</v>
      </c>
      <c r="G49" s="260">
        <f>F49*IF(A49=Abandonment!$B$4,1,G$5)</f>
        <v>0</v>
      </c>
      <c r="H49" s="260">
        <f>Development!BI130</f>
        <v>0</v>
      </c>
      <c r="I49" s="260">
        <f>IF($A49&lt;Production!$B$4,0,IF($A49=Production!$B$4,SUM(H$9:H49),H49))</f>
        <v>0</v>
      </c>
      <c r="J49" s="260">
        <f t="shared" si="1"/>
        <v>0</v>
      </c>
      <c r="K49" s="260">
        <f>J49*IF(Abandonment!$B$4='Federal Tax'!A50,1,K$5)</f>
        <v>0</v>
      </c>
      <c r="L49" s="260">
        <f t="shared" si="2"/>
        <v>0</v>
      </c>
      <c r="M49" s="260">
        <f>Royalty!AM51</f>
        <v>0</v>
      </c>
      <c r="N49" s="260">
        <f>Development!BG130</f>
        <v>0</v>
      </c>
      <c r="O49" s="260">
        <f t="shared" si="7"/>
        <v>0</v>
      </c>
      <c r="P49" s="260">
        <f>O49*IF(A49=Abandonment!$B$4,1,P$5)</f>
        <v>0</v>
      </c>
      <c r="Q49" s="260">
        <f>Exploration!Z74</f>
        <v>0</v>
      </c>
      <c r="R49" s="260">
        <f t="shared" si="3"/>
        <v>0</v>
      </c>
      <c r="S49" s="260">
        <f t="shared" si="4"/>
        <v>0</v>
      </c>
      <c r="T49" s="260">
        <f t="shared" si="10"/>
        <v>0</v>
      </c>
      <c r="U49" s="260">
        <f t="shared" si="5"/>
        <v>-169.37740482761862</v>
      </c>
      <c r="V49" s="260">
        <f>IF(Input!$B$35="Yes",R49,MAX(0,R49+U48)+S49)</f>
        <v>0</v>
      </c>
      <c r="W49" s="261">
        <v>0.16</v>
      </c>
      <c r="X49" s="260">
        <f t="shared" si="8"/>
        <v>0</v>
      </c>
      <c r="Y49" s="93"/>
    </row>
  </sheetData>
  <hyperlinks>
    <hyperlink ref="F1" location="Guide" display="Guide"/>
    <hyperlink ref="F2" location="Input" display="Input"/>
  </hyperlinks>
  <pageMargins left="0.7" right="0.7" top="0.75" bottom="0.75" header="0.3" footer="0.3"/>
  <pageSetup paperSize="9" scale="36" fitToHeight="0" orientation="landscape" r:id="rId1"/>
  <headerFooter>
    <oddFooter>&amp;LNova Scotia Exploration Economics Model&amp;Rwww.indeva.com</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79998168889431442"/>
    <pageSetUpPr fitToPage="1"/>
  </sheetPr>
  <dimension ref="A1:CB64"/>
  <sheetViews>
    <sheetView showGridLine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activeCell="B10" sqref="B10"/>
    </sheetView>
  </sheetViews>
  <sheetFormatPr defaultRowHeight="14.4" x14ac:dyDescent="0.3"/>
  <cols>
    <col min="1" max="1" width="21.109375" customWidth="1"/>
    <col min="2" max="2" width="11.33203125" customWidth="1"/>
    <col min="3" max="4" width="12.109375" customWidth="1"/>
    <col min="5" max="6" width="11.44140625" customWidth="1"/>
    <col min="7" max="7" width="10" customWidth="1"/>
    <col min="8" max="8" width="9.33203125" customWidth="1"/>
    <col min="9" max="9" width="10.33203125" customWidth="1"/>
    <col min="10" max="10" width="12" customWidth="1"/>
    <col min="11" max="11" width="13.88671875" bestFit="1" customWidth="1"/>
    <col min="12" max="12" width="11.6640625" customWidth="1"/>
    <col min="13" max="15" width="11.109375" customWidth="1"/>
    <col min="16" max="16" width="13.88671875" customWidth="1"/>
    <col min="17" max="20" width="13.6640625" customWidth="1"/>
    <col min="25" max="26" width="12.109375" customWidth="1"/>
    <col min="27" max="27" width="12.109375" bestFit="1" customWidth="1"/>
    <col min="31" max="31" width="10.44140625" bestFit="1" customWidth="1"/>
    <col min="32" max="32" width="10.5546875" bestFit="1" customWidth="1"/>
  </cols>
  <sheetData>
    <row r="1" spans="1:80" ht="18.75" x14ac:dyDescent="0.3">
      <c r="A1" s="143" t="str">
        <f>Input!B8</f>
        <v>Prospect X</v>
      </c>
      <c r="B1" s="262" t="str">
        <f>"Success Case"&amp;" Project Cash Flow ($Millions)"</f>
        <v>Success Case Project Cash Flow ($Millions)</v>
      </c>
      <c r="C1" s="93"/>
      <c r="D1" s="93"/>
      <c r="E1" s="93"/>
      <c r="F1" s="93"/>
      <c r="G1" s="144" t="s">
        <v>769</v>
      </c>
      <c r="H1" s="93"/>
      <c r="I1" s="93"/>
      <c r="J1" s="93"/>
      <c r="K1" s="93"/>
      <c r="L1" s="93"/>
      <c r="M1" s="93"/>
      <c r="N1" s="93"/>
      <c r="O1" s="93"/>
      <c r="P1" s="93"/>
      <c r="Q1" s="93"/>
      <c r="R1" s="93"/>
      <c r="S1" s="93"/>
      <c r="T1" s="93"/>
      <c r="U1" s="93"/>
      <c r="V1" s="93"/>
      <c r="W1" s="93"/>
      <c r="X1" s="93"/>
      <c r="Y1" s="93"/>
      <c r="Z1" s="93"/>
      <c r="AA1" s="17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row>
    <row r="2" spans="1:80" ht="18.75" x14ac:dyDescent="0.25">
      <c r="A2" s="93">
        <f>YEAR(Input!B10)</f>
        <v>2012</v>
      </c>
      <c r="B2" s="93"/>
      <c r="C2" s="93"/>
      <c r="D2" s="93"/>
      <c r="E2" s="93"/>
      <c r="F2" s="93"/>
      <c r="G2" s="144" t="s">
        <v>143</v>
      </c>
      <c r="H2" s="93"/>
      <c r="I2" s="93"/>
      <c r="J2" s="93"/>
      <c r="K2" s="93"/>
      <c r="L2" s="93"/>
      <c r="M2" s="93"/>
      <c r="N2" s="93"/>
      <c r="O2" s="93"/>
      <c r="P2" s="93"/>
      <c r="Q2" s="93"/>
      <c r="R2" s="93"/>
      <c r="S2" s="93"/>
      <c r="T2" s="93"/>
      <c r="U2" s="93"/>
      <c r="V2" s="93"/>
      <c r="W2" s="93"/>
      <c r="X2" s="93"/>
      <c r="Y2" s="93"/>
      <c r="Z2" s="93"/>
      <c r="AA2" s="93"/>
      <c r="AB2" s="93"/>
      <c r="AC2" s="93"/>
      <c r="AD2" s="93"/>
      <c r="AE2" s="93"/>
      <c r="AF2" s="26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row>
    <row r="3" spans="1:80" ht="15" x14ac:dyDescent="0.25">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26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row>
    <row r="4" spans="1:80" ht="15" x14ac:dyDescent="0.25">
      <c r="A4" s="158" t="s">
        <v>14</v>
      </c>
      <c r="B4" s="140" t="s">
        <v>340</v>
      </c>
      <c r="C4" s="140" t="s">
        <v>647</v>
      </c>
      <c r="D4" s="140" t="s">
        <v>1058</v>
      </c>
      <c r="E4" s="140" t="s">
        <v>13</v>
      </c>
      <c r="F4" s="264" t="s">
        <v>226</v>
      </c>
      <c r="G4" s="264" t="s">
        <v>17</v>
      </c>
      <c r="H4" s="264" t="s">
        <v>59</v>
      </c>
      <c r="I4" s="264" t="s">
        <v>18</v>
      </c>
      <c r="J4" s="140" t="s">
        <v>13</v>
      </c>
      <c r="K4" s="140" t="s">
        <v>137</v>
      </c>
      <c r="L4" s="264" t="s">
        <v>38</v>
      </c>
      <c r="M4" s="264" t="s">
        <v>411</v>
      </c>
      <c r="N4" s="264" t="s">
        <v>412</v>
      </c>
      <c r="O4" s="140" t="s">
        <v>13</v>
      </c>
      <c r="P4" s="140" t="s">
        <v>137</v>
      </c>
      <c r="Q4" s="223"/>
      <c r="R4" s="223"/>
      <c r="S4" s="140" t="s">
        <v>413</v>
      </c>
      <c r="T4" s="140" t="s">
        <v>414</v>
      </c>
      <c r="U4" s="93"/>
      <c r="V4" s="93"/>
      <c r="W4" s="93"/>
      <c r="X4" s="93"/>
      <c r="Y4" s="167"/>
      <c r="Z4" s="167"/>
      <c r="AA4" s="167"/>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row>
    <row r="5" spans="1:80" ht="15" x14ac:dyDescent="0.25">
      <c r="A5" s="162"/>
      <c r="B5" s="149" t="s">
        <v>15</v>
      </c>
      <c r="C5" s="149" t="s">
        <v>15</v>
      </c>
      <c r="D5" s="149" t="s">
        <v>15</v>
      </c>
      <c r="E5" s="149" t="s">
        <v>15</v>
      </c>
      <c r="F5" s="149" t="s">
        <v>42</v>
      </c>
      <c r="G5" s="149" t="s">
        <v>41</v>
      </c>
      <c r="H5" s="149" t="s">
        <v>42</v>
      </c>
      <c r="I5" s="149" t="s">
        <v>42</v>
      </c>
      <c r="J5" s="149" t="s">
        <v>41</v>
      </c>
      <c r="K5" s="149" t="s">
        <v>415</v>
      </c>
      <c r="L5" s="149"/>
      <c r="M5" s="149" t="s">
        <v>416</v>
      </c>
      <c r="N5" s="149" t="s">
        <v>416</v>
      </c>
      <c r="O5" s="149" t="s">
        <v>417</v>
      </c>
      <c r="P5" s="149" t="s">
        <v>418</v>
      </c>
      <c r="Q5" s="223"/>
      <c r="R5" s="223"/>
      <c r="S5" s="149" t="s">
        <v>387</v>
      </c>
      <c r="T5" s="149" t="s">
        <v>419</v>
      </c>
      <c r="U5" s="93"/>
      <c r="V5" s="93"/>
      <c r="W5" s="93"/>
      <c r="X5" s="93"/>
      <c r="Y5" s="167"/>
      <c r="Z5" s="167"/>
      <c r="AA5" s="167"/>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row>
    <row r="6" spans="1:80" ht="15" x14ac:dyDescent="0.25">
      <c r="A6" s="160"/>
      <c r="B6" s="140"/>
      <c r="C6" s="140"/>
      <c r="D6" s="140"/>
      <c r="E6" s="140"/>
      <c r="F6" s="140"/>
      <c r="G6" s="140"/>
      <c r="H6" s="140"/>
      <c r="I6" s="140"/>
      <c r="J6" s="140"/>
      <c r="K6" s="140"/>
      <c r="L6" s="140"/>
      <c r="M6" s="140"/>
      <c r="N6" s="140"/>
      <c r="O6" s="140"/>
      <c r="P6" s="140"/>
      <c r="Q6" s="223"/>
      <c r="R6" s="223"/>
      <c r="S6" s="223"/>
      <c r="T6" s="177">
        <f>MAX(T10:T49)</f>
        <v>44224.463523980063</v>
      </c>
      <c r="U6" s="93"/>
      <c r="V6" s="93"/>
      <c r="W6" s="93"/>
      <c r="X6" s="93"/>
      <c r="Y6" s="93"/>
      <c r="Z6" s="93"/>
      <c r="AA6" s="215"/>
      <c r="AB6" s="21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row>
    <row r="7" spans="1:80" ht="15" x14ac:dyDescent="0.25">
      <c r="A7" s="135" t="s">
        <v>13</v>
      </c>
      <c r="B7" s="152">
        <f t="shared" ref="B7:P7" si="0">SUM(B10:B50)</f>
        <v>2594.1468886334851</v>
      </c>
      <c r="C7" s="152">
        <f t="shared" si="0"/>
        <v>41575.130797294943</v>
      </c>
      <c r="D7" s="152">
        <f>SUM(D10:D50)</f>
        <v>0</v>
      </c>
      <c r="E7" s="258">
        <f t="shared" si="0"/>
        <v>44169.277685928435</v>
      </c>
      <c r="F7" s="258">
        <f t="shared" si="0"/>
        <v>277.73160340908566</v>
      </c>
      <c r="G7" s="258">
        <f t="shared" si="0"/>
        <v>5457.67333880554</v>
      </c>
      <c r="H7" s="258">
        <f t="shared" si="0"/>
        <v>360.12613373360404</v>
      </c>
      <c r="I7" s="258">
        <f t="shared" si="0"/>
        <v>7205.8416717192385</v>
      </c>
      <c r="J7" s="258">
        <f t="shared" si="0"/>
        <v>13301.372747667467</v>
      </c>
      <c r="K7" s="258">
        <f t="shared" si="0"/>
        <v>30867.904938260959</v>
      </c>
      <c r="L7" s="258">
        <f t="shared" si="0"/>
        <v>9771.0292467226209</v>
      </c>
      <c r="M7" s="258">
        <f t="shared" si="0"/>
        <v>3375.500110646135</v>
      </c>
      <c r="N7" s="258">
        <f t="shared" si="0"/>
        <v>4005.1633855275113</v>
      </c>
      <c r="O7" s="258">
        <f t="shared" si="0"/>
        <v>17151.69274289627</v>
      </c>
      <c r="P7" s="258">
        <f t="shared" si="0"/>
        <v>13716.212195364689</v>
      </c>
      <c r="Q7" s="266"/>
      <c r="R7" s="267"/>
      <c r="S7" s="258"/>
      <c r="T7" s="218"/>
      <c r="U7" s="93"/>
      <c r="V7" s="93"/>
      <c r="W7" s="93"/>
      <c r="X7" s="93"/>
      <c r="Y7" s="175"/>
      <c r="Z7" s="175"/>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row>
    <row r="8" spans="1:80" ht="15" x14ac:dyDescent="0.25">
      <c r="A8" s="135" t="str">
        <f>"Discounted @ "&amp;FIXED(Input!B3*100,1)&amp;" %"</f>
        <v>Discounted @ 10.0 %</v>
      </c>
      <c r="B8" s="152">
        <f t="shared" ref="B8:P8" si="1">SUMPRODUCT(B10:B50,$AA$10:$AA$50)</f>
        <v>0</v>
      </c>
      <c r="C8" s="152">
        <f t="shared" si="1"/>
        <v>0</v>
      </c>
      <c r="D8" s="152">
        <f>SUMPRODUCT(D10:D50,$AA$10:$AA$50)</f>
        <v>0</v>
      </c>
      <c r="E8" s="258">
        <f t="shared" si="1"/>
        <v>0</v>
      </c>
      <c r="F8" s="258">
        <f t="shared" si="1"/>
        <v>0</v>
      </c>
      <c r="G8" s="258">
        <f t="shared" si="1"/>
        <v>0</v>
      </c>
      <c r="H8" s="258">
        <f t="shared" si="1"/>
        <v>0</v>
      </c>
      <c r="I8" s="258">
        <f t="shared" si="1"/>
        <v>0</v>
      </c>
      <c r="J8" s="258">
        <f t="shared" si="1"/>
        <v>0</v>
      </c>
      <c r="K8" s="258">
        <f t="shared" si="1"/>
        <v>0</v>
      </c>
      <c r="L8" s="258">
        <f t="shared" si="1"/>
        <v>0</v>
      </c>
      <c r="M8" s="258">
        <f t="shared" si="1"/>
        <v>0</v>
      </c>
      <c r="N8" s="258">
        <f t="shared" si="1"/>
        <v>0</v>
      </c>
      <c r="O8" s="258">
        <f t="shared" si="1"/>
        <v>0</v>
      </c>
      <c r="P8" s="258">
        <f t="shared" si="1"/>
        <v>0</v>
      </c>
      <c r="Q8" s="266"/>
      <c r="R8" s="267"/>
      <c r="S8" s="258"/>
      <c r="T8" s="218"/>
      <c r="U8" s="174"/>
      <c r="V8" s="174"/>
      <c r="W8" s="174"/>
      <c r="X8" s="174"/>
      <c r="Y8" s="175"/>
      <c r="Z8" s="175"/>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row>
    <row r="9" spans="1:80" ht="15" x14ac:dyDescent="0.25">
      <c r="A9" s="93"/>
      <c r="B9" s="157"/>
      <c r="C9" s="157"/>
      <c r="D9" s="157"/>
      <c r="E9" s="258"/>
      <c r="F9" s="258"/>
      <c r="G9" s="258"/>
      <c r="H9" s="258"/>
      <c r="I9" s="258"/>
      <c r="J9" s="258"/>
      <c r="K9" s="258"/>
      <c r="L9" s="258"/>
      <c r="M9" s="258"/>
      <c r="N9" s="258"/>
      <c r="O9" s="258"/>
      <c r="P9" s="258"/>
      <c r="Q9" s="266"/>
      <c r="R9" s="267"/>
      <c r="S9" s="258">
        <f>-Exploration!V23</f>
        <v>-11</v>
      </c>
      <c r="T9" s="174"/>
      <c r="U9" s="174"/>
      <c r="V9" s="174"/>
      <c r="W9" s="174"/>
      <c r="X9" s="174"/>
      <c r="Y9" s="174"/>
      <c r="Z9" s="174"/>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row>
    <row r="10" spans="1:80" ht="15" x14ac:dyDescent="0.25">
      <c r="A10" s="158">
        <f>A2</f>
        <v>2012</v>
      </c>
      <c r="B10" s="159">
        <f>Revenue!N11</f>
        <v>0</v>
      </c>
      <c r="C10" s="159">
        <f>Revenue!O11</f>
        <v>0</v>
      </c>
      <c r="D10" s="159">
        <f>Revenue!P11</f>
        <v>0</v>
      </c>
      <c r="E10" s="258">
        <f>SUM(B10:D10)</f>
        <v>0</v>
      </c>
      <c r="F10" s="258">
        <f>Exploration!S35</f>
        <v>67.729090909089635</v>
      </c>
      <c r="G10" s="258">
        <f>Development!BE91</f>
        <v>0</v>
      </c>
      <c r="H10" s="258">
        <f>Abandonment!G16</f>
        <v>0</v>
      </c>
      <c r="I10" s="258">
        <f>Operations!M19</f>
        <v>0</v>
      </c>
      <c r="J10" s="258">
        <f t="shared" ref="J10:J49" si="2">SUM(F10:I10)</f>
        <v>67.729090909089635</v>
      </c>
      <c r="K10" s="258">
        <f t="shared" ref="K10:K49" si="3">E10-J10</f>
        <v>-67.729090909089635</v>
      </c>
      <c r="L10" s="258">
        <f>Royalty!AM12</f>
        <v>0</v>
      </c>
      <c r="M10" s="258">
        <f>'Provincial Tax'!X10</f>
        <v>-10.836654545454342</v>
      </c>
      <c r="N10" s="258">
        <f>'Federal Tax'!X11</f>
        <v>-14.981674909090628</v>
      </c>
      <c r="O10" s="258">
        <f t="shared" ref="O10:O49" si="4">SUM(L10:N10)</f>
        <v>-25.818329454544973</v>
      </c>
      <c r="P10" s="258">
        <f t="shared" ref="P10:P49" si="5">K10-O10</f>
        <v>-41.910761454544662</v>
      </c>
      <c r="Q10" s="266"/>
      <c r="R10" s="267"/>
      <c r="S10" s="258">
        <f>S9+P10</f>
        <v>-52.910761454544662</v>
      </c>
      <c r="T10" s="268">
        <f t="shared" ref="T10:T16" si="6">IF(S10&gt;0,IF(S9&lt;0,DATE(A10,1,1)-S9/(S10-S9)*365,0),0)</f>
        <v>0</v>
      </c>
      <c r="U10" s="93"/>
      <c r="V10" s="174"/>
      <c r="W10" s="93"/>
      <c r="X10" s="269"/>
      <c r="Y10" s="175"/>
      <c r="Z10" s="175"/>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row>
    <row r="11" spans="1:80" ht="15" x14ac:dyDescent="0.25">
      <c r="A11" s="160">
        <f>IF(OR(A10=Abandonment!$B$4,A10=""),"",'Success Cash Flow'!A10+1)</f>
        <v>2013</v>
      </c>
      <c r="B11" s="161">
        <f>Revenue!N12</f>
        <v>0</v>
      </c>
      <c r="C11" s="161">
        <f>Revenue!O12</f>
        <v>0</v>
      </c>
      <c r="D11" s="161">
        <f>Revenue!P12</f>
        <v>0</v>
      </c>
      <c r="E11" s="258">
        <f>SUM(B11:D11)</f>
        <v>0</v>
      </c>
      <c r="F11" s="258">
        <f>Exploration!S36</f>
        <v>138.84463636363375</v>
      </c>
      <c r="G11" s="258">
        <f>Development!BE92</f>
        <v>0</v>
      </c>
      <c r="H11" s="258">
        <f>Abandonment!G17</f>
        <v>0</v>
      </c>
      <c r="I11" s="258">
        <f>Operations!M20</f>
        <v>0</v>
      </c>
      <c r="J11" s="258">
        <f t="shared" si="2"/>
        <v>138.84463636363375</v>
      </c>
      <c r="K11" s="258">
        <f t="shared" si="3"/>
        <v>-138.84463636363375</v>
      </c>
      <c r="L11" s="258">
        <f>Royalty!AM13</f>
        <v>0</v>
      </c>
      <c r="M11" s="258">
        <f>'Provincial Tax'!X11</f>
        <v>-6.6645425454544203</v>
      </c>
      <c r="N11" s="258">
        <f>'Federal Tax'!X12</f>
        <v>-8.5389451363634752</v>
      </c>
      <c r="O11" s="258">
        <f t="shared" si="4"/>
        <v>-15.203487681817895</v>
      </c>
      <c r="P11" s="258">
        <f t="shared" si="5"/>
        <v>-123.64114868181586</v>
      </c>
      <c r="Q11" s="266"/>
      <c r="R11" s="267"/>
      <c r="S11" s="258">
        <f t="shared" ref="S11:S49" si="7">S10+P11</f>
        <v>-176.55191013636053</v>
      </c>
      <c r="T11" s="270">
        <f t="shared" si="6"/>
        <v>0</v>
      </c>
      <c r="U11" s="93"/>
      <c r="V11" s="174"/>
      <c r="W11" s="93"/>
      <c r="X11" s="215"/>
      <c r="Y11" s="175"/>
      <c r="Z11" s="175"/>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row>
    <row r="12" spans="1:80" ht="15" x14ac:dyDescent="0.25">
      <c r="A12" s="160">
        <f>IF(OR(A11=Abandonment!$B$4,A11=""),"",'Success Cash Flow'!A11+1)</f>
        <v>2014</v>
      </c>
      <c r="B12" s="161">
        <f>Revenue!N13</f>
        <v>0</v>
      </c>
      <c r="C12" s="161">
        <f>Revenue!O13</f>
        <v>0</v>
      </c>
      <c r="D12" s="161">
        <f>Revenue!P13</f>
        <v>0</v>
      </c>
      <c r="E12" s="258">
        <f t="shared" ref="E12:E49" si="8">SUM(B12:D12)</f>
        <v>0</v>
      </c>
      <c r="F12" s="258">
        <f>Exploration!S37</f>
        <v>71.15787613636229</v>
      </c>
      <c r="G12" s="258">
        <f>Development!BE93</f>
        <v>2.5193987500000001</v>
      </c>
      <c r="H12" s="258">
        <f>Abandonment!G18</f>
        <v>0</v>
      </c>
      <c r="I12" s="258">
        <f>Operations!M21</f>
        <v>0</v>
      </c>
      <c r="J12" s="258">
        <f t="shared" si="2"/>
        <v>73.677274886362284</v>
      </c>
      <c r="K12" s="258">
        <f t="shared" si="3"/>
        <v>-73.677274886362284</v>
      </c>
      <c r="L12" s="258">
        <f>Royalty!AM14</f>
        <v>0</v>
      </c>
      <c r="M12" s="258">
        <f>'Provincial Tax'!X12</f>
        <v>-8.0807578363634853</v>
      </c>
      <c r="N12" s="258">
        <f>'Federal Tax'!X13</f>
        <v>-10.100947295454356</v>
      </c>
      <c r="O12" s="258">
        <f t="shared" si="4"/>
        <v>-18.181705131817843</v>
      </c>
      <c r="P12" s="258">
        <f t="shared" si="5"/>
        <v>-55.495569754544441</v>
      </c>
      <c r="Q12" s="266"/>
      <c r="R12" s="267"/>
      <c r="S12" s="258">
        <f t="shared" si="7"/>
        <v>-232.04747989090498</v>
      </c>
      <c r="T12" s="270">
        <f t="shared" si="6"/>
        <v>0</v>
      </c>
      <c r="U12" s="93"/>
      <c r="V12" s="174"/>
      <c r="W12" s="93"/>
      <c r="X12" s="93"/>
      <c r="Y12" s="175"/>
      <c r="Z12" s="175"/>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row>
    <row r="13" spans="1:80" ht="15" x14ac:dyDescent="0.25">
      <c r="A13" s="160">
        <f>IF(OR(A12=Abandonment!$B$4,A12=""),"",'Success Cash Flow'!A12+1)</f>
        <v>2015</v>
      </c>
      <c r="B13" s="161">
        <f>Revenue!N14</f>
        <v>0</v>
      </c>
      <c r="C13" s="161">
        <f>Revenue!O14</f>
        <v>0</v>
      </c>
      <c r="D13" s="161">
        <f>Revenue!P14</f>
        <v>0</v>
      </c>
      <c r="E13" s="258">
        <f t="shared" si="8"/>
        <v>0</v>
      </c>
      <c r="F13" s="258">
        <f>Exploration!S38</f>
        <v>0</v>
      </c>
      <c r="G13" s="258">
        <f>Development!BE94</f>
        <v>9.1557240937499991</v>
      </c>
      <c r="H13" s="258">
        <f>Abandonment!G19</f>
        <v>0</v>
      </c>
      <c r="I13" s="258">
        <f>Operations!M22</f>
        <v>0</v>
      </c>
      <c r="J13" s="258">
        <f t="shared" si="2"/>
        <v>9.1557240937499991</v>
      </c>
      <c r="K13" s="258">
        <f t="shared" si="3"/>
        <v>-9.1557240937499991</v>
      </c>
      <c r="L13" s="258">
        <f>Royalty!AM15</f>
        <v>0</v>
      </c>
      <c r="M13" s="258">
        <f>'Provincial Tax'!X13</f>
        <v>-5.6565304854544385</v>
      </c>
      <c r="N13" s="258">
        <f>'Federal Tax'!X14</f>
        <v>-6.7171299514771459</v>
      </c>
      <c r="O13" s="258">
        <f t="shared" si="4"/>
        <v>-12.373660436931583</v>
      </c>
      <c r="P13" s="258">
        <f t="shared" si="5"/>
        <v>3.2179363431815844</v>
      </c>
      <c r="Q13" s="266"/>
      <c r="R13" s="267"/>
      <c r="S13" s="258">
        <f t="shared" si="7"/>
        <v>-228.8295435477234</v>
      </c>
      <c r="T13" s="270">
        <f t="shared" si="6"/>
        <v>0</v>
      </c>
      <c r="U13" s="93"/>
      <c r="V13" s="174"/>
      <c r="W13" s="93"/>
      <c r="X13" s="93"/>
      <c r="Y13" s="175"/>
      <c r="Z13" s="175"/>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row>
    <row r="14" spans="1:80" ht="15" x14ac:dyDescent="0.25">
      <c r="A14" s="160">
        <f>IF(OR(A13=Abandonment!$B$4,A13=""),"",'Success Cash Flow'!A13+1)</f>
        <v>2016</v>
      </c>
      <c r="B14" s="161">
        <f>Revenue!N15</f>
        <v>0</v>
      </c>
      <c r="C14" s="161">
        <f>Revenue!O15</f>
        <v>0</v>
      </c>
      <c r="D14" s="161">
        <f>Revenue!P15</f>
        <v>0</v>
      </c>
      <c r="E14" s="258">
        <f t="shared" si="8"/>
        <v>0</v>
      </c>
      <c r="F14" s="258">
        <f>Exploration!S39</f>
        <v>0</v>
      </c>
      <c r="G14" s="258">
        <f>Development!BE95</f>
        <v>103.42562911396331</v>
      </c>
      <c r="H14" s="258">
        <f>Abandonment!G20</f>
        <v>0</v>
      </c>
      <c r="I14" s="258">
        <f>Operations!M23</f>
        <v>0</v>
      </c>
      <c r="J14" s="258">
        <f t="shared" si="2"/>
        <v>103.42562911396331</v>
      </c>
      <c r="K14" s="258">
        <f t="shared" si="3"/>
        <v>-103.42562911396331</v>
      </c>
      <c r="L14" s="258">
        <f>Royalty!AM16</f>
        <v>0</v>
      </c>
      <c r="M14" s="258">
        <f>'Provincial Tax'!X14</f>
        <v>-3.9595713398181074</v>
      </c>
      <c r="N14" s="258">
        <f>'Federal Tax'!X15</f>
        <v>-4.7019909660340025</v>
      </c>
      <c r="O14" s="258">
        <f t="shared" si="4"/>
        <v>-8.6615623058521098</v>
      </c>
      <c r="P14" s="258">
        <f t="shared" si="5"/>
        <v>-94.764066808111195</v>
      </c>
      <c r="Q14" s="266"/>
      <c r="R14" s="267"/>
      <c r="S14" s="258">
        <f t="shared" si="7"/>
        <v>-323.59361035583458</v>
      </c>
      <c r="T14" s="270">
        <f t="shared" si="6"/>
        <v>0</v>
      </c>
      <c r="U14" s="93"/>
      <c r="V14" s="174"/>
      <c r="W14" s="93"/>
      <c r="X14" s="93"/>
      <c r="Y14" s="175"/>
      <c r="Z14" s="175"/>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row>
    <row r="15" spans="1:80" ht="15" x14ac:dyDescent="0.25">
      <c r="A15" s="160">
        <f>IF(OR(A14=Abandonment!$B$4,A14=""),"",'Success Cash Flow'!A14+1)</f>
        <v>2017</v>
      </c>
      <c r="B15" s="161">
        <f>Revenue!N16</f>
        <v>0</v>
      </c>
      <c r="C15" s="161">
        <f>Revenue!O16</f>
        <v>0</v>
      </c>
      <c r="D15" s="161">
        <f>Revenue!P16</f>
        <v>0</v>
      </c>
      <c r="E15" s="258">
        <f t="shared" si="8"/>
        <v>0</v>
      </c>
      <c r="F15" s="258">
        <f>Exploration!S40</f>
        <v>0</v>
      </c>
      <c r="G15" s="258">
        <f>Development!BE96</f>
        <v>1220.1315226286367</v>
      </c>
      <c r="H15" s="258">
        <f>Abandonment!G21</f>
        <v>0</v>
      </c>
      <c r="I15" s="258">
        <f>Operations!M24</f>
        <v>0</v>
      </c>
      <c r="J15" s="258">
        <f t="shared" si="2"/>
        <v>1220.1315226286367</v>
      </c>
      <c r="K15" s="258">
        <f t="shared" si="3"/>
        <v>-1220.1315226286367</v>
      </c>
      <c r="L15" s="258">
        <f>Royalty!AM17</f>
        <v>0</v>
      </c>
      <c r="M15" s="258">
        <f>'Provincial Tax'!X15</f>
        <v>-2.771699937872675</v>
      </c>
      <c r="N15" s="258">
        <f>'Federal Tax'!X16</f>
        <v>-3.2913936762238016</v>
      </c>
      <c r="O15" s="258">
        <f t="shared" si="4"/>
        <v>-6.0630936140964771</v>
      </c>
      <c r="P15" s="258">
        <f t="shared" si="5"/>
        <v>-1214.0684290145402</v>
      </c>
      <c r="Q15" s="266"/>
      <c r="R15" s="267"/>
      <c r="S15" s="258">
        <f t="shared" si="7"/>
        <v>-1537.6620393703747</v>
      </c>
      <c r="T15" s="270">
        <f t="shared" si="6"/>
        <v>0</v>
      </c>
      <c r="U15" s="93"/>
      <c r="V15" s="174"/>
      <c r="W15" s="93"/>
      <c r="X15" s="93"/>
      <c r="Y15" s="175"/>
      <c r="Z15" s="175"/>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row>
    <row r="16" spans="1:80" ht="15" x14ac:dyDescent="0.25">
      <c r="A16" s="160">
        <f>IF(OR(A15=Abandonment!$B$4,A15=""),"",'Success Cash Flow'!A15+1)</f>
        <v>2018</v>
      </c>
      <c r="B16" s="161">
        <f>Revenue!N17</f>
        <v>21.150041214807004</v>
      </c>
      <c r="C16" s="161">
        <f>Revenue!O17</f>
        <v>338.96142648151107</v>
      </c>
      <c r="D16" s="161">
        <f>Revenue!P17</f>
        <v>0</v>
      </c>
      <c r="E16" s="258">
        <f t="shared" si="8"/>
        <v>360.11146769631807</v>
      </c>
      <c r="F16" s="258">
        <f>Exploration!S41</f>
        <v>0</v>
      </c>
      <c r="G16" s="258">
        <f>Development!BE97</f>
        <v>3505.8450902289278</v>
      </c>
      <c r="H16" s="258">
        <f>Abandonment!G22</f>
        <v>0</v>
      </c>
      <c r="I16" s="258">
        <f>Operations!M25</f>
        <v>108.49376115602891</v>
      </c>
      <c r="J16" s="258">
        <f t="shared" si="2"/>
        <v>3614.3388513849568</v>
      </c>
      <c r="K16" s="258">
        <f t="shared" si="3"/>
        <v>-3254.2273836886388</v>
      </c>
      <c r="L16" s="258">
        <f>Royalty!AM18</f>
        <v>7.202229353926362</v>
      </c>
      <c r="M16" s="258">
        <f>'Provincial Tax'!X16</f>
        <v>-88.374715244039223</v>
      </c>
      <c r="N16" s="258">
        <f>'Federal Tax'!X17</f>
        <v>-104.94497435229657</v>
      </c>
      <c r="O16" s="258">
        <f t="shared" si="4"/>
        <v>-186.11746024240944</v>
      </c>
      <c r="P16" s="258">
        <f t="shared" si="5"/>
        <v>-3068.1099234462295</v>
      </c>
      <c r="Q16" s="266"/>
      <c r="R16" s="267"/>
      <c r="S16" s="258">
        <f t="shared" si="7"/>
        <v>-4605.7719628166042</v>
      </c>
      <c r="T16" s="270">
        <f t="shared" si="6"/>
        <v>0</v>
      </c>
      <c r="U16" s="93"/>
      <c r="V16" s="174"/>
      <c r="W16" s="93"/>
      <c r="X16" s="93"/>
      <c r="Y16" s="175"/>
      <c r="Z16" s="175"/>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row>
    <row r="17" spans="1:80" ht="15" x14ac:dyDescent="0.25">
      <c r="A17" s="160">
        <f>IF(OR(A16=Abandonment!$B$4,A16=""),"",'Success Cash Flow'!A16+1)</f>
        <v>2019</v>
      </c>
      <c r="B17" s="161">
        <f>Revenue!N18</f>
        <v>221.86222279358725</v>
      </c>
      <c r="C17" s="161">
        <f>Revenue!O18</f>
        <v>3555.677965668654</v>
      </c>
      <c r="D17" s="161">
        <f>Revenue!P18</f>
        <v>0</v>
      </c>
      <c r="E17" s="258">
        <f t="shared" si="8"/>
        <v>3777.5401884622411</v>
      </c>
      <c r="F17" s="258">
        <f>Exploration!S42</f>
        <v>0</v>
      </c>
      <c r="G17" s="258">
        <f>Development!BE98</f>
        <v>616.59597399026154</v>
      </c>
      <c r="H17" s="258">
        <f>Abandonment!G23</f>
        <v>0</v>
      </c>
      <c r="I17" s="258">
        <f>Operations!M26</f>
        <v>358.38750793875175</v>
      </c>
      <c r="J17" s="258">
        <f t="shared" si="2"/>
        <v>974.98348192901335</v>
      </c>
      <c r="K17" s="258">
        <f t="shared" si="3"/>
        <v>2802.556706533228</v>
      </c>
      <c r="L17" s="258">
        <f>Royalty!AM19</f>
        <v>75.550803769244823</v>
      </c>
      <c r="M17" s="258">
        <f>'Provincial Tax'!X17</f>
        <v>336.01982550810629</v>
      </c>
      <c r="N17" s="258">
        <f>'Federal Tax'!X18</f>
        <v>466.98504476415587</v>
      </c>
      <c r="O17" s="258">
        <f t="shared" si="4"/>
        <v>878.55567404150702</v>
      </c>
      <c r="P17" s="258">
        <f t="shared" si="5"/>
        <v>1924.0010324917209</v>
      </c>
      <c r="Q17" s="266"/>
      <c r="R17" s="267"/>
      <c r="S17" s="258">
        <f t="shared" si="7"/>
        <v>-2681.770930324883</v>
      </c>
      <c r="T17" s="270">
        <f>IF(S17&gt;0,IF(S16&lt;0,DATE(A17,1,1)-S16/(S17-S16)*365,0),0)</f>
        <v>0</v>
      </c>
      <c r="U17" s="93"/>
      <c r="V17" s="174"/>
      <c r="W17" s="93"/>
      <c r="X17" s="93"/>
      <c r="Y17" s="175"/>
      <c r="Z17" s="175"/>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row>
    <row r="18" spans="1:80" ht="15" x14ac:dyDescent="0.25">
      <c r="A18" s="160">
        <f>IF(OR(A17=Abandonment!$B$4,A17=""),"",'Success Cash Flow'!A17+1)</f>
        <v>2020</v>
      </c>
      <c r="B18" s="161">
        <f>Revenue!N19</f>
        <v>230.98443296987679</v>
      </c>
      <c r="C18" s="161">
        <f>Revenue!O19</f>
        <v>3701.8751925494471</v>
      </c>
      <c r="D18" s="161">
        <f>Revenue!P19</f>
        <v>0</v>
      </c>
      <c r="E18" s="258">
        <f t="shared" si="8"/>
        <v>3932.8596255193238</v>
      </c>
      <c r="F18" s="258">
        <f>Exploration!S43</f>
        <v>0</v>
      </c>
      <c r="G18" s="258">
        <f>Development!BE99</f>
        <v>0</v>
      </c>
      <c r="H18" s="258">
        <f>Abandonment!G24</f>
        <v>0</v>
      </c>
      <c r="I18" s="258">
        <f>Operations!M27</f>
        <v>370.47242524755427</v>
      </c>
      <c r="J18" s="258">
        <f t="shared" si="2"/>
        <v>370.47242524755427</v>
      </c>
      <c r="K18" s="258">
        <f t="shared" si="3"/>
        <v>3562.3872002717694</v>
      </c>
      <c r="L18" s="258">
        <f>Royalty!AM20</f>
        <v>93.405416106083948</v>
      </c>
      <c r="M18" s="258">
        <f>'Provincial Tax'!X18</f>
        <v>409.09063363359701</v>
      </c>
      <c r="N18" s="258">
        <f>'Federal Tax'!X19</f>
        <v>536.76625391985613</v>
      </c>
      <c r="O18" s="258">
        <f t="shared" si="4"/>
        <v>1039.2623036595371</v>
      </c>
      <c r="P18" s="258">
        <f t="shared" si="5"/>
        <v>2523.1248966122321</v>
      </c>
      <c r="Q18" s="266"/>
      <c r="R18" s="267"/>
      <c r="S18" s="258">
        <f t="shared" si="7"/>
        <v>-158.64603371265093</v>
      </c>
      <c r="T18" s="270">
        <f t="shared" ref="T18:T49" si="9">IF(S18&gt;0,IF(S17&lt;0,DATE(A18,1,1)-S17/(S18-S17)*365,0),0)</f>
        <v>0</v>
      </c>
      <c r="U18" s="93"/>
      <c r="V18" s="174"/>
      <c r="W18" s="93"/>
      <c r="X18" s="93"/>
      <c r="Y18" s="175"/>
      <c r="Z18" s="175"/>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row>
    <row r="19" spans="1:80" ht="15" x14ac:dyDescent="0.25">
      <c r="A19" s="160">
        <f>IF(OR(A18=Abandonment!$B$4,A18=""),"",'Success Cash Flow'!A18+1)</f>
        <v>2021</v>
      </c>
      <c r="B19" s="161">
        <f>Revenue!N20</f>
        <v>236.11216116080649</v>
      </c>
      <c r="C19" s="161">
        <f>Revenue!O20</f>
        <v>3784.0547989414254</v>
      </c>
      <c r="D19" s="161">
        <f>Revenue!P20</f>
        <v>0</v>
      </c>
      <c r="E19" s="258">
        <f t="shared" si="8"/>
        <v>4020.1669601022318</v>
      </c>
      <c r="F19" s="258">
        <f>Exploration!S44</f>
        <v>0</v>
      </c>
      <c r="G19" s="258">
        <f>Development!BE100</f>
        <v>0</v>
      </c>
      <c r="H19" s="258">
        <f>Abandonment!G25</f>
        <v>0</v>
      </c>
      <c r="I19" s="258">
        <f>Operations!M28</f>
        <v>379.47762019998663</v>
      </c>
      <c r="J19" s="258">
        <f t="shared" si="2"/>
        <v>379.47762019998663</v>
      </c>
      <c r="K19" s="258">
        <f t="shared" si="3"/>
        <v>3640.6893399022451</v>
      </c>
      <c r="L19" s="258">
        <f>Royalty!AM21</f>
        <v>724.8964966412409</v>
      </c>
      <c r="M19" s="258">
        <f>'Provincial Tax'!X19</f>
        <v>359.35664901963804</v>
      </c>
      <c r="N19" s="258">
        <f>'Federal Tax'!X20</f>
        <v>447.97399007747009</v>
      </c>
      <c r="O19" s="258">
        <f t="shared" si="4"/>
        <v>1532.227135738349</v>
      </c>
      <c r="P19" s="258">
        <f t="shared" si="5"/>
        <v>2108.4622041638959</v>
      </c>
      <c r="Q19" s="266"/>
      <c r="R19" s="267"/>
      <c r="S19" s="258">
        <f t="shared" si="7"/>
        <v>1949.8161704512449</v>
      </c>
      <c r="T19" s="270">
        <f t="shared" si="9"/>
        <v>44224.463523980063</v>
      </c>
      <c r="U19" s="93"/>
      <c r="V19" s="174"/>
      <c r="W19" s="93"/>
      <c r="X19" s="93"/>
      <c r="Y19" s="175"/>
      <c r="Z19" s="175"/>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row>
    <row r="20" spans="1:80" ht="15" x14ac:dyDescent="0.25">
      <c r="A20" s="160">
        <f>IF(OR(A19=Abandonment!$B$4,A19=""),"",'Success Cash Flow'!A19+1)</f>
        <v>2022</v>
      </c>
      <c r="B20" s="161">
        <f>Revenue!N21</f>
        <v>241.86877378631232</v>
      </c>
      <c r="C20" s="161">
        <f>Revenue!O21</f>
        <v>3876.3132303754433</v>
      </c>
      <c r="D20" s="161">
        <f>Revenue!P21</f>
        <v>0</v>
      </c>
      <c r="E20" s="258">
        <f t="shared" si="8"/>
        <v>4118.1820041617557</v>
      </c>
      <c r="F20" s="258">
        <f>Exploration!S45</f>
        <v>0</v>
      </c>
      <c r="G20" s="258">
        <f>Development!BE101</f>
        <v>0</v>
      </c>
      <c r="H20" s="258">
        <f>Abandonment!G26</f>
        <v>0</v>
      </c>
      <c r="I20" s="258">
        <f>Operations!M29</f>
        <v>388.82182862222982</v>
      </c>
      <c r="J20" s="258">
        <f t="shared" si="2"/>
        <v>388.82182862222982</v>
      </c>
      <c r="K20" s="258">
        <f t="shared" si="3"/>
        <v>3729.3601755395257</v>
      </c>
      <c r="L20" s="258">
        <f>Royalty!AM22</f>
        <v>1291.6672974370558</v>
      </c>
      <c r="M20" s="258">
        <f>'Provincial Tax'!X20</f>
        <v>311.25594915059656</v>
      </c>
      <c r="N20" s="258">
        <f>'Federal Tax'!X21</f>
        <v>385.54491664132081</v>
      </c>
      <c r="O20" s="258">
        <f t="shared" si="4"/>
        <v>1988.468163228973</v>
      </c>
      <c r="P20" s="258">
        <f t="shared" si="5"/>
        <v>1740.8920123105527</v>
      </c>
      <c r="Q20" s="266"/>
      <c r="R20" s="267"/>
      <c r="S20" s="258">
        <f t="shared" si="7"/>
        <v>3690.7081827617976</v>
      </c>
      <c r="T20" s="270">
        <f t="shared" si="9"/>
        <v>0</v>
      </c>
      <c r="U20" s="93"/>
      <c r="V20" s="174"/>
      <c r="W20" s="93"/>
      <c r="X20" s="93"/>
      <c r="Y20" s="175"/>
      <c r="Z20" s="175"/>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row>
    <row r="21" spans="1:80" ht="15" x14ac:dyDescent="0.25">
      <c r="A21" s="160">
        <f>IF(OR(A20=Abandonment!$B$4,A20=""),"",'Success Cash Flow'!A20+1)</f>
        <v>2023</v>
      </c>
      <c r="B21" s="161">
        <f>Revenue!N22</f>
        <v>225.76349554906426</v>
      </c>
      <c r="C21" s="161">
        <f>Revenue!O22</f>
        <v>3618.2017671525077</v>
      </c>
      <c r="D21" s="161">
        <f>Revenue!P22</f>
        <v>0</v>
      </c>
      <c r="E21" s="258">
        <f t="shared" si="8"/>
        <v>3843.9652627015721</v>
      </c>
      <c r="F21" s="258">
        <f>Exploration!S46</f>
        <v>0</v>
      </c>
      <c r="G21" s="258">
        <f>Development!BE102</f>
        <v>0</v>
      </c>
      <c r="H21" s="258">
        <f>Abandonment!G27</f>
        <v>0</v>
      </c>
      <c r="I21" s="258">
        <f>Operations!M30</f>
        <v>376.91455850131791</v>
      </c>
      <c r="J21" s="258">
        <f t="shared" si="2"/>
        <v>376.91455850131791</v>
      </c>
      <c r="K21" s="258">
        <f t="shared" si="3"/>
        <v>3467.0507042002541</v>
      </c>
      <c r="L21" s="258">
        <f>Royalty!AM23</f>
        <v>1200.2757369225428</v>
      </c>
      <c r="M21" s="258">
        <f>'Provincial Tax'!X21</f>
        <v>304.72473141164016</v>
      </c>
      <c r="N21" s="258">
        <f>'Federal Tax'!X22</f>
        <v>361.0641947000733</v>
      </c>
      <c r="O21" s="258">
        <f t="shared" si="4"/>
        <v>1866.0646630342565</v>
      </c>
      <c r="P21" s="258">
        <f t="shared" si="5"/>
        <v>1600.9860411659977</v>
      </c>
      <c r="Q21" s="266"/>
      <c r="R21" s="267"/>
      <c r="S21" s="258">
        <f t="shared" si="7"/>
        <v>5291.6942239277951</v>
      </c>
      <c r="T21" s="270">
        <f t="shared" si="9"/>
        <v>0</v>
      </c>
      <c r="U21" s="93"/>
      <c r="V21" s="174"/>
      <c r="W21" s="93"/>
      <c r="X21" s="93"/>
      <c r="Y21" s="175"/>
      <c r="Z21" s="175"/>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row>
    <row r="22" spans="1:80" ht="15" x14ac:dyDescent="0.25">
      <c r="A22" s="160">
        <f>IF(OR(A21=Abandonment!$B$4,A21=""),"",'Success Cash Flow'!A21+1)</f>
        <v>2024</v>
      </c>
      <c r="B22" s="161">
        <f>Revenue!N23</f>
        <v>197.19262473103674</v>
      </c>
      <c r="C22" s="161">
        <f>Revenue!O23</f>
        <v>3160.3103129496876</v>
      </c>
      <c r="D22" s="161">
        <f>Revenue!P23</f>
        <v>0</v>
      </c>
      <c r="E22" s="258">
        <f t="shared" si="8"/>
        <v>3357.5029376807242</v>
      </c>
      <c r="F22" s="258">
        <f>Exploration!S47</f>
        <v>0</v>
      </c>
      <c r="G22" s="258">
        <f>Development!BE103</f>
        <v>0</v>
      </c>
      <c r="H22" s="258">
        <f>Abandonment!G28</f>
        <v>0</v>
      </c>
      <c r="I22" s="258">
        <f>Operations!M31</f>
        <v>352.61979360069023</v>
      </c>
      <c r="J22" s="258">
        <f t="shared" si="2"/>
        <v>352.61979360069023</v>
      </c>
      <c r="K22" s="258">
        <f t="shared" si="3"/>
        <v>3004.8831440800341</v>
      </c>
      <c r="L22" s="258">
        <f>Royalty!AM24</f>
        <v>1039.3674076519876</v>
      </c>
      <c r="M22" s="258">
        <f>'Provincial Tax'!X22</f>
        <v>271.79841442348089</v>
      </c>
      <c r="N22" s="258">
        <f>'Federal Tax'!X23</f>
        <v>322.16329923944653</v>
      </c>
      <c r="O22" s="258">
        <f t="shared" si="4"/>
        <v>1633.329121314915</v>
      </c>
      <c r="P22" s="258">
        <f t="shared" si="5"/>
        <v>1371.554022765119</v>
      </c>
      <c r="Q22" s="266"/>
      <c r="R22" s="267"/>
      <c r="S22" s="258">
        <f t="shared" si="7"/>
        <v>6663.2482466929141</v>
      </c>
      <c r="T22" s="270">
        <f t="shared" si="9"/>
        <v>0</v>
      </c>
      <c r="U22" s="93"/>
      <c r="V22" s="174"/>
      <c r="W22" s="93"/>
      <c r="X22" s="93"/>
      <c r="Y22" s="175"/>
      <c r="Z22" s="175"/>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row>
    <row r="23" spans="1:80" ht="15" x14ac:dyDescent="0.25">
      <c r="A23" s="160">
        <f>IF(OR(A22=Abandonment!$B$4,A22=""),"",'Success Cash Flow'!A22+1)</f>
        <v>2025</v>
      </c>
      <c r="B23" s="161">
        <f>Revenue!N24</f>
        <v>171.29549058215329</v>
      </c>
      <c r="C23" s="161">
        <f>Revenue!O24</f>
        <v>2745.2695362563982</v>
      </c>
      <c r="D23" s="161">
        <f>Revenue!P24</f>
        <v>0</v>
      </c>
      <c r="E23" s="258">
        <f t="shared" si="8"/>
        <v>2916.5650268385516</v>
      </c>
      <c r="F23" s="258">
        <f>Exploration!S48</f>
        <v>0</v>
      </c>
      <c r="G23" s="258">
        <f>Development!BE104</f>
        <v>0</v>
      </c>
      <c r="H23" s="258">
        <f>Abandonment!G29</f>
        <v>0</v>
      </c>
      <c r="I23" s="258">
        <f>Operations!M32</f>
        <v>331.65790058317492</v>
      </c>
      <c r="J23" s="258">
        <f t="shared" si="2"/>
        <v>331.65790058317492</v>
      </c>
      <c r="K23" s="258">
        <f t="shared" si="3"/>
        <v>2584.9071262553766</v>
      </c>
      <c r="L23" s="258">
        <f>Royalty!AM25</f>
        <v>893.10946766897075</v>
      </c>
      <c r="M23" s="258">
        <f>'Provincial Tax'!X23</f>
        <v>239.22428869678217</v>
      </c>
      <c r="N23" s="258">
        <f>'Federal Tax'!X24</f>
        <v>274.07376819610852</v>
      </c>
      <c r="O23" s="258">
        <f t="shared" si="4"/>
        <v>1406.4075245618615</v>
      </c>
      <c r="P23" s="258">
        <f t="shared" si="5"/>
        <v>1178.4996016935152</v>
      </c>
      <c r="Q23" s="266"/>
      <c r="R23" s="267"/>
      <c r="S23" s="258">
        <f t="shared" si="7"/>
        <v>7841.7478483864288</v>
      </c>
      <c r="T23" s="270">
        <f t="shared" si="9"/>
        <v>0</v>
      </c>
      <c r="U23" s="93"/>
      <c r="V23" s="174"/>
      <c r="W23" s="93"/>
      <c r="X23" s="93"/>
      <c r="Y23" s="175"/>
      <c r="Z23" s="175"/>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row>
    <row r="24" spans="1:80" ht="15" x14ac:dyDescent="0.25">
      <c r="A24" s="160">
        <f>IF(OR(A23=Abandonment!$B$4,A23=""),"",'Success Cash Flow'!A23+1)</f>
        <v>2026</v>
      </c>
      <c r="B24" s="161">
        <f>Revenue!N25</f>
        <v>149.24119616970106</v>
      </c>
      <c r="C24" s="161">
        <f>Revenue!O25</f>
        <v>2391.8160834633868</v>
      </c>
      <c r="D24" s="161">
        <f>Revenue!P25</f>
        <v>0</v>
      </c>
      <c r="E24" s="258">
        <f t="shared" si="8"/>
        <v>2541.057279633088</v>
      </c>
      <c r="F24" s="258">
        <f>Exploration!S49</f>
        <v>0</v>
      </c>
      <c r="G24" s="258">
        <f>Development!BE105</f>
        <v>0</v>
      </c>
      <c r="H24" s="258">
        <f>Abandonment!G30</f>
        <v>0</v>
      </c>
      <c r="I24" s="258">
        <f>Operations!M33</f>
        <v>314.23587016205687</v>
      </c>
      <c r="J24" s="258">
        <f t="shared" si="2"/>
        <v>314.23587016205687</v>
      </c>
      <c r="K24" s="258">
        <f t="shared" si="3"/>
        <v>2226.8214094710311</v>
      </c>
      <c r="L24" s="258">
        <f>Royalty!AM26</f>
        <v>768.38923785918871</v>
      </c>
      <c r="M24" s="258">
        <f>'Provincial Tax'!X24</f>
        <v>210.13646356381116</v>
      </c>
      <c r="N24" s="258">
        <f>'Federal Tax'!X25</f>
        <v>242.0332445085356</v>
      </c>
      <c r="O24" s="258">
        <f t="shared" si="4"/>
        <v>1220.5589459315354</v>
      </c>
      <c r="P24" s="258">
        <f t="shared" si="5"/>
        <v>1006.2624635394957</v>
      </c>
      <c r="Q24" s="266"/>
      <c r="R24" s="267"/>
      <c r="S24" s="258">
        <f t="shared" si="7"/>
        <v>8848.0103119259238</v>
      </c>
      <c r="T24" s="270">
        <f t="shared" si="9"/>
        <v>0</v>
      </c>
      <c r="U24" s="93"/>
      <c r="V24" s="174"/>
      <c r="W24" s="93"/>
      <c r="X24" s="93"/>
      <c r="Y24" s="175"/>
      <c r="Z24" s="175"/>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row>
    <row r="25" spans="1:80" ht="15" x14ac:dyDescent="0.25">
      <c r="A25" s="160">
        <f>IF(OR(A24=Abandonment!$B$4,A24=""),"",'Success Cash Flow'!A24+1)</f>
        <v>2027</v>
      </c>
      <c r="B25" s="161">
        <f>Revenue!N26</f>
        <v>130.02639216285201</v>
      </c>
      <c r="C25" s="161">
        <f>Revenue!O26</f>
        <v>2083.8697627174747</v>
      </c>
      <c r="D25" s="161">
        <f>Revenue!P26</f>
        <v>0</v>
      </c>
      <c r="E25" s="258">
        <f t="shared" si="8"/>
        <v>2213.8961548803268</v>
      </c>
      <c r="F25" s="258">
        <f>Exploration!S50</f>
        <v>0</v>
      </c>
      <c r="G25" s="258">
        <f>Development!BE106</f>
        <v>0</v>
      </c>
      <c r="H25" s="258">
        <f>Abandonment!G31</f>
        <v>0</v>
      </c>
      <c r="I25" s="258">
        <f>Operations!M34</f>
        <v>299.68889926463186</v>
      </c>
      <c r="J25" s="258">
        <f t="shared" si="2"/>
        <v>299.68889926463186</v>
      </c>
      <c r="K25" s="258">
        <f t="shared" si="3"/>
        <v>1914.207255615695</v>
      </c>
      <c r="L25" s="258">
        <f>Royalty!AM27</f>
        <v>659.483427991231</v>
      </c>
      <c r="M25" s="258">
        <f>'Provincial Tax'!X25</f>
        <v>183.61567252894042</v>
      </c>
      <c r="N25" s="258">
        <f>'Federal Tax'!X26</f>
        <v>205.24794198675477</v>
      </c>
      <c r="O25" s="258">
        <f t="shared" si="4"/>
        <v>1048.3470425069263</v>
      </c>
      <c r="P25" s="258">
        <f t="shared" si="5"/>
        <v>865.86021310876868</v>
      </c>
      <c r="Q25" s="266"/>
      <c r="R25" s="267"/>
      <c r="S25" s="258">
        <f t="shared" si="7"/>
        <v>9713.870525034692</v>
      </c>
      <c r="T25" s="270">
        <f t="shared" si="9"/>
        <v>0</v>
      </c>
      <c r="U25" s="93"/>
      <c r="V25" s="174"/>
      <c r="W25" s="93"/>
      <c r="X25" s="93"/>
      <c r="Y25" s="175"/>
      <c r="Z25" s="175"/>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row>
    <row r="26" spans="1:80" ht="15" x14ac:dyDescent="0.25">
      <c r="A26" s="160">
        <f>IF(OR(A25=Abandonment!$B$4,A25=""),"",'Success Cash Flow'!A25+1)</f>
        <v>2028</v>
      </c>
      <c r="B26" s="161">
        <f>Revenue!N27</f>
        <v>113.57126400148078</v>
      </c>
      <c r="C26" s="161">
        <f>Revenue!O27</f>
        <v>1820.1514248728377</v>
      </c>
      <c r="D26" s="161">
        <f>Revenue!P27</f>
        <v>0</v>
      </c>
      <c r="E26" s="258">
        <f t="shared" si="8"/>
        <v>1933.7226888743185</v>
      </c>
      <c r="F26" s="258">
        <f>Exploration!S51</f>
        <v>0</v>
      </c>
      <c r="G26" s="258">
        <f>Development!BE107</f>
        <v>0</v>
      </c>
      <c r="H26" s="258">
        <f>Abandonment!G32</f>
        <v>0</v>
      </c>
      <c r="I26" s="258">
        <f>Operations!M35</f>
        <v>287.76176600540771</v>
      </c>
      <c r="J26" s="258">
        <f t="shared" si="2"/>
        <v>287.76176600540771</v>
      </c>
      <c r="K26" s="258">
        <f t="shared" si="3"/>
        <v>1645.9609228689108</v>
      </c>
      <c r="L26" s="258">
        <f>Royalty!AM28</f>
        <v>566.01466119392944</v>
      </c>
      <c r="M26" s="258">
        <f>'Provincial Tax'!X26</f>
        <v>160.12485807047892</v>
      </c>
      <c r="N26" s="258">
        <f>'Federal Tax'!X27</f>
        <v>180.55151710267225</v>
      </c>
      <c r="O26" s="258">
        <f t="shared" si="4"/>
        <v>906.69103636708064</v>
      </c>
      <c r="P26" s="258">
        <f t="shared" si="5"/>
        <v>739.26988650183011</v>
      </c>
      <c r="Q26" s="266"/>
      <c r="R26" s="267"/>
      <c r="S26" s="258">
        <f t="shared" si="7"/>
        <v>10453.140411536522</v>
      </c>
      <c r="T26" s="270">
        <f t="shared" si="9"/>
        <v>0</v>
      </c>
      <c r="U26" s="93"/>
      <c r="V26" s="174"/>
      <c r="W26" s="93"/>
      <c r="X26" s="93"/>
      <c r="Y26" s="175"/>
      <c r="Z26" s="175"/>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row>
    <row r="27" spans="1:80" ht="15" x14ac:dyDescent="0.25">
      <c r="A27" s="160">
        <f>IF(OR(A26=Abandonment!$B$4,A26=""),"",'Success Cash Flow'!A26+1)</f>
        <v>2029</v>
      </c>
      <c r="B27" s="161">
        <f>Revenue!N28</f>
        <v>98.656049685954272</v>
      </c>
      <c r="C27" s="161">
        <f>Revenue!O28</f>
        <v>1581.1125374625913</v>
      </c>
      <c r="D27" s="161">
        <f>Revenue!P28</f>
        <v>0</v>
      </c>
      <c r="E27" s="258">
        <f t="shared" si="8"/>
        <v>1679.7685871485455</v>
      </c>
      <c r="F27" s="258">
        <f>Exploration!S52</f>
        <v>0</v>
      </c>
      <c r="G27" s="258">
        <f>Development!BE108</f>
        <v>0</v>
      </c>
      <c r="H27" s="258">
        <f>Abandonment!G33</f>
        <v>0</v>
      </c>
      <c r="I27" s="258">
        <f>Operations!M36</f>
        <v>277.80579969113001</v>
      </c>
      <c r="J27" s="258">
        <f t="shared" si="2"/>
        <v>277.80579969113001</v>
      </c>
      <c r="K27" s="258">
        <f t="shared" si="3"/>
        <v>1401.9627874574155</v>
      </c>
      <c r="L27" s="258">
        <f>Royalty!AM29</f>
        <v>480.9637726209059</v>
      </c>
      <c r="M27" s="258">
        <f>'Provincial Tax'!X27</f>
        <v>137.99192731020153</v>
      </c>
      <c r="N27" s="258">
        <f>'Federal Tax'!X28</f>
        <v>151.29198879291496</v>
      </c>
      <c r="O27" s="258">
        <f t="shared" si="4"/>
        <v>770.2476887240224</v>
      </c>
      <c r="P27" s="258">
        <f t="shared" si="5"/>
        <v>631.71509873339312</v>
      </c>
      <c r="Q27" s="266"/>
      <c r="R27" s="267"/>
      <c r="S27" s="258">
        <f t="shared" si="7"/>
        <v>11084.855510269916</v>
      </c>
      <c r="T27" s="270">
        <f t="shared" si="9"/>
        <v>0</v>
      </c>
      <c r="U27" s="93"/>
      <c r="V27" s="174"/>
      <c r="W27" s="93"/>
      <c r="X27" s="93"/>
      <c r="Y27" s="175"/>
      <c r="Z27" s="175"/>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93"/>
      <c r="CB27" s="93"/>
    </row>
    <row r="28" spans="1:80" ht="15" x14ac:dyDescent="0.25">
      <c r="A28" s="160">
        <f>IF(OR(A27=Abandonment!$B$4,A27=""),"",'Success Cash Flow'!A27+1)</f>
        <v>2030</v>
      </c>
      <c r="B28" s="161">
        <f>Revenue!N29</f>
        <v>85.954083288887617</v>
      </c>
      <c r="C28" s="161">
        <f>Revenue!O29</f>
        <v>1377.5442982642821</v>
      </c>
      <c r="D28" s="161">
        <f>Revenue!P29</f>
        <v>0</v>
      </c>
      <c r="E28" s="258">
        <f t="shared" si="8"/>
        <v>1463.4983815531698</v>
      </c>
      <c r="F28" s="258">
        <f>Exploration!S53</f>
        <v>0</v>
      </c>
      <c r="G28" s="258">
        <f>Development!BE109</f>
        <v>0</v>
      </c>
      <c r="H28" s="258">
        <f>Abandonment!G34</f>
        <v>0</v>
      </c>
      <c r="I28" s="258">
        <f>Operations!M37</f>
        <v>269.94150546115264</v>
      </c>
      <c r="J28" s="258">
        <f t="shared" si="2"/>
        <v>269.94150546115264</v>
      </c>
      <c r="K28" s="258">
        <f t="shared" si="3"/>
        <v>1193.5568760920171</v>
      </c>
      <c r="L28" s="258">
        <f>Royalty!AM30</f>
        <v>408.29695394106562</v>
      </c>
      <c r="M28" s="258">
        <f>'Provincial Tax'!X28</f>
        <v>118.70804619557124</v>
      </c>
      <c r="N28" s="258">
        <f>'Federal Tax'!X29</f>
        <v>131.53573619127886</v>
      </c>
      <c r="O28" s="258">
        <f t="shared" si="4"/>
        <v>658.54073632791574</v>
      </c>
      <c r="P28" s="258">
        <f t="shared" si="5"/>
        <v>535.01613976410135</v>
      </c>
      <c r="Q28" s="266"/>
      <c r="R28" s="267"/>
      <c r="S28" s="258">
        <f t="shared" si="7"/>
        <v>11619.871650034016</v>
      </c>
      <c r="T28" s="270">
        <f t="shared" si="9"/>
        <v>0</v>
      </c>
      <c r="U28" s="93"/>
      <c r="V28" s="174"/>
      <c r="W28" s="93"/>
      <c r="X28" s="93"/>
      <c r="Y28" s="175"/>
      <c r="Z28" s="175"/>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93"/>
      <c r="CB28" s="93"/>
    </row>
    <row r="29" spans="1:80" ht="15" x14ac:dyDescent="0.25">
      <c r="A29" s="160">
        <f>IF(OR(A28=Abandonment!$B$4,A28=""),"",'Success Cash Flow'!A28+1)</f>
        <v>2031</v>
      </c>
      <c r="B29" s="161">
        <f>Revenue!N30</f>
        <v>74.88749506544336</v>
      </c>
      <c r="C29" s="161">
        <f>Revenue!O30</f>
        <v>1200.1854698627562</v>
      </c>
      <c r="D29" s="161">
        <f>Revenue!P30</f>
        <v>0</v>
      </c>
      <c r="E29" s="258">
        <f t="shared" si="8"/>
        <v>1275.0729649281996</v>
      </c>
      <c r="F29" s="258">
        <f>Exploration!S54</f>
        <v>0</v>
      </c>
      <c r="G29" s="258">
        <f>Development!BE110</f>
        <v>0</v>
      </c>
      <c r="H29" s="258">
        <f>Abandonment!G35</f>
        <v>0</v>
      </c>
      <c r="I29" s="258">
        <f>Operations!M38</f>
        <v>263.78731917529132</v>
      </c>
      <c r="J29" s="258">
        <f t="shared" si="2"/>
        <v>263.78731917529132</v>
      </c>
      <c r="K29" s="258">
        <f t="shared" si="3"/>
        <v>1011.2856457529083</v>
      </c>
      <c r="L29" s="258">
        <f>Royalty!AM31</f>
        <v>344.71741984238264</v>
      </c>
      <c r="M29" s="258">
        <f>'Provincial Tax'!X29</f>
        <v>101.51543659865267</v>
      </c>
      <c r="N29" s="258">
        <f>'Federal Tax'!X30</f>
        <v>109.44513371447857</v>
      </c>
      <c r="O29" s="258">
        <f t="shared" si="4"/>
        <v>555.67799015551395</v>
      </c>
      <c r="P29" s="258">
        <f t="shared" si="5"/>
        <v>455.60765559739434</v>
      </c>
      <c r="Q29" s="266"/>
      <c r="R29" s="267"/>
      <c r="S29" s="258">
        <f t="shared" si="7"/>
        <v>12075.47930563141</v>
      </c>
      <c r="T29" s="270">
        <f t="shared" si="9"/>
        <v>0</v>
      </c>
      <c r="U29" s="93"/>
      <c r="V29" s="93"/>
      <c r="W29" s="93"/>
      <c r="X29" s="93"/>
      <c r="Y29" s="175"/>
      <c r="Z29" s="175"/>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93"/>
      <c r="CB29" s="93"/>
    </row>
    <row r="30" spans="1:80" ht="15" x14ac:dyDescent="0.25">
      <c r="A30" s="160">
        <f>IF(OR(A29=Abandonment!$B$4,A29=""),"",'Success Cash Flow'!A29+1)</f>
        <v>2032</v>
      </c>
      <c r="B30" s="161">
        <f>Revenue!N31</f>
        <v>65.410316559693996</v>
      </c>
      <c r="C30" s="161">
        <f>Revenue!O31</f>
        <v>1048.2993381667222</v>
      </c>
      <c r="D30" s="161">
        <f>Revenue!P31</f>
        <v>0</v>
      </c>
      <c r="E30" s="258">
        <f t="shared" si="8"/>
        <v>1113.7096547264161</v>
      </c>
      <c r="F30" s="258">
        <f>Exploration!S55</f>
        <v>0</v>
      </c>
      <c r="G30" s="258">
        <f>Development!BE111</f>
        <v>0</v>
      </c>
      <c r="H30" s="258">
        <f>Abandonment!G36</f>
        <v>0</v>
      </c>
      <c r="I30" s="258">
        <f>Operations!M39</f>
        <v>259.19760425647735</v>
      </c>
      <c r="J30" s="258">
        <f t="shared" si="2"/>
        <v>259.19760425647735</v>
      </c>
      <c r="K30" s="258">
        <f t="shared" si="3"/>
        <v>854.5120504699388</v>
      </c>
      <c r="L30" s="258">
        <f>Royalty!AM32</f>
        <v>290.00730151550187</v>
      </c>
      <c r="M30" s="258">
        <f>'Provincial Tax'!X30</f>
        <v>86.514423697519348</v>
      </c>
      <c r="N30" s="258">
        <f>'Federal Tax'!X31</f>
        <v>94.407542705988135</v>
      </c>
      <c r="O30" s="258">
        <f t="shared" si="4"/>
        <v>470.92926791900936</v>
      </c>
      <c r="P30" s="258">
        <f t="shared" si="5"/>
        <v>383.58278255092944</v>
      </c>
      <c r="Q30" s="266"/>
      <c r="R30" s="267"/>
      <c r="S30" s="258">
        <f t="shared" si="7"/>
        <v>12459.06208818234</v>
      </c>
      <c r="T30" s="270">
        <f t="shared" si="9"/>
        <v>0</v>
      </c>
      <c r="U30" s="93"/>
      <c r="V30" s="93"/>
      <c r="W30" s="93"/>
      <c r="X30" s="93"/>
      <c r="Y30" s="175"/>
      <c r="Z30" s="175"/>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93"/>
      <c r="CB30" s="93"/>
    </row>
    <row r="31" spans="1:80" ht="15" x14ac:dyDescent="0.25">
      <c r="A31" s="160">
        <f>IF(OR(A30=Abandonment!$B$4,A30=""),"",'Success Cash Flow'!A30+1)</f>
        <v>2033</v>
      </c>
      <c r="B31" s="161">
        <f>Revenue!N32</f>
        <v>56.82003715660872</v>
      </c>
      <c r="C31" s="161">
        <f>Revenue!O32</f>
        <v>910.62710714024001</v>
      </c>
      <c r="D31" s="161">
        <f>Revenue!P32</f>
        <v>0</v>
      </c>
      <c r="E31" s="258">
        <f t="shared" si="8"/>
        <v>967.44714429684871</v>
      </c>
      <c r="F31" s="258">
        <f>Exploration!S56</f>
        <v>0</v>
      </c>
      <c r="G31" s="258">
        <f>Development!BE112</f>
        <v>0</v>
      </c>
      <c r="H31" s="258">
        <f>Abandonment!G37</f>
        <v>0</v>
      </c>
      <c r="I31" s="258">
        <f>Operations!M40</f>
        <v>255.80015483709607</v>
      </c>
      <c r="J31" s="258">
        <f t="shared" si="2"/>
        <v>255.80015483709607</v>
      </c>
      <c r="K31" s="258">
        <f t="shared" si="3"/>
        <v>711.6469894597526</v>
      </c>
      <c r="L31" s="258">
        <f>Royalty!AM33</f>
        <v>240.12344089161505</v>
      </c>
      <c r="M31" s="258">
        <f>'Provincial Tax'!X31</f>
        <v>72.6207071370672</v>
      </c>
      <c r="N31" s="258">
        <f>'Federal Tax'!X32</f>
        <v>76.966916338942781</v>
      </c>
      <c r="O31" s="258">
        <f t="shared" si="4"/>
        <v>389.71106436762506</v>
      </c>
      <c r="P31" s="258">
        <f t="shared" si="5"/>
        <v>321.93592509212755</v>
      </c>
      <c r="Q31" s="266"/>
      <c r="R31" s="267"/>
      <c r="S31" s="258">
        <f t="shared" si="7"/>
        <v>12780.998013274468</v>
      </c>
      <c r="T31" s="270">
        <f t="shared" si="9"/>
        <v>0</v>
      </c>
      <c r="U31" s="93"/>
      <c r="V31" s="93"/>
      <c r="W31" s="93"/>
      <c r="X31" s="93"/>
      <c r="Y31" s="175"/>
      <c r="Z31" s="175"/>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93"/>
      <c r="CB31" s="93"/>
    </row>
    <row r="32" spans="1:80" ht="15" x14ac:dyDescent="0.25">
      <c r="A32" s="160">
        <f>IF(OR(A31=Abandonment!$B$4,A31=""),"",'Success Cash Flow'!A31+1)</f>
        <v>2034</v>
      </c>
      <c r="B32" s="161">
        <f>Revenue!N33</f>
        <v>49.504457372695377</v>
      </c>
      <c r="C32" s="161">
        <f>Revenue!O33</f>
        <v>793.38386709593465</v>
      </c>
      <c r="D32" s="161">
        <f>Revenue!P33</f>
        <v>0</v>
      </c>
      <c r="E32" s="258">
        <f t="shared" si="8"/>
        <v>842.88832446863</v>
      </c>
      <c r="F32" s="258">
        <f>Exploration!S57</f>
        <v>0</v>
      </c>
      <c r="G32" s="258">
        <f>Development!BE113</f>
        <v>0</v>
      </c>
      <c r="H32" s="258">
        <f>Abandonment!G38</f>
        <v>0</v>
      </c>
      <c r="I32" s="258">
        <f>Operations!M41</f>
        <v>253.66579948924561</v>
      </c>
      <c r="J32" s="258">
        <f t="shared" si="2"/>
        <v>253.66579948924561</v>
      </c>
      <c r="K32" s="258">
        <f t="shared" si="3"/>
        <v>589.22252497938439</v>
      </c>
      <c r="L32" s="258">
        <f>Royalty!AM34</f>
        <v>197.34958076066093</v>
      </c>
      <c r="M32" s="258">
        <f>'Provincial Tax'!X32</f>
        <v>60.604559626910316</v>
      </c>
      <c r="N32" s="258">
        <f>'Federal Tax'!X33</f>
        <v>65.015284517212621</v>
      </c>
      <c r="O32" s="258">
        <f t="shared" si="4"/>
        <v>322.96942490478386</v>
      </c>
      <c r="P32" s="258">
        <f t="shared" si="5"/>
        <v>266.25310007460052</v>
      </c>
      <c r="Q32" s="266"/>
      <c r="R32" s="267"/>
      <c r="S32" s="258">
        <f t="shared" si="7"/>
        <v>13047.251113349068</v>
      </c>
      <c r="T32" s="270">
        <f t="shared" si="9"/>
        <v>0</v>
      </c>
      <c r="U32" s="93"/>
      <c r="V32" s="93"/>
      <c r="W32" s="93"/>
      <c r="X32" s="93"/>
      <c r="Y32" s="175"/>
      <c r="Z32" s="175"/>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93"/>
      <c r="CB32" s="93"/>
    </row>
    <row r="33" spans="1:80" ht="15" x14ac:dyDescent="0.25">
      <c r="A33" s="160">
        <f>IF(OR(A32=Abandonment!$B$4,A32=""),"",'Success Cash Flow'!A32+1)</f>
        <v>2035</v>
      </c>
      <c r="B33" s="161">
        <f>Revenue!N34</f>
        <v>43.13075848596079</v>
      </c>
      <c r="C33" s="161">
        <f>Revenue!O34</f>
        <v>691.23569420733202</v>
      </c>
      <c r="D33" s="161">
        <f>Revenue!P34</f>
        <v>0</v>
      </c>
      <c r="E33" s="258">
        <f t="shared" si="8"/>
        <v>734.36645269329279</v>
      </c>
      <c r="F33" s="258">
        <f>Exploration!S58</f>
        <v>0</v>
      </c>
      <c r="G33" s="258">
        <f>Development!BE114</f>
        <v>0</v>
      </c>
      <c r="H33" s="258">
        <f>Abandonment!G39</f>
        <v>0</v>
      </c>
      <c r="I33" s="258">
        <f>Operations!M42</f>
        <v>252.57624025711652</v>
      </c>
      <c r="J33" s="258">
        <f t="shared" si="2"/>
        <v>252.57624025711652</v>
      </c>
      <c r="K33" s="258">
        <f t="shared" si="3"/>
        <v>481.79021243617626</v>
      </c>
      <c r="L33" s="258">
        <f>Royalty!AM35</f>
        <v>159.7864059436626</v>
      </c>
      <c r="M33" s="258">
        <f>'Provincial Tax'!X33</f>
        <v>49.964804271841587</v>
      </c>
      <c r="N33" s="258">
        <f>'Federal Tax'!X34</f>
        <v>51.850791185345003</v>
      </c>
      <c r="O33" s="258">
        <f t="shared" si="4"/>
        <v>261.60200140084919</v>
      </c>
      <c r="P33" s="258">
        <f t="shared" si="5"/>
        <v>220.18821103532707</v>
      </c>
      <c r="Q33" s="266"/>
      <c r="R33" s="267"/>
      <c r="S33" s="258">
        <f t="shared" si="7"/>
        <v>13267.439324384395</v>
      </c>
      <c r="T33" s="270">
        <f t="shared" si="9"/>
        <v>0</v>
      </c>
      <c r="U33" s="93"/>
      <c r="V33" s="93"/>
      <c r="W33" s="93"/>
      <c r="X33" s="93"/>
      <c r="Y33" s="175"/>
      <c r="Z33" s="175"/>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93"/>
      <c r="CB33" s="93"/>
    </row>
    <row r="34" spans="1:80" ht="15" x14ac:dyDescent="0.25">
      <c r="A34" s="160">
        <f>IF(OR(A33=Abandonment!$B$4,A33=""),"",'Success Cash Flow'!A33+1)</f>
        <v>2036</v>
      </c>
      <c r="B34" s="161">
        <f>Revenue!N35</f>
        <v>37.672465390396567</v>
      </c>
      <c r="C34" s="161">
        <f>Revenue!O35</f>
        <v>603.75828482378188</v>
      </c>
      <c r="D34" s="161">
        <f>Revenue!P35</f>
        <v>0</v>
      </c>
      <c r="E34" s="258">
        <f t="shared" si="8"/>
        <v>641.43075021417849</v>
      </c>
      <c r="F34" s="258">
        <f>Exploration!S59</f>
        <v>0</v>
      </c>
      <c r="G34" s="258">
        <f>Development!BE115</f>
        <v>0</v>
      </c>
      <c r="H34" s="258">
        <f>Abandonment!G40</f>
        <v>0</v>
      </c>
      <c r="I34" s="258">
        <f>Operations!M43</f>
        <v>252.44909598687371</v>
      </c>
      <c r="J34" s="258">
        <f t="shared" si="2"/>
        <v>252.44909598687371</v>
      </c>
      <c r="K34" s="258">
        <f t="shared" si="3"/>
        <v>388.98165422730477</v>
      </c>
      <c r="L34" s="258">
        <f>Royalty!AM36</f>
        <v>127.30786062001607</v>
      </c>
      <c r="M34" s="258">
        <f>'Provincial Tax'!X34</f>
        <v>40.711823575318171</v>
      </c>
      <c r="N34" s="258">
        <f>'Federal Tax'!X35</f>
        <v>42.733480080090168</v>
      </c>
      <c r="O34" s="258">
        <f t="shared" si="4"/>
        <v>210.75316427542441</v>
      </c>
      <c r="P34" s="258">
        <f t="shared" si="5"/>
        <v>178.22848995188036</v>
      </c>
      <c r="Q34" s="266"/>
      <c r="R34" s="267"/>
      <c r="S34" s="258">
        <f t="shared" si="7"/>
        <v>13445.667814336275</v>
      </c>
      <c r="T34" s="270">
        <f t="shared" si="9"/>
        <v>0</v>
      </c>
      <c r="U34" s="93"/>
      <c r="V34" s="93"/>
      <c r="W34" s="93"/>
      <c r="X34" s="93"/>
      <c r="Y34" s="175"/>
      <c r="Z34" s="175"/>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93"/>
      <c r="CB34" s="93"/>
    </row>
    <row r="35" spans="1:80" ht="15" x14ac:dyDescent="0.25">
      <c r="A35" s="160">
        <f>IF(OR(A34=Abandonment!$B$4,A34=""),"",'Success Cash Flow'!A34+1)</f>
        <v>2037</v>
      </c>
      <c r="B35" s="161">
        <f>Revenue!N36</f>
        <v>32.72497361039219</v>
      </c>
      <c r="C35" s="161">
        <f>Revenue!O36</f>
        <v>524.46723975093494</v>
      </c>
      <c r="D35" s="161">
        <f>Revenue!P36</f>
        <v>0</v>
      </c>
      <c r="E35" s="258">
        <f t="shared" si="8"/>
        <v>557.19221336132716</v>
      </c>
      <c r="F35" s="258">
        <f>Exploration!S60</f>
        <v>0</v>
      </c>
      <c r="G35" s="258">
        <f>Development!BB116</f>
        <v>0</v>
      </c>
      <c r="H35" s="258">
        <f>Abandonment!G41</f>
        <v>0</v>
      </c>
      <c r="I35" s="258">
        <f>Operations!M44</f>
        <v>253.07153246442351</v>
      </c>
      <c r="J35" s="258">
        <f t="shared" si="2"/>
        <v>253.07153246442351</v>
      </c>
      <c r="K35" s="258">
        <f t="shared" si="3"/>
        <v>304.12068089690365</v>
      </c>
      <c r="L35" s="258">
        <f>Royalty!AM37</f>
        <v>97.584734677661416</v>
      </c>
      <c r="M35" s="258">
        <f>'Provincial Tax'!X35</f>
        <v>32.186372965053451</v>
      </c>
      <c r="N35" s="258">
        <f>'Federal Tax'!X36</f>
        <v>32.311504066056344</v>
      </c>
      <c r="O35" s="258">
        <f t="shared" si="4"/>
        <v>162.0826117087712</v>
      </c>
      <c r="P35" s="258">
        <f t="shared" si="5"/>
        <v>142.03806918813245</v>
      </c>
      <c r="Q35" s="266"/>
      <c r="R35" s="267"/>
      <c r="S35" s="258">
        <f t="shared" si="7"/>
        <v>13587.705883524408</v>
      </c>
      <c r="T35" s="270">
        <f t="shared" si="9"/>
        <v>0</v>
      </c>
      <c r="U35" s="93"/>
      <c r="V35" s="93"/>
      <c r="W35" s="93"/>
      <c r="X35" s="93"/>
      <c r="Y35" s="175"/>
      <c r="Z35" s="175"/>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93"/>
      <c r="CB35" s="93"/>
    </row>
    <row r="36" spans="1:80" ht="15" x14ac:dyDescent="0.25">
      <c r="A36" s="160">
        <f>IF(OR(A35=Abandonment!$B$4,A35=""),"",'Success Cash Flow'!A35+1)</f>
        <v>2038</v>
      </c>
      <c r="B36" s="161">
        <f>Revenue!N37</f>
        <v>28.511633258054303</v>
      </c>
      <c r="C36" s="161">
        <f>Revenue!O37</f>
        <v>456.94208263300368</v>
      </c>
      <c r="D36" s="161">
        <f>Revenue!P37</f>
        <v>0</v>
      </c>
      <c r="E36" s="258">
        <f t="shared" si="8"/>
        <v>485.45371589105798</v>
      </c>
      <c r="F36" s="258">
        <f>Exploration!S61</f>
        <v>0</v>
      </c>
      <c r="G36" s="258">
        <f>Development!BA117</f>
        <v>0</v>
      </c>
      <c r="H36" s="258">
        <f>Abandonment!G42</f>
        <v>0</v>
      </c>
      <c r="I36" s="258">
        <f>Operations!M45</f>
        <v>254.4859154113785</v>
      </c>
      <c r="J36" s="258">
        <f t="shared" si="2"/>
        <v>254.4859154113785</v>
      </c>
      <c r="K36" s="258">
        <f t="shared" si="3"/>
        <v>230.96780047967948</v>
      </c>
      <c r="L36" s="258">
        <f>Royalty!AM38</f>
        <v>71.931723128489566</v>
      </c>
      <c r="M36" s="258">
        <f>'Provincial Tax'!X36</f>
        <v>24.806564938623893</v>
      </c>
      <c r="N36" s="258">
        <f>'Federal Tax'!X37</f>
        <v>25.025435492157396</v>
      </c>
      <c r="O36" s="258">
        <f t="shared" si="4"/>
        <v>121.76372355927086</v>
      </c>
      <c r="P36" s="258">
        <f t="shared" si="5"/>
        <v>109.20407692040862</v>
      </c>
      <c r="Q36" s="266"/>
      <c r="R36" s="267"/>
      <c r="S36" s="258">
        <f t="shared" si="7"/>
        <v>13696.909960444817</v>
      </c>
      <c r="T36" s="270">
        <f t="shared" si="9"/>
        <v>0</v>
      </c>
      <c r="U36" s="93"/>
      <c r="V36" s="93"/>
      <c r="W36" s="93"/>
      <c r="X36" s="93"/>
      <c r="Y36" s="175"/>
      <c r="Z36" s="175"/>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93"/>
      <c r="CB36" s="93"/>
    </row>
    <row r="37" spans="1:80" ht="15" x14ac:dyDescent="0.25">
      <c r="A37" s="160">
        <f>IF(OR(A36=Abandonment!$B$4,A36=""),"",'Success Cash Flow'!A36+1)</f>
        <v>2039</v>
      </c>
      <c r="B37" s="161">
        <f>Revenue!N38</f>
        <v>24.840760476079801</v>
      </c>
      <c r="C37" s="161">
        <f>Revenue!O38</f>
        <v>398.11078949400428</v>
      </c>
      <c r="D37" s="161">
        <f>Revenue!P38</f>
        <v>0</v>
      </c>
      <c r="E37" s="258">
        <f t="shared" si="8"/>
        <v>422.9515499700841</v>
      </c>
      <c r="F37" s="258">
        <f>Exploration!S62</f>
        <v>0</v>
      </c>
      <c r="G37" s="258">
        <f>Development!BA118</f>
        <v>0</v>
      </c>
      <c r="H37" s="258">
        <f>Abandonment!G43</f>
        <v>0</v>
      </c>
      <c r="I37" s="258">
        <f>Operations!M46</f>
        <v>256.56813012270663</v>
      </c>
      <c r="J37" s="258">
        <f t="shared" si="2"/>
        <v>256.56813012270663</v>
      </c>
      <c r="K37" s="258">
        <f t="shared" si="3"/>
        <v>166.38341984737747</v>
      </c>
      <c r="L37" s="258">
        <f>Royalty!AM39</f>
        <v>49.254312392287375</v>
      </c>
      <c r="M37" s="258">
        <f>'Provincial Tax'!X37</f>
        <v>18.264980084106291</v>
      </c>
      <c r="N37" s="258">
        <f>'Federal Tax'!X38</f>
        <v>17.089676556848985</v>
      </c>
      <c r="O37" s="258">
        <f t="shared" si="4"/>
        <v>84.608969033242658</v>
      </c>
      <c r="P37" s="258">
        <f t="shared" si="5"/>
        <v>81.774450814134809</v>
      </c>
      <c r="Q37" s="266"/>
      <c r="R37" s="267"/>
      <c r="S37" s="258">
        <f t="shared" si="7"/>
        <v>13778.684411258952</v>
      </c>
      <c r="T37" s="270">
        <f t="shared" si="9"/>
        <v>0</v>
      </c>
      <c r="U37" s="93"/>
      <c r="V37" s="93"/>
      <c r="W37" s="93"/>
      <c r="X37" s="93"/>
      <c r="Y37" s="175"/>
      <c r="Z37" s="175"/>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93"/>
      <c r="CB37" s="93"/>
    </row>
    <row r="38" spans="1:80" ht="15" x14ac:dyDescent="0.25">
      <c r="A38" s="160">
        <f>IF(OR(A37=Abandonment!$B$4,A37=""),"",'Success Cash Flow'!A37+1)</f>
        <v>2040</v>
      </c>
      <c r="B38" s="161">
        <f>Revenue!N39</f>
        <v>21.697107172619074</v>
      </c>
      <c r="C38" s="161">
        <f>Revenue!O39</f>
        <v>347.72898658014719</v>
      </c>
      <c r="D38" s="161">
        <f>Revenue!P39</f>
        <v>0</v>
      </c>
      <c r="E38" s="258">
        <f t="shared" si="8"/>
        <v>369.42609375276629</v>
      </c>
      <c r="F38" s="258">
        <f>Exploration!S63</f>
        <v>0</v>
      </c>
      <c r="G38" s="258">
        <f>Development!BA119</f>
        <v>0</v>
      </c>
      <c r="H38" s="258">
        <f>Abandonment!G44</f>
        <v>0</v>
      </c>
      <c r="I38" s="258">
        <f>Operations!M47</f>
        <v>259.27238221482975</v>
      </c>
      <c r="J38" s="258">
        <f t="shared" si="2"/>
        <v>259.27238221482975</v>
      </c>
      <c r="K38" s="258">
        <f t="shared" si="3"/>
        <v>110.15371153793654</v>
      </c>
      <c r="L38" s="258">
        <f>Royalty!AM40</f>
        <v>29.479265660758745</v>
      </c>
      <c r="M38" s="258">
        <f>'Provincial Tax'!X38</f>
        <v>12.553763437444076</v>
      </c>
      <c r="N38" s="258">
        <f>'Federal Tax'!X39</f>
        <v>11.457603612194411</v>
      </c>
      <c r="O38" s="258">
        <f t="shared" si="4"/>
        <v>53.490632710397229</v>
      </c>
      <c r="P38" s="258">
        <f t="shared" si="5"/>
        <v>56.663078827539316</v>
      </c>
      <c r="Q38" s="266"/>
      <c r="R38" s="267"/>
      <c r="S38" s="258">
        <f t="shared" si="7"/>
        <v>13835.347490086491</v>
      </c>
      <c r="T38" s="270">
        <f t="shared" si="9"/>
        <v>0</v>
      </c>
      <c r="U38" s="93"/>
      <c r="V38" s="93"/>
      <c r="W38" s="93"/>
      <c r="X38" s="93"/>
      <c r="Y38" s="175"/>
      <c r="Z38" s="175"/>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93"/>
      <c r="CB38" s="93"/>
    </row>
    <row r="39" spans="1:80" x14ac:dyDescent="0.3">
      <c r="A39" s="160">
        <f>IF(OR(A38=Abandonment!$B$4,A38=""),"",'Success Cash Flow'!A38+1)</f>
        <v>2041</v>
      </c>
      <c r="B39" s="161">
        <f>Revenue!N40</f>
        <v>18.847645151113944</v>
      </c>
      <c r="C39" s="161">
        <f>Revenue!O40</f>
        <v>302.06204429361975</v>
      </c>
      <c r="D39" s="161">
        <f>Revenue!P40</f>
        <v>0</v>
      </c>
      <c r="E39" s="258">
        <f t="shared" si="8"/>
        <v>320.90968944473371</v>
      </c>
      <c r="F39" s="258">
        <f>Exploration!S64</f>
        <v>0</v>
      </c>
      <c r="G39" s="258">
        <f>Development!BA120</f>
        <v>0</v>
      </c>
      <c r="H39" s="258">
        <f>Abandonment!G45</f>
        <v>0</v>
      </c>
      <c r="I39" s="258">
        <f>Operations!M48</f>
        <v>262.47778538052569</v>
      </c>
      <c r="J39" s="258">
        <f t="shared" si="2"/>
        <v>262.47778538052569</v>
      </c>
      <c r="K39" s="258">
        <f t="shared" si="3"/>
        <v>58.431904064208027</v>
      </c>
      <c r="L39" s="258">
        <f>Royalty!AM41</f>
        <v>16.045484472236687</v>
      </c>
      <c r="M39" s="258">
        <f>'Provincial Tax'!X39</f>
        <v>6.5180431575758373</v>
      </c>
      <c r="N39" s="258">
        <f>'Federal Tax'!X40</f>
        <v>4.1958956370309544</v>
      </c>
      <c r="O39" s="258">
        <f t="shared" si="4"/>
        <v>26.759423266843481</v>
      </c>
      <c r="P39" s="258">
        <f t="shared" si="5"/>
        <v>31.672480797364546</v>
      </c>
      <c r="Q39" s="266"/>
      <c r="R39" s="267"/>
      <c r="S39" s="258">
        <f t="shared" si="7"/>
        <v>13867.019970883855</v>
      </c>
      <c r="T39" s="270">
        <f t="shared" si="9"/>
        <v>0</v>
      </c>
      <c r="U39" s="93"/>
      <c r="V39" s="93"/>
      <c r="W39" s="93"/>
      <c r="X39" s="93"/>
      <c r="Y39" s="175"/>
      <c r="Z39" s="175"/>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93"/>
      <c r="CB39" s="93"/>
    </row>
    <row r="40" spans="1:80" x14ac:dyDescent="0.3">
      <c r="A40" s="160">
        <f>IF(OR(A39=Abandonment!$B$4,A39=""),"",'Success Cash Flow'!A39+1)</f>
        <v>2042</v>
      </c>
      <c r="B40" s="161">
        <f>Revenue!N41</f>
        <v>16.421010837907964</v>
      </c>
      <c r="C40" s="161">
        <f>Revenue!O41</f>
        <v>263.17155609081527</v>
      </c>
      <c r="D40" s="161">
        <f>Revenue!P41</f>
        <v>0</v>
      </c>
      <c r="E40" s="258">
        <f t="shared" si="8"/>
        <v>279.59256692872322</v>
      </c>
      <c r="F40" s="258">
        <f>Exploration!S65</f>
        <v>0</v>
      </c>
      <c r="G40" s="258">
        <f>Development!BA121</f>
        <v>0</v>
      </c>
      <c r="H40" s="258">
        <f>Abandonment!G46</f>
        <v>0</v>
      </c>
      <c r="I40" s="258">
        <f>Operations!M49</f>
        <v>266.21047568916032</v>
      </c>
      <c r="J40" s="258">
        <f t="shared" si="2"/>
        <v>266.21047568916032</v>
      </c>
      <c r="K40" s="258">
        <f t="shared" si="3"/>
        <v>13.382091239562897</v>
      </c>
      <c r="L40" s="258">
        <f>Royalty!AM42</f>
        <v>13.979628346436163</v>
      </c>
      <c r="M40" s="258">
        <f>'Provincial Tax'!X40</f>
        <v>-0.29216505492731198</v>
      </c>
      <c r="N40" s="258">
        <f>'Federal Tax'!X41</f>
        <v>-3.0051564621689475</v>
      </c>
      <c r="O40" s="258">
        <f t="shared" si="4"/>
        <v>10.682306829339904</v>
      </c>
      <c r="P40" s="258">
        <f t="shared" si="5"/>
        <v>2.6997844102229926</v>
      </c>
      <c r="Q40" s="266"/>
      <c r="R40" s="267"/>
      <c r="S40" s="258">
        <f t="shared" si="7"/>
        <v>13869.719755294078</v>
      </c>
      <c r="T40" s="270">
        <f t="shared" si="9"/>
        <v>0</v>
      </c>
      <c r="U40" s="93"/>
      <c r="V40" s="93"/>
      <c r="W40" s="93"/>
      <c r="X40" s="93"/>
      <c r="Y40" s="175"/>
      <c r="Z40" s="175"/>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93"/>
      <c r="CB40" s="93"/>
    </row>
    <row r="41" spans="1:80" x14ac:dyDescent="0.3">
      <c r="A41" s="160">
        <f>IF(OR(A40=Abandonment!$B$4,A40=""),"",'Success Cash Flow'!A40+1)</f>
        <v>2043</v>
      </c>
      <c r="B41" s="161">
        <f>Revenue!N42</f>
        <v>0</v>
      </c>
      <c r="C41" s="161">
        <f>Revenue!O42</f>
        <v>0</v>
      </c>
      <c r="D41" s="161">
        <f>Revenue!P42</f>
        <v>0</v>
      </c>
      <c r="E41" s="258">
        <f t="shared" si="8"/>
        <v>0</v>
      </c>
      <c r="F41" s="258">
        <f>Exploration!S66</f>
        <v>0</v>
      </c>
      <c r="G41" s="258">
        <f>Development!BA122</f>
        <v>0</v>
      </c>
      <c r="H41" s="258">
        <f>Abandonment!G47</f>
        <v>360.12613373360404</v>
      </c>
      <c r="I41" s="258">
        <f>Operations!M50</f>
        <v>0</v>
      </c>
      <c r="J41" s="258">
        <f t="shared" si="2"/>
        <v>360.12613373360404</v>
      </c>
      <c r="K41" s="258">
        <f t="shared" si="3"/>
        <v>-360.12613373360404</v>
      </c>
      <c r="L41" s="258">
        <f>Royalty!AM43</f>
        <v>-75.160820686464504</v>
      </c>
      <c r="M41" s="258">
        <f>'Provincial Tax'!X41</f>
        <v>-46.172191367438892</v>
      </c>
      <c r="N41" s="258">
        <f>'Federal Tax'!X42</f>
        <v>-65.674471907949581</v>
      </c>
      <c r="O41" s="258">
        <f t="shared" si="4"/>
        <v>-187.00748396185298</v>
      </c>
      <c r="P41" s="258">
        <f t="shared" si="5"/>
        <v>-173.11864977175105</v>
      </c>
      <c r="Q41" s="266"/>
      <c r="R41" s="267"/>
      <c r="S41" s="258">
        <f t="shared" si="7"/>
        <v>13696.601105522326</v>
      </c>
      <c r="T41" s="270">
        <f t="shared" si="9"/>
        <v>0</v>
      </c>
      <c r="U41" s="93"/>
      <c r="V41" s="93"/>
      <c r="W41" s="93"/>
      <c r="X41" s="93"/>
      <c r="Y41" s="175"/>
      <c r="Z41" s="175"/>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93"/>
      <c r="CB41" s="93"/>
    </row>
    <row r="42" spans="1:80" x14ac:dyDescent="0.3">
      <c r="A42" s="160" t="str">
        <f>IF(OR(A41=Abandonment!$B$4,A41=""),"",'Success Cash Flow'!A41+1)</f>
        <v/>
      </c>
      <c r="B42" s="161">
        <f>Revenue!N43</f>
        <v>0</v>
      </c>
      <c r="C42" s="161">
        <f>Revenue!O43</f>
        <v>0</v>
      </c>
      <c r="D42" s="161">
        <f>Revenue!P43</f>
        <v>0</v>
      </c>
      <c r="E42" s="258">
        <f t="shared" si="8"/>
        <v>0</v>
      </c>
      <c r="F42" s="258">
        <f>Exploration!S67</f>
        <v>0</v>
      </c>
      <c r="G42" s="258">
        <f>Development!BA123</f>
        <v>0</v>
      </c>
      <c r="H42" s="258">
        <f>Abandonment!G48</f>
        <v>0</v>
      </c>
      <c r="I42" s="258">
        <f>Operations!M51</f>
        <v>0</v>
      </c>
      <c r="J42" s="258">
        <f t="shared" si="2"/>
        <v>0</v>
      </c>
      <c r="K42" s="258">
        <f t="shared" si="3"/>
        <v>0</v>
      </c>
      <c r="L42" s="258">
        <f>Royalty!AM44</f>
        <v>0</v>
      </c>
      <c r="M42" s="258">
        <f>'Provincial Tax'!X42</f>
        <v>0</v>
      </c>
      <c r="N42" s="258">
        <f>'Federal Tax'!X43</f>
        <v>-8.6110898423628104</v>
      </c>
      <c r="O42" s="258">
        <f t="shared" si="4"/>
        <v>-8.6110898423628104</v>
      </c>
      <c r="P42" s="258">
        <f t="shared" si="5"/>
        <v>8.6110898423628104</v>
      </c>
      <c r="Q42" s="266"/>
      <c r="R42" s="267"/>
      <c r="S42" s="258">
        <f t="shared" si="7"/>
        <v>13705.212195364689</v>
      </c>
      <c r="T42" s="270">
        <f t="shared" si="9"/>
        <v>0</v>
      </c>
      <c r="U42" s="93"/>
      <c r="V42" s="93"/>
      <c r="W42" s="93"/>
      <c r="X42" s="93"/>
      <c r="Y42" s="175"/>
      <c r="Z42" s="175"/>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93"/>
      <c r="CB42" s="93"/>
    </row>
    <row r="43" spans="1:80" x14ac:dyDescent="0.3">
      <c r="A43" s="160" t="str">
        <f>IF(OR(A42=Abandonment!$B$4,A42=""),"",'Success Cash Flow'!A42+1)</f>
        <v/>
      </c>
      <c r="B43" s="161">
        <f>Revenue!N44</f>
        <v>0</v>
      </c>
      <c r="C43" s="161">
        <f>Revenue!O44</f>
        <v>0</v>
      </c>
      <c r="D43" s="161">
        <f>Revenue!P44</f>
        <v>0</v>
      </c>
      <c r="E43" s="258">
        <f t="shared" si="8"/>
        <v>0</v>
      </c>
      <c r="F43" s="258">
        <f>Exploration!S68</f>
        <v>0</v>
      </c>
      <c r="G43" s="258">
        <f>Development!BA124</f>
        <v>0</v>
      </c>
      <c r="H43" s="258">
        <f>Abandonment!G49</f>
        <v>0</v>
      </c>
      <c r="I43" s="258">
        <f>Operations!M52</f>
        <v>0</v>
      </c>
      <c r="J43" s="258">
        <f t="shared" si="2"/>
        <v>0</v>
      </c>
      <c r="K43" s="258">
        <f t="shared" si="3"/>
        <v>0</v>
      </c>
      <c r="L43" s="258">
        <f>Royalty!AM45</f>
        <v>0</v>
      </c>
      <c r="M43" s="258">
        <f>'Provincial Tax'!X43</f>
        <v>0</v>
      </c>
      <c r="N43" s="258">
        <f>'Federal Tax'!X44</f>
        <v>0</v>
      </c>
      <c r="O43" s="258">
        <f t="shared" si="4"/>
        <v>0</v>
      </c>
      <c r="P43" s="258">
        <f t="shared" si="5"/>
        <v>0</v>
      </c>
      <c r="Q43" s="266"/>
      <c r="R43" s="267"/>
      <c r="S43" s="258">
        <f t="shared" si="7"/>
        <v>13705.212195364689</v>
      </c>
      <c r="T43" s="270">
        <f t="shared" si="9"/>
        <v>0</v>
      </c>
      <c r="U43" s="93"/>
      <c r="V43" s="93"/>
      <c r="W43" s="93"/>
      <c r="X43" s="93"/>
      <c r="Y43" s="175"/>
      <c r="Z43" s="175"/>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93"/>
      <c r="CB43" s="93"/>
    </row>
    <row r="44" spans="1:80" x14ac:dyDescent="0.3">
      <c r="A44" s="160" t="str">
        <f>IF(OR(A43=Abandonment!$B$4,A43=""),"",'Success Cash Flow'!A43+1)</f>
        <v/>
      </c>
      <c r="B44" s="161">
        <f>Revenue!N45</f>
        <v>0</v>
      </c>
      <c r="C44" s="161">
        <f>Revenue!O45</f>
        <v>0</v>
      </c>
      <c r="D44" s="161">
        <f>Revenue!P45</f>
        <v>0</v>
      </c>
      <c r="E44" s="258">
        <f t="shared" si="8"/>
        <v>0</v>
      </c>
      <c r="F44" s="258">
        <f>Exploration!S69</f>
        <v>0</v>
      </c>
      <c r="G44" s="258">
        <f>Development!BA125</f>
        <v>0</v>
      </c>
      <c r="H44" s="258">
        <f>Abandonment!G50</f>
        <v>0</v>
      </c>
      <c r="I44" s="258">
        <f>Operations!M53</f>
        <v>0</v>
      </c>
      <c r="J44" s="258">
        <f t="shared" si="2"/>
        <v>0</v>
      </c>
      <c r="K44" s="258">
        <f t="shared" si="3"/>
        <v>0</v>
      </c>
      <c r="L44" s="258">
        <f>Royalty!AM46</f>
        <v>0</v>
      </c>
      <c r="M44" s="258">
        <f>'Provincial Tax'!X44</f>
        <v>0</v>
      </c>
      <c r="N44" s="258">
        <f>'Federal Tax'!X45</f>
        <v>0</v>
      </c>
      <c r="O44" s="258">
        <f t="shared" si="4"/>
        <v>0</v>
      </c>
      <c r="P44" s="258">
        <f t="shared" si="5"/>
        <v>0</v>
      </c>
      <c r="Q44" s="266"/>
      <c r="R44" s="267"/>
      <c r="S44" s="258">
        <f t="shared" si="7"/>
        <v>13705.212195364689</v>
      </c>
      <c r="T44" s="270">
        <f t="shared" si="9"/>
        <v>0</v>
      </c>
      <c r="U44" s="93"/>
      <c r="V44" s="93"/>
      <c r="W44" s="93"/>
      <c r="X44" s="93"/>
      <c r="Y44" s="175"/>
      <c r="Z44" s="175"/>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93"/>
      <c r="CB44" s="93"/>
    </row>
    <row r="45" spans="1:80" x14ac:dyDescent="0.3">
      <c r="A45" s="160" t="str">
        <f>IF(OR(A44=Abandonment!$B$4,A44=""),"",'Success Cash Flow'!A44+1)</f>
        <v/>
      </c>
      <c r="B45" s="161">
        <f>Revenue!N46</f>
        <v>0</v>
      </c>
      <c r="C45" s="161">
        <f>Revenue!O46</f>
        <v>0</v>
      </c>
      <c r="D45" s="161">
        <f>Revenue!P46</f>
        <v>0</v>
      </c>
      <c r="E45" s="258">
        <f t="shared" si="8"/>
        <v>0</v>
      </c>
      <c r="F45" s="258">
        <f>Exploration!S70</f>
        <v>0</v>
      </c>
      <c r="G45" s="258">
        <f>Development!BA126</f>
        <v>0</v>
      </c>
      <c r="H45" s="258">
        <f>Abandonment!G51</f>
        <v>0</v>
      </c>
      <c r="I45" s="258">
        <f>Operations!M54</f>
        <v>0</v>
      </c>
      <c r="J45" s="258">
        <f t="shared" si="2"/>
        <v>0</v>
      </c>
      <c r="K45" s="258">
        <f t="shared" si="3"/>
        <v>0</v>
      </c>
      <c r="L45" s="258">
        <f>Royalty!AM47</f>
        <v>0</v>
      </c>
      <c r="M45" s="258">
        <f>'Provincial Tax'!X45</f>
        <v>0</v>
      </c>
      <c r="N45" s="258">
        <f>'Federal Tax'!X46</f>
        <v>0</v>
      </c>
      <c r="O45" s="258">
        <f t="shared" si="4"/>
        <v>0</v>
      </c>
      <c r="P45" s="258">
        <f t="shared" si="5"/>
        <v>0</v>
      </c>
      <c r="Q45" s="266"/>
      <c r="R45" s="267"/>
      <c r="S45" s="258">
        <f t="shared" si="7"/>
        <v>13705.212195364689</v>
      </c>
      <c r="T45" s="270">
        <f t="shared" si="9"/>
        <v>0</v>
      </c>
      <c r="U45" s="93"/>
      <c r="V45" s="93"/>
      <c r="W45" s="93"/>
      <c r="X45" s="93"/>
      <c r="Y45" s="175"/>
      <c r="Z45" s="175"/>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93"/>
      <c r="CB45" s="93"/>
    </row>
    <row r="46" spans="1:80" x14ac:dyDescent="0.3">
      <c r="A46" s="160" t="str">
        <f>IF(OR(A45=Abandonment!$B$4,A45=""),"",'Success Cash Flow'!A45+1)</f>
        <v/>
      </c>
      <c r="B46" s="161">
        <f>Revenue!N47</f>
        <v>0</v>
      </c>
      <c r="C46" s="161">
        <f>Revenue!O47</f>
        <v>0</v>
      </c>
      <c r="D46" s="161">
        <f>Revenue!P47</f>
        <v>0</v>
      </c>
      <c r="E46" s="258">
        <f t="shared" si="8"/>
        <v>0</v>
      </c>
      <c r="F46" s="258">
        <f>Exploration!S71</f>
        <v>0</v>
      </c>
      <c r="G46" s="258">
        <f>Development!BA127</f>
        <v>0</v>
      </c>
      <c r="H46" s="258">
        <f>Abandonment!G52</f>
        <v>0</v>
      </c>
      <c r="I46" s="258">
        <f>Operations!M55</f>
        <v>0</v>
      </c>
      <c r="J46" s="258">
        <f t="shared" si="2"/>
        <v>0</v>
      </c>
      <c r="K46" s="258">
        <f t="shared" si="3"/>
        <v>0</v>
      </c>
      <c r="L46" s="258">
        <f>Royalty!AM48</f>
        <v>0</v>
      </c>
      <c r="M46" s="258">
        <f>'Provincial Tax'!X46</f>
        <v>0</v>
      </c>
      <c r="N46" s="258">
        <f>'Federal Tax'!X47</f>
        <v>0</v>
      </c>
      <c r="O46" s="258">
        <f t="shared" si="4"/>
        <v>0</v>
      </c>
      <c r="P46" s="258">
        <f t="shared" si="5"/>
        <v>0</v>
      </c>
      <c r="Q46" s="266"/>
      <c r="R46" s="267"/>
      <c r="S46" s="258">
        <f t="shared" si="7"/>
        <v>13705.212195364689</v>
      </c>
      <c r="T46" s="270">
        <f t="shared" si="9"/>
        <v>0</v>
      </c>
      <c r="U46" s="93"/>
      <c r="V46" s="93"/>
      <c r="W46" s="93"/>
      <c r="X46" s="93"/>
      <c r="Y46" s="175"/>
      <c r="Z46" s="175"/>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93"/>
      <c r="CB46" s="93"/>
    </row>
    <row r="47" spans="1:80" x14ac:dyDescent="0.3">
      <c r="A47" s="160" t="str">
        <f>IF(OR(A46=Abandonment!$B$4,A46=""),"",'Success Cash Flow'!A46+1)</f>
        <v/>
      </c>
      <c r="B47" s="161">
        <f>Revenue!N48</f>
        <v>0</v>
      </c>
      <c r="C47" s="161">
        <f>Revenue!O48</f>
        <v>0</v>
      </c>
      <c r="D47" s="161">
        <f>Revenue!P48</f>
        <v>0</v>
      </c>
      <c r="E47" s="258">
        <f t="shared" si="8"/>
        <v>0</v>
      </c>
      <c r="F47" s="258">
        <f>Exploration!S72</f>
        <v>0</v>
      </c>
      <c r="G47" s="258">
        <f>Development!BA128</f>
        <v>0</v>
      </c>
      <c r="H47" s="258">
        <f>Abandonment!G53</f>
        <v>0</v>
      </c>
      <c r="I47" s="258">
        <f>Operations!M56</f>
        <v>0</v>
      </c>
      <c r="J47" s="258">
        <f t="shared" si="2"/>
        <v>0</v>
      </c>
      <c r="K47" s="258">
        <f t="shared" si="3"/>
        <v>0</v>
      </c>
      <c r="L47" s="258">
        <f>Royalty!AM49</f>
        <v>0</v>
      </c>
      <c r="M47" s="258">
        <f>'Provincial Tax'!X47</f>
        <v>0</v>
      </c>
      <c r="N47" s="258">
        <f>'Federal Tax'!X48</f>
        <v>0</v>
      </c>
      <c r="O47" s="258">
        <f t="shared" si="4"/>
        <v>0</v>
      </c>
      <c r="P47" s="258">
        <f t="shared" si="5"/>
        <v>0</v>
      </c>
      <c r="Q47" s="266"/>
      <c r="R47" s="267"/>
      <c r="S47" s="258">
        <f t="shared" si="7"/>
        <v>13705.212195364689</v>
      </c>
      <c r="T47" s="270">
        <f t="shared" si="9"/>
        <v>0</v>
      </c>
      <c r="U47" s="93"/>
      <c r="V47" s="93"/>
      <c r="W47" s="93"/>
      <c r="X47" s="93"/>
      <c r="Y47" s="175"/>
      <c r="Z47" s="175"/>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93"/>
      <c r="CB47" s="93"/>
    </row>
    <row r="48" spans="1:80" x14ac:dyDescent="0.3">
      <c r="A48" s="160" t="str">
        <f>IF(OR(A47=Abandonment!$B$4,A47=""),"",'Success Cash Flow'!A47+1)</f>
        <v/>
      </c>
      <c r="B48" s="161">
        <f>Revenue!N49</f>
        <v>0</v>
      </c>
      <c r="C48" s="161">
        <f>Revenue!O49</f>
        <v>0</v>
      </c>
      <c r="D48" s="161">
        <f>Revenue!P49</f>
        <v>0</v>
      </c>
      <c r="E48" s="258">
        <f t="shared" si="8"/>
        <v>0</v>
      </c>
      <c r="F48" s="258">
        <f>Exploration!S73</f>
        <v>0</v>
      </c>
      <c r="G48" s="258">
        <f>Development!BA129</f>
        <v>0</v>
      </c>
      <c r="H48" s="258">
        <f>Abandonment!G54</f>
        <v>0</v>
      </c>
      <c r="I48" s="258">
        <f>Operations!M57</f>
        <v>0</v>
      </c>
      <c r="J48" s="258">
        <f t="shared" si="2"/>
        <v>0</v>
      </c>
      <c r="K48" s="258">
        <f t="shared" si="3"/>
        <v>0</v>
      </c>
      <c r="L48" s="258">
        <f>Royalty!AM50</f>
        <v>0</v>
      </c>
      <c r="M48" s="258">
        <f>'Provincial Tax'!X48</f>
        <v>0</v>
      </c>
      <c r="N48" s="258">
        <f>'Federal Tax'!X49</f>
        <v>0</v>
      </c>
      <c r="O48" s="258">
        <f t="shared" si="4"/>
        <v>0</v>
      </c>
      <c r="P48" s="258">
        <f t="shared" si="5"/>
        <v>0</v>
      </c>
      <c r="Q48" s="266"/>
      <c r="R48" s="267"/>
      <c r="S48" s="258">
        <f t="shared" si="7"/>
        <v>13705.212195364689</v>
      </c>
      <c r="T48" s="270">
        <f t="shared" si="9"/>
        <v>0</v>
      </c>
      <c r="U48" s="93"/>
      <c r="V48" s="93"/>
      <c r="W48" s="93"/>
      <c r="X48" s="93"/>
      <c r="Y48" s="175"/>
      <c r="Z48" s="175"/>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93"/>
      <c r="CB48" s="93"/>
    </row>
    <row r="49" spans="1:80" x14ac:dyDescent="0.3">
      <c r="A49" s="160" t="str">
        <f>IF(OR(A48=Abandonment!$B$4,A48=""),"",'Success Cash Flow'!A48+1)</f>
        <v/>
      </c>
      <c r="B49" s="161">
        <f>Revenue!N50</f>
        <v>0</v>
      </c>
      <c r="C49" s="161">
        <f>Revenue!O50</f>
        <v>0</v>
      </c>
      <c r="D49" s="161">
        <f>Revenue!P50</f>
        <v>0</v>
      </c>
      <c r="E49" s="258">
        <f t="shared" si="8"/>
        <v>0</v>
      </c>
      <c r="F49" s="258">
        <f>Exploration!S74</f>
        <v>0</v>
      </c>
      <c r="G49" s="258">
        <f>Development!BA130</f>
        <v>0</v>
      </c>
      <c r="H49" s="258">
        <f>Abandonment!G55</f>
        <v>0</v>
      </c>
      <c r="I49" s="258">
        <f>Operations!M58</f>
        <v>0</v>
      </c>
      <c r="J49" s="258">
        <f t="shared" si="2"/>
        <v>0</v>
      </c>
      <c r="K49" s="258">
        <f t="shared" si="3"/>
        <v>0</v>
      </c>
      <c r="L49" s="258">
        <f>Royalty!AM51</f>
        <v>0</v>
      </c>
      <c r="M49" s="258">
        <f>'Provincial Tax'!X49</f>
        <v>0</v>
      </c>
      <c r="N49" s="258">
        <f>'Federal Tax'!X50</f>
        <v>0</v>
      </c>
      <c r="O49" s="258">
        <f t="shared" si="4"/>
        <v>0</v>
      </c>
      <c r="P49" s="258">
        <f t="shared" si="5"/>
        <v>0</v>
      </c>
      <c r="Q49" s="266"/>
      <c r="R49" s="267"/>
      <c r="S49" s="258">
        <f t="shared" si="7"/>
        <v>13705.212195364689</v>
      </c>
      <c r="T49" s="271">
        <f t="shared" si="9"/>
        <v>0</v>
      </c>
      <c r="U49" s="93"/>
      <c r="V49" s="93"/>
      <c r="W49" s="93"/>
      <c r="X49" s="93"/>
      <c r="Y49" s="175"/>
      <c r="Z49" s="175"/>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93"/>
      <c r="CB49" s="93"/>
    </row>
    <row r="50" spans="1:80" x14ac:dyDescent="0.3">
      <c r="A50" s="162" t="str">
        <f>IF(OR(A49=Abandonment!$B$4,A49=""),"",'Success Cash Flow'!A49+1)</f>
        <v/>
      </c>
      <c r="B50" s="163">
        <f>Revenue!N51</f>
        <v>0</v>
      </c>
      <c r="C50" s="163">
        <f>Revenue!O51</f>
        <v>0</v>
      </c>
      <c r="D50" s="163">
        <f>Revenue!P51</f>
        <v>0</v>
      </c>
      <c r="E50" s="260">
        <f>SUM(B50:D50)</f>
        <v>0</v>
      </c>
      <c r="F50" s="260">
        <f>Exploration!S75</f>
        <v>0</v>
      </c>
      <c r="G50" s="260">
        <f>Development!AZ131</f>
        <v>0</v>
      </c>
      <c r="H50" s="260">
        <f>Abandonment!G56</f>
        <v>0</v>
      </c>
      <c r="I50" s="260">
        <f>Operations!M59</f>
        <v>0</v>
      </c>
      <c r="J50" s="260">
        <f>SUM(F50:I50)</f>
        <v>0</v>
      </c>
      <c r="K50" s="260">
        <f>E50-J50</f>
        <v>0</v>
      </c>
      <c r="L50" s="260">
        <f>Royalty!AM52</f>
        <v>0</v>
      </c>
      <c r="M50" s="260">
        <f>'Provincial Tax'!X50</f>
        <v>0</v>
      </c>
      <c r="N50" s="260">
        <f>'Federal Tax'!X51</f>
        <v>0</v>
      </c>
      <c r="O50" s="260">
        <f>SUM(L50:N50)</f>
        <v>0</v>
      </c>
      <c r="P50" s="260">
        <f>K50-O50</f>
        <v>0</v>
      </c>
      <c r="Q50" s="168"/>
      <c r="R50" s="168"/>
      <c r="S50" s="168"/>
      <c r="T50" s="168"/>
      <c r="U50" s="93"/>
      <c r="V50" s="93"/>
      <c r="W50" s="93"/>
      <c r="X50" s="93"/>
      <c r="Y50" s="175"/>
      <c r="Z50" s="175"/>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93"/>
      <c r="CB50" s="93"/>
    </row>
    <row r="51" spans="1:80" x14ac:dyDescent="0.3">
      <c r="A51" s="125"/>
      <c r="B51" s="125"/>
      <c r="C51" s="125"/>
      <c r="D51" s="125"/>
      <c r="E51" s="125"/>
      <c r="F51" s="125"/>
      <c r="G51" s="125"/>
      <c r="H51" s="125"/>
      <c r="I51" s="125"/>
      <c r="J51" s="125"/>
      <c r="K51" s="125"/>
      <c r="L51" s="125"/>
      <c r="M51" s="125"/>
      <c r="N51" s="125"/>
      <c r="O51" s="125"/>
      <c r="P51" s="125"/>
      <c r="Q51" s="272"/>
      <c r="R51" s="272"/>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row>
    <row r="52" spans="1:80" x14ac:dyDescent="0.3">
      <c r="A52" s="125"/>
      <c r="B52" s="125"/>
      <c r="C52" s="125"/>
      <c r="D52" s="125"/>
      <c r="E52" s="125"/>
      <c r="F52" s="125"/>
      <c r="G52" s="125"/>
      <c r="H52" s="125"/>
      <c r="I52" s="125"/>
      <c r="J52" s="125"/>
      <c r="K52" s="125"/>
      <c r="L52" s="125"/>
      <c r="M52" s="125"/>
      <c r="N52" s="125"/>
      <c r="O52" s="125"/>
      <c r="P52" s="125"/>
      <c r="Q52" s="272"/>
      <c r="R52" s="272"/>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row>
    <row r="53" spans="1:80" x14ac:dyDescent="0.3">
      <c r="A53" s="125"/>
      <c r="B53" s="125"/>
      <c r="C53" s="125"/>
      <c r="D53" s="125"/>
      <c r="E53" s="125"/>
      <c r="F53" s="125"/>
      <c r="G53" s="125"/>
      <c r="H53" s="125"/>
      <c r="I53" s="125"/>
      <c r="J53" s="125"/>
      <c r="K53" s="125"/>
      <c r="L53" s="125"/>
      <c r="M53" s="125"/>
      <c r="N53" s="125"/>
      <c r="O53" s="125"/>
      <c r="P53" s="125"/>
      <c r="Q53" s="272"/>
      <c r="R53" s="272"/>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row>
    <row r="54" spans="1:80" x14ac:dyDescent="0.3">
      <c r="A54" s="125"/>
      <c r="B54" s="125"/>
      <c r="C54" s="125"/>
      <c r="D54" s="125"/>
      <c r="E54" s="125"/>
      <c r="F54" s="125"/>
      <c r="G54" s="125"/>
      <c r="H54" s="125"/>
      <c r="I54" s="125"/>
      <c r="J54" s="125"/>
      <c r="K54" s="125"/>
      <c r="L54" s="125"/>
      <c r="M54" s="125"/>
      <c r="N54" s="125"/>
      <c r="O54" s="125"/>
      <c r="P54" s="125"/>
      <c r="Q54" s="272"/>
      <c r="R54" s="272"/>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row>
    <row r="55" spans="1:80" x14ac:dyDescent="0.3">
      <c r="A55" s="125"/>
      <c r="B55" s="125"/>
      <c r="C55" s="125"/>
      <c r="D55" s="125"/>
      <c r="E55" s="125"/>
      <c r="F55" s="125"/>
      <c r="G55" s="125"/>
      <c r="H55" s="125"/>
      <c r="I55" s="125"/>
      <c r="J55" s="125"/>
      <c r="K55" s="125"/>
      <c r="L55" s="125"/>
      <c r="M55" s="125"/>
      <c r="N55" s="125"/>
      <c r="O55" s="125"/>
      <c r="P55" s="125"/>
      <c r="Q55" s="272"/>
      <c r="R55" s="272"/>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row>
    <row r="56" spans="1:80" x14ac:dyDescent="0.3">
      <c r="A56" s="125"/>
      <c r="B56" s="125"/>
      <c r="C56" s="125"/>
      <c r="D56" s="125"/>
      <c r="E56" s="125"/>
      <c r="F56" s="125"/>
      <c r="G56" s="125"/>
      <c r="H56" s="125"/>
      <c r="I56" s="125"/>
      <c r="J56" s="125"/>
      <c r="K56" s="125"/>
      <c r="L56" s="125"/>
      <c r="M56" s="125"/>
      <c r="N56" s="125"/>
      <c r="O56" s="125"/>
      <c r="P56" s="125"/>
      <c r="Q56" s="272"/>
      <c r="R56" s="272"/>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row>
    <row r="57" spans="1:80" x14ac:dyDescent="0.3">
      <c r="A57" s="125"/>
      <c r="B57" s="125"/>
      <c r="C57" s="125"/>
      <c r="D57" s="125"/>
      <c r="E57" s="125"/>
      <c r="F57" s="125"/>
      <c r="G57" s="125"/>
      <c r="H57" s="125"/>
      <c r="I57" s="125"/>
      <c r="J57" s="125"/>
      <c r="K57" s="125"/>
      <c r="L57" s="125"/>
      <c r="M57" s="125"/>
      <c r="N57" s="125"/>
      <c r="O57" s="125"/>
      <c r="P57" s="125"/>
      <c r="Q57" s="272"/>
      <c r="R57" s="272"/>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row>
    <row r="58" spans="1:80" x14ac:dyDescent="0.3">
      <c r="A58" s="125"/>
      <c r="B58" s="125"/>
      <c r="C58" s="125"/>
      <c r="D58" s="125"/>
      <c r="E58" s="125"/>
      <c r="F58" s="125"/>
      <c r="G58" s="125"/>
      <c r="H58" s="125"/>
      <c r="I58" s="125"/>
      <c r="J58" s="125"/>
      <c r="K58" s="125"/>
      <c r="L58" s="125"/>
      <c r="M58" s="125"/>
      <c r="N58" s="125"/>
      <c r="O58" s="125"/>
      <c r="P58" s="125"/>
      <c r="Q58" s="272"/>
      <c r="R58" s="272"/>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row>
    <row r="59" spans="1:80" x14ac:dyDescent="0.3">
      <c r="A59" s="125"/>
      <c r="B59" s="125"/>
      <c r="C59" s="125"/>
      <c r="D59" s="125"/>
      <c r="E59" s="125"/>
      <c r="F59" s="125"/>
      <c r="G59" s="125"/>
      <c r="H59" s="125"/>
      <c r="I59" s="125"/>
      <c r="J59" s="125"/>
      <c r="K59" s="125"/>
      <c r="L59" s="125"/>
      <c r="M59" s="125"/>
      <c r="N59" s="125"/>
      <c r="O59" s="125"/>
      <c r="P59" s="125"/>
      <c r="Q59" s="272"/>
      <c r="R59" s="272"/>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row>
    <row r="60" spans="1:80" x14ac:dyDescent="0.3">
      <c r="A60" s="125"/>
      <c r="B60" s="125"/>
      <c r="C60" s="125"/>
      <c r="D60" s="125"/>
      <c r="E60" s="125"/>
      <c r="F60" s="125"/>
      <c r="G60" s="125"/>
      <c r="H60" s="125"/>
      <c r="I60" s="125"/>
      <c r="J60" s="125"/>
      <c r="K60" s="125"/>
      <c r="L60" s="125"/>
      <c r="M60" s="125"/>
      <c r="N60" s="125"/>
      <c r="O60" s="125"/>
      <c r="P60" s="125"/>
      <c r="Q60" s="272"/>
      <c r="R60" s="272"/>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row>
    <row r="61" spans="1:80" x14ac:dyDescent="0.3">
      <c r="A61" s="125"/>
      <c r="B61" s="125"/>
      <c r="C61" s="125"/>
      <c r="D61" s="125"/>
      <c r="E61" s="125"/>
      <c r="F61" s="125"/>
      <c r="G61" s="125"/>
      <c r="H61" s="125"/>
      <c r="I61" s="125"/>
      <c r="J61" s="125"/>
      <c r="K61" s="125"/>
      <c r="L61" s="125"/>
      <c r="M61" s="125"/>
      <c r="N61" s="125"/>
      <c r="O61" s="125"/>
      <c r="P61" s="125"/>
      <c r="Q61" s="272"/>
      <c r="R61" s="272"/>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row>
    <row r="62" spans="1:80" x14ac:dyDescent="0.3">
      <c r="A62" s="125"/>
      <c r="B62" s="125"/>
      <c r="C62" s="125"/>
      <c r="D62" s="125"/>
      <c r="E62" s="125"/>
      <c r="F62" s="125"/>
      <c r="G62" s="125"/>
      <c r="H62" s="125"/>
      <c r="I62" s="125"/>
      <c r="J62" s="125"/>
      <c r="K62" s="125"/>
      <c r="L62" s="125"/>
      <c r="M62" s="125"/>
      <c r="N62" s="125"/>
      <c r="O62" s="125"/>
      <c r="P62" s="125"/>
      <c r="Q62" s="272"/>
      <c r="R62" s="272"/>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row>
    <row r="63" spans="1:80" x14ac:dyDescent="0.3">
      <c r="A63" s="125"/>
      <c r="B63" s="125"/>
      <c r="C63" s="125"/>
      <c r="D63" s="125"/>
      <c r="E63" s="125"/>
      <c r="F63" s="125"/>
      <c r="G63" s="125"/>
      <c r="H63" s="125"/>
      <c r="I63" s="125"/>
      <c r="J63" s="125"/>
      <c r="K63" s="125"/>
      <c r="L63" s="125"/>
      <c r="M63" s="125"/>
      <c r="N63" s="125"/>
      <c r="O63" s="125"/>
      <c r="P63" s="125"/>
      <c r="Q63" s="272"/>
      <c r="R63" s="272"/>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row>
    <row r="64" spans="1:80" x14ac:dyDescent="0.3">
      <c r="A64" s="125"/>
      <c r="B64" s="125"/>
      <c r="C64" s="125"/>
      <c r="D64" s="125"/>
      <c r="E64" s="125"/>
      <c r="F64" s="125"/>
      <c r="G64" s="125"/>
      <c r="H64" s="125"/>
      <c r="I64" s="125"/>
      <c r="J64" s="125"/>
      <c r="K64" s="125"/>
      <c r="L64" s="125"/>
      <c r="M64" s="125"/>
      <c r="N64" s="125"/>
      <c r="O64" s="125"/>
      <c r="P64" s="125"/>
      <c r="Q64" s="272"/>
      <c r="R64" s="272"/>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row>
  </sheetData>
  <sheetProtection password="8BC3" sheet="1" objects="1" scenarios="1"/>
  <hyperlinks>
    <hyperlink ref="H4" location="Abandonment!A1" display="Abandon"/>
    <hyperlink ref="N4" location="'Federal Tax'!A1" display="Federal"/>
    <hyperlink ref="M4" location="'Provincial Tax'!A1" display="Provincial"/>
    <hyperlink ref="L4" location="Royalty!A1" display="Royalty"/>
    <hyperlink ref="I4" location="Operations!A1" display="Operating"/>
    <hyperlink ref="G4" location="Development!A1" display="Capital"/>
    <hyperlink ref="F4" location="Exploration!A1" display="Exploration"/>
    <hyperlink ref="G1" location="Guide" display="Guide"/>
    <hyperlink ref="G2" location="Input" display="Input"/>
  </hyperlinks>
  <pageMargins left="0.7" right="0.7" top="0.75" bottom="0.75" header="0.3" footer="0.3"/>
  <pageSetup paperSize="9" scale="52" fitToHeight="0" orientation="landscape" r:id="rId1"/>
  <headerFooter>
    <oddFooter>&amp;LNova Scotia Exploration Economics Model&amp;Rwww.indeva.com</oddFooter>
  </headerFooter>
  <colBreaks count="1" manualBreakCount="1">
    <brk id="2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79998168889431442"/>
    <pageSetUpPr fitToPage="1"/>
  </sheetPr>
  <dimension ref="A1:CH50"/>
  <sheetViews>
    <sheetView showZeros="0" zoomScale="70" zoomScaleNormal="70" workbookViewId="0">
      <pane xSplit="1" ySplit="9" topLeftCell="B10" activePane="bottomRight" state="frozen"/>
      <selection activeCell="D43" sqref="D43"/>
      <selection pane="topRight" activeCell="D43" sqref="D43"/>
      <selection pane="bottomLeft" activeCell="D43" sqref="D43"/>
      <selection pane="bottomRight" activeCell="B10" sqref="B10"/>
    </sheetView>
  </sheetViews>
  <sheetFormatPr defaultRowHeight="14.4" x14ac:dyDescent="0.3"/>
  <cols>
    <col min="1" max="1" width="16.44140625" customWidth="1"/>
    <col min="2" max="2" width="13.6640625" customWidth="1"/>
    <col min="3" max="3" width="12.33203125" bestFit="1" customWidth="1"/>
    <col min="4" max="4" width="12.33203125" customWidth="1"/>
    <col min="5" max="6" width="11.5546875" bestFit="1" customWidth="1"/>
    <col min="7" max="7" width="12.109375" customWidth="1"/>
    <col min="8" max="8" width="10.5546875" customWidth="1"/>
    <col min="9" max="9" width="11.109375" customWidth="1"/>
    <col min="10" max="10" width="11.6640625" customWidth="1"/>
    <col min="11" max="11" width="14" bestFit="1" customWidth="1"/>
    <col min="12" max="12" width="11.44140625" customWidth="1"/>
    <col min="13" max="14" width="11.33203125" bestFit="1" customWidth="1"/>
    <col min="15" max="15" width="11.5546875" bestFit="1" customWidth="1"/>
    <col min="16" max="16" width="14" bestFit="1" customWidth="1"/>
    <col min="29" max="30" width="9.33203125" bestFit="1" customWidth="1"/>
    <col min="33" max="33" width="10" bestFit="1" customWidth="1"/>
    <col min="34" max="34" width="66.88671875" bestFit="1" customWidth="1"/>
    <col min="35" max="35" width="37.109375" bestFit="1" customWidth="1"/>
    <col min="36" max="36" width="27.5546875" bestFit="1" customWidth="1"/>
    <col min="37" max="37" width="22.88671875" bestFit="1" customWidth="1"/>
    <col min="38" max="38" width="19.109375" bestFit="1" customWidth="1"/>
    <col min="39" max="39" width="15.6640625" bestFit="1" customWidth="1"/>
    <col min="40" max="56" width="13.88671875" bestFit="1" customWidth="1"/>
    <col min="57" max="85" width="9.33203125" bestFit="1" customWidth="1"/>
    <col min="86" max="86" width="10.33203125" bestFit="1" customWidth="1"/>
  </cols>
  <sheetData>
    <row r="1" spans="1:86" ht="18.75" x14ac:dyDescent="0.3">
      <c r="A1" s="143" t="str">
        <f>Input!B8</f>
        <v>Prospect X</v>
      </c>
      <c r="B1" s="262" t="str">
        <f>"Fully Risked"&amp;" Project Cash Flow ($Millions)"</f>
        <v>Fully Risked Project Cash Flow ($Millions)</v>
      </c>
      <c r="C1" s="93"/>
      <c r="D1" s="93"/>
      <c r="E1" s="93"/>
      <c r="F1" s="93"/>
      <c r="G1" s="144" t="s">
        <v>769</v>
      </c>
      <c r="H1" s="93"/>
      <c r="I1" s="93"/>
      <c r="J1" s="93"/>
      <c r="K1" s="93"/>
      <c r="L1" s="93"/>
      <c r="M1" s="93"/>
      <c r="N1" s="93"/>
      <c r="O1" s="93"/>
      <c r="P1" s="93"/>
      <c r="Q1" s="93"/>
      <c r="R1" s="93"/>
      <c r="S1" s="93"/>
      <c r="T1" s="93"/>
      <c r="U1" s="93"/>
      <c r="V1" s="93"/>
      <c r="W1" s="93"/>
      <c r="X1" s="93"/>
      <c r="Y1" s="93"/>
      <c r="Z1" s="93"/>
      <c r="AA1" s="93"/>
      <c r="AB1" s="93"/>
      <c r="AC1" s="94"/>
      <c r="AD1" s="94"/>
      <c r="AE1" s="94"/>
      <c r="AF1" s="94" t="s">
        <v>159</v>
      </c>
      <c r="AG1" s="274">
        <f ca="1">DATE(AG2,1,1)-Input!H13</f>
        <v>122</v>
      </c>
      <c r="AH1" s="94">
        <f ca="1">(DATE(AG2,1,1)-DATE(AG2-1,1,1))</f>
        <v>366</v>
      </c>
      <c r="AI1" s="94">
        <f ca="1">AG1/AH1</f>
        <v>0.33333333333333331</v>
      </c>
      <c r="AJ1" s="94" t="s">
        <v>420</v>
      </c>
      <c r="AK1" s="94">
        <f ca="1">IF(OR(Input!H13&lt;Input!B10,NOT(YEAR(Input!B10)=YEAR(Input!H13))),1,(DATE(AG2,1,1)-Input!H13)/(DATE(AG2,1,1)-Input!B10))</f>
        <v>0.66304347826086951</v>
      </c>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row>
    <row r="2" spans="1:86" ht="18.75" x14ac:dyDescent="0.25">
      <c r="A2" s="93"/>
      <c r="B2" s="93"/>
      <c r="C2" s="93"/>
      <c r="D2" s="93"/>
      <c r="E2" s="93"/>
      <c r="F2" s="93"/>
      <c r="G2" s="144" t="s">
        <v>143</v>
      </c>
      <c r="H2" s="93"/>
      <c r="I2" s="93"/>
      <c r="J2" s="93"/>
      <c r="K2" s="93"/>
      <c r="L2" s="93"/>
      <c r="M2" s="93"/>
      <c r="N2" s="93"/>
      <c r="O2" s="93"/>
      <c r="P2" s="93"/>
      <c r="Q2" s="93"/>
      <c r="R2" s="93"/>
      <c r="S2" s="93"/>
      <c r="T2" s="93"/>
      <c r="U2" s="93"/>
      <c r="V2" s="93"/>
      <c r="W2" s="93"/>
      <c r="X2" s="93"/>
      <c r="Y2" s="93"/>
      <c r="Z2" s="93"/>
      <c r="AA2" s="93"/>
      <c r="AB2" s="93"/>
      <c r="AC2" s="94"/>
      <c r="AD2" s="94"/>
      <c r="AE2" s="94"/>
      <c r="AF2" s="94" t="s">
        <v>421</v>
      </c>
      <c r="AG2" s="94">
        <f ca="1">YEAR(Input!H13)+1</f>
        <v>2013</v>
      </c>
      <c r="AH2" s="94"/>
      <c r="AI2" s="94"/>
      <c r="AJ2" s="94" t="s">
        <v>422</v>
      </c>
      <c r="AK2" s="94"/>
      <c r="AL2" s="275"/>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row>
    <row r="3" spans="1:86" ht="15" x14ac:dyDescent="0.25">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4"/>
      <c r="AD3" s="94"/>
      <c r="AE3" s="94"/>
      <c r="AF3" s="94"/>
      <c r="AG3" s="94"/>
      <c r="AH3" s="94"/>
      <c r="AI3" s="94"/>
      <c r="AJ3" s="94"/>
      <c r="AK3" s="94"/>
      <c r="AL3" s="275" t="s">
        <v>423</v>
      </c>
      <c r="AM3" s="94"/>
      <c r="AN3" s="94"/>
      <c r="AO3" s="94">
        <f t="array" aca="1" ref="AO3:CB3" ca="1">TRANSPOSE($AG$10:$AG$50)</f>
        <v>0.65259422580756277</v>
      </c>
      <c r="AP3" s="94">
        <f ca="1"/>
        <v>0.92364715252126117</v>
      </c>
      <c r="AQ3" s="94">
        <f ca="1"/>
        <v>0.8396792295647828</v>
      </c>
      <c r="AR3" s="94">
        <f ca="1"/>
        <v>0.76334475414980252</v>
      </c>
      <c r="AS3" s="94">
        <f ca="1"/>
        <v>0.69394977649982048</v>
      </c>
      <c r="AT3" s="94">
        <f ca="1"/>
        <v>0.63086343318165494</v>
      </c>
      <c r="AU3" s="94">
        <f ca="1"/>
        <v>0.57351221198332258</v>
      </c>
      <c r="AV3" s="94">
        <f ca="1"/>
        <v>0.52137473816665691</v>
      </c>
      <c r="AW3" s="94">
        <f ca="1"/>
        <v>0.47397703469696068</v>
      </c>
      <c r="AX3" s="94">
        <f ca="1"/>
        <v>0.43088821336087335</v>
      </c>
      <c r="AY3" s="94">
        <f ca="1"/>
        <v>0.39171655760079388</v>
      </c>
      <c r="AZ3" s="94">
        <f ca="1"/>
        <v>0.35610596145526718</v>
      </c>
      <c r="BA3" s="94">
        <f ca="1"/>
        <v>0.32373269223206103</v>
      </c>
      <c r="BB3" s="94">
        <f ca="1"/>
        <v>0.29430244748369178</v>
      </c>
      <c r="BC3" s="94">
        <f ca="1"/>
        <v>0.26754767953062897</v>
      </c>
      <c r="BD3" s="94">
        <f ca="1"/>
        <v>0.24322516320966261</v>
      </c>
      <c r="BE3" s="94">
        <f ca="1"/>
        <v>0.22111378473605692</v>
      </c>
      <c r="BF3" s="94">
        <f ca="1"/>
        <v>0.20101253157823357</v>
      </c>
      <c r="BG3" s="94">
        <f ca="1"/>
        <v>0.18273866507112141</v>
      </c>
      <c r="BH3" s="94">
        <f ca="1"/>
        <v>0.16612605915556494</v>
      </c>
      <c r="BI3" s="94">
        <f ca="1"/>
        <v>0.15102369014142264</v>
      </c>
      <c r="BJ3" s="94">
        <f ca="1"/>
        <v>0.13729426376492965</v>
      </c>
      <c r="BK3" s="94">
        <f ca="1"/>
        <v>0.12481296705902697</v>
      </c>
      <c r="BL3" s="94">
        <f ca="1"/>
        <v>0.11346633369002447</v>
      </c>
      <c r="BM3" s="94">
        <f ca="1"/>
        <v>0.10315121244547681</v>
      </c>
      <c r="BN3" s="94">
        <f ca="1"/>
        <v>9.3773829495888014E-2</v>
      </c>
      <c r="BO3" s="94">
        <f ca="1"/>
        <v>8.5248935905352721E-2</v>
      </c>
      <c r="BP3" s="94">
        <f ca="1"/>
        <v>7.7499032641229745E-2</v>
      </c>
      <c r="BQ3" s="94">
        <f ca="1"/>
        <v>7.0453666037481572E-2</v>
      </c>
      <c r="BR3" s="94">
        <f ca="1"/>
        <v>6.4048787306801427E-2</v>
      </c>
      <c r="BS3" s="94">
        <f ca="1"/>
        <v>5.8226170278910389E-2</v>
      </c>
      <c r="BT3" s="94">
        <f ca="1"/>
        <v>5.2932882071736707E-2</v>
      </c>
      <c r="BU3" s="94">
        <f ca="1"/>
        <v>0</v>
      </c>
      <c r="BV3" s="94">
        <f ca="1"/>
        <v>0</v>
      </c>
      <c r="BW3" s="94">
        <f ca="1"/>
        <v>0</v>
      </c>
      <c r="BX3" s="94">
        <f ca="1"/>
        <v>0</v>
      </c>
      <c r="BY3" s="94">
        <f ca="1"/>
        <v>0</v>
      </c>
      <c r="BZ3" s="94">
        <f ca="1"/>
        <v>0</v>
      </c>
      <c r="CA3" s="94">
        <f ca="1"/>
        <v>0</v>
      </c>
      <c r="CB3" s="94">
        <f ca="1"/>
        <v>0</v>
      </c>
      <c r="CC3" s="94"/>
      <c r="CD3" s="94"/>
      <c r="CE3" s="94"/>
      <c r="CF3" s="94"/>
      <c r="CG3" s="94"/>
      <c r="CH3" s="94"/>
    </row>
    <row r="4" spans="1:86" ht="15" x14ac:dyDescent="0.25">
      <c r="A4" s="158" t="s">
        <v>14</v>
      </c>
      <c r="B4" s="140" t="s">
        <v>340</v>
      </c>
      <c r="C4" s="140" t="s">
        <v>647</v>
      </c>
      <c r="D4" s="140" t="s">
        <v>1058</v>
      </c>
      <c r="E4" s="140" t="s">
        <v>13</v>
      </c>
      <c r="F4" s="264" t="s">
        <v>226</v>
      </c>
      <c r="G4" s="264" t="s">
        <v>17</v>
      </c>
      <c r="H4" s="264" t="s">
        <v>59</v>
      </c>
      <c r="I4" s="264" t="s">
        <v>18</v>
      </c>
      <c r="J4" s="140" t="s">
        <v>13</v>
      </c>
      <c r="K4" s="140" t="s">
        <v>137</v>
      </c>
      <c r="L4" s="264" t="s">
        <v>38</v>
      </c>
      <c r="M4" s="264" t="s">
        <v>411</v>
      </c>
      <c r="N4" s="264" t="s">
        <v>412</v>
      </c>
      <c r="O4" s="140" t="s">
        <v>13</v>
      </c>
      <c r="P4" s="140" t="s">
        <v>137</v>
      </c>
      <c r="Q4" s="223"/>
      <c r="R4" s="223"/>
      <c r="S4" s="223"/>
      <c r="T4" s="223"/>
      <c r="U4" s="223"/>
      <c r="V4" s="223"/>
      <c r="W4" s="223"/>
      <c r="X4" s="223"/>
      <c r="Y4" s="93"/>
      <c r="Z4" s="93"/>
      <c r="AA4" s="93"/>
      <c r="AB4" s="93"/>
      <c r="AC4" s="94" t="s">
        <v>424</v>
      </c>
      <c r="AD4" s="276" t="s">
        <v>13</v>
      </c>
      <c r="AE4" s="276"/>
      <c r="AF4" s="276"/>
      <c r="AG4" s="276" t="s">
        <v>425</v>
      </c>
      <c r="AH4" s="94"/>
      <c r="AI4" s="94">
        <f ca="1">MIN(AH9:CH9)</f>
        <v>0.28277983803255258</v>
      </c>
      <c r="AJ4" s="94">
        <f ca="1">IF(AI4=0,NA(),AI4)</f>
        <v>0.28277983803255258</v>
      </c>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row>
    <row r="5" spans="1:86" ht="15" x14ac:dyDescent="0.25">
      <c r="A5" s="162"/>
      <c r="B5" s="149" t="s">
        <v>15</v>
      </c>
      <c r="C5" s="149" t="s">
        <v>15</v>
      </c>
      <c r="D5" s="149" t="s">
        <v>15</v>
      </c>
      <c r="E5" s="149" t="s">
        <v>15</v>
      </c>
      <c r="F5" s="149" t="s">
        <v>42</v>
      </c>
      <c r="G5" s="149" t="s">
        <v>41</v>
      </c>
      <c r="H5" s="149" t="s">
        <v>42</v>
      </c>
      <c r="I5" s="149" t="s">
        <v>42</v>
      </c>
      <c r="J5" s="149" t="s">
        <v>41</v>
      </c>
      <c r="K5" s="149" t="s">
        <v>415</v>
      </c>
      <c r="L5" s="149"/>
      <c r="M5" s="149" t="s">
        <v>416</v>
      </c>
      <c r="N5" s="149" t="s">
        <v>416</v>
      </c>
      <c r="O5" s="149" t="s">
        <v>417</v>
      </c>
      <c r="P5" s="149" t="s">
        <v>418</v>
      </c>
      <c r="Q5" s="223"/>
      <c r="R5" s="223"/>
      <c r="S5" s="223"/>
      <c r="T5" s="223"/>
      <c r="U5" s="223"/>
      <c r="V5" s="223"/>
      <c r="W5" s="223"/>
      <c r="X5" s="223"/>
      <c r="Y5" s="93"/>
      <c r="Z5" s="93"/>
      <c r="AA5" s="93"/>
      <c r="AB5" s="93"/>
      <c r="AC5" s="94"/>
      <c r="AD5" s="276" t="s">
        <v>426</v>
      </c>
      <c r="AE5" s="276"/>
      <c r="AF5" s="276"/>
      <c r="AG5" s="276" t="s">
        <v>427</v>
      </c>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row>
    <row r="6" spans="1:86" ht="15" x14ac:dyDescent="0.25">
      <c r="A6" s="160"/>
      <c r="B6" s="140"/>
      <c r="C6" s="140"/>
      <c r="D6" s="140"/>
      <c r="E6" s="140"/>
      <c r="F6" s="140"/>
      <c r="G6" s="140"/>
      <c r="H6" s="140"/>
      <c r="I6" s="140"/>
      <c r="J6" s="140"/>
      <c r="K6" s="140"/>
      <c r="L6" s="140"/>
      <c r="M6" s="140"/>
      <c r="N6" s="140"/>
      <c r="O6" s="140"/>
      <c r="P6" s="140"/>
      <c r="Q6" s="223"/>
      <c r="R6" s="223"/>
      <c r="S6" s="223"/>
      <c r="T6" s="223"/>
      <c r="U6" s="223"/>
      <c r="V6" s="223"/>
      <c r="W6" s="223"/>
      <c r="X6" s="223"/>
      <c r="Y6" s="93"/>
      <c r="Z6" s="93"/>
      <c r="AA6" s="93"/>
      <c r="AB6" s="93"/>
      <c r="AC6" s="94"/>
      <c r="AD6" s="94"/>
      <c r="AE6" s="94"/>
      <c r="AF6" s="94"/>
      <c r="AG6" s="277">
        <f>Input!B3</f>
        <v>0.1</v>
      </c>
      <c r="AH6" s="277">
        <v>-0.99</v>
      </c>
      <c r="AI6" s="278">
        <v>-0.9</v>
      </c>
      <c r="AJ6" s="278">
        <f>AI6+0.1</f>
        <v>-0.8</v>
      </c>
      <c r="AK6" s="278">
        <f t="shared" ref="AK6:AR6" si="0">AJ6+0.1</f>
        <v>-0.70000000000000007</v>
      </c>
      <c r="AL6" s="278">
        <f t="shared" si="0"/>
        <v>-0.60000000000000009</v>
      </c>
      <c r="AM6" s="278">
        <f t="shared" si="0"/>
        <v>-0.50000000000000011</v>
      </c>
      <c r="AN6" s="278">
        <f t="shared" si="0"/>
        <v>-0.40000000000000013</v>
      </c>
      <c r="AO6" s="278">
        <f t="shared" si="0"/>
        <v>-0.30000000000000016</v>
      </c>
      <c r="AP6" s="278">
        <f t="shared" si="0"/>
        <v>-0.20000000000000015</v>
      </c>
      <c r="AQ6" s="278">
        <f t="shared" si="0"/>
        <v>-0.10000000000000014</v>
      </c>
      <c r="AR6" s="278">
        <f t="shared" si="0"/>
        <v>-1.3877787807814457E-16</v>
      </c>
      <c r="AS6" s="278">
        <f t="shared" ref="AS6:BB6" si="1">AR6+0.01</f>
        <v>9.9999999999998614E-3</v>
      </c>
      <c r="AT6" s="278">
        <f t="shared" si="1"/>
        <v>1.9999999999999862E-2</v>
      </c>
      <c r="AU6" s="278">
        <f t="shared" si="1"/>
        <v>2.999999999999986E-2</v>
      </c>
      <c r="AV6" s="278">
        <f t="shared" si="1"/>
        <v>3.9999999999999862E-2</v>
      </c>
      <c r="AW6" s="278">
        <f t="shared" si="1"/>
        <v>4.9999999999999864E-2</v>
      </c>
      <c r="AX6" s="278">
        <f t="shared" si="1"/>
        <v>5.9999999999999866E-2</v>
      </c>
      <c r="AY6" s="278">
        <f t="shared" si="1"/>
        <v>6.9999999999999868E-2</v>
      </c>
      <c r="AZ6" s="278">
        <f t="shared" si="1"/>
        <v>7.9999999999999863E-2</v>
      </c>
      <c r="BA6" s="278">
        <f t="shared" si="1"/>
        <v>8.9999999999999858E-2</v>
      </c>
      <c r="BB6" s="278">
        <f t="shared" si="1"/>
        <v>9.9999999999999853E-2</v>
      </c>
      <c r="BC6" s="278">
        <f t="shared" ref="BC6:BH6" si="2">BB6+0.05</f>
        <v>0.14999999999999986</v>
      </c>
      <c r="BD6" s="278">
        <f t="shared" si="2"/>
        <v>0.19999999999999984</v>
      </c>
      <c r="BE6" s="278">
        <f t="shared" si="2"/>
        <v>0.24999999999999983</v>
      </c>
      <c r="BF6" s="278">
        <f t="shared" si="2"/>
        <v>0.29999999999999982</v>
      </c>
      <c r="BG6" s="278">
        <f t="shared" si="2"/>
        <v>0.34999999999999981</v>
      </c>
      <c r="BH6" s="278">
        <f t="shared" si="2"/>
        <v>0.3999999999999998</v>
      </c>
      <c r="BI6" s="278">
        <f t="shared" ref="BI6:BX6" si="3">BH6+0.1</f>
        <v>0.49999999999999978</v>
      </c>
      <c r="BJ6" s="278">
        <f t="shared" si="3"/>
        <v>0.59999999999999976</v>
      </c>
      <c r="BK6" s="278">
        <f t="shared" si="3"/>
        <v>0.69999999999999973</v>
      </c>
      <c r="BL6" s="278">
        <f t="shared" si="3"/>
        <v>0.79999999999999971</v>
      </c>
      <c r="BM6" s="278">
        <f t="shared" si="3"/>
        <v>0.89999999999999969</v>
      </c>
      <c r="BN6" s="278">
        <f t="shared" si="3"/>
        <v>0.99999999999999967</v>
      </c>
      <c r="BO6" s="278">
        <f t="shared" si="3"/>
        <v>1.0999999999999996</v>
      </c>
      <c r="BP6" s="278">
        <f t="shared" si="3"/>
        <v>1.1999999999999997</v>
      </c>
      <c r="BQ6" s="278">
        <f t="shared" si="3"/>
        <v>1.2999999999999998</v>
      </c>
      <c r="BR6" s="278">
        <f t="shared" si="3"/>
        <v>1.4</v>
      </c>
      <c r="BS6" s="278">
        <f t="shared" si="3"/>
        <v>1.5</v>
      </c>
      <c r="BT6" s="278">
        <f t="shared" si="3"/>
        <v>1.6</v>
      </c>
      <c r="BU6" s="278">
        <f t="shared" si="3"/>
        <v>1.7000000000000002</v>
      </c>
      <c r="BV6" s="278">
        <f t="shared" si="3"/>
        <v>1.8000000000000003</v>
      </c>
      <c r="BW6" s="278">
        <f t="shared" si="3"/>
        <v>1.9000000000000004</v>
      </c>
      <c r="BX6" s="278">
        <f t="shared" si="3"/>
        <v>2.0000000000000004</v>
      </c>
      <c r="BY6" s="278">
        <f>BX6+0.5</f>
        <v>2.5000000000000004</v>
      </c>
      <c r="BZ6" s="278">
        <f>BY6+0.5</f>
        <v>3.0000000000000004</v>
      </c>
      <c r="CA6" s="278">
        <f>BZ6+0.5</f>
        <v>3.5000000000000004</v>
      </c>
      <c r="CB6" s="278">
        <f t="shared" ref="CB6:CH6" si="4">CA6+1</f>
        <v>4.5</v>
      </c>
      <c r="CC6" s="278">
        <f t="shared" si="4"/>
        <v>5.5</v>
      </c>
      <c r="CD6" s="278">
        <f t="shared" si="4"/>
        <v>6.5</v>
      </c>
      <c r="CE6" s="278">
        <f t="shared" si="4"/>
        <v>7.5</v>
      </c>
      <c r="CF6" s="278">
        <f t="shared" si="4"/>
        <v>8.5</v>
      </c>
      <c r="CG6" s="278">
        <f t="shared" si="4"/>
        <v>9.5</v>
      </c>
      <c r="CH6" s="278">
        <f t="shared" si="4"/>
        <v>10.5</v>
      </c>
    </row>
    <row r="7" spans="1:86" ht="15" x14ac:dyDescent="0.25">
      <c r="A7" s="135" t="s">
        <v>13</v>
      </c>
      <c r="B7" s="258">
        <f t="shared" ref="B7:P7" si="5">SUM(B10:B50)</f>
        <v>680.96355826629008</v>
      </c>
      <c r="C7" s="258">
        <f t="shared" si="5"/>
        <v>10913.47183428992</v>
      </c>
      <c r="D7" s="258"/>
      <c r="E7" s="258">
        <f t="shared" si="5"/>
        <v>11594.435392556217</v>
      </c>
      <c r="F7" s="258">
        <f t="shared" si="5"/>
        <v>135.10489700283836</v>
      </c>
      <c r="G7" s="258">
        <f t="shared" si="5"/>
        <v>1432.6392514364538</v>
      </c>
      <c r="H7" s="258">
        <f t="shared" si="5"/>
        <v>94.533110105071046</v>
      </c>
      <c r="I7" s="258">
        <f t="shared" si="5"/>
        <v>1891.5334388262995</v>
      </c>
      <c r="J7" s="258">
        <f t="shared" si="5"/>
        <v>3553.8106973706622</v>
      </c>
      <c r="K7" s="258">
        <f t="shared" si="5"/>
        <v>8040.6246951855446</v>
      </c>
      <c r="L7" s="258">
        <f t="shared" si="5"/>
        <v>2564.8951772646865</v>
      </c>
      <c r="M7" s="258">
        <f t="shared" si="5"/>
        <v>886.06877904461021</v>
      </c>
      <c r="N7" s="258">
        <f t="shared" si="5"/>
        <v>1051.3553887009718</v>
      </c>
      <c r="O7" s="258">
        <f t="shared" si="5"/>
        <v>4502.3193450102672</v>
      </c>
      <c r="P7" s="258">
        <f t="shared" si="5"/>
        <v>3538.3053501752775</v>
      </c>
      <c r="Q7" s="218"/>
      <c r="R7" s="218"/>
      <c r="S7" s="218"/>
      <c r="T7" s="218"/>
      <c r="U7" s="218"/>
      <c r="V7" s="218"/>
      <c r="W7" s="218"/>
      <c r="X7" s="218"/>
      <c r="Y7" s="93"/>
      <c r="Z7" s="93"/>
      <c r="AA7" s="93"/>
      <c r="AB7" s="93"/>
      <c r="AC7" s="279">
        <f>SUM(AC10:AC50)</f>
        <v>67.729090909089635</v>
      </c>
      <c r="AD7" s="279">
        <f>SUM(AD10:AD50)</f>
        <v>1567.7441484392921</v>
      </c>
      <c r="AE7" s="279"/>
      <c r="AF7" s="279" t="s">
        <v>428</v>
      </c>
      <c r="AG7" s="275">
        <f ca="1">$AK$1/(1+AG6)^IF(Input!$H$13&gt;Input!$B$10,$AI$1/2,($AG$1-(DATE($AG$2,1,1)-Input!$B$10)/2)/$AH$1)</f>
        <v>0.65259422580756277</v>
      </c>
      <c r="AH7" s="275">
        <f ca="1">$AK$1/(1+AH6)^IF(Input!$H$13&gt;Input!$B$10,$AI$1/2,($AG$1-(DATE($AG$2,1,1)-Input!$B$10)/2)/$AH$1)</f>
        <v>1.4284838705646181</v>
      </c>
      <c r="AI7" s="275">
        <f ca="1">$AK$1/(1+AI6)^IF(Input!$H$13&gt;Input!$B$10,$AI$1/2,($AG$1-(DATE($AG$2,1,1)-Input!$B$10)/2)/$AH$1)</f>
        <v>0.97321473179289386</v>
      </c>
      <c r="AJ7" s="275">
        <f ca="1">$AK$1/(1+AJ6)^IF(Input!$H$13&gt;Input!$B$10,$AI$1/2,($AG$1-(DATE($AG$2,1,1)-Input!$B$10)/2)/$AH$1)</f>
        <v>0.86703575702958324</v>
      </c>
      <c r="AK7" s="275">
        <f ca="1">$AK$1/(1+AK6)^IF(Input!$H$13&gt;Input!$B$10,$AI$1/2,($AG$1-(DATE($AG$2,1,1)-Input!$B$10)/2)/$AH$1)</f>
        <v>0.81037953541055352</v>
      </c>
      <c r="AL7" s="275">
        <f ca="1">$AK$1/(1+AL6)^IF(Input!$H$13&gt;Input!$B$10,$AI$1/2,($AG$1-(DATE($AG$2,1,1)-Input!$B$10)/2)/$AH$1)</f>
        <v>0.77244104451949447</v>
      </c>
      <c r="AM7" s="275">
        <f ca="1">$AK$1/(1+AM6)^IF(Input!$H$13&gt;Input!$B$10,$AI$1/2,($AG$1-(DATE($AG$2,1,1)-Input!$B$10)/2)/$AH$1)</f>
        <v>0.74424114072686687</v>
      </c>
      <c r="AN7" s="275">
        <f ca="1">$AK$1/(1+AN6)^IF(Input!$H$13&gt;Input!$B$10,$AI$1/2,($AG$1-(DATE($AG$2,1,1)-Input!$B$10)/2)/$AH$1)</f>
        <v>0.72196608930442585</v>
      </c>
      <c r="AO7" s="275">
        <f ca="1">$AK$1/(1+AO6)^IF(Input!$H$13&gt;Input!$B$10,$AI$1/2,($AG$1-(DATE($AG$2,1,1)-Input!$B$10)/2)/$AH$1)</f>
        <v>0.70365374107326462</v>
      </c>
      <c r="AP7" s="275">
        <f ca="1">$AK$1/(1+AP6)^IF(Input!$H$13&gt;Input!$B$10,$AI$1/2,($AG$1-(DATE($AG$2,1,1)-Input!$B$10)/2)/$AH$1)</f>
        <v>0.68816673640140236</v>
      </c>
      <c r="AQ7" s="275">
        <f ca="1">$AK$1/(1+AQ6)^IF(Input!$H$13&gt;Input!$B$10,$AI$1/2,($AG$1-(DATE($AG$2,1,1)-Input!$B$10)/2)/$AH$1)</f>
        <v>0.67478940665273202</v>
      </c>
      <c r="AR7" s="275">
        <f ca="1">$AK$1/(1+AR6)^IF(Input!$H$13&gt;Input!$B$10,$AI$1/2,($AG$1-(DATE($AG$2,1,1)-Input!$B$10)/2)/$AH$1)</f>
        <v>0.66304347826086951</v>
      </c>
      <c r="AS7" s="275">
        <f ca="1">$AK$1/(1+AS6)^IF(Input!$H$13&gt;Input!$B$10,$AI$1/2,($AG$1-(DATE($AG$2,1,1)-Input!$B$10)/2)/$AH$1)</f>
        <v>0.66194480586237192</v>
      </c>
      <c r="AT7" s="275">
        <f ca="1">$AK$1/(1+AT6)^IF(Input!$H$13&gt;Input!$B$10,$AI$1/2,($AG$1-(DATE($AG$2,1,1)-Input!$B$10)/2)/$AH$1)</f>
        <v>0.66085875170764741</v>
      </c>
      <c r="AU7" s="275">
        <f ca="1">$AK$1/(1+AU6)^IF(Input!$H$13&gt;Input!$B$10,$AI$1/2,($AG$1-(DATE($AG$2,1,1)-Input!$B$10)/2)/$AH$1)</f>
        <v>0.65978504928063786</v>
      </c>
      <c r="AV7" s="275">
        <f ca="1">$AK$1/(1+AV6)^IF(Input!$H$13&gt;Input!$B$10,$AI$1/2,($AG$1-(DATE($AG$2,1,1)-Input!$B$10)/2)/$AH$1)</f>
        <v>0.65872344021322327</v>
      </c>
      <c r="AW7" s="275">
        <f ca="1">$AK$1/(1+AW6)^IF(Input!$H$13&gt;Input!$B$10,$AI$1/2,($AG$1-(DATE($AG$2,1,1)-Input!$B$10)/2)/$AH$1)</f>
        <v>0.65767367396059306</v>
      </c>
      <c r="AX7" s="275">
        <f ca="1">$AK$1/(1+AX6)^IF(Input!$H$13&gt;Input!$B$10,$AI$1/2,($AG$1-(DATE($AG$2,1,1)-Input!$B$10)/2)/$AH$1)</f>
        <v>0.65663550749250088</v>
      </c>
      <c r="AY7" s="275">
        <f ca="1">$AK$1/(1+AY6)^IF(Input!$H$13&gt;Input!$B$10,$AI$1/2,($AG$1-(DATE($AG$2,1,1)-Input!$B$10)/2)/$AH$1)</f>
        <v>0.65560870499948842</v>
      </c>
      <c r="AZ7" s="275">
        <f ca="1">$AK$1/(1+AZ6)^IF(Input!$H$13&gt;Input!$B$10,$AI$1/2,($AG$1-(DATE($AG$2,1,1)-Input!$B$10)/2)/$AH$1)</f>
        <v>0.65459303761321896</v>
      </c>
      <c r="BA7" s="275">
        <f ca="1">$AK$1/(1+BA6)^IF(Input!$H$13&gt;Input!$B$10,$AI$1/2,($AG$1-(DATE($AG$2,1,1)-Input!$B$10)/2)/$AH$1)</f>
        <v>0.65358828314011586</v>
      </c>
      <c r="BB7" s="275">
        <f ca="1">$AK$1/(1+BB6)^IF(Input!$H$13&gt;Input!$B$10,$AI$1/2,($AG$1-(DATE($AG$2,1,1)-Input!$B$10)/2)/$AH$1)</f>
        <v>0.65259422580756277</v>
      </c>
      <c r="BC7" s="275">
        <f ca="1">$AK$1/(1+BC6)^IF(Input!$H$13&gt;Input!$B$10,$AI$1/2,($AG$1-(DATE($AG$2,1,1)-Input!$B$10)/2)/$AH$1)</f>
        <v>0.64777726411324044</v>
      </c>
      <c r="BD7" s="275">
        <f ca="1">$AK$1/(1+BD6)^IF(Input!$H$13&gt;Input!$B$10,$AI$1/2,($AG$1-(DATE($AG$2,1,1)-Input!$B$10)/2)/$AH$1)</f>
        <v>0.64319866350210675</v>
      </c>
      <c r="BE7" s="275">
        <f ca="1">$AK$1/(1+BE6)^IF(Input!$H$13&gt;Input!$B$10,$AI$1/2,($AG$1-(DATE($AG$2,1,1)-Input!$B$10)/2)/$AH$1)</f>
        <v>0.63883740786889953</v>
      </c>
      <c r="BF7" s="275">
        <f ca="1">$AK$1/(1+BF6)^IF(Input!$H$13&gt;Input!$B$10,$AI$1/2,($AG$1-(DATE($AG$2,1,1)-Input!$B$10)/2)/$AH$1)</f>
        <v>0.63467508367940273</v>
      </c>
      <c r="BG7" s="275">
        <f ca="1">$AK$1/(1+BG6)^IF(Input!$H$13&gt;Input!$B$10,$AI$1/2,($AG$1-(DATE($AG$2,1,1)-Input!$B$10)/2)/$AH$1)</f>
        <v>0.63069547181840857</v>
      </c>
      <c r="BH7" s="275">
        <f ca="1">$AK$1/(1+BH6)^IF(Input!$H$13&gt;Input!$B$10,$AI$1/2,($AG$1-(DATE($AG$2,1,1)-Input!$B$10)/2)/$AH$1)</f>
        <v>0.62688421593682564</v>
      </c>
      <c r="BI7" s="275">
        <f ca="1">$AK$1/(1+BI6)^IF(Input!$H$13&gt;Input!$B$10,$AI$1/2,($AG$1-(DATE($AG$2,1,1)-Input!$B$10)/2)/$AH$1)</f>
        <v>0.61971707800247922</v>
      </c>
      <c r="BJ7" s="275">
        <f ca="1">$AK$1/(1+BJ6)^IF(Input!$H$13&gt;Input!$B$10,$AI$1/2,($AG$1-(DATE($AG$2,1,1)-Input!$B$10)/2)/$AH$1)</f>
        <v>0.61308686332683004</v>
      </c>
      <c r="BK7" s="275">
        <f ca="1">$AK$1/(1+BK6)^IF(Input!$H$13&gt;Input!$B$10,$AI$1/2,($AG$1-(DATE($AG$2,1,1)-Input!$B$10)/2)/$AH$1)</f>
        <v>0.60692336089294041</v>
      </c>
      <c r="BL7" s="275">
        <f ca="1">$AK$1/(1+BL6)^IF(Input!$H$13&gt;Input!$B$10,$AI$1/2,($AG$1-(DATE($AG$2,1,1)-Input!$B$10)/2)/$AH$1)</f>
        <v>0.60116901740159923</v>
      </c>
      <c r="BM7" s="275">
        <f ca="1">$AK$1/(1+BM6)^IF(Input!$H$13&gt;Input!$B$10,$AI$1/2,($AG$1-(DATE($AG$2,1,1)-Input!$B$10)/2)/$AH$1)</f>
        <v>0.59577609587048486</v>
      </c>
      <c r="BN7" s="275">
        <f ca="1">$AK$1/(1+BN6)^IF(Input!$H$13&gt;Input!$B$10,$AI$1/2,($AG$1-(DATE($AG$2,1,1)-Input!$B$10)/2)/$AH$1)</f>
        <v>0.59070458485392052</v>
      </c>
      <c r="BO7" s="275">
        <f ca="1">$AK$1/(1+BO6)^IF(Input!$H$13&gt;Input!$B$10,$AI$1/2,($AG$1-(DATE($AG$2,1,1)-Input!$B$10)/2)/$AH$1)</f>
        <v>0.58592063308613984</v>
      </c>
      <c r="BP7" s="275">
        <f ca="1">$AK$1/(1+BP6)^IF(Input!$H$13&gt;Input!$B$10,$AI$1/2,($AG$1-(DATE($AG$2,1,1)-Input!$B$10)/2)/$AH$1)</f>
        <v>0.58139535923774477</v>
      </c>
      <c r="BQ7" s="275">
        <f ca="1">$AK$1/(1+BQ6)^IF(Input!$H$13&gt;Input!$B$10,$AI$1/2,($AG$1-(DATE($AG$2,1,1)-Input!$B$10)/2)/$AH$1)</f>
        <v>0.57710393423894191</v>
      </c>
      <c r="BR7" s="275">
        <f ca="1">$AK$1/(1+BR6)^IF(Input!$H$13&gt;Input!$B$10,$AI$1/2,($AG$1-(DATE($AG$2,1,1)-Input!$B$10)/2)/$AH$1)</f>
        <v>0.57302486482360637</v>
      </c>
      <c r="BS7" s="275">
        <f ca="1">$AK$1/(1+BS6)^IF(Input!$H$13&gt;Input!$B$10,$AI$1/2,($AG$1-(DATE($AG$2,1,1)-Input!$B$10)/2)/$AH$1)</f>
        <v>0.56913942777049975</v>
      </c>
      <c r="BT7" s="275">
        <f ca="1">$AK$1/(1+BT6)^IF(Input!$H$13&gt;Input!$B$10,$AI$1/2,($AG$1-(DATE($AG$2,1,1)-Input!$B$10)/2)/$AH$1)</f>
        <v>0.56543121848559252</v>
      </c>
      <c r="BU7" s="275">
        <f ca="1">$AK$1/(1+BU6)^IF(Input!$H$13&gt;Input!$B$10,$AI$1/2,($AG$1-(DATE($AG$2,1,1)-Input!$B$10)/2)/$AH$1)</f>
        <v>0.56188578737993666</v>
      </c>
      <c r="BV7" s="275">
        <f ca="1">$AK$1/(1+BV6)^IF(Input!$H$13&gt;Input!$B$10,$AI$1/2,($AG$1-(DATE($AG$2,1,1)-Input!$B$10)/2)/$AH$1)</f>
        <v>0.55849034440052969</v>
      </c>
      <c r="BW7" s="275">
        <f ca="1">$AK$1/(1+BW6)^IF(Input!$H$13&gt;Input!$B$10,$AI$1/2,($AG$1-(DATE($AG$2,1,1)-Input!$B$10)/2)/$AH$1)</f>
        <v>0.55523351700050694</v>
      </c>
      <c r="BX7" s="275">
        <f ca="1">$AK$1/(1+BX6)^IF(Input!$H$13&gt;Input!$B$10,$AI$1/2,($AG$1-(DATE($AG$2,1,1)-Input!$B$10)/2)/$AH$1)</f>
        <v>0.55210515040208541</v>
      </c>
      <c r="BY7" s="275">
        <f ca="1">$AK$1/(1+BY6)^IF(Input!$H$13&gt;Input!$B$10,$AI$1/2,($AG$1-(DATE($AG$2,1,1)-Input!$B$10)/2)/$AH$1)</f>
        <v>0.53810124921592106</v>
      </c>
      <c r="BZ7" s="275">
        <f ca="1">$AK$1/(1+BZ6)^IF(Input!$H$13&gt;Input!$B$10,$AI$1/2,($AG$1-(DATE($AG$2,1,1)-Input!$B$10)/2)/$AH$1)</f>
        <v>0.52625795744597914</v>
      </c>
      <c r="CA7" s="275">
        <f ca="1">$AK$1/(1+CA6)^IF(Input!$H$13&gt;Input!$B$10,$AI$1/2,($AG$1-(DATE($AG$2,1,1)-Input!$B$10)/2)/$AH$1)</f>
        <v>0.51602798575855047</v>
      </c>
      <c r="CB7" s="275">
        <f ca="1">$AK$1/(1+CB6)^IF(Input!$H$13&gt;Input!$B$10,$AI$1/2,($AG$1-(DATE($AG$2,1,1)-Input!$B$10)/2)/$AH$1)</f>
        <v>0.49905478737671261</v>
      </c>
      <c r="CC7" s="275">
        <f ca="1">$AK$1/(1+CC6)^IF(Input!$H$13&gt;Input!$B$10,$AI$1/2,($AG$1-(DATE($AG$2,1,1)-Input!$B$10)/2)/$AH$1)</f>
        <v>0.48535158052765448</v>
      </c>
      <c r="CD7" s="275">
        <f ca="1">$AK$1/(1+CD6)^IF(Input!$H$13&gt;Input!$B$10,$AI$1/2,($AG$1-(DATE($AG$2,1,1)-Input!$B$10)/2)/$AH$1)</f>
        <v>0.47391282724503198</v>
      </c>
      <c r="CE7" s="275">
        <f ca="1">$AK$1/(1+CE6)^IF(Input!$H$13&gt;Input!$B$10,$AI$1/2,($AG$1-(DATE($AG$2,1,1)-Input!$B$10)/2)/$AH$1)</f>
        <v>0.46412915843619784</v>
      </c>
      <c r="CF7" s="275">
        <f ca="1">$AK$1/(1+CF6)^IF(Input!$H$13&gt;Input!$B$10,$AI$1/2,($AG$1-(DATE($AG$2,1,1)-Input!$B$10)/2)/$AH$1)</f>
        <v>0.45560457186216047</v>
      </c>
      <c r="CG7" s="275">
        <f ca="1">$AK$1/(1+CG6)^IF(Input!$H$13&gt;Input!$B$10,$AI$1/2,($AG$1-(DATE($AG$2,1,1)-Input!$B$10)/2)/$AH$1)</f>
        <v>0.4480678580975635</v>
      </c>
      <c r="CH7" s="275">
        <f ca="1">$AK$1/(1+CH6)^IF(Input!$H$13&gt;Input!$B$10,$AI$1/2,($AG$1-(DATE($AG$2,1,1)-Input!$B$10)/2)/$AH$1)</f>
        <v>0.441325512556415</v>
      </c>
    </row>
    <row r="8" spans="1:86" ht="15" x14ac:dyDescent="0.25">
      <c r="A8" s="135" t="str">
        <f>"Discounted @ "&amp;FIXED(Input!B3*100,1)&amp;" %"</f>
        <v>Discounted @ 10.0 %</v>
      </c>
      <c r="B8" s="258">
        <f t="shared" ref="B8:P8" ca="1" si="6">SUMPRODUCT(B10:B50,$AG$10:$AG$50)</f>
        <v>214.41345707506051</v>
      </c>
      <c r="C8" s="258">
        <f t="shared" ca="1" si="6"/>
        <v>3436.3002194110823</v>
      </c>
      <c r="D8" s="258"/>
      <c r="E8" s="258">
        <f t="shared" ca="1" si="6"/>
        <v>3650.7136764861416</v>
      </c>
      <c r="F8" s="258">
        <f t="shared" ca="1" si="6"/>
        <v>104.51411264499268</v>
      </c>
      <c r="G8" s="258">
        <f t="shared" ca="1" si="6"/>
        <v>835.4680822234094</v>
      </c>
      <c r="H8" s="258">
        <f t="shared" ca="1" si="6"/>
        <v>5.0039099690662274</v>
      </c>
      <c r="I8" s="258">
        <f t="shared" ca="1" si="6"/>
        <v>454.80117265676677</v>
      </c>
      <c r="J8" s="258">
        <f t="shared" ca="1" si="6"/>
        <v>1399.7872774942348</v>
      </c>
      <c r="K8" s="258">
        <f t="shared" ca="1" si="6"/>
        <v>2250.9263989919077</v>
      </c>
      <c r="L8" s="258">
        <f t="shared" ca="1" si="6"/>
        <v>736.11609547995761</v>
      </c>
      <c r="M8" s="258">
        <f t="shared" ca="1" si="6"/>
        <v>283.94543719149959</v>
      </c>
      <c r="N8" s="258">
        <f t="shared" ca="1" si="6"/>
        <v>349.92450667283578</v>
      </c>
      <c r="O8" s="258">
        <f t="shared" ca="1" si="6"/>
        <v>1369.9860393442921</v>
      </c>
      <c r="P8" s="258">
        <f t="shared" ca="1" si="6"/>
        <v>880.9403596476144</v>
      </c>
      <c r="Q8" s="218"/>
      <c r="R8" s="218"/>
      <c r="S8" s="218"/>
      <c r="T8" s="218"/>
      <c r="U8" s="218"/>
      <c r="V8" s="218"/>
      <c r="W8" s="218"/>
      <c r="X8" s="218"/>
      <c r="Y8" s="174"/>
      <c r="Z8" s="174"/>
      <c r="AA8" s="174"/>
      <c r="AB8" s="174"/>
      <c r="AC8" s="279">
        <f ca="1">SUMPRODUCT(AC10:AC50,$AG$10:$AG$50)</f>
        <v>44.199613646467391</v>
      </c>
      <c r="AD8" s="279">
        <f ca="1">SUMPRODUCT(AD10:AD50,$AG$10:$AG$50)</f>
        <v>939.98219486840208</v>
      </c>
      <c r="AE8" s="279"/>
      <c r="AF8" s="279"/>
      <c r="AG8" s="94"/>
      <c r="AH8" s="94"/>
      <c r="AI8" s="94">
        <f t="shared" ref="AI8:CH8" ca="1" si="7">SUMPRODUCT(AI10:AI49,$P$10:$P$49)</f>
        <v>-3.0843649429236642E+32</v>
      </c>
      <c r="AJ8" s="94">
        <f t="shared" ca="1" si="7"/>
        <v>-1.595469755065081E+23</v>
      </c>
      <c r="AK8" s="94">
        <f t="shared" ca="1" si="7"/>
        <v>-5.801123573691305E+17</v>
      </c>
      <c r="AL8" s="94">
        <f t="shared" ca="1" si="7"/>
        <v>-77676759362404.141</v>
      </c>
      <c r="AM8" s="94">
        <f t="shared" ca="1" si="7"/>
        <v>-71556149077.18338</v>
      </c>
      <c r="AN8" s="94">
        <f t="shared" ca="1" si="7"/>
        <v>-189267489.84458983</v>
      </c>
      <c r="AO8" s="94">
        <f t="shared" ca="1" si="7"/>
        <v>75207.606386423111</v>
      </c>
      <c r="AP8" s="94">
        <f t="shared" ca="1" si="7"/>
        <v>108039.85900290622</v>
      </c>
      <c r="AQ8" s="94">
        <f t="shared" ca="1" si="7"/>
        <v>16951.158372633712</v>
      </c>
      <c r="AR8" s="94">
        <f t="shared" ca="1" si="7"/>
        <v>3556.5830386812891</v>
      </c>
      <c r="AS8" s="94">
        <f t="shared" ca="1" si="7"/>
        <v>3081.6056743037307</v>
      </c>
      <c r="AT8" s="94">
        <f t="shared" ca="1" si="7"/>
        <v>2674.1156499985323</v>
      </c>
      <c r="AU8" s="94">
        <f t="shared" ca="1" si="7"/>
        <v>2323.4953044205135</v>
      </c>
      <c r="AV8" s="94">
        <f t="shared" ca="1" si="7"/>
        <v>2020.9579900184649</v>
      </c>
      <c r="AW8" s="94">
        <f t="shared" ca="1" si="7"/>
        <v>1759.2079161009801</v>
      </c>
      <c r="AX8" s="94">
        <f t="shared" ca="1" si="7"/>
        <v>1532.1668816937299</v>
      </c>
      <c r="AY8" s="94">
        <f t="shared" ca="1" si="7"/>
        <v>1334.7542019683576</v>
      </c>
      <c r="AZ8" s="94">
        <f t="shared" ca="1" si="7"/>
        <v>1162.7090054222133</v>
      </c>
      <c r="BA8" s="94">
        <f t="shared" ca="1" si="7"/>
        <v>1012.4463459153989</v>
      </c>
      <c r="BB8" s="94">
        <f t="shared" ca="1" si="7"/>
        <v>880.94035964761713</v>
      </c>
      <c r="BC8" s="94">
        <f t="shared" ca="1" si="7"/>
        <v>427.34859154072637</v>
      </c>
      <c r="BD8" s="94">
        <f t="shared" ca="1" si="7"/>
        <v>183.55591131612479</v>
      </c>
      <c r="BE8" s="94">
        <f t="shared" ca="1" si="7"/>
        <v>49.13920188067879</v>
      </c>
      <c r="BF8" s="94">
        <f t="shared" ca="1" si="7"/>
        <v>-25.814191470258425</v>
      </c>
      <c r="BG8" s="94">
        <f t="shared" ca="1" si="7"/>
        <v>-67.40028193527759</v>
      </c>
      <c r="BH8" s="94">
        <f t="shared" ca="1" si="7"/>
        <v>-89.833517970219944</v>
      </c>
      <c r="BI8" s="94">
        <f t="shared" ca="1" si="7"/>
        <v>-105.86408182285619</v>
      </c>
      <c r="BJ8" s="94">
        <f t="shared" ca="1" si="7"/>
        <v>-105.56386310929405</v>
      </c>
      <c r="BK8" s="94">
        <f t="shared" ca="1" si="7"/>
        <v>-100.07391013035586</v>
      </c>
      <c r="BL8" s="94">
        <f t="shared" ca="1" si="7"/>
        <v>-93.442601285177474</v>
      </c>
      <c r="BM8" s="94">
        <f t="shared" ca="1" si="7"/>
        <v>-87.104117937684421</v>
      </c>
      <c r="BN8" s="94">
        <f t="shared" ca="1" si="7"/>
        <v>-81.498152373525116</v>
      </c>
      <c r="BO8" s="94">
        <f t="shared" ca="1" si="7"/>
        <v>-76.688275641161653</v>
      </c>
      <c r="BP8" s="94">
        <f t="shared" ca="1" si="7"/>
        <v>-72.605346767571874</v>
      </c>
      <c r="BQ8" s="94">
        <f t="shared" ca="1" si="7"/>
        <v>-69.143745114621879</v>
      </c>
      <c r="BR8" s="94">
        <f t="shared" ca="1" si="7"/>
        <v>-66.198113315161947</v>
      </c>
      <c r="BS8" s="94">
        <f t="shared" ca="1" si="7"/>
        <v>-63.675811325197664</v>
      </c>
      <c r="BT8" s="94">
        <f t="shared" ca="1" si="7"/>
        <v>-61.499614584570232</v>
      </c>
      <c r="BU8" s="94">
        <f t="shared" ca="1" si="7"/>
        <v>-59.606737036467905</v>
      </c>
      <c r="BV8" s="94">
        <f t="shared" ca="1" si="7"/>
        <v>-57.946709069761994</v>
      </c>
      <c r="BW8" s="94">
        <f t="shared" ca="1" si="7"/>
        <v>-56.47912591664538</v>
      </c>
      <c r="BX8" s="94">
        <f t="shared" ca="1" si="7"/>
        <v>-55.171635334611054</v>
      </c>
      <c r="BY8" s="94">
        <f t="shared" ca="1" si="7"/>
        <v>-50.281788945695446</v>
      </c>
      <c r="BZ8" s="94">
        <f t="shared" ca="1" si="7"/>
        <v>-47.015099413985737</v>
      </c>
      <c r="CA8" s="94">
        <f t="shared" ca="1" si="7"/>
        <v>-44.609337168896616</v>
      </c>
      <c r="CB8" s="94">
        <f t="shared" ca="1" si="7"/>
        <v>-41.183535442146258</v>
      </c>
      <c r="CC8" s="94">
        <f t="shared" ca="1" si="7"/>
        <v>-38.776985780235577</v>
      </c>
      <c r="CD8" s="94">
        <f t="shared" ca="1" si="7"/>
        <v>-36.949414383950753</v>
      </c>
      <c r="CE8" s="94">
        <f t="shared" ca="1" si="7"/>
        <v>-35.493499899245776</v>
      </c>
      <c r="CF8" s="94">
        <f t="shared" ca="1" si="7"/>
        <v>-34.294857637676486</v>
      </c>
      <c r="CG8" s="94">
        <f t="shared" ca="1" si="7"/>
        <v>-33.283744782018736</v>
      </c>
      <c r="CH8" s="94">
        <f t="shared" ca="1" si="7"/>
        <v>-32.414619285086999</v>
      </c>
    </row>
    <row r="9" spans="1:86" ht="15" x14ac:dyDescent="0.25">
      <c r="A9" s="93"/>
      <c r="B9" s="258"/>
      <c r="C9" s="258"/>
      <c r="D9" s="258"/>
      <c r="E9" s="258"/>
      <c r="F9" s="258"/>
      <c r="G9" s="258"/>
      <c r="H9" s="258"/>
      <c r="I9" s="258"/>
      <c r="J9" s="258"/>
      <c r="K9" s="258"/>
      <c r="L9" s="258"/>
      <c r="M9" s="258"/>
      <c r="N9" s="258"/>
      <c r="O9" s="258"/>
      <c r="P9" s="258"/>
      <c r="Q9" s="174"/>
      <c r="R9" s="174"/>
      <c r="S9" s="174"/>
      <c r="T9" s="174"/>
      <c r="U9" s="174"/>
      <c r="V9" s="174"/>
      <c r="W9" s="174"/>
      <c r="X9" s="174"/>
      <c r="Y9" s="174"/>
      <c r="Z9" s="174"/>
      <c r="AA9" s="174"/>
      <c r="AB9" s="174"/>
      <c r="AC9" s="280"/>
      <c r="AD9" s="280"/>
      <c r="AE9" s="280"/>
      <c r="AF9" s="280"/>
      <c r="AG9" s="281">
        <v>10000000000</v>
      </c>
      <c r="AH9" s="94">
        <f>IF(AG9&lt;10000000000,AG9,IF(AND(AH8&lt;0,AG8&gt;0),AG6+AG8/(AG8-AH8)*(AH6-AG6),10000000000))</f>
        <v>10000000000</v>
      </c>
      <c r="AI9" s="94">
        <f t="shared" ref="AI9:CH9" ca="1" si="8">IF(AH9&lt;10000000000,AH9,IF(AND(AI8&lt;0,AH8&gt;0),AH6+AH8/(AH8-AI8)*(AI6-AH6),10000000000))</f>
        <v>10000000000</v>
      </c>
      <c r="AJ9" s="94">
        <f t="shared" ca="1" si="8"/>
        <v>10000000000</v>
      </c>
      <c r="AK9" s="94">
        <f t="shared" ca="1" si="8"/>
        <v>10000000000</v>
      </c>
      <c r="AL9" s="94">
        <f t="shared" ca="1" si="8"/>
        <v>10000000000</v>
      </c>
      <c r="AM9" s="94">
        <f t="shared" ca="1" si="8"/>
        <v>10000000000</v>
      </c>
      <c r="AN9" s="94">
        <f t="shared" ca="1" si="8"/>
        <v>10000000000</v>
      </c>
      <c r="AO9" s="94">
        <f t="shared" ca="1" si="8"/>
        <v>10000000000</v>
      </c>
      <c r="AP9" s="94">
        <f t="shared" ca="1" si="8"/>
        <v>10000000000</v>
      </c>
      <c r="AQ9" s="94">
        <f t="shared" ca="1" si="8"/>
        <v>10000000000</v>
      </c>
      <c r="AR9" s="94">
        <f t="shared" ca="1" si="8"/>
        <v>10000000000</v>
      </c>
      <c r="AS9" s="94">
        <f t="shared" ca="1" si="8"/>
        <v>10000000000</v>
      </c>
      <c r="AT9" s="94">
        <f t="shared" ca="1" si="8"/>
        <v>10000000000</v>
      </c>
      <c r="AU9" s="94">
        <f t="shared" ca="1" si="8"/>
        <v>10000000000</v>
      </c>
      <c r="AV9" s="94">
        <f t="shared" ca="1" si="8"/>
        <v>10000000000</v>
      </c>
      <c r="AW9" s="94">
        <f t="shared" ca="1" si="8"/>
        <v>10000000000</v>
      </c>
      <c r="AX9" s="94">
        <f t="shared" ca="1" si="8"/>
        <v>10000000000</v>
      </c>
      <c r="AY9" s="94">
        <f t="shared" ca="1" si="8"/>
        <v>10000000000</v>
      </c>
      <c r="AZ9" s="94">
        <f t="shared" ca="1" si="8"/>
        <v>10000000000</v>
      </c>
      <c r="BA9" s="94">
        <f t="shared" ca="1" si="8"/>
        <v>10000000000</v>
      </c>
      <c r="BB9" s="94">
        <f t="shared" ca="1" si="8"/>
        <v>10000000000</v>
      </c>
      <c r="BC9" s="94">
        <f t="shared" ca="1" si="8"/>
        <v>10000000000</v>
      </c>
      <c r="BD9" s="94">
        <f t="shared" ca="1" si="8"/>
        <v>10000000000</v>
      </c>
      <c r="BE9" s="94">
        <f t="shared" ca="1" si="8"/>
        <v>10000000000</v>
      </c>
      <c r="BF9" s="94">
        <f t="shared" ca="1" si="8"/>
        <v>0.28277983803255258</v>
      </c>
      <c r="BG9" s="94">
        <f t="shared" ca="1" si="8"/>
        <v>0.28277983803255258</v>
      </c>
      <c r="BH9" s="94">
        <f t="shared" ca="1" si="8"/>
        <v>0.28277983803255258</v>
      </c>
      <c r="BI9" s="94">
        <f t="shared" ca="1" si="8"/>
        <v>0.28277983803255258</v>
      </c>
      <c r="BJ9" s="94">
        <f t="shared" ca="1" si="8"/>
        <v>0.28277983803255258</v>
      </c>
      <c r="BK9" s="94">
        <f t="shared" ca="1" si="8"/>
        <v>0.28277983803255258</v>
      </c>
      <c r="BL9" s="94">
        <f t="shared" ca="1" si="8"/>
        <v>0.28277983803255258</v>
      </c>
      <c r="BM9" s="94">
        <f t="shared" ca="1" si="8"/>
        <v>0.28277983803255258</v>
      </c>
      <c r="BN9" s="94">
        <f t="shared" ca="1" si="8"/>
        <v>0.28277983803255258</v>
      </c>
      <c r="BO9" s="94">
        <f t="shared" ca="1" si="8"/>
        <v>0.28277983803255258</v>
      </c>
      <c r="BP9" s="94">
        <f t="shared" ca="1" si="8"/>
        <v>0.28277983803255258</v>
      </c>
      <c r="BQ9" s="94">
        <f t="shared" ca="1" si="8"/>
        <v>0.28277983803255258</v>
      </c>
      <c r="BR9" s="94">
        <f t="shared" ca="1" si="8"/>
        <v>0.28277983803255258</v>
      </c>
      <c r="BS9" s="94">
        <f t="shared" ca="1" si="8"/>
        <v>0.28277983803255258</v>
      </c>
      <c r="BT9" s="94">
        <f t="shared" ca="1" si="8"/>
        <v>0.28277983803255258</v>
      </c>
      <c r="BU9" s="94">
        <f t="shared" ca="1" si="8"/>
        <v>0.28277983803255258</v>
      </c>
      <c r="BV9" s="94">
        <f t="shared" ca="1" si="8"/>
        <v>0.28277983803255258</v>
      </c>
      <c r="BW9" s="94">
        <f t="shared" ca="1" si="8"/>
        <v>0.28277983803255258</v>
      </c>
      <c r="BX9" s="94">
        <f t="shared" ca="1" si="8"/>
        <v>0.28277983803255258</v>
      </c>
      <c r="BY9" s="94">
        <f t="shared" ca="1" si="8"/>
        <v>0.28277983803255258</v>
      </c>
      <c r="BZ9" s="94">
        <f t="shared" ca="1" si="8"/>
        <v>0.28277983803255258</v>
      </c>
      <c r="CA9" s="94">
        <f t="shared" ca="1" si="8"/>
        <v>0.28277983803255258</v>
      </c>
      <c r="CB9" s="94">
        <f t="shared" ca="1" si="8"/>
        <v>0.28277983803255258</v>
      </c>
      <c r="CC9" s="94">
        <f t="shared" ca="1" si="8"/>
        <v>0.28277983803255258</v>
      </c>
      <c r="CD9" s="94">
        <f t="shared" ca="1" si="8"/>
        <v>0.28277983803255258</v>
      </c>
      <c r="CE9" s="94">
        <f t="shared" ca="1" si="8"/>
        <v>0.28277983803255258</v>
      </c>
      <c r="CF9" s="94">
        <f t="shared" ca="1" si="8"/>
        <v>0.28277983803255258</v>
      </c>
      <c r="CG9" s="94">
        <f t="shared" ca="1" si="8"/>
        <v>0.28277983803255258</v>
      </c>
      <c r="CH9" s="94">
        <f t="shared" ca="1" si="8"/>
        <v>0.28277983803255258</v>
      </c>
    </row>
    <row r="10" spans="1:86" ht="15" x14ac:dyDescent="0.25">
      <c r="A10" s="158">
        <f>'Success Cash Flow'!A10</f>
        <v>2012</v>
      </c>
      <c r="B10" s="256">
        <f>Revenue!S11</f>
        <v>0</v>
      </c>
      <c r="C10" s="256">
        <f>Revenue!T11</f>
        <v>0</v>
      </c>
      <c r="D10" s="256">
        <f>Revenue!U11</f>
        <v>0</v>
      </c>
      <c r="E10" s="256">
        <f>SUM(B10:D10)</f>
        <v>0</v>
      </c>
      <c r="F10" s="256">
        <f>Exploration!X35</f>
        <v>67.729090909089635</v>
      </c>
      <c r="G10" s="256">
        <f>Development!BX91</f>
        <v>0</v>
      </c>
      <c r="H10" s="256">
        <f>Abandonment!K16</f>
        <v>0</v>
      </c>
      <c r="I10" s="256">
        <f>Operations!P19</f>
        <v>0</v>
      </c>
      <c r="J10" s="256">
        <f t="shared" ref="J10:J49" si="9">SUM(F10:I10)</f>
        <v>67.729090909089635</v>
      </c>
      <c r="K10" s="256">
        <f t="shared" ref="K10:K49" si="10">E10-J10</f>
        <v>-67.729090909089635</v>
      </c>
      <c r="L10" s="256">
        <f>Royalty!AM12*Development!$BP$88</f>
        <v>0</v>
      </c>
      <c r="M10" s="256">
        <f>'Provincial Tax'!X10*Development!$BP$88</f>
        <v>-2.8446218181817642</v>
      </c>
      <c r="N10" s="256">
        <f>'Federal Tax'!X11*Development!$BP$88</f>
        <v>-3.9326896636362894</v>
      </c>
      <c r="O10" s="256">
        <f t="shared" ref="O10:O49" si="11">SUM(L10:N10)</f>
        <v>-6.7773114818180531</v>
      </c>
      <c r="P10" s="256">
        <f t="shared" ref="P10:P49" si="12">K10-O10</f>
        <v>-60.951779427271582</v>
      </c>
      <c r="Q10" s="218"/>
      <c r="R10" s="218"/>
      <c r="S10" s="218"/>
      <c r="T10" s="218"/>
      <c r="U10" s="218"/>
      <c r="V10" s="218"/>
      <c r="W10" s="218"/>
      <c r="X10" s="218"/>
      <c r="Y10" s="93"/>
      <c r="Z10" s="93"/>
      <c r="AA10" s="93"/>
      <c r="AB10" s="269"/>
      <c r="AC10" s="279">
        <f>IF(Thresholds!$E$1=Lists!$A$8,Exploration!U35,IF(Thresholds!$E$1=Lists!$A$9,Exploration!V35,IF(Thresholds!$E$1=Lists!$A$10,Exploration!W35,IF(Thresholds!$E$1=Lists!$A$11,Development!AV91,Development!BE91-Development!AV91))))</f>
        <v>67.729090909089635</v>
      </c>
      <c r="AD10" s="279">
        <f t="shared" ref="AD10:AD49" si="13">F10+G10</f>
        <v>67.729090909089635</v>
      </c>
      <c r="AE10" s="279"/>
      <c r="AF10" s="279"/>
      <c r="AG10" s="275">
        <f t="shared" ref="AG10:AV25" ca="1" si="14">IF(OR($A10="",$A10&lt;$AG$2-1),0,IF($A10=$AG$2-1,AG$7,1/(1+AG$6)^($A10-$AG$2+0.5+$AI$1)))</f>
        <v>0.65259422580756277</v>
      </c>
      <c r="AH10" s="275">
        <f t="shared" ca="1" si="14"/>
        <v>1.4284838705646181</v>
      </c>
      <c r="AI10" s="275">
        <f t="shared" ca="1" si="14"/>
        <v>0.97321473179289386</v>
      </c>
      <c r="AJ10" s="275">
        <f t="shared" ca="1" si="14"/>
        <v>0.86703575702958324</v>
      </c>
      <c r="AK10" s="275">
        <f t="shared" ca="1" si="14"/>
        <v>0.81037953541055352</v>
      </c>
      <c r="AL10" s="275">
        <f t="shared" ca="1" si="14"/>
        <v>0.77244104451949447</v>
      </c>
      <c r="AM10" s="275">
        <f t="shared" ca="1" si="14"/>
        <v>0.74424114072686687</v>
      </c>
      <c r="AN10" s="275">
        <f t="shared" ca="1" si="14"/>
        <v>0.72196608930442585</v>
      </c>
      <c r="AO10" s="275">
        <f t="shared" ca="1" si="14"/>
        <v>0.70365374107326462</v>
      </c>
      <c r="AP10" s="275">
        <f t="shared" ca="1" si="14"/>
        <v>0.68816673640140236</v>
      </c>
      <c r="AQ10" s="275">
        <f t="shared" ca="1" si="14"/>
        <v>0.67478940665273202</v>
      </c>
      <c r="AR10" s="275">
        <f t="shared" ca="1" si="14"/>
        <v>0.66304347826086951</v>
      </c>
      <c r="AS10" s="275">
        <f t="shared" ca="1" si="14"/>
        <v>0.66194480586237192</v>
      </c>
      <c r="AT10" s="275">
        <f t="shared" ca="1" si="14"/>
        <v>0.66085875170764741</v>
      </c>
      <c r="AU10" s="275">
        <f t="shared" ca="1" si="14"/>
        <v>0.65978504928063786</v>
      </c>
      <c r="AV10" s="275">
        <f t="shared" ca="1" si="14"/>
        <v>0.65872344021322327</v>
      </c>
      <c r="AW10" s="275">
        <f t="shared" ref="AW10:BL25" ca="1" si="15">IF(OR($A10="",$A10&lt;$AG$2-1),0,IF($A10=$AG$2-1,AW$7,1/(1+AW$6)^($A10-$AG$2+0.5+$AI$1)))</f>
        <v>0.65767367396059306</v>
      </c>
      <c r="AX10" s="275">
        <f t="shared" ca="1" si="15"/>
        <v>0.65663550749250088</v>
      </c>
      <c r="AY10" s="275">
        <f t="shared" ca="1" si="15"/>
        <v>0.65560870499948842</v>
      </c>
      <c r="AZ10" s="275">
        <f t="shared" ca="1" si="15"/>
        <v>0.65459303761321896</v>
      </c>
      <c r="BA10" s="275">
        <f t="shared" ca="1" si="15"/>
        <v>0.65358828314011586</v>
      </c>
      <c r="BB10" s="275">
        <f t="shared" ca="1" si="15"/>
        <v>0.65259422580756277</v>
      </c>
      <c r="BC10" s="275">
        <f t="shared" ca="1" si="15"/>
        <v>0.64777726411324044</v>
      </c>
      <c r="BD10" s="275">
        <f t="shared" ca="1" si="15"/>
        <v>0.64319866350210675</v>
      </c>
      <c r="BE10" s="275">
        <f t="shared" ca="1" si="15"/>
        <v>0.63883740786889953</v>
      </c>
      <c r="BF10" s="275">
        <f t="shared" ca="1" si="15"/>
        <v>0.63467508367940273</v>
      </c>
      <c r="BG10" s="275">
        <f t="shared" ca="1" si="15"/>
        <v>0.63069547181840857</v>
      </c>
      <c r="BH10" s="275">
        <f t="shared" ca="1" si="15"/>
        <v>0.62688421593682564</v>
      </c>
      <c r="BI10" s="275">
        <f t="shared" ca="1" si="15"/>
        <v>0.61971707800247922</v>
      </c>
      <c r="BJ10" s="275">
        <f t="shared" ca="1" si="15"/>
        <v>0.61308686332683004</v>
      </c>
      <c r="BK10" s="275">
        <f t="shared" ca="1" si="15"/>
        <v>0.60692336089294041</v>
      </c>
      <c r="BL10" s="275">
        <f t="shared" ca="1" si="15"/>
        <v>0.60116901740159923</v>
      </c>
      <c r="BM10" s="275">
        <f t="shared" ref="BM10:CB25" ca="1" si="16">IF(OR($A10="",$A10&lt;$AG$2-1),0,IF($A10=$AG$2-1,BM$7,1/(1+BM$6)^($A10-$AG$2+0.5+$AI$1)))</f>
        <v>0.59577609587048486</v>
      </c>
      <c r="BN10" s="275">
        <f t="shared" ca="1" si="16"/>
        <v>0.59070458485392052</v>
      </c>
      <c r="BO10" s="275">
        <f t="shared" ca="1" si="16"/>
        <v>0.58592063308613984</v>
      </c>
      <c r="BP10" s="275">
        <f t="shared" ca="1" si="16"/>
        <v>0.58139535923774477</v>
      </c>
      <c r="BQ10" s="275">
        <f t="shared" ca="1" si="16"/>
        <v>0.57710393423894191</v>
      </c>
      <c r="BR10" s="275">
        <f t="shared" ca="1" si="16"/>
        <v>0.57302486482360637</v>
      </c>
      <c r="BS10" s="275">
        <f t="shared" ca="1" si="16"/>
        <v>0.56913942777049975</v>
      </c>
      <c r="BT10" s="275">
        <f t="shared" ca="1" si="16"/>
        <v>0.56543121848559252</v>
      </c>
      <c r="BU10" s="275">
        <f t="shared" ca="1" si="16"/>
        <v>0.56188578737993666</v>
      </c>
      <c r="BV10" s="275">
        <f t="shared" ca="1" si="16"/>
        <v>0.55849034440052969</v>
      </c>
      <c r="BW10" s="275">
        <f t="shared" ca="1" si="16"/>
        <v>0.55523351700050694</v>
      </c>
      <c r="BX10" s="275">
        <f t="shared" ca="1" si="16"/>
        <v>0.55210515040208541</v>
      </c>
      <c r="BY10" s="275">
        <f t="shared" ca="1" si="16"/>
        <v>0.53810124921592106</v>
      </c>
      <c r="BZ10" s="275">
        <f t="shared" ca="1" si="16"/>
        <v>0.52625795744597914</v>
      </c>
      <c r="CA10" s="275">
        <f t="shared" ca="1" si="16"/>
        <v>0.51602798575855047</v>
      </c>
      <c r="CB10" s="275">
        <f t="shared" ca="1" si="16"/>
        <v>0.49905478737671261</v>
      </c>
      <c r="CC10" s="275">
        <f t="shared" ref="CC10:CH19" ca="1" si="17">IF(OR($A10="",$A10&lt;$AG$2-1),0,IF($A10=$AG$2-1,CC$7,1/(1+CC$6)^($A10-$AG$2+0.5+$AI$1)))</f>
        <v>0.48535158052765448</v>
      </c>
      <c r="CD10" s="275">
        <f t="shared" ca="1" si="17"/>
        <v>0.47391282724503198</v>
      </c>
      <c r="CE10" s="275">
        <f t="shared" ca="1" si="17"/>
        <v>0.46412915843619784</v>
      </c>
      <c r="CF10" s="275">
        <f t="shared" ca="1" si="17"/>
        <v>0.45560457186216047</v>
      </c>
      <c r="CG10" s="275">
        <f t="shared" ca="1" si="17"/>
        <v>0.4480678580975635</v>
      </c>
      <c r="CH10" s="275">
        <f t="shared" ca="1" si="17"/>
        <v>0.441325512556415</v>
      </c>
    </row>
    <row r="11" spans="1:86" ht="15" x14ac:dyDescent="0.25">
      <c r="A11" s="160">
        <f>IF(OR(A10=Abandonment!$B$4,A10=""),"",'Success Cash Flow'!A10+1)</f>
        <v>2013</v>
      </c>
      <c r="B11" s="258">
        <f>Revenue!S12</f>
        <v>0</v>
      </c>
      <c r="C11" s="258">
        <f>Revenue!T12</f>
        <v>0</v>
      </c>
      <c r="D11" s="258">
        <f>Revenue!U12</f>
        <v>0</v>
      </c>
      <c r="E11" s="258">
        <f t="shared" ref="E11:E49" si="18">SUM(B11:D11)</f>
        <v>0</v>
      </c>
      <c r="F11" s="258">
        <f>Exploration!X36</f>
        <v>44.545987499999157</v>
      </c>
      <c r="G11" s="258">
        <f>Development!BX92</f>
        <v>0</v>
      </c>
      <c r="H11" s="258">
        <f>Abandonment!K17</f>
        <v>0</v>
      </c>
      <c r="I11" s="258">
        <f>Operations!P20</f>
        <v>0</v>
      </c>
      <c r="J11" s="258">
        <f t="shared" si="9"/>
        <v>44.545987499999157</v>
      </c>
      <c r="K11" s="258">
        <f t="shared" si="10"/>
        <v>-44.545987499999157</v>
      </c>
      <c r="L11" s="258">
        <f>Royalty!AM13*Development!$BP$88</f>
        <v>0</v>
      </c>
      <c r="M11" s="258">
        <f>'Provincial Tax'!X11*Development!$BP$88</f>
        <v>-1.7494424181817849</v>
      </c>
      <c r="N11" s="258">
        <f>'Federal Tax'!X12*Development!$BP$88</f>
        <v>-2.2414730982954119</v>
      </c>
      <c r="O11" s="258">
        <f t="shared" si="11"/>
        <v>-3.9909155164771968</v>
      </c>
      <c r="P11" s="258">
        <f t="shared" si="12"/>
        <v>-40.555071983521962</v>
      </c>
      <c r="Q11" s="218"/>
      <c r="R11" s="218"/>
      <c r="S11" s="218"/>
      <c r="T11" s="218"/>
      <c r="U11" s="218"/>
      <c r="V11" s="218"/>
      <c r="W11" s="218"/>
      <c r="X11" s="218"/>
      <c r="Y11" s="93"/>
      <c r="Z11" s="93"/>
      <c r="AA11" s="93"/>
      <c r="AB11" s="215"/>
      <c r="AC11" s="279">
        <f>IF(Thresholds!$E$1=Lists!$A$8,Exploration!U36,IF(Thresholds!$E$1=Lists!$A$9,Exploration!V36,IF(Thresholds!$E$1=Lists!$A$10,Exploration!W36,IF(Thresholds!$E$1=Lists!$A$11,Development!AV92,Development!BE92-Development!AV92))))</f>
        <v>0</v>
      </c>
      <c r="AD11" s="279">
        <f t="shared" si="13"/>
        <v>44.545987499999157</v>
      </c>
      <c r="AE11" s="279"/>
      <c r="AF11" s="279"/>
      <c r="AG11" s="275">
        <f t="shared" ca="1" si="14"/>
        <v>0.92364715252126117</v>
      </c>
      <c r="AH11" s="275">
        <f t="shared" ca="1" si="14"/>
        <v>46.415888336127765</v>
      </c>
      <c r="AI11" s="275">
        <f t="shared" ca="1" si="14"/>
        <v>6.8129206905796122</v>
      </c>
      <c r="AJ11" s="275">
        <f t="shared" ca="1" si="14"/>
        <v>3.8236224566586499</v>
      </c>
      <c r="AK11" s="275">
        <f t="shared" ca="1" si="14"/>
        <v>2.7272960766667564</v>
      </c>
      <c r="AL11" s="275">
        <f t="shared" ca="1" si="14"/>
        <v>2.1459355473313928</v>
      </c>
      <c r="AM11" s="275">
        <f t="shared" ca="1" si="14"/>
        <v>1.781797436280679</v>
      </c>
      <c r="AN11" s="275">
        <f t="shared" ca="1" si="14"/>
        <v>1.5306431702807424</v>
      </c>
      <c r="AO11" s="275">
        <f t="shared" ca="1" si="14"/>
        <v>1.34612368790842</v>
      </c>
      <c r="AP11" s="275">
        <f t="shared" ca="1" si="14"/>
        <v>1.2043656049987455</v>
      </c>
      <c r="AQ11" s="275">
        <f t="shared" ca="1" si="14"/>
        <v>1.0917702153918778</v>
      </c>
      <c r="AR11" s="275">
        <f t="shared" ca="1" si="14"/>
        <v>1</v>
      </c>
      <c r="AS11" s="275">
        <f t="shared" ca="1" si="14"/>
        <v>0.99174234095264924</v>
      </c>
      <c r="AT11" s="275">
        <f t="shared" ca="1" si="14"/>
        <v>0.98363322580846801</v>
      </c>
      <c r="AU11" s="275">
        <f t="shared" ca="1" si="14"/>
        <v>0.97566856507883204</v>
      </c>
      <c r="AV11" s="275">
        <f t="shared" ca="1" si="14"/>
        <v>0.96784442013130711</v>
      </c>
      <c r="AW11" s="275">
        <f t="shared" ca="1" si="15"/>
        <v>0.96015699623990591</v>
      </c>
      <c r="AX11" s="275">
        <f t="shared" ca="1" si="15"/>
        <v>0.95260263601810613</v>
      </c>
      <c r="AY11" s="275">
        <f t="shared" ca="1" si="15"/>
        <v>0.94517781321016137</v>
      </c>
      <c r="AZ11" s="275">
        <f t="shared" ca="1" si="15"/>
        <v>0.93787912681802166</v>
      </c>
      <c r="BA11" s="275">
        <f t="shared" ca="1" si="15"/>
        <v>0.93070329554280451</v>
      </c>
      <c r="BB11" s="275">
        <f t="shared" ca="1" si="15"/>
        <v>0.92364715252126139</v>
      </c>
      <c r="BC11" s="275">
        <f t="shared" ca="1" si="15"/>
        <v>0.89005832445056143</v>
      </c>
      <c r="BD11" s="275">
        <f t="shared" ca="1" si="15"/>
        <v>0.85904443407203723</v>
      </c>
      <c r="BE11" s="275">
        <f t="shared" ca="1" si="15"/>
        <v>0.83031265244497088</v>
      </c>
      <c r="BF11" s="275">
        <f t="shared" ca="1" si="15"/>
        <v>0.80361346763329022</v>
      </c>
      <c r="BG11" s="275">
        <f t="shared" ca="1" si="15"/>
        <v>0.77873290546104479</v>
      </c>
      <c r="BH11" s="275">
        <f t="shared" ca="1" si="15"/>
        <v>0.75548637600372603</v>
      </c>
      <c r="BI11" s="275">
        <f t="shared" ca="1" si="15"/>
        <v>0.71327546262244212</v>
      </c>
      <c r="BJ11" s="275">
        <f t="shared" ca="1" si="15"/>
        <v>0.67592734195012449</v>
      </c>
      <c r="BK11" s="275">
        <f t="shared" ca="1" si="15"/>
        <v>0.642627390176154</v>
      </c>
      <c r="BL11" s="275">
        <f t="shared" ca="1" si="15"/>
        <v>0.61273531612596621</v>
      </c>
      <c r="BM11" s="275">
        <f t="shared" ca="1" si="16"/>
        <v>0.58574060647124293</v>
      </c>
      <c r="BN11" s="275">
        <f t="shared" ca="1" si="16"/>
        <v>0.56123102415468662</v>
      </c>
      <c r="BO11" s="275">
        <f t="shared" ca="1" si="16"/>
        <v>0.53886989434900989</v>
      </c>
      <c r="BP11" s="275">
        <f t="shared" ca="1" si="16"/>
        <v>0.51837943736706737</v>
      </c>
      <c r="BQ11" s="275">
        <f t="shared" ca="1" si="16"/>
        <v>0.49952834498879295</v>
      </c>
      <c r="BR11" s="275">
        <f t="shared" ca="1" si="16"/>
        <v>0.48212238752863257</v>
      </c>
      <c r="BS11" s="275">
        <f t="shared" ca="1" si="16"/>
        <v>0.46599722030028523</v>
      </c>
      <c r="BT11" s="275">
        <f t="shared" ca="1" si="16"/>
        <v>0.45101280946433042</v>
      </c>
      <c r="BU11" s="275">
        <f t="shared" ca="1" si="16"/>
        <v>0.43704906607485677</v>
      </c>
      <c r="BV11" s="275">
        <f t="shared" ca="1" si="16"/>
        <v>0.42400239253948369</v>
      </c>
      <c r="BW11" s="275">
        <f t="shared" ca="1" si="16"/>
        <v>0.41178292584723736</v>
      </c>
      <c r="BX11" s="275">
        <f t="shared" ca="1" si="16"/>
        <v>0.40031231839200093</v>
      </c>
      <c r="BY11" s="275">
        <f t="shared" ca="1" si="16"/>
        <v>0.35205455119247242</v>
      </c>
      <c r="BZ11" s="275">
        <f t="shared" ca="1" si="16"/>
        <v>0.31498026247371835</v>
      </c>
      <c r="CA11" s="275">
        <f t="shared" ca="1" si="16"/>
        <v>0.28553295409451679</v>
      </c>
      <c r="CB11" s="275">
        <f t="shared" ca="1" si="16"/>
        <v>0.24156337687387919</v>
      </c>
      <c r="CC11" s="275">
        <f t="shared" ca="1" si="17"/>
        <v>0.21017071553020017</v>
      </c>
      <c r="CD11" s="275">
        <f t="shared" ca="1" si="17"/>
        <v>0.18654442762263521</v>
      </c>
      <c r="CE11" s="275">
        <f t="shared" ca="1" si="17"/>
        <v>0.16806768907245279</v>
      </c>
      <c r="CF11" s="275">
        <f t="shared" ca="1" si="17"/>
        <v>0.15318996922700998</v>
      </c>
      <c r="CG11" s="275">
        <f t="shared" ca="1" si="17"/>
        <v>0.14093177358831402</v>
      </c>
      <c r="CH11" s="275">
        <f t="shared" ca="1" si="17"/>
        <v>0.13064269567694606</v>
      </c>
    </row>
    <row r="12" spans="1:86" ht="15" x14ac:dyDescent="0.25">
      <c r="A12" s="160">
        <f>IF(OR(A11=Abandonment!$B$4,A11=""),"",'Success Cash Flow'!A11+1)</f>
        <v>2014</v>
      </c>
      <c r="B12" s="258">
        <f>Revenue!S13</f>
        <v>0</v>
      </c>
      <c r="C12" s="258">
        <f>Revenue!T13</f>
        <v>0</v>
      </c>
      <c r="D12" s="258">
        <f>Revenue!U13</f>
        <v>0</v>
      </c>
      <c r="E12" s="258">
        <f t="shared" si="18"/>
        <v>0</v>
      </c>
      <c r="F12" s="258">
        <f>Exploration!X37</f>
        <v>22.829818593749565</v>
      </c>
      <c r="G12" s="258">
        <f>Development!BX93</f>
        <v>0.66134217187499988</v>
      </c>
      <c r="H12" s="258">
        <f>Abandonment!K18</f>
        <v>0</v>
      </c>
      <c r="I12" s="258">
        <f>Operations!P21</f>
        <v>0</v>
      </c>
      <c r="J12" s="258">
        <f t="shared" si="9"/>
        <v>23.491160765624564</v>
      </c>
      <c r="K12" s="258">
        <f t="shared" si="10"/>
        <v>-23.491160765624564</v>
      </c>
      <c r="L12" s="258">
        <f>Royalty!AM14*Development!$BP$88</f>
        <v>0</v>
      </c>
      <c r="M12" s="258">
        <f>'Provincial Tax'!X12*Development!$BP$88</f>
        <v>-2.1211989320454143</v>
      </c>
      <c r="N12" s="258">
        <f>'Federal Tax'!X13*Development!$BP$88</f>
        <v>-2.651498665056768</v>
      </c>
      <c r="O12" s="258">
        <f t="shared" si="11"/>
        <v>-4.7726975971021819</v>
      </c>
      <c r="P12" s="258">
        <f t="shared" si="12"/>
        <v>-18.718463168522383</v>
      </c>
      <c r="Q12" s="218"/>
      <c r="R12" s="218"/>
      <c r="S12" s="218"/>
      <c r="T12" s="218"/>
      <c r="U12" s="218"/>
      <c r="V12" s="218"/>
      <c r="W12" s="218"/>
      <c r="X12" s="218"/>
      <c r="Y12" s="93"/>
      <c r="Z12" s="93"/>
      <c r="AA12" s="93"/>
      <c r="AB12" s="93"/>
      <c r="AC12" s="279">
        <f>IF(Thresholds!$E$1=Lists!$A$8,Exploration!U37,IF(Thresholds!$E$1=Lists!$A$9,Exploration!V37,IF(Thresholds!$E$1=Lists!$A$10,Exploration!W37,IF(Thresholds!$E$1=Lists!$A$11,Development!AV93,Development!BE93-Development!AV93))))</f>
        <v>0</v>
      </c>
      <c r="AD12" s="279">
        <f t="shared" si="13"/>
        <v>23.491160765624564</v>
      </c>
      <c r="AE12" s="279"/>
      <c r="AF12" s="279"/>
      <c r="AG12" s="275">
        <f t="shared" ca="1" si="14"/>
        <v>0.8396792295647828</v>
      </c>
      <c r="AH12" s="275">
        <f t="shared" ca="1" si="14"/>
        <v>4641.58883361277</v>
      </c>
      <c r="AI12" s="275">
        <f t="shared" ca="1" si="14"/>
        <v>68.129206905796124</v>
      </c>
      <c r="AJ12" s="275">
        <f t="shared" ca="1" si="14"/>
        <v>19.11811228329325</v>
      </c>
      <c r="AK12" s="275">
        <f t="shared" ca="1" si="14"/>
        <v>9.090986922222525</v>
      </c>
      <c r="AL12" s="275">
        <f t="shared" ca="1" si="14"/>
        <v>5.3648388683284836</v>
      </c>
      <c r="AM12" s="275">
        <f t="shared" ca="1" si="14"/>
        <v>3.5635948725613584</v>
      </c>
      <c r="AN12" s="275">
        <f t="shared" ca="1" si="14"/>
        <v>2.5510719504679047</v>
      </c>
      <c r="AO12" s="275">
        <f t="shared" ca="1" si="14"/>
        <v>1.923033839869172</v>
      </c>
      <c r="AP12" s="275">
        <f t="shared" ca="1" si="14"/>
        <v>1.505457006248432</v>
      </c>
      <c r="AQ12" s="275">
        <f t="shared" ca="1" si="14"/>
        <v>1.2130780171020865</v>
      </c>
      <c r="AR12" s="275">
        <f t="shared" ca="1" si="14"/>
        <v>1.0000000000000002</v>
      </c>
      <c r="AS12" s="275">
        <f t="shared" ca="1" si="14"/>
        <v>0.98192310985410847</v>
      </c>
      <c r="AT12" s="275">
        <f t="shared" ca="1" si="14"/>
        <v>0.96434629981222364</v>
      </c>
      <c r="AU12" s="275">
        <f t="shared" ca="1" si="14"/>
        <v>0.94725103405711875</v>
      </c>
      <c r="AV12" s="275">
        <f t="shared" ca="1" si="14"/>
        <v>0.93061963474164155</v>
      </c>
      <c r="AW12" s="275">
        <f t="shared" ca="1" si="15"/>
        <v>0.91443523451419628</v>
      </c>
      <c r="AX12" s="275">
        <f t="shared" ca="1" si="15"/>
        <v>0.89868173209255298</v>
      </c>
      <c r="AY12" s="275">
        <f t="shared" ca="1" si="15"/>
        <v>0.8833437506637023</v>
      </c>
      <c r="AZ12" s="275">
        <f t="shared" ca="1" si="15"/>
        <v>0.8684065989055757</v>
      </c>
      <c r="BA12" s="275">
        <f t="shared" ca="1" si="15"/>
        <v>0.85385623444294001</v>
      </c>
      <c r="BB12" s="275">
        <f t="shared" ca="1" si="15"/>
        <v>0.83967922956478314</v>
      </c>
      <c r="BC12" s="275">
        <f t="shared" ca="1" si="15"/>
        <v>0.77396376039179271</v>
      </c>
      <c r="BD12" s="275">
        <f t="shared" ca="1" si="15"/>
        <v>0.71587036172669793</v>
      </c>
      <c r="BE12" s="275">
        <f t="shared" ca="1" si="15"/>
        <v>0.66425012195597677</v>
      </c>
      <c r="BF12" s="275">
        <f t="shared" ca="1" si="15"/>
        <v>0.6181642058717618</v>
      </c>
      <c r="BG12" s="275">
        <f t="shared" ca="1" si="15"/>
        <v>0.57683918923040356</v>
      </c>
      <c r="BH12" s="275">
        <f t="shared" ca="1" si="15"/>
        <v>0.5396331257169471</v>
      </c>
      <c r="BI12" s="275">
        <f t="shared" ca="1" si="15"/>
        <v>0.47551697508162816</v>
      </c>
      <c r="BJ12" s="275">
        <f t="shared" ca="1" si="15"/>
        <v>0.42245458871882791</v>
      </c>
      <c r="BK12" s="275">
        <f t="shared" ca="1" si="15"/>
        <v>0.37801611186832601</v>
      </c>
      <c r="BL12" s="275">
        <f t="shared" ca="1" si="15"/>
        <v>0.34040850895887015</v>
      </c>
      <c r="BM12" s="275">
        <f t="shared" ca="1" si="16"/>
        <v>0.30828452972170689</v>
      </c>
      <c r="BN12" s="275">
        <f t="shared" ca="1" si="16"/>
        <v>0.28061551207734342</v>
      </c>
      <c r="BO12" s="275">
        <f t="shared" ca="1" si="16"/>
        <v>0.25660471159476667</v>
      </c>
      <c r="BP12" s="275">
        <f t="shared" ca="1" si="16"/>
        <v>0.23562701698503066</v>
      </c>
      <c r="BQ12" s="275">
        <f t="shared" ca="1" si="16"/>
        <v>0.2171862369516491</v>
      </c>
      <c r="BR12" s="275">
        <f t="shared" ca="1" si="16"/>
        <v>0.20088432813693025</v>
      </c>
      <c r="BS12" s="275">
        <f t="shared" ca="1" si="16"/>
        <v>0.18639888812011407</v>
      </c>
      <c r="BT12" s="275">
        <f t="shared" ca="1" si="16"/>
        <v>0.17346646517858866</v>
      </c>
      <c r="BU12" s="275">
        <f t="shared" ca="1" si="16"/>
        <v>0.16187002447216917</v>
      </c>
      <c r="BV12" s="275">
        <f t="shared" ca="1" si="16"/>
        <v>0.15142942590695846</v>
      </c>
      <c r="BW12" s="275">
        <f t="shared" ca="1" si="16"/>
        <v>0.14199411236111631</v>
      </c>
      <c r="BX12" s="275">
        <f t="shared" ca="1" si="16"/>
        <v>0.1334374394640003</v>
      </c>
      <c r="BY12" s="275">
        <f t="shared" ca="1" si="16"/>
        <v>0.10058701462642071</v>
      </c>
      <c r="BZ12" s="275">
        <f t="shared" ca="1" si="16"/>
        <v>7.8745065618429588E-2</v>
      </c>
      <c r="CA12" s="275">
        <f t="shared" ca="1" si="16"/>
        <v>6.3451767576559279E-2</v>
      </c>
      <c r="CB12" s="275">
        <f t="shared" ca="1" si="16"/>
        <v>4.3920613977068951E-2</v>
      </c>
      <c r="CC12" s="275">
        <f t="shared" ca="1" si="17"/>
        <v>3.233395623541542E-2</v>
      </c>
      <c r="CD12" s="275">
        <f t="shared" ca="1" si="17"/>
        <v>2.4872590349684698E-2</v>
      </c>
      <c r="CE12" s="275">
        <f t="shared" ca="1" si="17"/>
        <v>1.9772669302641509E-2</v>
      </c>
      <c r="CF12" s="275">
        <f t="shared" ca="1" si="17"/>
        <v>1.6125259918632621E-2</v>
      </c>
      <c r="CG12" s="275">
        <f t="shared" ca="1" si="17"/>
        <v>1.3422073675077525E-2</v>
      </c>
      <c r="CH12" s="275">
        <f t="shared" ca="1" si="17"/>
        <v>1.1360234406690962E-2</v>
      </c>
    </row>
    <row r="13" spans="1:86" ht="15" x14ac:dyDescent="0.25">
      <c r="A13" s="160">
        <f>IF(OR(A12=Abandonment!$B$4,A12=""),"",'Success Cash Flow'!A12+1)</f>
        <v>2015</v>
      </c>
      <c r="B13" s="258">
        <f>Revenue!S14</f>
        <v>0</v>
      </c>
      <c r="C13" s="258">
        <f>Revenue!T14</f>
        <v>0</v>
      </c>
      <c r="D13" s="258">
        <f>Revenue!U14</f>
        <v>0</v>
      </c>
      <c r="E13" s="258">
        <f t="shared" si="18"/>
        <v>0</v>
      </c>
      <c r="F13" s="258">
        <f>Exploration!X38</f>
        <v>0</v>
      </c>
      <c r="G13" s="258">
        <f>Development!BX94</f>
        <v>2.4033775746093742</v>
      </c>
      <c r="H13" s="258">
        <f>Abandonment!K19</f>
        <v>0</v>
      </c>
      <c r="I13" s="258">
        <f>Operations!P22</f>
        <v>0</v>
      </c>
      <c r="J13" s="258">
        <f t="shared" si="9"/>
        <v>2.4033775746093742</v>
      </c>
      <c r="K13" s="258">
        <f t="shared" si="10"/>
        <v>-2.4033775746093742</v>
      </c>
      <c r="L13" s="258">
        <f>Royalty!AM15*Development!$BP$88</f>
        <v>0</v>
      </c>
      <c r="M13" s="258">
        <f>'Provincial Tax'!X13*Development!$BP$88</f>
        <v>-1.4848392524317899</v>
      </c>
      <c r="N13" s="258">
        <f>'Federal Tax'!X14*Development!$BP$88</f>
        <v>-1.7632466122627506</v>
      </c>
      <c r="O13" s="258">
        <f t="shared" si="11"/>
        <v>-3.2480858646945405</v>
      </c>
      <c r="P13" s="258">
        <f t="shared" si="12"/>
        <v>0.84470829008516635</v>
      </c>
      <c r="Q13" s="218"/>
      <c r="R13" s="218"/>
      <c r="S13" s="218"/>
      <c r="T13" s="218"/>
      <c r="U13" s="218"/>
      <c r="V13" s="218"/>
      <c r="W13" s="218"/>
      <c r="X13" s="218"/>
      <c r="Y13" s="93"/>
      <c r="Z13" s="93"/>
      <c r="AA13" s="93"/>
      <c r="AB13" s="93"/>
      <c r="AC13" s="279">
        <f>IF(Thresholds!$E$1=Lists!$A$8,Exploration!U38,IF(Thresholds!$E$1=Lists!$A$9,Exploration!V38,IF(Thresholds!$E$1=Lists!$A$10,Exploration!W38,IF(Thresholds!$E$1=Lists!$A$11,Development!AV94,Development!BE94-Development!AV94))))</f>
        <v>0</v>
      </c>
      <c r="AD13" s="279">
        <f t="shared" si="13"/>
        <v>2.4033775746093742</v>
      </c>
      <c r="AE13" s="279"/>
      <c r="AF13" s="279"/>
      <c r="AG13" s="275">
        <f t="shared" ca="1" si="14"/>
        <v>0.76334475414980252</v>
      </c>
      <c r="AH13" s="275">
        <f t="shared" ca="1" si="14"/>
        <v>464158.88336127723</v>
      </c>
      <c r="AI13" s="275">
        <f t="shared" ca="1" si="14"/>
        <v>681.29206905796195</v>
      </c>
      <c r="AJ13" s="275">
        <f t="shared" ca="1" si="14"/>
        <v>95.590561416466272</v>
      </c>
      <c r="AK13" s="275">
        <f t="shared" ca="1" si="14"/>
        <v>30.303289740741757</v>
      </c>
      <c r="AL13" s="275">
        <f t="shared" ca="1" si="14"/>
        <v>13.412097170821212</v>
      </c>
      <c r="AM13" s="275">
        <f t="shared" ca="1" si="14"/>
        <v>7.1271897451227186</v>
      </c>
      <c r="AN13" s="275">
        <f t="shared" ca="1" si="14"/>
        <v>4.2517865841131766</v>
      </c>
      <c r="AO13" s="275">
        <f t="shared" ca="1" si="14"/>
        <v>2.7471911998131038</v>
      </c>
      <c r="AP13" s="275">
        <f t="shared" ca="1" si="14"/>
        <v>1.8818212578105407</v>
      </c>
      <c r="AQ13" s="275">
        <f t="shared" ca="1" si="14"/>
        <v>1.3478644634467629</v>
      </c>
      <c r="AR13" s="275">
        <f t="shared" ca="1" si="14"/>
        <v>1.0000000000000004</v>
      </c>
      <c r="AS13" s="275">
        <f t="shared" ca="1" si="14"/>
        <v>0.97220109886545403</v>
      </c>
      <c r="AT13" s="275">
        <f t="shared" ca="1" si="14"/>
        <v>0.94543754883551367</v>
      </c>
      <c r="AU13" s="275">
        <f t="shared" ca="1" si="14"/>
        <v>0.91966119811370772</v>
      </c>
      <c r="AV13" s="275">
        <f t="shared" ca="1" si="14"/>
        <v>0.89482657186696335</v>
      </c>
      <c r="AW13" s="275">
        <f t="shared" ca="1" si="15"/>
        <v>0.87089069953732989</v>
      </c>
      <c r="AX13" s="275">
        <f t="shared" ca="1" si="15"/>
        <v>0.8478129548042953</v>
      </c>
      <c r="AY13" s="275">
        <f t="shared" ca="1" si="15"/>
        <v>0.8255549071623387</v>
      </c>
      <c r="AZ13" s="275">
        <f t="shared" ca="1" si="15"/>
        <v>0.80408018417182958</v>
      </c>
      <c r="BA13" s="275">
        <f t="shared" ca="1" si="15"/>
        <v>0.78335434352563305</v>
      </c>
      <c r="BB13" s="275">
        <f t="shared" ca="1" si="15"/>
        <v>0.76334475414980296</v>
      </c>
      <c r="BC13" s="275">
        <f t="shared" ca="1" si="15"/>
        <v>0.67301196555808063</v>
      </c>
      <c r="BD13" s="275">
        <f t="shared" ca="1" si="15"/>
        <v>0.59655863477224846</v>
      </c>
      <c r="BE13" s="275">
        <f t="shared" ca="1" si="15"/>
        <v>0.53140009756478157</v>
      </c>
      <c r="BF13" s="275">
        <f t="shared" ca="1" si="15"/>
        <v>0.47551092759366304</v>
      </c>
      <c r="BG13" s="275">
        <f t="shared" ca="1" si="15"/>
        <v>0.42728828831881749</v>
      </c>
      <c r="BH13" s="275">
        <f t="shared" ca="1" si="15"/>
        <v>0.38545223265496231</v>
      </c>
      <c r="BI13" s="275">
        <f t="shared" ca="1" si="15"/>
        <v>0.31701131672108546</v>
      </c>
      <c r="BJ13" s="275">
        <f t="shared" ca="1" si="15"/>
        <v>0.26403411794926746</v>
      </c>
      <c r="BK13" s="275">
        <f t="shared" ca="1" si="15"/>
        <v>0.2223624187460741</v>
      </c>
      <c r="BL13" s="275">
        <f t="shared" ca="1" si="15"/>
        <v>0.1891158383104834</v>
      </c>
      <c r="BM13" s="275">
        <f t="shared" ca="1" si="16"/>
        <v>0.16225501564300363</v>
      </c>
      <c r="BN13" s="275">
        <f t="shared" ca="1" si="16"/>
        <v>0.14030775603867171</v>
      </c>
      <c r="BO13" s="275">
        <f t="shared" ca="1" si="16"/>
        <v>0.12219271980703175</v>
      </c>
      <c r="BP13" s="275">
        <f t="shared" ca="1" si="16"/>
        <v>0.10710318953865029</v>
      </c>
      <c r="BQ13" s="275">
        <f t="shared" ca="1" si="16"/>
        <v>9.4428798674630027E-2</v>
      </c>
      <c r="BR13" s="275">
        <f t="shared" ca="1" si="16"/>
        <v>8.3701803390387602E-2</v>
      </c>
      <c r="BS13" s="275">
        <f t="shared" ca="1" si="16"/>
        <v>7.4559555248045611E-2</v>
      </c>
      <c r="BT13" s="275">
        <f t="shared" ca="1" si="16"/>
        <v>6.6717871222534086E-2</v>
      </c>
      <c r="BU13" s="275">
        <f t="shared" ca="1" si="16"/>
        <v>5.9951860915618188E-2</v>
      </c>
      <c r="BV13" s="275">
        <f t="shared" ca="1" si="16"/>
        <v>5.4081937823913712E-2</v>
      </c>
      <c r="BW13" s="275">
        <f t="shared" ca="1" si="16"/>
        <v>4.8963487021074566E-2</v>
      </c>
      <c r="BX13" s="275">
        <f t="shared" ca="1" si="16"/>
        <v>4.4479146488000082E-2</v>
      </c>
      <c r="BY13" s="275">
        <f t="shared" ca="1" si="16"/>
        <v>2.8739147036120186E-2</v>
      </c>
      <c r="BZ13" s="275">
        <f t="shared" ca="1" si="16"/>
        <v>1.9686266404607394E-2</v>
      </c>
      <c r="CA13" s="275">
        <f t="shared" ca="1" si="16"/>
        <v>1.4100392794790938E-2</v>
      </c>
      <c r="CB13" s="275">
        <f t="shared" ca="1" si="16"/>
        <v>7.9855661776488934E-3</v>
      </c>
      <c r="CC13" s="275">
        <f t="shared" ca="1" si="17"/>
        <v>4.9744548054485235E-3</v>
      </c>
      <c r="CD13" s="275">
        <f t="shared" ca="1" si="17"/>
        <v>3.3163453799579584E-3</v>
      </c>
      <c r="CE13" s="275">
        <f t="shared" ca="1" si="17"/>
        <v>2.3261963885460586E-3</v>
      </c>
      <c r="CF13" s="275">
        <f t="shared" ca="1" si="17"/>
        <v>1.697395780908696E-3</v>
      </c>
      <c r="CG13" s="275">
        <f t="shared" ca="1" si="17"/>
        <v>1.2782927309597637E-3</v>
      </c>
      <c r="CH13" s="275">
        <f t="shared" ca="1" si="17"/>
        <v>9.8784647014704035E-4</v>
      </c>
    </row>
    <row r="14" spans="1:86" ht="15" x14ac:dyDescent="0.25">
      <c r="A14" s="160">
        <f>IF(OR(A13=Abandonment!$B$4,A13=""),"",'Success Cash Flow'!A13+1)</f>
        <v>2016</v>
      </c>
      <c r="B14" s="258">
        <f>Revenue!S15</f>
        <v>0</v>
      </c>
      <c r="C14" s="258">
        <f>Revenue!T15</f>
        <v>0</v>
      </c>
      <c r="D14" s="258">
        <f>Revenue!U15</f>
        <v>0</v>
      </c>
      <c r="E14" s="258">
        <f t="shared" si="18"/>
        <v>0</v>
      </c>
      <c r="F14" s="258">
        <f>Exploration!X39</f>
        <v>0</v>
      </c>
      <c r="G14" s="258">
        <f>Development!BX95</f>
        <v>27.149227642415365</v>
      </c>
      <c r="H14" s="258">
        <f>Abandonment!K20</f>
        <v>0</v>
      </c>
      <c r="I14" s="258">
        <f>Operations!P23</f>
        <v>0</v>
      </c>
      <c r="J14" s="258">
        <f t="shared" si="9"/>
        <v>27.149227642415365</v>
      </c>
      <c r="K14" s="258">
        <f t="shared" si="10"/>
        <v>-27.149227642415365</v>
      </c>
      <c r="L14" s="258">
        <f>Royalty!AM16*Development!$BP$88</f>
        <v>0</v>
      </c>
      <c r="M14" s="258">
        <f>'Provincial Tax'!X14*Development!$BP$88</f>
        <v>-1.0393874767022531</v>
      </c>
      <c r="N14" s="258">
        <f>'Federal Tax'!X15*Development!$BP$88</f>
        <v>-1.2342726285839254</v>
      </c>
      <c r="O14" s="258">
        <f t="shared" si="11"/>
        <v>-2.2736601052861785</v>
      </c>
      <c r="P14" s="258">
        <f t="shared" si="12"/>
        <v>-24.875567537129186</v>
      </c>
      <c r="Q14" s="218"/>
      <c r="R14" s="218"/>
      <c r="S14" s="218"/>
      <c r="T14" s="218"/>
      <c r="U14" s="218"/>
      <c r="V14" s="218"/>
      <c r="W14" s="218"/>
      <c r="X14" s="218"/>
      <c r="Y14" s="93"/>
      <c r="Z14" s="93"/>
      <c r="AA14" s="93"/>
      <c r="AB14" s="93"/>
      <c r="AC14" s="279">
        <f>IF(Thresholds!$E$1=Lists!$A$8,Exploration!U39,IF(Thresholds!$E$1=Lists!$A$9,Exploration!V39,IF(Thresholds!$E$1=Lists!$A$10,Exploration!W39,IF(Thresholds!$E$1=Lists!$A$11,Development!AV95,Development!BE95-Development!AV95))))</f>
        <v>0</v>
      </c>
      <c r="AD14" s="279">
        <f t="shared" si="13"/>
        <v>27.149227642415365</v>
      </c>
      <c r="AE14" s="279"/>
      <c r="AF14" s="279"/>
      <c r="AG14" s="275">
        <f t="shared" ca="1" si="14"/>
        <v>0.69394977649982048</v>
      </c>
      <c r="AH14" s="275">
        <f t="shared" ca="1" si="14"/>
        <v>46415888.336127743</v>
      </c>
      <c r="AI14" s="275">
        <f t="shared" ca="1" si="14"/>
        <v>6812.9206905796218</v>
      </c>
      <c r="AJ14" s="275">
        <f t="shared" ca="1" si="14"/>
        <v>477.95280708233139</v>
      </c>
      <c r="AK14" s="275">
        <f t="shared" ca="1" si="14"/>
        <v>101.01096580247253</v>
      </c>
      <c r="AL14" s="275">
        <f t="shared" ca="1" si="14"/>
        <v>33.530242927053045</v>
      </c>
      <c r="AM14" s="275">
        <f t="shared" ca="1" si="14"/>
        <v>14.254379490245443</v>
      </c>
      <c r="AN14" s="275">
        <f t="shared" ca="1" si="14"/>
        <v>7.0863109735219627</v>
      </c>
      <c r="AO14" s="275">
        <f t="shared" ca="1" si="14"/>
        <v>3.9245588568758629</v>
      </c>
      <c r="AP14" s="275">
        <f t="shared" ca="1" si="14"/>
        <v>2.3522765722631762</v>
      </c>
      <c r="AQ14" s="275">
        <f t="shared" ca="1" si="14"/>
        <v>1.4976271816075144</v>
      </c>
      <c r="AR14" s="275">
        <f t="shared" ca="1" si="14"/>
        <v>1.0000000000000004</v>
      </c>
      <c r="AS14" s="275">
        <f t="shared" ca="1" si="14"/>
        <v>0.96257534541134093</v>
      </c>
      <c r="AT14" s="275">
        <f t="shared" ca="1" si="14"/>
        <v>0.92689955768187637</v>
      </c>
      <c r="AU14" s="275">
        <f t="shared" ca="1" si="14"/>
        <v>0.89287494962495917</v>
      </c>
      <c r="AV14" s="275">
        <f t="shared" ca="1" si="14"/>
        <v>0.86041016525669567</v>
      </c>
      <c r="AW14" s="275">
        <f t="shared" ca="1" si="15"/>
        <v>0.82941971384507629</v>
      </c>
      <c r="AX14" s="275">
        <f t="shared" ca="1" si="15"/>
        <v>0.7998235422682034</v>
      </c>
      <c r="AY14" s="275">
        <f t="shared" ca="1" si="15"/>
        <v>0.77154664220779334</v>
      </c>
      <c r="AZ14" s="275">
        <f t="shared" ca="1" si="15"/>
        <v>0.74451868904799046</v>
      </c>
      <c r="BA14" s="275">
        <f t="shared" ca="1" si="15"/>
        <v>0.7186737096565442</v>
      </c>
      <c r="BB14" s="275">
        <f t="shared" ca="1" si="15"/>
        <v>0.69394977649982093</v>
      </c>
      <c r="BC14" s="275">
        <f t="shared" ca="1" si="15"/>
        <v>0.58522779613746145</v>
      </c>
      <c r="BD14" s="275">
        <f t="shared" ca="1" si="15"/>
        <v>0.4971321956435405</v>
      </c>
      <c r="BE14" s="275">
        <f t="shared" ca="1" si="15"/>
        <v>0.42512007805182528</v>
      </c>
      <c r="BF14" s="275">
        <f t="shared" ca="1" si="15"/>
        <v>0.3657776366105101</v>
      </c>
      <c r="BG14" s="275">
        <f t="shared" ca="1" si="15"/>
        <v>0.31650984319912406</v>
      </c>
      <c r="BH14" s="275">
        <f t="shared" ca="1" si="15"/>
        <v>0.2753230233249731</v>
      </c>
      <c r="BI14" s="275">
        <f t="shared" ca="1" si="15"/>
        <v>0.21134087781405703</v>
      </c>
      <c r="BJ14" s="275">
        <f t="shared" ca="1" si="15"/>
        <v>0.16502132371829217</v>
      </c>
      <c r="BK14" s="275">
        <f t="shared" ca="1" si="15"/>
        <v>0.13080142279180829</v>
      </c>
      <c r="BL14" s="275">
        <f t="shared" ca="1" si="15"/>
        <v>0.10506435461693524</v>
      </c>
      <c r="BM14" s="275">
        <f t="shared" ca="1" si="16"/>
        <v>8.5397376654212445E-2</v>
      </c>
      <c r="BN14" s="275">
        <f t="shared" ca="1" si="16"/>
        <v>7.0153878019335869E-2</v>
      </c>
      <c r="BO14" s="275">
        <f t="shared" ca="1" si="16"/>
        <v>5.8187009431919894E-2</v>
      </c>
      <c r="BP14" s="275">
        <f t="shared" ca="1" si="16"/>
        <v>4.8683267972113788E-2</v>
      </c>
      <c r="BQ14" s="275">
        <f t="shared" ca="1" si="16"/>
        <v>4.1055999423752196E-2</v>
      </c>
      <c r="BR14" s="275">
        <f t="shared" ca="1" si="16"/>
        <v>3.4875751412661506E-2</v>
      </c>
      <c r="BS14" s="275">
        <f t="shared" ca="1" si="16"/>
        <v>2.9823822099218245E-2</v>
      </c>
      <c r="BT14" s="275">
        <f t="shared" ca="1" si="16"/>
        <v>2.5660719700974648E-2</v>
      </c>
      <c r="BU14" s="275">
        <f t="shared" ca="1" si="16"/>
        <v>2.2204392931710434E-2</v>
      </c>
      <c r="BV14" s="275">
        <f t="shared" ca="1" si="16"/>
        <v>1.9314977794254895E-2</v>
      </c>
      <c r="BW14" s="275">
        <f t="shared" ca="1" si="16"/>
        <v>1.6883961041749853E-2</v>
      </c>
      <c r="BX14" s="275">
        <f t="shared" ca="1" si="16"/>
        <v>1.482638216266669E-2</v>
      </c>
      <c r="BY14" s="275">
        <f t="shared" ca="1" si="16"/>
        <v>8.2111848674629069E-3</v>
      </c>
      <c r="BZ14" s="275">
        <f t="shared" ca="1" si="16"/>
        <v>4.9215666011518475E-3</v>
      </c>
      <c r="CA14" s="275">
        <f t="shared" ca="1" si="16"/>
        <v>3.1334206210646537E-3</v>
      </c>
      <c r="CB14" s="275">
        <f t="shared" ca="1" si="16"/>
        <v>1.4519211232088894E-3</v>
      </c>
      <c r="CC14" s="275">
        <f t="shared" ca="1" si="17"/>
        <v>7.6530073929977267E-4</v>
      </c>
      <c r="CD14" s="275">
        <f t="shared" ca="1" si="17"/>
        <v>4.4217938399439434E-4</v>
      </c>
      <c r="CE14" s="275">
        <f t="shared" ca="1" si="17"/>
        <v>2.7367016335835961E-4</v>
      </c>
      <c r="CF14" s="275">
        <f t="shared" ca="1" si="17"/>
        <v>1.7867324009565228E-4</v>
      </c>
      <c r="CG14" s="275">
        <f t="shared" ca="1" si="17"/>
        <v>1.2174216485331077E-4</v>
      </c>
      <c r="CH14" s="275">
        <f t="shared" ca="1" si="17"/>
        <v>8.58996930562643E-5</v>
      </c>
    </row>
    <row r="15" spans="1:86" ht="15" x14ac:dyDescent="0.25">
      <c r="A15" s="160">
        <f>IF(OR(A14=Abandonment!$B$4,A14=""),"",'Success Cash Flow'!A14+1)</f>
        <v>2017</v>
      </c>
      <c r="B15" s="258">
        <f>Revenue!S16</f>
        <v>0</v>
      </c>
      <c r="C15" s="258">
        <f>Revenue!T16</f>
        <v>0</v>
      </c>
      <c r="D15" s="258">
        <f>Revenue!U16</f>
        <v>0</v>
      </c>
      <c r="E15" s="258">
        <f t="shared" si="18"/>
        <v>0</v>
      </c>
      <c r="F15" s="258">
        <f>Exploration!X40</f>
        <v>0</v>
      </c>
      <c r="G15" s="258">
        <f>Development!BX96</f>
        <v>320.28452469001707</v>
      </c>
      <c r="H15" s="258">
        <f>Abandonment!K21</f>
        <v>0</v>
      </c>
      <c r="I15" s="258">
        <f>Operations!P24</f>
        <v>0</v>
      </c>
      <c r="J15" s="258">
        <f t="shared" si="9"/>
        <v>320.28452469001707</v>
      </c>
      <c r="K15" s="258">
        <f t="shared" si="10"/>
        <v>-320.28452469001707</v>
      </c>
      <c r="L15" s="258">
        <f>Royalty!AM17*Development!$BP$88</f>
        <v>0</v>
      </c>
      <c r="M15" s="258">
        <f>'Provincial Tax'!X15*Development!$BP$88</f>
        <v>-0.72757123369157706</v>
      </c>
      <c r="N15" s="258">
        <f>'Federal Tax'!X16*Development!$BP$88</f>
        <v>-0.86399084000874782</v>
      </c>
      <c r="O15" s="258">
        <f t="shared" si="11"/>
        <v>-1.5915620737003249</v>
      </c>
      <c r="P15" s="258">
        <f t="shared" si="12"/>
        <v>-318.69296261631672</v>
      </c>
      <c r="Q15" s="218"/>
      <c r="R15" s="218"/>
      <c r="S15" s="218"/>
      <c r="T15" s="218"/>
      <c r="U15" s="218"/>
      <c r="V15" s="218"/>
      <c r="W15" s="218"/>
      <c r="X15" s="218"/>
      <c r="Y15" s="93"/>
      <c r="Z15" s="93"/>
      <c r="AA15" s="93"/>
      <c r="AB15" s="93"/>
      <c r="AC15" s="279">
        <f>IF(Thresholds!$E$1=Lists!$A$8,Exploration!U40,IF(Thresholds!$E$1=Lists!$A$9,Exploration!V40,IF(Thresholds!$E$1=Lists!$A$10,Exploration!W40,IF(Thresholds!$E$1=Lists!$A$11,Development!AV96,Development!BE96-Development!AV96))))</f>
        <v>0</v>
      </c>
      <c r="AD15" s="279">
        <f t="shared" si="13"/>
        <v>320.28452469001707</v>
      </c>
      <c r="AE15" s="279"/>
      <c r="AF15" s="279"/>
      <c r="AG15" s="275">
        <f t="shared" ca="1" si="14"/>
        <v>0.63086343318165494</v>
      </c>
      <c r="AH15" s="275">
        <f t="shared" ca="1" si="14"/>
        <v>4641588833.6127682</v>
      </c>
      <c r="AI15" s="275">
        <f t="shared" ca="1" si="14"/>
        <v>68129.206905796163</v>
      </c>
      <c r="AJ15" s="275">
        <f t="shared" ca="1" si="14"/>
        <v>2389.7640354116575</v>
      </c>
      <c r="AK15" s="275">
        <f t="shared" ca="1" si="14"/>
        <v>336.70321934157505</v>
      </c>
      <c r="AL15" s="275">
        <f t="shared" ca="1" si="14"/>
        <v>83.825607317632617</v>
      </c>
      <c r="AM15" s="275">
        <f t="shared" ca="1" si="14"/>
        <v>28.508758980490875</v>
      </c>
      <c r="AN15" s="275">
        <f t="shared" ca="1" si="14"/>
        <v>11.810518289203271</v>
      </c>
      <c r="AO15" s="275">
        <f t="shared" ca="1" si="14"/>
        <v>5.6065126526798039</v>
      </c>
      <c r="AP15" s="275">
        <f t="shared" ca="1" si="14"/>
        <v>2.9403457153289709</v>
      </c>
      <c r="AQ15" s="275">
        <f t="shared" ca="1" si="14"/>
        <v>1.6640302017861273</v>
      </c>
      <c r="AR15" s="275">
        <f t="shared" ca="1" si="14"/>
        <v>1.0000000000000004</v>
      </c>
      <c r="AS15" s="275">
        <f t="shared" ca="1" si="14"/>
        <v>0.9530448964468724</v>
      </c>
      <c r="AT15" s="275">
        <f t="shared" ca="1" si="14"/>
        <v>0.90872505655085933</v>
      </c>
      <c r="AU15" s="275">
        <f t="shared" ca="1" si="14"/>
        <v>0.8668688831310285</v>
      </c>
      <c r="AV15" s="275">
        <f t="shared" ca="1" si="14"/>
        <v>0.82731746659297678</v>
      </c>
      <c r="AW15" s="275">
        <f t="shared" ca="1" si="15"/>
        <v>0.78992353699531093</v>
      </c>
      <c r="AX15" s="275">
        <f t="shared" ca="1" si="15"/>
        <v>0.75455051157377684</v>
      </c>
      <c r="AY15" s="275">
        <f t="shared" ca="1" si="15"/>
        <v>0.72107162823158266</v>
      </c>
      <c r="AZ15" s="275">
        <f t="shared" ca="1" si="15"/>
        <v>0.68936915652591724</v>
      </c>
      <c r="BA15" s="275">
        <f t="shared" ca="1" si="15"/>
        <v>0.65933367858398562</v>
      </c>
      <c r="BB15" s="275">
        <f t="shared" ca="1" si="15"/>
        <v>0.63086343318165539</v>
      </c>
      <c r="BC15" s="275">
        <f t="shared" ca="1" si="15"/>
        <v>0.5088937357717056</v>
      </c>
      <c r="BD15" s="275">
        <f t="shared" ca="1" si="15"/>
        <v>0.41427682970295049</v>
      </c>
      <c r="BE15" s="275">
        <f t="shared" ca="1" si="15"/>
        <v>0.34009606244146029</v>
      </c>
      <c r="BF15" s="275">
        <f t="shared" ca="1" si="15"/>
        <v>0.28136741277731553</v>
      </c>
      <c r="BG15" s="275">
        <f t="shared" ca="1" si="15"/>
        <v>0.23445173570305489</v>
      </c>
      <c r="BH15" s="275">
        <f t="shared" ca="1" si="15"/>
        <v>0.1966593023749808</v>
      </c>
      <c r="BI15" s="275">
        <f t="shared" ca="1" si="15"/>
        <v>0.14089391854270469</v>
      </c>
      <c r="BJ15" s="275">
        <f t="shared" ca="1" si="15"/>
        <v>0.10313832732393265</v>
      </c>
      <c r="BK15" s="275">
        <f t="shared" ca="1" si="15"/>
        <v>7.6942013406946091E-2</v>
      </c>
      <c r="BL15" s="275">
        <f t="shared" ca="1" si="15"/>
        <v>5.8369085898297368E-2</v>
      </c>
      <c r="BM15" s="275">
        <f t="shared" ca="1" si="16"/>
        <v>4.4945987712743413E-2</v>
      </c>
      <c r="BN15" s="275">
        <f t="shared" ca="1" si="16"/>
        <v>3.5076939009667948E-2</v>
      </c>
      <c r="BO15" s="275">
        <f t="shared" ca="1" si="16"/>
        <v>2.770809972948568E-2</v>
      </c>
      <c r="BP15" s="275">
        <f t="shared" ca="1" si="16"/>
        <v>2.2128758169142643E-2</v>
      </c>
      <c r="BQ15" s="275">
        <f t="shared" ca="1" si="16"/>
        <v>1.7850434532066185E-2</v>
      </c>
      <c r="BR15" s="275">
        <f t="shared" ca="1" si="16"/>
        <v>1.4531563088608968E-2</v>
      </c>
      <c r="BS15" s="275">
        <f t="shared" ca="1" si="16"/>
        <v>1.1929528839687297E-2</v>
      </c>
      <c r="BT15" s="275">
        <f t="shared" ca="1" si="16"/>
        <v>9.8695075772979469E-3</v>
      </c>
      <c r="BU15" s="275">
        <f t="shared" ca="1" si="16"/>
        <v>8.2238492339668338E-3</v>
      </c>
      <c r="BV15" s="275">
        <f t="shared" ca="1" si="16"/>
        <v>6.8982063550910395E-3</v>
      </c>
      <c r="BW15" s="275">
        <f t="shared" ca="1" si="16"/>
        <v>5.8220555316378826E-3</v>
      </c>
      <c r="BX15" s="275">
        <f t="shared" ca="1" si="16"/>
        <v>4.9421273875555659E-3</v>
      </c>
      <c r="BY15" s="275">
        <f t="shared" ca="1" si="16"/>
        <v>2.3460528192751177E-3</v>
      </c>
      <c r="BZ15" s="275">
        <f t="shared" ca="1" si="16"/>
        <v>1.2303916502879628E-3</v>
      </c>
      <c r="CA15" s="275">
        <f t="shared" ca="1" si="16"/>
        <v>6.9631569356992337E-4</v>
      </c>
      <c r="CB15" s="275">
        <f t="shared" ca="1" si="16"/>
        <v>2.6398565876525307E-4</v>
      </c>
      <c r="CC15" s="275">
        <f t="shared" ca="1" si="17"/>
        <v>1.1773857527688826E-4</v>
      </c>
      <c r="CD15" s="275">
        <f t="shared" ca="1" si="17"/>
        <v>5.895725119925262E-5</v>
      </c>
      <c r="CE15" s="275">
        <f t="shared" ca="1" si="17"/>
        <v>3.2196489806865865E-5</v>
      </c>
      <c r="CF15" s="275">
        <f t="shared" ca="1" si="17"/>
        <v>1.8807709483752877E-5</v>
      </c>
      <c r="CG15" s="275">
        <f t="shared" ca="1" si="17"/>
        <v>1.1594491890791529E-5</v>
      </c>
      <c r="CH15" s="275">
        <f t="shared" ca="1" si="17"/>
        <v>7.4695385266316922E-6</v>
      </c>
    </row>
    <row r="16" spans="1:86" ht="15" x14ac:dyDescent="0.25">
      <c r="A16" s="160">
        <f>IF(OR(A15=Abandonment!$B$4,A15=""),"",'Success Cash Flow'!A15+1)</f>
        <v>2018</v>
      </c>
      <c r="B16" s="258">
        <f>Revenue!S17</f>
        <v>5.5518858188868379</v>
      </c>
      <c r="C16" s="258">
        <f>Revenue!T17</f>
        <v>88.977374451396642</v>
      </c>
      <c r="D16" s="258">
        <f>Revenue!U17</f>
        <v>0</v>
      </c>
      <c r="E16" s="258">
        <f t="shared" si="18"/>
        <v>94.529260270283487</v>
      </c>
      <c r="F16" s="258">
        <f>Exploration!X41</f>
        <v>0</v>
      </c>
      <c r="G16" s="258">
        <f>Development!BX97</f>
        <v>920.28433618509337</v>
      </c>
      <c r="H16" s="258">
        <f>Abandonment!K22</f>
        <v>0</v>
      </c>
      <c r="I16" s="258">
        <f>Operations!P25</f>
        <v>28.479612303457586</v>
      </c>
      <c r="J16" s="258">
        <f t="shared" si="9"/>
        <v>948.76394848855091</v>
      </c>
      <c r="K16" s="258">
        <f t="shared" si="10"/>
        <v>-854.23468821826737</v>
      </c>
      <c r="L16" s="258">
        <f>Royalty!AM18*Development!$BP$88</f>
        <v>1.8905852054056698</v>
      </c>
      <c r="M16" s="258">
        <f>'Provincial Tax'!X16*Development!$BP$88</f>
        <v>-23.198362751560293</v>
      </c>
      <c r="N16" s="258">
        <f>'Federal Tax'!X17*Development!$BP$88</f>
        <v>-27.548055767477845</v>
      </c>
      <c r="O16" s="258">
        <f t="shared" si="11"/>
        <v>-48.855833313632466</v>
      </c>
      <c r="P16" s="258">
        <f t="shared" si="12"/>
        <v>-805.37885490463486</v>
      </c>
      <c r="Q16" s="218"/>
      <c r="R16" s="218"/>
      <c r="S16" s="218"/>
      <c r="T16" s="218"/>
      <c r="U16" s="218"/>
      <c r="V16" s="218"/>
      <c r="W16" s="218"/>
      <c r="X16" s="218"/>
      <c r="Y16" s="93"/>
      <c r="Z16" s="93"/>
      <c r="AA16" s="93"/>
      <c r="AB16" s="93"/>
      <c r="AC16" s="279">
        <f>IF(Thresholds!$E$1=Lists!$A$8,Exploration!U41,IF(Thresholds!$E$1=Lists!$A$9,Exploration!V41,IF(Thresholds!$E$1=Lists!$A$10,Exploration!W41,IF(Thresholds!$E$1=Lists!$A$11,Development!AV97,Development!BE97-Development!AV97))))</f>
        <v>0</v>
      </c>
      <c r="AD16" s="279">
        <f t="shared" si="13"/>
        <v>920.28433618509337</v>
      </c>
      <c r="AE16" s="279"/>
      <c r="AF16" s="279"/>
      <c r="AG16" s="275">
        <f t="shared" ca="1" si="14"/>
        <v>0.57351221198332258</v>
      </c>
      <c r="AH16" s="275">
        <f t="shared" ca="1" si="14"/>
        <v>464158883361.27618</v>
      </c>
      <c r="AI16" s="275">
        <f t="shared" ca="1" si="14"/>
        <v>681292.06905796123</v>
      </c>
      <c r="AJ16" s="275">
        <f t="shared" ca="1" si="14"/>
        <v>11948.820177058278</v>
      </c>
      <c r="AK16" s="275">
        <f t="shared" ca="1" si="14"/>
        <v>1122.3440644719167</v>
      </c>
      <c r="AL16" s="275">
        <f t="shared" ca="1" si="14"/>
        <v>209.56401829408159</v>
      </c>
      <c r="AM16" s="275">
        <f t="shared" ca="1" si="14"/>
        <v>57.017517960981785</v>
      </c>
      <c r="AN16" s="275">
        <f t="shared" ca="1" si="14"/>
        <v>19.684197148672126</v>
      </c>
      <c r="AO16" s="275">
        <f t="shared" ca="1" si="14"/>
        <v>8.0093037895425816</v>
      </c>
      <c r="AP16" s="275">
        <f t="shared" ca="1" si="14"/>
        <v>3.6754321441612143</v>
      </c>
      <c r="AQ16" s="275">
        <f t="shared" ca="1" si="14"/>
        <v>1.8489224464290306</v>
      </c>
      <c r="AR16" s="275">
        <f t="shared" ca="1" si="14"/>
        <v>1.0000000000000007</v>
      </c>
      <c r="AS16" s="275">
        <f t="shared" ca="1" si="14"/>
        <v>0.94360880836324013</v>
      </c>
      <c r="AT16" s="275">
        <f t="shared" ca="1" si="14"/>
        <v>0.8909069181871172</v>
      </c>
      <c r="AU16" s="275">
        <f t="shared" ca="1" si="14"/>
        <v>0.84162027488449376</v>
      </c>
      <c r="AV16" s="275">
        <f t="shared" ca="1" si="14"/>
        <v>0.79549756403170846</v>
      </c>
      <c r="AW16" s="275">
        <f t="shared" ca="1" si="15"/>
        <v>0.75230813047172485</v>
      </c>
      <c r="AX16" s="275">
        <f t="shared" ca="1" si="15"/>
        <v>0.71184010525828023</v>
      </c>
      <c r="AY16" s="275">
        <f t="shared" ca="1" si="15"/>
        <v>0.67389871797344181</v>
      </c>
      <c r="AZ16" s="275">
        <f t="shared" ca="1" si="15"/>
        <v>0.63830477456103452</v>
      </c>
      <c r="BA16" s="275">
        <f t="shared" ca="1" si="15"/>
        <v>0.60489328310457402</v>
      </c>
      <c r="BB16" s="275">
        <f t="shared" ca="1" si="15"/>
        <v>0.57351221198332314</v>
      </c>
      <c r="BC16" s="275">
        <f t="shared" ca="1" si="15"/>
        <v>0.44251629197539627</v>
      </c>
      <c r="BD16" s="275">
        <f t="shared" ca="1" si="15"/>
        <v>0.34523069141912555</v>
      </c>
      <c r="BE16" s="275">
        <f t="shared" ca="1" si="15"/>
        <v>0.27207684995316833</v>
      </c>
      <c r="BF16" s="275">
        <f t="shared" ca="1" si="15"/>
        <v>0.21643647136716584</v>
      </c>
      <c r="BG16" s="275">
        <f t="shared" ca="1" si="15"/>
        <v>0.17366795237263327</v>
      </c>
      <c r="BH16" s="275">
        <f t="shared" ca="1" si="15"/>
        <v>0.14047093026784344</v>
      </c>
      <c r="BI16" s="275">
        <f t="shared" ca="1" si="15"/>
        <v>9.3929279028469828E-2</v>
      </c>
      <c r="BJ16" s="275">
        <f t="shared" ca="1" si="15"/>
        <v>6.4461454577457916E-2</v>
      </c>
      <c r="BK16" s="275">
        <f t="shared" ca="1" si="15"/>
        <v>4.5260007886438886E-2</v>
      </c>
      <c r="BL16" s="275">
        <f t="shared" ca="1" si="15"/>
        <v>3.2427269943498538E-2</v>
      </c>
      <c r="BM16" s="275">
        <f t="shared" ca="1" si="16"/>
        <v>2.3655783006707069E-2</v>
      </c>
      <c r="BN16" s="275">
        <f t="shared" ca="1" si="16"/>
        <v>1.7538469504833981E-2</v>
      </c>
      <c r="BO16" s="275">
        <f t="shared" ca="1" si="16"/>
        <v>1.3194333204516987E-2</v>
      </c>
      <c r="BP16" s="275">
        <f t="shared" ca="1" si="16"/>
        <v>1.0058526440519378E-2</v>
      </c>
      <c r="BQ16" s="275">
        <f t="shared" ca="1" si="16"/>
        <v>7.7610584922026896E-3</v>
      </c>
      <c r="BR16" s="275">
        <f t="shared" ca="1" si="16"/>
        <v>6.0548179535870675E-3</v>
      </c>
      <c r="BS16" s="275">
        <f t="shared" ca="1" si="16"/>
        <v>4.7718115358749182E-3</v>
      </c>
      <c r="BT16" s="275">
        <f t="shared" ca="1" si="16"/>
        <v>3.7959644528069015E-3</v>
      </c>
      <c r="BU16" s="275">
        <f t="shared" ca="1" si="16"/>
        <v>3.0458700866543829E-3</v>
      </c>
      <c r="BV16" s="275">
        <f t="shared" ca="1" si="16"/>
        <v>2.4636451268182282E-3</v>
      </c>
      <c r="BW16" s="275">
        <f t="shared" ca="1" si="16"/>
        <v>2.0076053557372001E-3</v>
      </c>
      <c r="BX16" s="275">
        <f t="shared" ca="1" si="16"/>
        <v>1.6473757958518549E-3</v>
      </c>
      <c r="BY16" s="275">
        <f t="shared" ca="1" si="16"/>
        <v>6.7030080550717656E-4</v>
      </c>
      <c r="BZ16" s="275">
        <f t="shared" ca="1" si="16"/>
        <v>3.075979125719909E-4</v>
      </c>
      <c r="CA16" s="275">
        <f t="shared" ca="1" si="16"/>
        <v>1.547368207933162E-4</v>
      </c>
      <c r="CB16" s="275">
        <f t="shared" ca="1" si="16"/>
        <v>4.7997392502773293E-5</v>
      </c>
      <c r="CC16" s="275">
        <f t="shared" ca="1" si="17"/>
        <v>1.8113626965675128E-5</v>
      </c>
      <c r="CD16" s="275">
        <f t="shared" ca="1" si="17"/>
        <v>7.8609668265670271E-6</v>
      </c>
      <c r="CE16" s="275">
        <f t="shared" ca="1" si="17"/>
        <v>3.7878223302195165E-6</v>
      </c>
      <c r="CF16" s="275">
        <f t="shared" ca="1" si="17"/>
        <v>1.9797588930266192E-6</v>
      </c>
      <c r="CG16" s="275">
        <f t="shared" ca="1" si="17"/>
        <v>1.1042373229325253E-6</v>
      </c>
      <c r="CH16" s="275">
        <f t="shared" ca="1" si="17"/>
        <v>6.4952508927232124E-7</v>
      </c>
    </row>
    <row r="17" spans="1:86" ht="15" x14ac:dyDescent="0.25">
      <c r="A17" s="160">
        <f>IF(OR(A16=Abandonment!$B$4,A16=""),"",'Success Cash Flow'!A16+1)</f>
        <v>2019</v>
      </c>
      <c r="B17" s="258">
        <f>Revenue!S18</f>
        <v>58.238833483316647</v>
      </c>
      <c r="C17" s="258">
        <f>Revenue!T18</f>
        <v>933.36546598802147</v>
      </c>
      <c r="D17" s="258">
        <f>Revenue!U18</f>
        <v>0</v>
      </c>
      <c r="E17" s="258">
        <f t="shared" si="18"/>
        <v>991.60429947133809</v>
      </c>
      <c r="F17" s="258">
        <f>Exploration!X42</f>
        <v>0</v>
      </c>
      <c r="G17" s="258">
        <f>Development!BX98</f>
        <v>161.85644317244362</v>
      </c>
      <c r="H17" s="258">
        <f>Abandonment!K23</f>
        <v>0</v>
      </c>
      <c r="I17" s="258">
        <f>Operations!P26</f>
        <v>94.076720833922323</v>
      </c>
      <c r="J17" s="258">
        <f t="shared" si="9"/>
        <v>255.93316400636593</v>
      </c>
      <c r="K17" s="258">
        <f t="shared" si="10"/>
        <v>735.67113546497217</v>
      </c>
      <c r="L17" s="258">
        <f>Royalty!AM19*Development!$BP$88</f>
        <v>19.832085989426762</v>
      </c>
      <c r="M17" s="258">
        <f>'Provincial Tax'!X17*Development!$BP$88</f>
        <v>88.205204195877883</v>
      </c>
      <c r="N17" s="258">
        <f>'Federal Tax'!X18*Development!$BP$88</f>
        <v>122.5835742505909</v>
      </c>
      <c r="O17" s="258">
        <f t="shared" si="11"/>
        <v>230.62086443589556</v>
      </c>
      <c r="P17" s="258">
        <f t="shared" si="12"/>
        <v>505.05027102907661</v>
      </c>
      <c r="Q17" s="218"/>
      <c r="R17" s="218"/>
      <c r="S17" s="218"/>
      <c r="T17" s="218"/>
      <c r="U17" s="218"/>
      <c r="V17" s="218"/>
      <c r="W17" s="218"/>
      <c r="X17" s="218"/>
      <c r="Y17" s="93"/>
      <c r="Z17" s="93"/>
      <c r="AA17" s="93"/>
      <c r="AB17" s="93"/>
      <c r="AC17" s="279">
        <f>IF(Thresholds!$E$1=Lists!$A$8,Exploration!U42,IF(Thresholds!$E$1=Lists!$A$9,Exploration!V42,IF(Thresholds!$E$1=Lists!$A$10,Exploration!W42,IF(Thresholds!$E$1=Lists!$A$11,Development!AV98,Development!BE98-Development!AV98))))</f>
        <v>0</v>
      </c>
      <c r="AD17" s="279">
        <f t="shared" si="13"/>
        <v>161.85644317244362</v>
      </c>
      <c r="AE17" s="279"/>
      <c r="AF17" s="279"/>
      <c r="AG17" s="275">
        <f t="shared" ca="1" si="14"/>
        <v>0.52137473816665691</v>
      </c>
      <c r="AH17" s="275">
        <f t="shared" ca="1" si="14"/>
        <v>46415888336127.555</v>
      </c>
      <c r="AI17" s="275">
        <f t="shared" ca="1" si="14"/>
        <v>6812920.6905796202</v>
      </c>
      <c r="AJ17" s="275">
        <f t="shared" ca="1" si="14"/>
        <v>59744.100885291446</v>
      </c>
      <c r="AK17" s="275">
        <f t="shared" ca="1" si="14"/>
        <v>3741.1468815730586</v>
      </c>
      <c r="AL17" s="275">
        <f t="shared" ca="1" si="14"/>
        <v>523.91004573520399</v>
      </c>
      <c r="AM17" s="275">
        <f t="shared" ca="1" si="14"/>
        <v>114.03503592196357</v>
      </c>
      <c r="AN17" s="275">
        <f t="shared" ca="1" si="14"/>
        <v>32.80699524778688</v>
      </c>
      <c r="AO17" s="275">
        <f t="shared" ca="1" si="14"/>
        <v>11.441862556489403</v>
      </c>
      <c r="AP17" s="275">
        <f t="shared" ca="1" si="14"/>
        <v>4.5942901802015186</v>
      </c>
      <c r="AQ17" s="275">
        <f t="shared" ca="1" si="14"/>
        <v>2.0543582738100343</v>
      </c>
      <c r="AR17" s="275">
        <f t="shared" ca="1" si="14"/>
        <v>1.0000000000000009</v>
      </c>
      <c r="AS17" s="275">
        <f t="shared" ca="1" si="14"/>
        <v>0.93426614689429743</v>
      </c>
      <c r="AT17" s="275">
        <f t="shared" ca="1" si="14"/>
        <v>0.87343815508540912</v>
      </c>
      <c r="AU17" s="275">
        <f t="shared" ca="1" si="14"/>
        <v>0.8171070629946543</v>
      </c>
      <c r="AV17" s="275">
        <f t="shared" ca="1" si="14"/>
        <v>0.76490150387664302</v>
      </c>
      <c r="AW17" s="275">
        <f t="shared" ca="1" si="15"/>
        <v>0.71648393378259512</v>
      </c>
      <c r="AX17" s="275">
        <f t="shared" ca="1" si="15"/>
        <v>0.67154726911158524</v>
      </c>
      <c r="AY17" s="275">
        <f t="shared" ca="1" si="15"/>
        <v>0.62981188595648774</v>
      </c>
      <c r="AZ17" s="275">
        <f t="shared" ca="1" si="15"/>
        <v>0.59102293940836537</v>
      </c>
      <c r="BA17" s="275">
        <f t="shared" ca="1" si="15"/>
        <v>0.55494796615098541</v>
      </c>
      <c r="BB17" s="275">
        <f t="shared" ca="1" si="15"/>
        <v>0.52137473816665758</v>
      </c>
      <c r="BC17" s="275">
        <f t="shared" ca="1" si="15"/>
        <v>0.38479677563077941</v>
      </c>
      <c r="BD17" s="275">
        <f t="shared" ca="1" si="15"/>
        <v>0.28769224284927131</v>
      </c>
      <c r="BE17" s="275">
        <f t="shared" ca="1" si="15"/>
        <v>0.21766147996253474</v>
      </c>
      <c r="BF17" s="275">
        <f t="shared" ca="1" si="15"/>
        <v>0.16648959335935831</v>
      </c>
      <c r="BG17" s="275">
        <f t="shared" ca="1" si="15"/>
        <v>0.12864292768343208</v>
      </c>
      <c r="BH17" s="275">
        <f t="shared" ca="1" si="15"/>
        <v>0.10033637876274532</v>
      </c>
      <c r="BI17" s="275">
        <f t="shared" ca="1" si="15"/>
        <v>6.2619519352313233E-2</v>
      </c>
      <c r="BJ17" s="275">
        <f t="shared" ca="1" si="15"/>
        <v>4.0288409110911215E-2</v>
      </c>
      <c r="BK17" s="275">
        <f t="shared" ca="1" si="15"/>
        <v>2.6623534050846404E-2</v>
      </c>
      <c r="BL17" s="275">
        <f t="shared" ca="1" si="15"/>
        <v>1.8015149968610304E-2</v>
      </c>
      <c r="BM17" s="275">
        <f t="shared" ca="1" si="16"/>
        <v>1.2450412108793199E-2</v>
      </c>
      <c r="BN17" s="275">
        <f t="shared" ca="1" si="16"/>
        <v>8.7692347524169906E-3</v>
      </c>
      <c r="BO17" s="275">
        <f t="shared" ca="1" si="16"/>
        <v>6.2830158116747598E-3</v>
      </c>
      <c r="BP17" s="275">
        <f t="shared" ca="1" si="16"/>
        <v>4.5720574729633577E-3</v>
      </c>
      <c r="BQ17" s="275">
        <f t="shared" ca="1" si="16"/>
        <v>3.3743732574794314E-3</v>
      </c>
      <c r="BR17" s="275">
        <f t="shared" ca="1" si="16"/>
        <v>2.5228408139946132E-3</v>
      </c>
      <c r="BS17" s="275">
        <f t="shared" ca="1" si="16"/>
        <v>1.9087246143499675E-3</v>
      </c>
      <c r="BT17" s="275">
        <f t="shared" ca="1" si="16"/>
        <v>1.4599863280026553E-3</v>
      </c>
      <c r="BU17" s="275">
        <f t="shared" ca="1" si="16"/>
        <v>1.128100032094215E-3</v>
      </c>
      <c r="BV17" s="275">
        <f t="shared" ca="1" si="16"/>
        <v>8.7987325957793855E-4</v>
      </c>
      <c r="BW17" s="275">
        <f t="shared" ca="1" si="16"/>
        <v>6.9227770887489643E-4</v>
      </c>
      <c r="BX17" s="275">
        <f t="shared" ca="1" si="16"/>
        <v>5.4912526528395184E-4</v>
      </c>
      <c r="BY17" s="275">
        <f t="shared" ca="1" si="16"/>
        <v>1.9151451585919344E-4</v>
      </c>
      <c r="BZ17" s="275">
        <f t="shared" ca="1" si="16"/>
        <v>7.6899478142997726E-5</v>
      </c>
      <c r="CA17" s="275">
        <f t="shared" ca="1" si="16"/>
        <v>3.438596017629253E-5</v>
      </c>
      <c r="CB17" s="275">
        <f t="shared" ca="1" si="16"/>
        <v>8.7267986368678697E-6</v>
      </c>
      <c r="CC17" s="275">
        <f t="shared" ca="1" si="17"/>
        <v>2.7867118408730933E-6</v>
      </c>
      <c r="CD17" s="275">
        <f t="shared" ca="1" si="17"/>
        <v>1.0481289102089366E-6</v>
      </c>
      <c r="CE17" s="275">
        <f t="shared" ca="1" si="17"/>
        <v>4.4562615649641333E-7</v>
      </c>
      <c r="CF17" s="275">
        <f t="shared" ca="1" si="17"/>
        <v>2.0839567295017049E-7</v>
      </c>
      <c r="CG17" s="275">
        <f t="shared" ca="1" si="17"/>
        <v>1.0516545932690742E-7</v>
      </c>
      <c r="CH17" s="275">
        <f t="shared" ca="1" si="17"/>
        <v>5.6480442545419141E-8</v>
      </c>
    </row>
    <row r="18" spans="1:86" ht="15" x14ac:dyDescent="0.25">
      <c r="A18" s="160">
        <f>IF(OR(A17=Abandonment!$B$4,A17=""),"",'Success Cash Flow'!A17+1)</f>
        <v>2020</v>
      </c>
      <c r="B18" s="258">
        <f>Revenue!S19</f>
        <v>60.633413654592651</v>
      </c>
      <c r="C18" s="258">
        <f>Revenue!T19</f>
        <v>971.74223804422968</v>
      </c>
      <c r="D18" s="258">
        <f>Revenue!U19</f>
        <v>0</v>
      </c>
      <c r="E18" s="258">
        <f t="shared" si="18"/>
        <v>1032.3756516988224</v>
      </c>
      <c r="F18" s="258">
        <f>Exploration!X43</f>
        <v>0</v>
      </c>
      <c r="G18" s="258">
        <f>Development!BX99</f>
        <v>0</v>
      </c>
      <c r="H18" s="258">
        <f>Abandonment!K24</f>
        <v>0</v>
      </c>
      <c r="I18" s="258">
        <f>Operations!P27</f>
        <v>97.249011627482986</v>
      </c>
      <c r="J18" s="258">
        <f t="shared" si="9"/>
        <v>97.249011627482986</v>
      </c>
      <c r="K18" s="258">
        <f t="shared" si="10"/>
        <v>935.12664007133935</v>
      </c>
      <c r="L18" s="258">
        <f>Royalty!AM20*Development!$BP$88</f>
        <v>24.518921727847033</v>
      </c>
      <c r="M18" s="258">
        <f>'Provincial Tax'!X18*Development!$BP$88</f>
        <v>107.3862913288192</v>
      </c>
      <c r="N18" s="258">
        <f>'Federal Tax'!X19*Development!$BP$88</f>
        <v>140.90114165396221</v>
      </c>
      <c r="O18" s="258">
        <f t="shared" si="11"/>
        <v>272.80635471062845</v>
      </c>
      <c r="P18" s="258">
        <f t="shared" si="12"/>
        <v>662.32028536071084</v>
      </c>
      <c r="Q18" s="218"/>
      <c r="R18" s="218"/>
      <c r="S18" s="218"/>
      <c r="T18" s="218"/>
      <c r="U18" s="218"/>
      <c r="V18" s="218"/>
      <c r="W18" s="218"/>
      <c r="X18" s="218"/>
      <c r="Y18" s="93"/>
      <c r="Z18" s="93"/>
      <c r="AA18" s="93"/>
      <c r="AB18" s="93"/>
      <c r="AC18" s="279">
        <f>IF(Thresholds!$E$1=Lists!$A$8,Exploration!U43,IF(Thresholds!$E$1=Lists!$A$9,Exploration!V43,IF(Thresholds!$E$1=Lists!$A$10,Exploration!W43,IF(Thresholds!$E$1=Lists!$A$11,Development!AV99,Development!BE99-Development!AV99))))</f>
        <v>0</v>
      </c>
      <c r="AD18" s="279">
        <f t="shared" si="13"/>
        <v>0</v>
      </c>
      <c r="AE18" s="279"/>
      <c r="AF18" s="279"/>
      <c r="AG18" s="275">
        <f t="shared" ca="1" si="14"/>
        <v>0.47397703469696068</v>
      </c>
      <c r="AH18" s="275">
        <f t="shared" ca="1" si="14"/>
        <v>4641588833612766</v>
      </c>
      <c r="AI18" s="275">
        <f t="shared" ca="1" si="14"/>
        <v>68129206.905796275</v>
      </c>
      <c r="AJ18" s="275">
        <f t="shared" ca="1" si="14"/>
        <v>298720.50442645705</v>
      </c>
      <c r="AK18" s="275">
        <f t="shared" ca="1" si="14"/>
        <v>12470.489605243527</v>
      </c>
      <c r="AL18" s="275">
        <f t="shared" ca="1" si="14"/>
        <v>1309.7751143380099</v>
      </c>
      <c r="AM18" s="275">
        <f t="shared" ca="1" si="14"/>
        <v>228.07007184392717</v>
      </c>
      <c r="AN18" s="275">
        <f t="shared" ca="1" si="14"/>
        <v>54.678325412978133</v>
      </c>
      <c r="AO18" s="275">
        <f t="shared" ca="1" si="14"/>
        <v>16.345517937842004</v>
      </c>
      <c r="AP18" s="275">
        <f t="shared" ca="1" si="14"/>
        <v>5.7428627252518991</v>
      </c>
      <c r="AQ18" s="275">
        <f t="shared" ca="1" si="14"/>
        <v>2.2826203042333715</v>
      </c>
      <c r="AR18" s="275">
        <f t="shared" ca="1" si="14"/>
        <v>1.0000000000000009</v>
      </c>
      <c r="AS18" s="275">
        <f t="shared" ca="1" si="14"/>
        <v>0.92501598702405707</v>
      </c>
      <c r="AT18" s="275">
        <f t="shared" ca="1" si="14"/>
        <v>0.8563119167504013</v>
      </c>
      <c r="AU18" s="275">
        <f t="shared" ca="1" si="14"/>
        <v>0.79330782815015</v>
      </c>
      <c r="AV18" s="275">
        <f t="shared" ca="1" si="14"/>
        <v>0.73548221526600299</v>
      </c>
      <c r="AW18" s="275">
        <f t="shared" ca="1" si="15"/>
        <v>0.68236565122151926</v>
      </c>
      <c r="AX18" s="275">
        <f t="shared" ca="1" si="15"/>
        <v>0.63353515953923134</v>
      </c>
      <c r="AY18" s="275">
        <f t="shared" ca="1" si="15"/>
        <v>0.58860923921167085</v>
      </c>
      <c r="AZ18" s="275">
        <f t="shared" ca="1" si="15"/>
        <v>0.5472434624151532</v>
      </c>
      <c r="BA18" s="275">
        <f t="shared" ca="1" si="15"/>
        <v>0.5091265744504454</v>
      </c>
      <c r="BB18" s="275">
        <f t="shared" ca="1" si="15"/>
        <v>0.47397703469696151</v>
      </c>
      <c r="BC18" s="275">
        <f t="shared" ca="1" si="15"/>
        <v>0.33460589185285167</v>
      </c>
      <c r="BD18" s="275">
        <f t="shared" ca="1" si="15"/>
        <v>0.23974353570772614</v>
      </c>
      <c r="BE18" s="275">
        <f t="shared" ca="1" si="15"/>
        <v>0.1741291839700278</v>
      </c>
      <c r="BF18" s="275">
        <f t="shared" ca="1" si="15"/>
        <v>0.12806891796873721</v>
      </c>
      <c r="BG18" s="275">
        <f t="shared" ca="1" si="15"/>
        <v>9.5291057543283042E-2</v>
      </c>
      <c r="BH18" s="275">
        <f t="shared" ca="1" si="15"/>
        <v>7.1668841973389505E-2</v>
      </c>
      <c r="BI18" s="275">
        <f t="shared" ca="1" si="15"/>
        <v>4.1746346234875498E-2</v>
      </c>
      <c r="BJ18" s="275">
        <f t="shared" ca="1" si="15"/>
        <v>2.5180255694319517E-2</v>
      </c>
      <c r="BK18" s="275">
        <f t="shared" ca="1" si="15"/>
        <v>1.5660902382850839E-2</v>
      </c>
      <c r="BL18" s="275">
        <f t="shared" ca="1" si="15"/>
        <v>1.0008416649227941E-2</v>
      </c>
      <c r="BM18" s="275">
        <f t="shared" ca="1" si="16"/>
        <v>6.5528484783122076E-3</v>
      </c>
      <c r="BN18" s="275">
        <f t="shared" ca="1" si="16"/>
        <v>4.3846173762084979E-3</v>
      </c>
      <c r="BO18" s="275">
        <f t="shared" ca="1" si="16"/>
        <v>2.9919122912736946E-3</v>
      </c>
      <c r="BP18" s="275">
        <f t="shared" ca="1" si="16"/>
        <v>2.0782079422560717E-3</v>
      </c>
      <c r="BQ18" s="275">
        <f t="shared" ca="1" si="16"/>
        <v>1.4671188075997517E-3</v>
      </c>
      <c r="BR18" s="275">
        <f t="shared" ca="1" si="16"/>
        <v>1.051183672497755E-3</v>
      </c>
      <c r="BS18" s="275">
        <f t="shared" ca="1" si="16"/>
        <v>7.6348984573998695E-4</v>
      </c>
      <c r="BT18" s="275">
        <f t="shared" ca="1" si="16"/>
        <v>5.6153320307794413E-4</v>
      </c>
      <c r="BU18" s="275">
        <f t="shared" ca="1" si="16"/>
        <v>4.1781482670156123E-4</v>
      </c>
      <c r="BV18" s="275">
        <f t="shared" ca="1" si="16"/>
        <v>3.1424044984926372E-4</v>
      </c>
      <c r="BW18" s="275">
        <f t="shared" ca="1" si="16"/>
        <v>2.3871645133617111E-4</v>
      </c>
      <c r="BX18" s="275">
        <f t="shared" ca="1" si="16"/>
        <v>1.8304175509465041E-4</v>
      </c>
      <c r="BY18" s="275">
        <f t="shared" ca="1" si="16"/>
        <v>5.47184331026267E-5</v>
      </c>
      <c r="BZ18" s="275">
        <f t="shared" ca="1" si="16"/>
        <v>1.9224869535749428E-5</v>
      </c>
      <c r="CA18" s="275">
        <f t="shared" ca="1" si="16"/>
        <v>7.6413244836205575E-6</v>
      </c>
      <c r="CB18" s="275">
        <f t="shared" ca="1" si="16"/>
        <v>1.5866906612487038E-6</v>
      </c>
      <c r="CC18" s="275">
        <f t="shared" ca="1" si="17"/>
        <v>4.2872489859586076E-7</v>
      </c>
      <c r="CD18" s="275">
        <f t="shared" ca="1" si="17"/>
        <v>1.3975052136119147E-7</v>
      </c>
      <c r="CE18" s="275">
        <f t="shared" ca="1" si="17"/>
        <v>5.2426606646636821E-8</v>
      </c>
      <c r="CF18" s="275">
        <f t="shared" ca="1" si="17"/>
        <v>2.1936386626333705E-8</v>
      </c>
      <c r="CG18" s="275">
        <f t="shared" ca="1" si="17"/>
        <v>1.0015758031134027E-8</v>
      </c>
      <c r="CH18" s="275">
        <f t="shared" ca="1" si="17"/>
        <v>4.911342830036456E-9</v>
      </c>
    </row>
    <row r="19" spans="1:86" ht="15" x14ac:dyDescent="0.25">
      <c r="A19" s="160">
        <f>IF(OR(A18=Abandonment!$B$4,A18=""),"",'Success Cash Flow'!A18+1)</f>
        <v>2021</v>
      </c>
      <c r="B19" s="258">
        <f>Revenue!S20</f>
        <v>61.979442304711696</v>
      </c>
      <c r="C19" s="258">
        <f>Revenue!T20</f>
        <v>993.31438472212403</v>
      </c>
      <c r="D19" s="258">
        <f>Revenue!U20</f>
        <v>0</v>
      </c>
      <c r="E19" s="258">
        <f t="shared" si="18"/>
        <v>1055.2938270268357</v>
      </c>
      <c r="F19" s="258">
        <f>Exploration!X44</f>
        <v>0</v>
      </c>
      <c r="G19" s="258">
        <f>Development!BX100</f>
        <v>0</v>
      </c>
      <c r="H19" s="258">
        <f>Abandonment!K25</f>
        <v>0</v>
      </c>
      <c r="I19" s="258">
        <f>Operations!P28</f>
        <v>99.612875302496477</v>
      </c>
      <c r="J19" s="258">
        <f t="shared" si="9"/>
        <v>99.612875302496477</v>
      </c>
      <c r="K19" s="258">
        <f t="shared" si="10"/>
        <v>955.68095172433925</v>
      </c>
      <c r="L19" s="258">
        <f>Royalty!AM21*Development!$BP$88</f>
        <v>190.2853303683257</v>
      </c>
      <c r="M19" s="258">
        <f>'Provincial Tax'!X19*Development!$BP$88</f>
        <v>94.331120367654975</v>
      </c>
      <c r="N19" s="258">
        <f>'Federal Tax'!X20*Development!$BP$88</f>
        <v>117.59317239533588</v>
      </c>
      <c r="O19" s="258">
        <f t="shared" si="11"/>
        <v>402.20962313131656</v>
      </c>
      <c r="P19" s="258">
        <f t="shared" si="12"/>
        <v>553.47132859302269</v>
      </c>
      <c r="Q19" s="218"/>
      <c r="R19" s="218"/>
      <c r="S19" s="218"/>
      <c r="T19" s="218"/>
      <c r="U19" s="218"/>
      <c r="V19" s="218"/>
      <c r="W19" s="218"/>
      <c r="X19" s="218"/>
      <c r="Y19" s="93"/>
      <c r="Z19" s="93"/>
      <c r="AA19" s="93"/>
      <c r="AB19" s="93"/>
      <c r="AC19" s="279">
        <f>IF(Thresholds!$E$1=Lists!$A$8,Exploration!U44,IF(Thresholds!$E$1=Lists!$A$9,Exploration!V44,IF(Thresholds!$E$1=Lists!$A$10,Exploration!W44,IF(Thresholds!$E$1=Lists!$A$11,Development!AV100,Development!BE100-Development!AV100))))</f>
        <v>0</v>
      </c>
      <c r="AD19" s="279">
        <f t="shared" si="13"/>
        <v>0</v>
      </c>
      <c r="AE19" s="279"/>
      <c r="AF19" s="279"/>
      <c r="AG19" s="275">
        <f t="shared" ca="1" si="14"/>
        <v>0.43088821336087335</v>
      </c>
      <c r="AH19" s="275">
        <f t="shared" ca="1" si="14"/>
        <v>4.6415888336127757E+17</v>
      </c>
      <c r="AI19" s="275">
        <f t="shared" ca="1" si="14"/>
        <v>681292069.05796349</v>
      </c>
      <c r="AJ19" s="275">
        <f t="shared" ca="1" si="14"/>
        <v>1493602.5221322894</v>
      </c>
      <c r="AK19" s="275">
        <f t="shared" ca="1" si="14"/>
        <v>41568.298684145164</v>
      </c>
      <c r="AL19" s="275">
        <f t="shared" ca="1" si="14"/>
        <v>3274.437785845028</v>
      </c>
      <c r="AM19" s="275">
        <f t="shared" ca="1" si="14"/>
        <v>456.14014368785479</v>
      </c>
      <c r="AN19" s="275">
        <f t="shared" ca="1" si="14"/>
        <v>91.130542354963609</v>
      </c>
      <c r="AO19" s="275">
        <f t="shared" ca="1" si="14"/>
        <v>23.350739911202876</v>
      </c>
      <c r="AP19" s="275">
        <f t="shared" ca="1" si="14"/>
        <v>7.1785784065648777</v>
      </c>
      <c r="AQ19" s="275">
        <f t="shared" ca="1" si="14"/>
        <v>2.5362447824815244</v>
      </c>
      <c r="AR19" s="275">
        <f t="shared" ca="1" si="14"/>
        <v>1.0000000000000009</v>
      </c>
      <c r="AS19" s="275">
        <f t="shared" ca="1" si="14"/>
        <v>0.91585741289510614</v>
      </c>
      <c r="AT19" s="275">
        <f t="shared" ca="1" si="14"/>
        <v>0.83952148701019746</v>
      </c>
      <c r="AU19" s="275">
        <f t="shared" ca="1" si="14"/>
        <v>0.7702017749030583</v>
      </c>
      <c r="AV19" s="275">
        <f t="shared" ca="1" si="14"/>
        <v>0.70719443775577218</v>
      </c>
      <c r="AW19" s="275">
        <f t="shared" ca="1" si="15"/>
        <v>0.64987204878239946</v>
      </c>
      <c r="AX19" s="275">
        <f t="shared" ca="1" si="15"/>
        <v>0.59767467881059577</v>
      </c>
      <c r="AY19" s="275">
        <f t="shared" ca="1" si="15"/>
        <v>0.55010209272118782</v>
      </c>
      <c r="AZ19" s="275">
        <f t="shared" ca="1" si="15"/>
        <v>0.50670690964366039</v>
      </c>
      <c r="BA19" s="275">
        <f t="shared" ca="1" si="15"/>
        <v>0.46708860041325273</v>
      </c>
      <c r="BB19" s="275">
        <f t="shared" ca="1" si="15"/>
        <v>0.43088821336087402</v>
      </c>
      <c r="BC19" s="275">
        <f t="shared" ca="1" si="15"/>
        <v>0.29096164508943623</v>
      </c>
      <c r="BD19" s="275">
        <f t="shared" ca="1" si="15"/>
        <v>0.19978627975643848</v>
      </c>
      <c r="BE19" s="275">
        <f t="shared" ca="1" si="15"/>
        <v>0.13930334717602225</v>
      </c>
      <c r="BF19" s="275">
        <f t="shared" ca="1" si="15"/>
        <v>9.8514552283643989E-2</v>
      </c>
      <c r="BG19" s="275">
        <f t="shared" ca="1" si="15"/>
        <v>7.0585968550580011E-2</v>
      </c>
      <c r="BH19" s="275">
        <f t="shared" ca="1" si="15"/>
        <v>5.1192029980992503E-2</v>
      </c>
      <c r="BI19" s="275">
        <f t="shared" ca="1" si="15"/>
        <v>2.7830897489916993E-2</v>
      </c>
      <c r="BJ19" s="275">
        <f t="shared" ca="1" si="15"/>
        <v>1.573765980894969E-2</v>
      </c>
      <c r="BK19" s="275">
        <f t="shared" ca="1" si="15"/>
        <v>9.2122955193240149E-3</v>
      </c>
      <c r="BL19" s="275">
        <f t="shared" ca="1" si="15"/>
        <v>5.5602314717932986E-3</v>
      </c>
      <c r="BM19" s="275">
        <f t="shared" ca="1" si="16"/>
        <v>3.4488676201643209E-3</v>
      </c>
      <c r="BN19" s="275">
        <f t="shared" ca="1" si="16"/>
        <v>2.1923086881042489E-3</v>
      </c>
      <c r="BO19" s="275">
        <f t="shared" ca="1" si="16"/>
        <v>1.4247201387017588E-3</v>
      </c>
      <c r="BP19" s="275">
        <f t="shared" ca="1" si="16"/>
        <v>9.4463997375275903E-4</v>
      </c>
      <c r="BQ19" s="275">
        <f t="shared" ca="1" si="16"/>
        <v>6.3787774243467485E-4</v>
      </c>
      <c r="BR19" s="275">
        <f t="shared" ca="1" si="16"/>
        <v>4.3799319687406438E-4</v>
      </c>
      <c r="BS19" s="275">
        <f t="shared" ca="1" si="16"/>
        <v>3.0539593829599475E-4</v>
      </c>
      <c r="BT19" s="275">
        <f t="shared" ca="1" si="16"/>
        <v>2.1597430887613232E-4</v>
      </c>
      <c r="BU19" s="275">
        <f t="shared" ca="1" si="16"/>
        <v>1.5474623211168909E-4</v>
      </c>
      <c r="BV19" s="275">
        <f t="shared" ca="1" si="16"/>
        <v>1.1222873208902266E-4</v>
      </c>
      <c r="BW19" s="275">
        <f t="shared" ca="1" si="16"/>
        <v>8.2316017702127866E-5</v>
      </c>
      <c r="BX19" s="275">
        <f t="shared" ca="1" si="16"/>
        <v>6.1013918364883394E-5</v>
      </c>
      <c r="BY19" s="275">
        <f t="shared" ca="1" si="16"/>
        <v>1.5633838029321885E-5</v>
      </c>
      <c r="BZ19" s="275">
        <f t="shared" ca="1" si="16"/>
        <v>4.8062173839373477E-6</v>
      </c>
      <c r="CA19" s="275">
        <f t="shared" ca="1" si="16"/>
        <v>1.6980721074712311E-6</v>
      </c>
      <c r="CB19" s="275">
        <f t="shared" ca="1" si="16"/>
        <v>2.8848921113612741E-7</v>
      </c>
      <c r="CC19" s="275">
        <f t="shared" ca="1" si="17"/>
        <v>6.5957676707055528E-8</v>
      </c>
      <c r="CD19" s="275">
        <f t="shared" ca="1" si="17"/>
        <v>1.8633402848158857E-8</v>
      </c>
      <c r="CE19" s="275">
        <f t="shared" ca="1" si="17"/>
        <v>6.1678360760749142E-9</v>
      </c>
      <c r="CF19" s="275">
        <f t="shared" ca="1" si="17"/>
        <v>2.3090933290877588E-9</v>
      </c>
      <c r="CG19" s="275">
        <f t="shared" ca="1" si="17"/>
        <v>9.5388171725085844E-10</v>
      </c>
      <c r="CH19" s="275">
        <f t="shared" ca="1" si="17"/>
        <v>4.2707328956838675E-10</v>
      </c>
    </row>
    <row r="20" spans="1:86" ht="15" x14ac:dyDescent="0.25">
      <c r="A20" s="160">
        <f>IF(OR(A19=Abandonment!$B$4,A19=""),"",'Success Cash Flow'!A19+1)</f>
        <v>2022</v>
      </c>
      <c r="B20" s="258">
        <f>Revenue!S21</f>
        <v>63.490553118906973</v>
      </c>
      <c r="C20" s="258">
        <f>Revenue!T21</f>
        <v>1017.5322229735536</v>
      </c>
      <c r="D20" s="258">
        <f>Revenue!U21</f>
        <v>0</v>
      </c>
      <c r="E20" s="258">
        <f t="shared" si="18"/>
        <v>1081.0227760924606</v>
      </c>
      <c r="F20" s="258">
        <f>Exploration!X45</f>
        <v>0</v>
      </c>
      <c r="G20" s="258">
        <f>Development!BX101</f>
        <v>0</v>
      </c>
      <c r="H20" s="258">
        <f>Abandonment!K26</f>
        <v>0</v>
      </c>
      <c r="I20" s="258">
        <f>Operations!P29</f>
        <v>102.06573001333531</v>
      </c>
      <c r="J20" s="258">
        <f t="shared" si="9"/>
        <v>102.06573001333531</v>
      </c>
      <c r="K20" s="258">
        <f t="shared" si="10"/>
        <v>978.95704607912535</v>
      </c>
      <c r="L20" s="258">
        <f>Royalty!AM22*Development!$BP$88</f>
        <v>339.06266557722711</v>
      </c>
      <c r="M20" s="258">
        <f>'Provincial Tax'!X20*Development!$BP$88</f>
        <v>81.704686652031583</v>
      </c>
      <c r="N20" s="258">
        <f>'Federal Tax'!X21*Development!$BP$88</f>
        <v>101.20554061834669</v>
      </c>
      <c r="O20" s="258">
        <f t="shared" si="11"/>
        <v>521.97289284760541</v>
      </c>
      <c r="P20" s="258">
        <f t="shared" si="12"/>
        <v>456.98415323151994</v>
      </c>
      <c r="Q20" s="218"/>
      <c r="R20" s="218"/>
      <c r="S20" s="218"/>
      <c r="T20" s="218"/>
      <c r="U20" s="218"/>
      <c r="V20" s="218"/>
      <c r="W20" s="218"/>
      <c r="X20" s="218"/>
      <c r="Y20" s="93"/>
      <c r="Z20" s="93"/>
      <c r="AA20" s="93"/>
      <c r="AB20" s="93"/>
      <c r="AC20" s="279">
        <f>IF(Thresholds!$E$1=Lists!$A$8,Exploration!U45,IF(Thresholds!$E$1=Lists!$A$9,Exploration!V45,IF(Thresholds!$E$1=Lists!$A$10,Exploration!W45,IF(Thresholds!$E$1=Lists!$A$11,Development!AV101,Development!BE101-Development!AV101))))</f>
        <v>0</v>
      </c>
      <c r="AD20" s="279">
        <f t="shared" si="13"/>
        <v>0</v>
      </c>
      <c r="AE20" s="279"/>
      <c r="AF20" s="279"/>
      <c r="AG20" s="275">
        <f t="shared" ca="1" si="14"/>
        <v>0.39171655760079388</v>
      </c>
      <c r="AH20" s="275">
        <f t="shared" ca="1" si="14"/>
        <v>4.6415888336127861E+19</v>
      </c>
      <c r="AI20" s="275">
        <f t="shared" ca="1" si="14"/>
        <v>6812920690.5796432</v>
      </c>
      <c r="AJ20" s="275">
        <f t="shared" ca="1" si="14"/>
        <v>7468012.6106614405</v>
      </c>
      <c r="AK20" s="275">
        <f t="shared" ca="1" si="14"/>
        <v>138560.99561381718</v>
      </c>
      <c r="AL20" s="275">
        <f t="shared" ca="1" si="14"/>
        <v>8186.0944646125772</v>
      </c>
      <c r="AM20" s="275">
        <f t="shared" ca="1" si="14"/>
        <v>912.28028737570958</v>
      </c>
      <c r="AN20" s="275">
        <f t="shared" ca="1" si="14"/>
        <v>151.8842372582728</v>
      </c>
      <c r="AO20" s="275">
        <f t="shared" ca="1" si="14"/>
        <v>33.358199873146987</v>
      </c>
      <c r="AP20" s="275">
        <f t="shared" ca="1" si="14"/>
        <v>8.973223008206098</v>
      </c>
      <c r="AQ20" s="275">
        <f t="shared" ca="1" si="14"/>
        <v>2.8180497583128052</v>
      </c>
      <c r="AR20" s="275">
        <f t="shared" ca="1" si="14"/>
        <v>1.0000000000000011</v>
      </c>
      <c r="AS20" s="275">
        <f t="shared" ca="1" si="14"/>
        <v>0.90678951771792715</v>
      </c>
      <c r="AT20" s="275">
        <f t="shared" ca="1" si="14"/>
        <v>0.82306028138254683</v>
      </c>
      <c r="AU20" s="275">
        <f t="shared" ca="1" si="14"/>
        <v>0.74776871349811502</v>
      </c>
      <c r="AV20" s="275">
        <f t="shared" ca="1" si="14"/>
        <v>0.67999465168824269</v>
      </c>
      <c r="AW20" s="275">
        <f t="shared" ca="1" si="15"/>
        <v>0.61892576074514238</v>
      </c>
      <c r="AX20" s="275">
        <f t="shared" ca="1" si="15"/>
        <v>0.56384403661376958</v>
      </c>
      <c r="AY20" s="275">
        <f t="shared" ca="1" si="15"/>
        <v>0.5141141053469046</v>
      </c>
      <c r="AZ20" s="275">
        <f t="shared" ca="1" si="15"/>
        <v>0.46917306448487084</v>
      </c>
      <c r="BA20" s="275">
        <f t="shared" ca="1" si="15"/>
        <v>0.42852165175527773</v>
      </c>
      <c r="BB20" s="275">
        <f t="shared" ca="1" si="15"/>
        <v>0.39171655760079466</v>
      </c>
      <c r="BC20" s="275">
        <f t="shared" ca="1" si="15"/>
        <v>0.25301012616472718</v>
      </c>
      <c r="BD20" s="275">
        <f t="shared" ca="1" si="15"/>
        <v>0.16648856646369875</v>
      </c>
      <c r="BE20" s="275">
        <f t="shared" ca="1" si="15"/>
        <v>0.11144267774081781</v>
      </c>
      <c r="BF20" s="275">
        <f t="shared" ca="1" si="15"/>
        <v>7.5780424833572307E-2</v>
      </c>
      <c r="BG20" s="275">
        <f t="shared" ca="1" si="15"/>
        <v>5.2285902630059264E-2</v>
      </c>
      <c r="BH20" s="275">
        <f t="shared" ca="1" si="15"/>
        <v>3.656573570070893E-2</v>
      </c>
      <c r="BI20" s="275">
        <f t="shared" ca="1" si="15"/>
        <v>1.8553931659944664E-2</v>
      </c>
      <c r="BJ20" s="275">
        <f t="shared" ca="1" si="15"/>
        <v>9.8360373805935625E-3</v>
      </c>
      <c r="BK20" s="275">
        <f t="shared" ca="1" si="15"/>
        <v>5.4189973643082442E-3</v>
      </c>
      <c r="BL20" s="275">
        <f t="shared" ca="1" si="15"/>
        <v>3.0890174843296115E-3</v>
      </c>
      <c r="BM20" s="275">
        <f t="shared" ca="1" si="16"/>
        <v>1.8151934842970099E-3</v>
      </c>
      <c r="BN20" s="275">
        <f t="shared" ca="1" si="16"/>
        <v>1.0961543440521245E-3</v>
      </c>
      <c r="BO20" s="275">
        <f t="shared" ca="1" si="16"/>
        <v>6.7843816128655232E-4</v>
      </c>
      <c r="BP20" s="275">
        <f t="shared" ca="1" si="16"/>
        <v>4.2938180625125402E-4</v>
      </c>
      <c r="BQ20" s="275">
        <f t="shared" ca="1" si="16"/>
        <v>2.7733814888464107E-4</v>
      </c>
      <c r="BR20" s="275">
        <f t="shared" ca="1" si="16"/>
        <v>1.8249716536419364E-4</v>
      </c>
      <c r="BS20" s="275">
        <f t="shared" ca="1" si="16"/>
        <v>1.2215837531839778E-4</v>
      </c>
      <c r="BT20" s="275">
        <f t="shared" ca="1" si="16"/>
        <v>8.3067041875435475E-5</v>
      </c>
      <c r="BU20" s="275">
        <f t="shared" ca="1" si="16"/>
        <v>5.7313419300625645E-5</v>
      </c>
      <c r="BV20" s="275">
        <f t="shared" ca="1" si="16"/>
        <v>4.008169003179376E-5</v>
      </c>
      <c r="BW20" s="275">
        <f t="shared" ca="1" si="16"/>
        <v>2.8384833690388935E-5</v>
      </c>
      <c r="BX20" s="275">
        <f t="shared" ca="1" si="16"/>
        <v>2.0337972788294479E-5</v>
      </c>
      <c r="BY20" s="275">
        <f t="shared" ca="1" si="16"/>
        <v>4.4668108655205382E-6</v>
      </c>
      <c r="BZ20" s="275">
        <f t="shared" ca="1" si="16"/>
        <v>1.2015543459843365E-6</v>
      </c>
      <c r="CA20" s="275">
        <f t="shared" ca="1" si="16"/>
        <v>3.7734935721582968E-7</v>
      </c>
      <c r="CB20" s="275">
        <f t="shared" ca="1" si="16"/>
        <v>5.2452583842932159E-8</v>
      </c>
      <c r="CC20" s="275">
        <f t="shared" ref="CC20:CH25" ca="1" si="19">IF(OR($A20="",$A20&lt;$AG$2-1),0,IF($A20=$AG$2-1,CC$7,1/(1+CC$6)^($A20-$AG$2+0.5+$AI$1)))</f>
        <v>1.0147334878008531E-8</v>
      </c>
      <c r="CD20" s="275">
        <f t="shared" ca="1" si="19"/>
        <v>2.4844537130878423E-9</v>
      </c>
      <c r="CE20" s="275">
        <f t="shared" ca="1" si="19"/>
        <v>7.2562777365587164E-10</v>
      </c>
      <c r="CF20" s="275">
        <f t="shared" ca="1" si="19"/>
        <v>2.4306245569344749E-10</v>
      </c>
      <c r="CG20" s="275">
        <f t="shared" ca="1" si="19"/>
        <v>9.0845877833414976E-11</v>
      </c>
      <c r="CH20" s="275">
        <f t="shared" ca="1" si="19"/>
        <v>3.7136807788555309E-11</v>
      </c>
    </row>
    <row r="21" spans="1:86" ht="15" x14ac:dyDescent="0.25">
      <c r="A21" s="160">
        <f>IF(OR(A20=Abandonment!$B$4,A20=""),"",'Success Cash Flow'!A20+1)</f>
        <v>2023</v>
      </c>
      <c r="B21" s="258">
        <f>Revenue!S22</f>
        <v>59.26291758162936</v>
      </c>
      <c r="C21" s="258">
        <f>Revenue!T22</f>
        <v>949.77796387753313</v>
      </c>
      <c r="D21" s="258">
        <f>Revenue!U22</f>
        <v>0</v>
      </c>
      <c r="E21" s="258">
        <f t="shared" si="18"/>
        <v>1009.0408814591625</v>
      </c>
      <c r="F21" s="258">
        <f>Exploration!X46</f>
        <v>0</v>
      </c>
      <c r="G21" s="258">
        <f>Development!BX102</f>
        <v>0</v>
      </c>
      <c r="H21" s="258">
        <f>Abandonment!K27</f>
        <v>0</v>
      </c>
      <c r="I21" s="258">
        <f>Operations!P30</f>
        <v>98.940071606595936</v>
      </c>
      <c r="J21" s="258">
        <f t="shared" si="9"/>
        <v>98.940071606595936</v>
      </c>
      <c r="K21" s="258">
        <f t="shared" si="10"/>
        <v>910.10080985256661</v>
      </c>
      <c r="L21" s="258">
        <f>Royalty!AM23*Development!$BP$88</f>
        <v>315.07238094216746</v>
      </c>
      <c r="M21" s="258">
        <f>'Provincial Tax'!X21*Development!$BP$88</f>
        <v>79.990241995555536</v>
      </c>
      <c r="N21" s="258">
        <f>'Federal Tax'!X22*Development!$BP$88</f>
        <v>94.77935110876922</v>
      </c>
      <c r="O21" s="258">
        <f t="shared" si="11"/>
        <v>489.84197404649223</v>
      </c>
      <c r="P21" s="258">
        <f t="shared" si="12"/>
        <v>420.25883580607439</v>
      </c>
      <c r="Q21" s="218"/>
      <c r="R21" s="218"/>
      <c r="S21" s="218"/>
      <c r="T21" s="218"/>
      <c r="U21" s="218"/>
      <c r="V21" s="218"/>
      <c r="W21" s="218"/>
      <c r="X21" s="218"/>
      <c r="Y21" s="93"/>
      <c r="Z21" s="93"/>
      <c r="AA21" s="93"/>
      <c r="AB21" s="93"/>
      <c r="AC21" s="279">
        <f>IF(Thresholds!$E$1=Lists!$A$8,Exploration!U46,IF(Thresholds!$E$1=Lists!$A$9,Exploration!V46,IF(Thresholds!$E$1=Lists!$A$10,Exploration!W46,IF(Thresholds!$E$1=Lists!$A$11,Development!AV102,Development!BE102-Development!AV102))))</f>
        <v>0</v>
      </c>
      <c r="AD21" s="279">
        <f t="shared" si="13"/>
        <v>0</v>
      </c>
      <c r="AE21" s="279"/>
      <c r="AF21" s="279"/>
      <c r="AG21" s="275">
        <f t="shared" ca="1" si="14"/>
        <v>0.35610596145526718</v>
      </c>
      <c r="AH21" s="275">
        <f t="shared" ca="1" si="14"/>
        <v>4.6415888336127635E+21</v>
      </c>
      <c r="AI21" s="275">
        <f t="shared" ca="1" si="14"/>
        <v>68129206905.796501</v>
      </c>
      <c r="AJ21" s="275">
        <f t="shared" ca="1" si="14"/>
        <v>37340063.053307243</v>
      </c>
      <c r="AK21" s="275">
        <f t="shared" ca="1" si="14"/>
        <v>461869.98537939059</v>
      </c>
      <c r="AL21" s="275">
        <f t="shared" ca="1" si="14"/>
        <v>20465.236161531462</v>
      </c>
      <c r="AM21" s="275">
        <f t="shared" ca="1" si="14"/>
        <v>1824.5605747514192</v>
      </c>
      <c r="AN21" s="275">
        <f t="shared" ca="1" si="14"/>
        <v>253.14039543045465</v>
      </c>
      <c r="AO21" s="275">
        <f t="shared" ca="1" si="14"/>
        <v>47.654571247352841</v>
      </c>
      <c r="AP21" s="275">
        <f t="shared" ca="1" si="14"/>
        <v>11.216528760257628</v>
      </c>
      <c r="AQ21" s="275">
        <f t="shared" ca="1" si="14"/>
        <v>3.1311663981253393</v>
      </c>
      <c r="AR21" s="275">
        <f t="shared" ca="1" si="14"/>
        <v>1.0000000000000013</v>
      </c>
      <c r="AS21" s="275">
        <f t="shared" ca="1" si="14"/>
        <v>0.897811403681116</v>
      </c>
      <c r="AT21" s="275">
        <f t="shared" ca="1" si="14"/>
        <v>0.806921844492693</v>
      </c>
      <c r="AU21" s="275">
        <f t="shared" ca="1" si="14"/>
        <v>0.72598904223117977</v>
      </c>
      <c r="AV21" s="275">
        <f t="shared" ca="1" si="14"/>
        <v>0.65384101123869498</v>
      </c>
      <c r="AW21" s="275">
        <f t="shared" ca="1" si="15"/>
        <v>0.58945310547156426</v>
      </c>
      <c r="AX21" s="275">
        <f t="shared" ca="1" si="15"/>
        <v>0.53192833642808468</v>
      </c>
      <c r="AY21" s="275">
        <f t="shared" ca="1" si="15"/>
        <v>0.48048047228682683</v>
      </c>
      <c r="AZ21" s="275">
        <f t="shared" ca="1" si="15"/>
        <v>0.43441950415265818</v>
      </c>
      <c r="BA21" s="275">
        <f t="shared" ca="1" si="15"/>
        <v>0.39313913005071355</v>
      </c>
      <c r="BB21" s="275">
        <f t="shared" ca="1" si="15"/>
        <v>0.35610596145526785</v>
      </c>
      <c r="BC21" s="275">
        <f t="shared" ca="1" si="15"/>
        <v>0.2200088053606323</v>
      </c>
      <c r="BD21" s="275">
        <f t="shared" ca="1" si="15"/>
        <v>0.13874047205308232</v>
      </c>
      <c r="BE21" s="275">
        <f t="shared" ca="1" si="15"/>
        <v>8.9154142192654259E-2</v>
      </c>
      <c r="BF21" s="275">
        <f t="shared" ca="1" si="15"/>
        <v>5.8292634487363326E-2</v>
      </c>
      <c r="BG21" s="275">
        <f t="shared" ca="1" si="15"/>
        <v>3.873029824448835E-2</v>
      </c>
      <c r="BH21" s="275">
        <f t="shared" ca="1" si="15"/>
        <v>2.6118382643363518E-2</v>
      </c>
      <c r="BI21" s="275">
        <f t="shared" ca="1" si="15"/>
        <v>1.236928777329644E-2</v>
      </c>
      <c r="BJ21" s="275">
        <f t="shared" ca="1" si="15"/>
        <v>6.1475233628709765E-3</v>
      </c>
      <c r="BK21" s="275">
        <f t="shared" ca="1" si="15"/>
        <v>3.1876455084166146E-3</v>
      </c>
      <c r="BL21" s="275">
        <f t="shared" ca="1" si="15"/>
        <v>1.7161208246275626E-3</v>
      </c>
      <c r="BM21" s="275">
        <f t="shared" ca="1" si="16"/>
        <v>9.5536499173526899E-4</v>
      </c>
      <c r="BN21" s="275">
        <f t="shared" ca="1" si="16"/>
        <v>5.4807717202606213E-4</v>
      </c>
      <c r="BO21" s="275">
        <f t="shared" ca="1" si="16"/>
        <v>3.2306579108883461E-4</v>
      </c>
      <c r="BP21" s="275">
        <f t="shared" ca="1" si="16"/>
        <v>1.9517354829602478E-4</v>
      </c>
      <c r="BQ21" s="275">
        <f t="shared" ca="1" si="16"/>
        <v>1.2058180386288757E-4</v>
      </c>
      <c r="BR21" s="275">
        <f t="shared" ca="1" si="16"/>
        <v>7.6040485568413979E-5</v>
      </c>
      <c r="BS21" s="275">
        <f t="shared" ca="1" si="16"/>
        <v>4.8863350127359156E-5</v>
      </c>
      <c r="BT21" s="275">
        <f t="shared" ca="1" si="16"/>
        <v>3.1948862259782861E-5</v>
      </c>
      <c r="BU21" s="275">
        <f t="shared" ca="1" si="16"/>
        <v>2.1227192333565041E-5</v>
      </c>
      <c r="BV21" s="275">
        <f t="shared" ca="1" si="16"/>
        <v>1.4314889297069212E-5</v>
      </c>
      <c r="BW21" s="275">
        <f t="shared" ca="1" si="16"/>
        <v>9.7878736863410184E-6</v>
      </c>
      <c r="BX21" s="275">
        <f t="shared" ca="1" si="16"/>
        <v>6.7793242627648298E-6</v>
      </c>
      <c r="BY21" s="275">
        <f t="shared" ca="1" si="16"/>
        <v>1.2762316758630107E-6</v>
      </c>
      <c r="BZ21" s="275">
        <f t="shared" ca="1" si="16"/>
        <v>3.0038858649608466E-7</v>
      </c>
      <c r="CA21" s="275">
        <f t="shared" ca="1" si="16"/>
        <v>8.3855412714628626E-8</v>
      </c>
      <c r="CB21" s="275">
        <f t="shared" ca="1" si="16"/>
        <v>9.5368334259876651E-9</v>
      </c>
      <c r="CC21" s="275">
        <f t="shared" ca="1" si="19"/>
        <v>1.5611284427705412E-9</v>
      </c>
      <c r="CD21" s="275">
        <f t="shared" ca="1" si="19"/>
        <v>3.3126049507837943E-10</v>
      </c>
      <c r="CE21" s="275">
        <f t="shared" ca="1" si="19"/>
        <v>8.5367973371279253E-11</v>
      </c>
      <c r="CF21" s="275">
        <f t="shared" ca="1" si="19"/>
        <v>2.5585521651941849E-11</v>
      </c>
      <c r="CG21" s="275">
        <f t="shared" ca="1" si="19"/>
        <v>8.6519883650871601E-12</v>
      </c>
      <c r="CH21" s="275">
        <f t="shared" ca="1" si="19"/>
        <v>3.2292876337874241E-12</v>
      </c>
    </row>
    <row r="22" spans="1:86" ht="15" x14ac:dyDescent="0.25">
      <c r="A22" s="160">
        <f>IF(OR(A21=Abandonment!$B$4,A21=""),"",'Success Cash Flow'!A21+1)</f>
        <v>2024</v>
      </c>
      <c r="B22" s="258">
        <f>Revenue!S23</f>
        <v>51.763063991897134</v>
      </c>
      <c r="C22" s="258">
        <f>Revenue!T23</f>
        <v>829.58145714929287</v>
      </c>
      <c r="D22" s="258">
        <f>Revenue!U23</f>
        <v>0</v>
      </c>
      <c r="E22" s="258">
        <f t="shared" si="18"/>
        <v>881.34452114119006</v>
      </c>
      <c r="F22" s="258">
        <f>Exploration!X47</f>
        <v>0</v>
      </c>
      <c r="G22" s="258">
        <f>Development!BX103</f>
        <v>0</v>
      </c>
      <c r="H22" s="258">
        <f>Abandonment!K28</f>
        <v>0</v>
      </c>
      <c r="I22" s="258">
        <f>Operations!P31</f>
        <v>92.562695820181176</v>
      </c>
      <c r="J22" s="258">
        <f t="shared" si="9"/>
        <v>92.562695820181176</v>
      </c>
      <c r="K22" s="258">
        <f t="shared" si="10"/>
        <v>788.78182532100891</v>
      </c>
      <c r="L22" s="258">
        <f>Royalty!AM24*Development!$BP$88</f>
        <v>272.83394450864671</v>
      </c>
      <c r="M22" s="258">
        <f>'Provincial Tax'!X22*Development!$BP$88</f>
        <v>71.347083786163722</v>
      </c>
      <c r="N22" s="258">
        <f>'Federal Tax'!X23*Development!$BP$88</f>
        <v>84.567866050354695</v>
      </c>
      <c r="O22" s="258">
        <f t="shared" si="11"/>
        <v>428.74889434516513</v>
      </c>
      <c r="P22" s="258">
        <f t="shared" si="12"/>
        <v>360.03293097584378</v>
      </c>
      <c r="Q22" s="218"/>
      <c r="R22" s="218"/>
      <c r="S22" s="218"/>
      <c r="T22" s="218"/>
      <c r="U22" s="218"/>
      <c r="V22" s="218"/>
      <c r="W22" s="218"/>
      <c r="X22" s="218"/>
      <c r="Y22" s="93"/>
      <c r="Z22" s="93"/>
      <c r="AA22" s="93"/>
      <c r="AB22" s="93"/>
      <c r="AC22" s="279">
        <f>IF(Thresholds!$E$1=Lists!$A$8,Exploration!U47,IF(Thresholds!$E$1=Lists!$A$9,Exploration!V47,IF(Thresholds!$E$1=Lists!$A$10,Exploration!W47,IF(Thresholds!$E$1=Lists!$A$11,Development!AV103,Development!BE103-Development!AV103))))</f>
        <v>0</v>
      </c>
      <c r="AD22" s="279">
        <f t="shared" si="13"/>
        <v>0</v>
      </c>
      <c r="AE22" s="279"/>
      <c r="AF22" s="279"/>
      <c r="AG22" s="275">
        <f t="shared" ca="1" si="14"/>
        <v>0.32373269223206103</v>
      </c>
      <c r="AH22" s="275">
        <f t="shared" ca="1" si="14"/>
        <v>4.6415888336127738E+23</v>
      </c>
      <c r="AI22" s="275">
        <f t="shared" ca="1" si="14"/>
        <v>681292069057.96326</v>
      </c>
      <c r="AJ22" s="275">
        <f t="shared" ca="1" si="14"/>
        <v>186700315.26653609</v>
      </c>
      <c r="AK22" s="275">
        <f t="shared" ca="1" si="14"/>
        <v>1539566.6179313019</v>
      </c>
      <c r="AL22" s="275">
        <f t="shared" ca="1" si="14"/>
        <v>51163.090403828617</v>
      </c>
      <c r="AM22" s="275">
        <f t="shared" ca="1" si="14"/>
        <v>3649.1211495028392</v>
      </c>
      <c r="AN22" s="275">
        <f t="shared" ca="1" si="14"/>
        <v>421.90065905075801</v>
      </c>
      <c r="AO22" s="275">
        <f t="shared" ca="1" si="14"/>
        <v>68.077958924789783</v>
      </c>
      <c r="AP22" s="275">
        <f t="shared" ca="1" si="14"/>
        <v>14.020660950322037</v>
      </c>
      <c r="AQ22" s="275">
        <f t="shared" ca="1" si="14"/>
        <v>3.4790737756948222</v>
      </c>
      <c r="AR22" s="275">
        <f t="shared" ca="1" si="14"/>
        <v>1.0000000000000013</v>
      </c>
      <c r="AS22" s="275">
        <f t="shared" ca="1" si="14"/>
        <v>0.88892218186249139</v>
      </c>
      <c r="AT22" s="275">
        <f t="shared" ca="1" si="14"/>
        <v>0.79109984754185614</v>
      </c>
      <c r="AU22" s="275">
        <f t="shared" ca="1" si="14"/>
        <v>0.70484373032153391</v>
      </c>
      <c r="AV22" s="275">
        <f t="shared" ca="1" si="14"/>
        <v>0.62869328003720681</v>
      </c>
      <c r="AW22" s="275">
        <f t="shared" ca="1" si="15"/>
        <v>0.56138390997291854</v>
      </c>
      <c r="AX22" s="275">
        <f t="shared" ca="1" si="15"/>
        <v>0.50181918530951386</v>
      </c>
      <c r="AY22" s="275">
        <f t="shared" ca="1" si="15"/>
        <v>0.44904717036152036</v>
      </c>
      <c r="AZ22" s="275">
        <f t="shared" ca="1" si="15"/>
        <v>0.40224028162283176</v>
      </c>
      <c r="BA22" s="275">
        <f t="shared" ca="1" si="15"/>
        <v>0.36067810096395747</v>
      </c>
      <c r="BB22" s="275">
        <f t="shared" ca="1" si="15"/>
        <v>0.3237326922320618</v>
      </c>
      <c r="BC22" s="275">
        <f t="shared" ca="1" si="15"/>
        <v>0.1913120046614194</v>
      </c>
      <c r="BD22" s="275">
        <f t="shared" ca="1" si="15"/>
        <v>0.11561706004423532</v>
      </c>
      <c r="BE22" s="275">
        <f t="shared" ca="1" si="15"/>
        <v>7.1323313754123416E-2</v>
      </c>
      <c r="BF22" s="275">
        <f t="shared" ca="1" si="15"/>
        <v>4.4840488067202568E-2</v>
      </c>
      <c r="BG22" s="275">
        <f t="shared" ca="1" si="15"/>
        <v>2.8689109810732111E-2</v>
      </c>
      <c r="BH22" s="275">
        <f t="shared" ca="1" si="15"/>
        <v>1.8655987602402512E-2</v>
      </c>
      <c r="BI22" s="275">
        <f t="shared" ca="1" si="15"/>
        <v>8.2461918488642982E-3</v>
      </c>
      <c r="BJ22" s="275">
        <f t="shared" ca="1" si="15"/>
        <v>3.8422021017943593E-3</v>
      </c>
      <c r="BK22" s="275">
        <f t="shared" ca="1" si="15"/>
        <v>1.8750855931862443E-3</v>
      </c>
      <c r="BL22" s="275">
        <f t="shared" ca="1" si="15"/>
        <v>9.5340045812642338E-4</v>
      </c>
      <c r="BM22" s="275">
        <f t="shared" ca="1" si="16"/>
        <v>5.0282367986066809E-4</v>
      </c>
      <c r="BN22" s="275">
        <f t="shared" ca="1" si="16"/>
        <v>2.7403858601303128E-4</v>
      </c>
      <c r="BO22" s="275">
        <f t="shared" ca="1" si="16"/>
        <v>1.5384085289944503E-4</v>
      </c>
      <c r="BP22" s="275">
        <f t="shared" ca="1" si="16"/>
        <v>8.8715249225465711E-5</v>
      </c>
      <c r="BQ22" s="275">
        <f t="shared" ca="1" si="16"/>
        <v>5.2426871244733689E-5</v>
      </c>
      <c r="BR22" s="275">
        <f t="shared" ca="1" si="16"/>
        <v>3.1683535653505812E-5</v>
      </c>
      <c r="BS22" s="275">
        <f t="shared" ca="1" si="16"/>
        <v>1.9545340050943645E-5</v>
      </c>
      <c r="BT22" s="275">
        <f t="shared" ca="1" si="16"/>
        <v>1.2288023946070328E-5</v>
      </c>
      <c r="BU22" s="275">
        <f t="shared" ca="1" si="16"/>
        <v>7.8619230865055789E-6</v>
      </c>
      <c r="BV22" s="275">
        <f t="shared" ca="1" si="16"/>
        <v>5.1124604632389997E-6</v>
      </c>
      <c r="BW22" s="275">
        <f t="shared" ca="1" si="16"/>
        <v>3.3751288573589671E-6</v>
      </c>
      <c r="BX22" s="275">
        <f t="shared" ca="1" si="16"/>
        <v>2.2597747542549405E-6</v>
      </c>
      <c r="BY22" s="275">
        <f t="shared" ca="1" si="16"/>
        <v>3.6463762167514594E-7</v>
      </c>
      <c r="BZ22" s="275">
        <f t="shared" ca="1" si="16"/>
        <v>7.5097146624021018E-8</v>
      </c>
      <c r="CA22" s="275">
        <f t="shared" ca="1" si="16"/>
        <v>1.8634536158806414E-8</v>
      </c>
      <c r="CB22" s="275">
        <f t="shared" ca="1" si="16"/>
        <v>1.733969713815939E-9</v>
      </c>
      <c r="CC22" s="275">
        <f t="shared" ca="1" si="19"/>
        <v>2.4017360658008381E-10</v>
      </c>
      <c r="CD22" s="275">
        <f t="shared" ca="1" si="19"/>
        <v>4.4168066010450661E-11</v>
      </c>
      <c r="CE22" s="275">
        <f t="shared" ca="1" si="19"/>
        <v>1.0043290984856373E-11</v>
      </c>
      <c r="CF22" s="275">
        <f t="shared" ca="1" si="19"/>
        <v>2.6932128054675637E-12</v>
      </c>
      <c r="CG22" s="275">
        <f t="shared" ca="1" si="19"/>
        <v>8.2399889191306177E-13</v>
      </c>
      <c r="CH22" s="275">
        <f t="shared" ca="1" si="19"/>
        <v>2.8080762032934076E-13</v>
      </c>
    </row>
    <row r="23" spans="1:86" ht="15" x14ac:dyDescent="0.25">
      <c r="A23" s="160">
        <f>IF(OR(A22=Abandonment!$B$4,A22=""),"",'Success Cash Flow'!A22+1)</f>
        <v>2025</v>
      </c>
      <c r="B23" s="258">
        <f>Revenue!S24</f>
        <v>44.965066277815232</v>
      </c>
      <c r="C23" s="258">
        <f>Revenue!T24</f>
        <v>720.63325326730444</v>
      </c>
      <c r="D23" s="258">
        <f>Revenue!U24</f>
        <v>0</v>
      </c>
      <c r="E23" s="258">
        <f t="shared" si="18"/>
        <v>765.59831954511969</v>
      </c>
      <c r="F23" s="258">
        <f>Exploration!X48</f>
        <v>0</v>
      </c>
      <c r="G23" s="258">
        <f>Development!BX104</f>
        <v>0</v>
      </c>
      <c r="H23" s="258">
        <f>Abandonment!K29</f>
        <v>0</v>
      </c>
      <c r="I23" s="258">
        <f>Operations!P32</f>
        <v>87.060198903083403</v>
      </c>
      <c r="J23" s="258">
        <f t="shared" si="9"/>
        <v>87.060198903083403</v>
      </c>
      <c r="K23" s="258">
        <f t="shared" si="10"/>
        <v>678.53812064203635</v>
      </c>
      <c r="L23" s="258">
        <f>Royalty!AM25*Development!$BP$88</f>
        <v>234.44123526310477</v>
      </c>
      <c r="M23" s="258">
        <f>'Provincial Tax'!X23*Development!$BP$88</f>
        <v>62.796375782905308</v>
      </c>
      <c r="N23" s="258">
        <f>'Federal Tax'!X24*Development!$BP$88</f>
        <v>71.944364151478467</v>
      </c>
      <c r="O23" s="258">
        <f t="shared" si="11"/>
        <v>369.18197519748855</v>
      </c>
      <c r="P23" s="258">
        <f t="shared" si="12"/>
        <v>309.35614544454779</v>
      </c>
      <c r="Q23" s="218"/>
      <c r="R23" s="218"/>
      <c r="S23" s="218"/>
      <c r="T23" s="218"/>
      <c r="U23" s="218"/>
      <c r="V23" s="218"/>
      <c r="W23" s="218"/>
      <c r="X23" s="218"/>
      <c r="Y23" s="93"/>
      <c r="Z23" s="93"/>
      <c r="AA23" s="93"/>
      <c r="AB23" s="93"/>
      <c r="AC23" s="279">
        <f>IF(Thresholds!$E$1=Lists!$A$8,Exploration!U48,IF(Thresholds!$E$1=Lists!$A$9,Exploration!V48,IF(Thresholds!$E$1=Lists!$A$10,Exploration!W48,IF(Thresholds!$E$1=Lists!$A$11,Development!AV104,Development!BE104-Development!AV104))))</f>
        <v>0</v>
      </c>
      <c r="AD23" s="279">
        <f t="shared" si="13"/>
        <v>0</v>
      </c>
      <c r="AE23" s="279"/>
      <c r="AF23" s="279"/>
      <c r="AG23" s="275">
        <f t="shared" ca="1" si="14"/>
        <v>0.29430244748369178</v>
      </c>
      <c r="AH23" s="275">
        <f t="shared" ca="1" si="14"/>
        <v>4.641588833612751E+25</v>
      </c>
      <c r="AI23" s="275">
        <f t="shared" ca="1" si="14"/>
        <v>6812920690579.6406</v>
      </c>
      <c r="AJ23" s="275">
        <f t="shared" ca="1" si="14"/>
        <v>933501576.33267975</v>
      </c>
      <c r="AK23" s="275">
        <f t="shared" ca="1" si="14"/>
        <v>5131888.726437672</v>
      </c>
      <c r="AL23" s="275">
        <f t="shared" ca="1" si="14"/>
        <v>127907.72600957165</v>
      </c>
      <c r="AM23" s="275">
        <f t="shared" ca="1" si="14"/>
        <v>7298.2422990056784</v>
      </c>
      <c r="AN23" s="275">
        <f t="shared" ca="1" si="14"/>
        <v>703.16776508459657</v>
      </c>
      <c r="AO23" s="275">
        <f t="shared" ca="1" si="14"/>
        <v>97.254227035413976</v>
      </c>
      <c r="AP23" s="275">
        <f t="shared" ca="1" si="14"/>
        <v>17.525826187902549</v>
      </c>
      <c r="AQ23" s="275">
        <f t="shared" ca="1" si="14"/>
        <v>3.865637528549803</v>
      </c>
      <c r="AR23" s="275">
        <f t="shared" ca="1" si="14"/>
        <v>1.0000000000000013</v>
      </c>
      <c r="AS23" s="275">
        <f t="shared" ca="1" si="14"/>
        <v>0.88012097214108076</v>
      </c>
      <c r="AT23" s="275">
        <f t="shared" ca="1" si="14"/>
        <v>0.77558808582534922</v>
      </c>
      <c r="AU23" s="275">
        <f t="shared" ca="1" si="14"/>
        <v>0.68431430128304283</v>
      </c>
      <c r="AV23" s="275">
        <f t="shared" ca="1" si="14"/>
        <v>0.60451276926654507</v>
      </c>
      <c r="AW23" s="275">
        <f t="shared" ca="1" si="15"/>
        <v>0.53465134283135096</v>
      </c>
      <c r="AX23" s="275">
        <f t="shared" ca="1" si="15"/>
        <v>0.47341432576369241</v>
      </c>
      <c r="AY23" s="275">
        <f t="shared" ca="1" si="15"/>
        <v>0.41967025267431818</v>
      </c>
      <c r="AZ23" s="275">
        <f t="shared" ca="1" si="15"/>
        <v>0.37244470520632578</v>
      </c>
      <c r="BA23" s="275">
        <f t="shared" ca="1" si="15"/>
        <v>0.33089734033390594</v>
      </c>
      <c r="BB23" s="275">
        <f t="shared" ca="1" si="15"/>
        <v>0.29430244748369261</v>
      </c>
      <c r="BC23" s="275">
        <f t="shared" ca="1" si="15"/>
        <v>0.1663582649229734</v>
      </c>
      <c r="BD23" s="275">
        <f t="shared" ca="1" si="15"/>
        <v>9.6347550036862781E-2</v>
      </c>
      <c r="BE23" s="275">
        <f t="shared" ca="1" si="15"/>
        <v>5.7058651003298759E-2</v>
      </c>
      <c r="BF23" s="275">
        <f t="shared" ca="1" si="15"/>
        <v>3.449268312861737E-2</v>
      </c>
      <c r="BG23" s="275">
        <f t="shared" ca="1" si="15"/>
        <v>2.1251192452394159E-2</v>
      </c>
      <c r="BH23" s="275">
        <f t="shared" ca="1" si="15"/>
        <v>1.3325705430287511E-2</v>
      </c>
      <c r="BI23" s="275">
        <f t="shared" ca="1" si="15"/>
        <v>5.4974612325761974E-3</v>
      </c>
      <c r="BJ23" s="275">
        <f t="shared" ca="1" si="15"/>
        <v>2.4013763136214766E-3</v>
      </c>
      <c r="BK23" s="275">
        <f t="shared" ca="1" si="15"/>
        <v>1.1029915254036733E-3</v>
      </c>
      <c r="BL23" s="275">
        <f t="shared" ca="1" si="15"/>
        <v>5.2966692118134651E-4</v>
      </c>
      <c r="BM23" s="275">
        <f t="shared" ca="1" si="16"/>
        <v>2.6464404203193042E-4</v>
      </c>
      <c r="BN23" s="275">
        <f t="shared" ca="1" si="16"/>
        <v>1.3701929300651564E-4</v>
      </c>
      <c r="BO23" s="275">
        <f t="shared" ca="1" si="16"/>
        <v>7.3257548999735707E-5</v>
      </c>
      <c r="BP23" s="275">
        <f t="shared" ca="1" si="16"/>
        <v>4.0325113284302638E-5</v>
      </c>
      <c r="BQ23" s="275">
        <f t="shared" ca="1" si="16"/>
        <v>2.2794291845536408E-5</v>
      </c>
      <c r="BR23" s="275">
        <f t="shared" ca="1" si="16"/>
        <v>1.3201473188960752E-5</v>
      </c>
      <c r="BS23" s="275">
        <f t="shared" ca="1" si="16"/>
        <v>7.8181360203774637E-6</v>
      </c>
      <c r="BT23" s="275">
        <f t="shared" ca="1" si="16"/>
        <v>4.7261630561808945E-6</v>
      </c>
      <c r="BU23" s="275">
        <f t="shared" ca="1" si="16"/>
        <v>2.9118233653724342E-6</v>
      </c>
      <c r="BV23" s="275">
        <f t="shared" ca="1" si="16"/>
        <v>1.8258787368710727E-6</v>
      </c>
      <c r="BW23" s="275">
        <f t="shared" ca="1" si="16"/>
        <v>1.1638375370203342E-6</v>
      </c>
      <c r="BX23" s="275">
        <f t="shared" ca="1" si="16"/>
        <v>7.5325825141831391E-7</v>
      </c>
      <c r="BY23" s="275">
        <f t="shared" ca="1" si="16"/>
        <v>1.0418217762147008E-7</v>
      </c>
      <c r="BZ23" s="275">
        <f t="shared" ca="1" si="16"/>
        <v>1.8774286656005251E-8</v>
      </c>
      <c r="CA23" s="275">
        <f t="shared" ca="1" si="16"/>
        <v>4.1410080352903123E-9</v>
      </c>
      <c r="CB23" s="275">
        <f t="shared" ca="1" si="16"/>
        <v>3.1526722069380711E-10</v>
      </c>
      <c r="CC23" s="275">
        <f t="shared" ca="1" si="19"/>
        <v>3.6949785627705153E-11</v>
      </c>
      <c r="CD23" s="275">
        <f t="shared" ca="1" si="19"/>
        <v>5.8890754680600746E-12</v>
      </c>
      <c r="CE23" s="275">
        <f t="shared" ca="1" si="19"/>
        <v>1.1815636452772193E-12</v>
      </c>
      <c r="CF23" s="275">
        <f t="shared" ca="1" si="19"/>
        <v>2.8349608478605945E-13</v>
      </c>
      <c r="CG23" s="275">
        <f t="shared" ca="1" si="19"/>
        <v>7.8476084944101028E-14</v>
      </c>
      <c r="CH23" s="275">
        <f t="shared" ca="1" si="19"/>
        <v>2.4418053941681853E-14</v>
      </c>
    </row>
    <row r="24" spans="1:86" ht="15" x14ac:dyDescent="0.25">
      <c r="A24" s="160">
        <f>IF(OR(A23=Abandonment!$B$4,A23=""),"",'Success Cash Flow'!A23+1)</f>
        <v>2026</v>
      </c>
      <c r="B24" s="258">
        <f>Revenue!S25</f>
        <v>39.175813994546523</v>
      </c>
      <c r="C24" s="258">
        <f>Revenue!T25</f>
        <v>627.85172190913897</v>
      </c>
      <c r="D24" s="258">
        <f>Revenue!U25</f>
        <v>0</v>
      </c>
      <c r="E24" s="258">
        <f t="shared" si="18"/>
        <v>667.02753590368548</v>
      </c>
      <c r="F24" s="258">
        <f>Exploration!X49</f>
        <v>0</v>
      </c>
      <c r="G24" s="258">
        <f>Development!BX105</f>
        <v>0</v>
      </c>
      <c r="H24" s="258">
        <f>Abandonment!K30</f>
        <v>0</v>
      </c>
      <c r="I24" s="258">
        <f>Operations!P33</f>
        <v>82.486915917539918</v>
      </c>
      <c r="J24" s="258">
        <f t="shared" si="9"/>
        <v>82.486915917539918</v>
      </c>
      <c r="K24" s="258">
        <f t="shared" si="10"/>
        <v>584.54061998614554</v>
      </c>
      <c r="L24" s="258">
        <f>Royalty!AM26*Development!$BP$88</f>
        <v>201.70217493803699</v>
      </c>
      <c r="M24" s="258">
        <f>'Provincial Tax'!X24*Development!$BP$88</f>
        <v>55.160821685500423</v>
      </c>
      <c r="N24" s="258">
        <f>'Federal Tax'!X25*Development!$BP$88</f>
        <v>63.533726683490585</v>
      </c>
      <c r="O24" s="258">
        <f t="shared" si="11"/>
        <v>320.39672330702797</v>
      </c>
      <c r="P24" s="258">
        <f t="shared" si="12"/>
        <v>264.14389667911757</v>
      </c>
      <c r="Q24" s="218"/>
      <c r="R24" s="218"/>
      <c r="S24" s="218"/>
      <c r="T24" s="218"/>
      <c r="U24" s="218"/>
      <c r="V24" s="218"/>
      <c r="W24" s="218"/>
      <c r="X24" s="218"/>
      <c r="Y24" s="93"/>
      <c r="Z24" s="93"/>
      <c r="AA24" s="93"/>
      <c r="AB24" s="93"/>
      <c r="AC24" s="279">
        <f>IF(Thresholds!$E$1=Lists!$A$8,Exploration!U49,IF(Thresholds!$E$1=Lists!$A$9,Exploration!V49,IF(Thresholds!$E$1=Lists!$A$10,Exploration!W49,IF(Thresholds!$E$1=Lists!$A$11,Development!AV105,Development!BE105-Development!AV105))))</f>
        <v>0</v>
      </c>
      <c r="AD24" s="279">
        <f t="shared" si="13"/>
        <v>0</v>
      </c>
      <c r="AE24" s="279"/>
      <c r="AF24" s="279"/>
      <c r="AG24" s="275">
        <f t="shared" ca="1" si="14"/>
        <v>0.26754767953062897</v>
      </c>
      <c r="AH24" s="275">
        <f t="shared" ca="1" si="14"/>
        <v>4.6415888336127617E+27</v>
      </c>
      <c r="AI24" s="275">
        <f t="shared" ca="1" si="14"/>
        <v>68129206905796.477</v>
      </c>
      <c r="AJ24" s="275">
        <f t="shared" ca="1" si="14"/>
        <v>4667507881.6634111</v>
      </c>
      <c r="AK24" s="275">
        <f t="shared" ca="1" si="14"/>
        <v>17106295.75479224</v>
      </c>
      <c r="AL24" s="275">
        <f t="shared" ca="1" si="14"/>
        <v>319769.31502392888</v>
      </c>
      <c r="AM24" s="275">
        <f t="shared" ca="1" si="14"/>
        <v>14596.484598011359</v>
      </c>
      <c r="AN24" s="275">
        <f t="shared" ca="1" si="14"/>
        <v>1171.9462751409951</v>
      </c>
      <c r="AO24" s="275">
        <f t="shared" ca="1" si="14"/>
        <v>138.93461005059152</v>
      </c>
      <c r="AP24" s="275">
        <f t="shared" ca="1" si="14"/>
        <v>21.907282734878194</v>
      </c>
      <c r="AQ24" s="275">
        <f t="shared" ca="1" si="14"/>
        <v>4.2951528094997808</v>
      </c>
      <c r="AR24" s="275">
        <f t="shared" ca="1" si="14"/>
        <v>1.0000000000000016</v>
      </c>
      <c r="AS24" s="275">
        <f t="shared" ca="1" si="14"/>
        <v>0.87140690310998126</v>
      </c>
      <c r="AT24" s="275">
        <f t="shared" ca="1" si="14"/>
        <v>0.76038047629936223</v>
      </c>
      <c r="AU24" s="275">
        <f t="shared" ca="1" si="14"/>
        <v>0.66438281677965338</v>
      </c>
      <c r="AV24" s="275">
        <f t="shared" ca="1" si="14"/>
        <v>0.58126227814090881</v>
      </c>
      <c r="AW24" s="275">
        <f t="shared" ca="1" si="15"/>
        <v>0.50919175507747727</v>
      </c>
      <c r="AX24" s="275">
        <f t="shared" ca="1" si="15"/>
        <v>0.44661728845631365</v>
      </c>
      <c r="AY24" s="275">
        <f t="shared" ca="1" si="15"/>
        <v>0.39221518941525074</v>
      </c>
      <c r="AZ24" s="275">
        <f t="shared" ca="1" si="15"/>
        <v>0.34485620852437571</v>
      </c>
      <c r="BA24" s="275">
        <f t="shared" ca="1" si="15"/>
        <v>0.30357554159073946</v>
      </c>
      <c r="BB24" s="275">
        <f t="shared" ca="1" si="15"/>
        <v>0.26754767953062963</v>
      </c>
      <c r="BC24" s="275">
        <f t="shared" ca="1" si="15"/>
        <v>0.1446593608025856</v>
      </c>
      <c r="BD24" s="275">
        <f t="shared" ca="1" si="15"/>
        <v>8.0289625030719E-2</v>
      </c>
      <c r="BE24" s="275">
        <f t="shared" ca="1" si="15"/>
        <v>4.5646920802639011E-2</v>
      </c>
      <c r="BF24" s="275">
        <f t="shared" ca="1" si="15"/>
        <v>2.6532833175859517E-2</v>
      </c>
      <c r="BG24" s="275">
        <f t="shared" ca="1" si="15"/>
        <v>1.5741624038810485E-2</v>
      </c>
      <c r="BH24" s="275">
        <f t="shared" ca="1" si="15"/>
        <v>9.5183610216339355E-3</v>
      </c>
      <c r="BI24" s="275">
        <f t="shared" ca="1" si="15"/>
        <v>3.6649741550508009E-3</v>
      </c>
      <c r="BJ24" s="275">
        <f t="shared" ca="1" si="15"/>
        <v>1.5008601960134229E-3</v>
      </c>
      <c r="BK24" s="275">
        <f t="shared" ca="1" si="15"/>
        <v>6.4881854435510202E-4</v>
      </c>
      <c r="BL24" s="275">
        <f t="shared" ca="1" si="15"/>
        <v>2.9425940065630344E-4</v>
      </c>
      <c r="BM24" s="275">
        <f t="shared" ca="1" si="16"/>
        <v>1.3928633791154252E-4</v>
      </c>
      <c r="BN24" s="275">
        <f t="shared" ca="1" si="16"/>
        <v>6.8509646503257807E-5</v>
      </c>
      <c r="BO24" s="275">
        <f t="shared" ca="1" si="16"/>
        <v>3.4884547142731282E-5</v>
      </c>
      <c r="BP24" s="275">
        <f t="shared" ca="1" si="16"/>
        <v>1.8329596947410272E-5</v>
      </c>
      <c r="BQ24" s="275">
        <f t="shared" ca="1" si="16"/>
        <v>9.9105616719723447E-6</v>
      </c>
      <c r="BR24" s="275">
        <f t="shared" ca="1" si="16"/>
        <v>5.5006138287336543E-6</v>
      </c>
      <c r="BS24" s="275">
        <f t="shared" ca="1" si="16"/>
        <v>3.1272544081509827E-6</v>
      </c>
      <c r="BT24" s="275">
        <f t="shared" ca="1" si="16"/>
        <v>1.817755021608039E-6</v>
      </c>
      <c r="BU24" s="275">
        <f t="shared" ca="1" si="16"/>
        <v>1.0784530982860861E-6</v>
      </c>
      <c r="BV24" s="275">
        <f t="shared" ca="1" si="16"/>
        <v>6.5209954888252535E-7</v>
      </c>
      <c r="BW24" s="275">
        <f t="shared" ca="1" si="16"/>
        <v>4.0132328862770098E-7</v>
      </c>
      <c r="BX24" s="275">
        <f t="shared" ca="1" si="16"/>
        <v>2.5108608380610478E-7</v>
      </c>
      <c r="BY24" s="275">
        <f t="shared" ca="1" si="16"/>
        <v>2.9766336463277161E-8</v>
      </c>
      <c r="BZ24" s="275">
        <f t="shared" ca="1" si="16"/>
        <v>4.6935716640013112E-9</v>
      </c>
      <c r="CA24" s="275">
        <f t="shared" ca="1" si="16"/>
        <v>9.2022400784229113E-10</v>
      </c>
      <c r="CB24" s="275">
        <f t="shared" ca="1" si="16"/>
        <v>5.732131285341947E-11</v>
      </c>
      <c r="CC24" s="275">
        <f t="shared" ca="1" si="19"/>
        <v>5.6845824042623249E-12</v>
      </c>
      <c r="CD24" s="275">
        <f t="shared" ca="1" si="19"/>
        <v>7.8521006240801117E-13</v>
      </c>
      <c r="CE24" s="275">
        <f t="shared" ca="1" si="19"/>
        <v>1.3900748767967272E-13</v>
      </c>
      <c r="CF24" s="275">
        <f t="shared" ca="1" si="19"/>
        <v>2.9841693135374691E-14</v>
      </c>
      <c r="CG24" s="275">
        <f t="shared" ca="1" si="19"/>
        <v>7.4739128518191364E-15</v>
      </c>
      <c r="CH24" s="275">
        <f t="shared" ca="1" si="19"/>
        <v>2.1233090384071139E-15</v>
      </c>
    </row>
    <row r="25" spans="1:86" ht="15" x14ac:dyDescent="0.25">
      <c r="A25" s="160">
        <f>IF(OR(A24=Abandonment!$B$4,A24=""),"",'Success Cash Flow'!A24+1)</f>
        <v>2027</v>
      </c>
      <c r="B25" s="258">
        <f>Revenue!S26</f>
        <v>34.131927942748646</v>
      </c>
      <c r="C25" s="258">
        <f>Revenue!T26</f>
        <v>547.01581271333703</v>
      </c>
      <c r="D25" s="258">
        <f>Revenue!U26</f>
        <v>0</v>
      </c>
      <c r="E25" s="258">
        <f t="shared" si="18"/>
        <v>581.14774065608572</v>
      </c>
      <c r="F25" s="258">
        <f>Exploration!X50</f>
        <v>0</v>
      </c>
      <c r="G25" s="258">
        <f>Development!BX106</f>
        <v>0</v>
      </c>
      <c r="H25" s="258">
        <f>Abandonment!K31</f>
        <v>0</v>
      </c>
      <c r="I25" s="258">
        <f>Operations!P34</f>
        <v>78.668336056965856</v>
      </c>
      <c r="J25" s="258">
        <f t="shared" si="9"/>
        <v>78.668336056965856</v>
      </c>
      <c r="K25" s="258">
        <f t="shared" si="10"/>
        <v>502.47940459911985</v>
      </c>
      <c r="L25" s="258">
        <f>Royalty!AM27*Development!$BP$88</f>
        <v>173.11439984769811</v>
      </c>
      <c r="M25" s="258">
        <f>'Provincial Tax'!X25*Development!$BP$88</f>
        <v>48.199114038846851</v>
      </c>
      <c r="N25" s="258">
        <f>'Federal Tax'!X26*Development!$BP$88</f>
        <v>53.877584771523118</v>
      </c>
      <c r="O25" s="258">
        <f t="shared" si="11"/>
        <v>275.19109865806809</v>
      </c>
      <c r="P25" s="258">
        <f t="shared" si="12"/>
        <v>227.28830594105176</v>
      </c>
      <c r="Q25" s="218"/>
      <c r="R25" s="218"/>
      <c r="S25" s="218"/>
      <c r="T25" s="218"/>
      <c r="U25" s="218"/>
      <c r="V25" s="218"/>
      <c r="W25" s="218"/>
      <c r="X25" s="218"/>
      <c r="Y25" s="93"/>
      <c r="Z25" s="93"/>
      <c r="AA25" s="93"/>
      <c r="AB25" s="93"/>
      <c r="AC25" s="279">
        <f>IF(Thresholds!$E$1=Lists!$A$8,Exploration!U50,IF(Thresholds!$E$1=Lists!$A$9,Exploration!V50,IF(Thresholds!$E$1=Lists!$A$10,Exploration!W50,IF(Thresholds!$E$1=Lists!$A$11,Development!AV106,Development!BE106-Development!AV106))))</f>
        <v>0</v>
      </c>
      <c r="AD25" s="279">
        <f t="shared" si="13"/>
        <v>0</v>
      </c>
      <c r="AE25" s="279"/>
      <c r="AF25" s="279"/>
      <c r="AG25" s="275">
        <f t="shared" ca="1" si="14"/>
        <v>0.24322516320966261</v>
      </c>
      <c r="AH25" s="275">
        <f t="shared" ca="1" si="14"/>
        <v>4.641588833612739E+29</v>
      </c>
      <c r="AI25" s="275">
        <f t="shared" ca="1" si="14"/>
        <v>681292069057963.25</v>
      </c>
      <c r="AJ25" s="275">
        <f t="shared" ca="1" si="14"/>
        <v>23337539408.317039</v>
      </c>
      <c r="AK25" s="275">
        <f t="shared" ca="1" si="14"/>
        <v>57020985.849307463</v>
      </c>
      <c r="AL25" s="275">
        <f t="shared" ca="1" si="14"/>
        <v>799423.2875598229</v>
      </c>
      <c r="AM25" s="275">
        <f t="shared" ca="1" si="14"/>
        <v>29192.969196022717</v>
      </c>
      <c r="AN25" s="275">
        <f t="shared" ca="1" si="14"/>
        <v>1953.2437919016581</v>
      </c>
      <c r="AO25" s="275">
        <f t="shared" ca="1" si="14"/>
        <v>198.47801435798789</v>
      </c>
      <c r="AP25" s="275">
        <f t="shared" ca="1" si="14"/>
        <v>27.384103418597753</v>
      </c>
      <c r="AQ25" s="275">
        <f t="shared" ca="1" si="14"/>
        <v>4.772392010555313</v>
      </c>
      <c r="AR25" s="275">
        <f t="shared" ca="1" si="14"/>
        <v>1.0000000000000018</v>
      </c>
      <c r="AS25" s="275">
        <f t="shared" ca="1" si="14"/>
        <v>0.86277911199008051</v>
      </c>
      <c r="AT25" s="275">
        <f t="shared" ca="1" si="14"/>
        <v>0.74547105519545331</v>
      </c>
      <c r="AU25" s="275">
        <f t="shared" ca="1" si="14"/>
        <v>0.64503186095111986</v>
      </c>
      <c r="AV25" s="275">
        <f t="shared" ref="AQ25:BF40" ca="1" si="20">IF(OR($A25="",$A25&lt;$AG$2-1),0,IF($A25=$AG$2-1,AV$7,1/(1+AV$6)^($A25-$AG$2+0.5+$AI$1)))</f>
        <v>0.55890603667395089</v>
      </c>
      <c r="AW25" s="275">
        <f t="shared" ca="1" si="20"/>
        <v>0.48494452864521659</v>
      </c>
      <c r="AX25" s="275">
        <f t="shared" ca="1" si="20"/>
        <v>0.42133706458142811</v>
      </c>
      <c r="AY25" s="275">
        <f t="shared" ca="1" si="20"/>
        <v>0.36655625178995394</v>
      </c>
      <c r="AZ25" s="275">
        <f t="shared" ca="1" si="20"/>
        <v>0.31931130418923687</v>
      </c>
      <c r="BA25" s="275">
        <f t="shared" ca="1" si="15"/>
        <v>0.2785096711841647</v>
      </c>
      <c r="BB25" s="275">
        <f t="shared" ca="1" si="15"/>
        <v>0.24322516320966331</v>
      </c>
      <c r="BC25" s="275">
        <f t="shared" ca="1" si="15"/>
        <v>0.12579074852398744</v>
      </c>
      <c r="BD25" s="275">
        <f t="shared" ca="1" si="15"/>
        <v>6.6908020858932507E-2</v>
      </c>
      <c r="BE25" s="275">
        <f t="shared" ca="1" si="15"/>
        <v>3.6517536642111208E-2</v>
      </c>
      <c r="BF25" s="275">
        <f t="shared" ca="1" si="15"/>
        <v>2.0409871673738096E-2</v>
      </c>
      <c r="BG25" s="275">
        <f t="shared" ca="1" si="15"/>
        <v>1.1660462250970734E-2</v>
      </c>
      <c r="BH25" s="275">
        <f t="shared" ca="1" si="15"/>
        <v>6.7988293011670958E-3</v>
      </c>
      <c r="BI25" s="275">
        <f t="shared" ca="1" si="15"/>
        <v>2.4433161033672003E-3</v>
      </c>
      <c r="BJ25" s="275">
        <f t="shared" ca="1" si="15"/>
        <v>9.3803762250838898E-4</v>
      </c>
      <c r="BK25" s="275">
        <f t="shared" ca="1" si="15"/>
        <v>3.8165796726770716E-4</v>
      </c>
      <c r="BL25" s="275">
        <f t="shared" ca="1" si="15"/>
        <v>1.6347744480905754E-4</v>
      </c>
      <c r="BM25" s="275">
        <f t="shared" ca="1" si="16"/>
        <v>7.3308598900811821E-5</v>
      </c>
      <c r="BN25" s="275">
        <f t="shared" ca="1" si="16"/>
        <v>3.4254823251628903E-5</v>
      </c>
      <c r="BO25" s="275">
        <f t="shared" ca="1" si="16"/>
        <v>1.6611689115586349E-5</v>
      </c>
      <c r="BP25" s="275">
        <f t="shared" ca="1" si="16"/>
        <v>8.3316349760955858E-6</v>
      </c>
      <c r="BQ25" s="275">
        <f t="shared" ca="1" si="16"/>
        <v>4.3089398573792781E-6</v>
      </c>
      <c r="BR25" s="275">
        <f t="shared" ca="1" si="16"/>
        <v>2.2919224286390216E-6</v>
      </c>
      <c r="BS25" s="275">
        <f t="shared" ca="1" si="16"/>
        <v>1.2509017632603941E-6</v>
      </c>
      <c r="BT25" s="275">
        <f t="shared" ca="1" si="16"/>
        <v>6.9913654677232243E-7</v>
      </c>
      <c r="BU25" s="275">
        <f t="shared" ca="1" si="16"/>
        <v>3.9942707343929161E-7</v>
      </c>
      <c r="BV25" s="275">
        <f t="shared" ca="1" si="16"/>
        <v>2.3289269602947347E-7</v>
      </c>
      <c r="BW25" s="275">
        <f t="shared" ca="1" si="16"/>
        <v>1.3838734090610386E-7</v>
      </c>
      <c r="BX25" s="275">
        <f t="shared" ca="1" si="16"/>
        <v>8.369536126870165E-8</v>
      </c>
      <c r="BY25" s="275">
        <f t="shared" ca="1" si="16"/>
        <v>8.5046675609363317E-9</v>
      </c>
      <c r="BZ25" s="275">
        <f t="shared" ca="1" si="16"/>
        <v>1.1733929160003317E-9</v>
      </c>
      <c r="CA25" s="275">
        <f t="shared" ca="1" si="16"/>
        <v>2.0449422396495346E-10</v>
      </c>
      <c r="CB25" s="275">
        <f ca="1">IF(OR($A25="",$A25&lt;$AG$2-1),0,IF($A25=$AG$2-1,CB$7,1/(1+CB$6)^($A25-$AG$2+0.5+$AI$1)))</f>
        <v>1.0422056882439903E-11</v>
      </c>
      <c r="CC25" s="275">
        <f t="shared" ca="1" si="19"/>
        <v>8.7455113911728269E-13</v>
      </c>
      <c r="CD25" s="275">
        <f t="shared" ca="1" si="19"/>
        <v>1.0469467498773461E-13</v>
      </c>
      <c r="CE25" s="275">
        <f t="shared" ca="1" si="19"/>
        <v>1.6353822079961542E-14</v>
      </c>
      <c r="CF25" s="275">
        <f t="shared" ca="1" si="19"/>
        <v>3.1412308563552202E-15</v>
      </c>
      <c r="CG25" s="275">
        <f t="shared" ca="1" si="19"/>
        <v>7.1180122398277651E-16</v>
      </c>
      <c r="CH25" s="275">
        <f t="shared" ca="1" si="19"/>
        <v>1.8463556855714068E-16</v>
      </c>
    </row>
    <row r="26" spans="1:86" ht="15" x14ac:dyDescent="0.25">
      <c r="A26" s="160">
        <f>IF(OR(A25=Abandonment!$B$4,A25=""),"",'Success Cash Flow'!A25+1)</f>
        <v>2028</v>
      </c>
      <c r="B26" s="258">
        <f>Revenue!S27</f>
        <v>29.812456800388702</v>
      </c>
      <c r="C26" s="258">
        <f>Revenue!T27</f>
        <v>477.78974902911978</v>
      </c>
      <c r="D26" s="258">
        <f>Revenue!U27</f>
        <v>0</v>
      </c>
      <c r="E26" s="258">
        <f t="shared" si="18"/>
        <v>507.60220582950848</v>
      </c>
      <c r="F26" s="258">
        <f>Exploration!X51</f>
        <v>0</v>
      </c>
      <c r="G26" s="258">
        <f>Development!BX107</f>
        <v>0</v>
      </c>
      <c r="H26" s="258">
        <f>Abandonment!K32</f>
        <v>0</v>
      </c>
      <c r="I26" s="258">
        <f>Operations!P35</f>
        <v>75.537463576419512</v>
      </c>
      <c r="J26" s="258">
        <f t="shared" si="9"/>
        <v>75.537463576419512</v>
      </c>
      <c r="K26" s="258">
        <f t="shared" si="10"/>
        <v>432.06474225308898</v>
      </c>
      <c r="L26" s="258">
        <f>Royalty!AM28*Development!$BP$88</f>
        <v>148.57884856340647</v>
      </c>
      <c r="M26" s="258">
        <f>'Provincial Tax'!X26*Development!$BP$88</f>
        <v>42.032775243500708</v>
      </c>
      <c r="N26" s="258">
        <f>'Federal Tax'!X27*Development!$BP$88</f>
        <v>47.39477323945146</v>
      </c>
      <c r="O26" s="258">
        <f t="shared" si="11"/>
        <v>238.00639704635864</v>
      </c>
      <c r="P26" s="258">
        <f t="shared" si="12"/>
        <v>194.05834520673034</v>
      </c>
      <c r="Q26" s="218"/>
      <c r="R26" s="218"/>
      <c r="S26" s="218"/>
      <c r="T26" s="218"/>
      <c r="U26" s="218"/>
      <c r="V26" s="218"/>
      <c r="W26" s="218"/>
      <c r="X26" s="218"/>
      <c r="Y26" s="93"/>
      <c r="Z26" s="93"/>
      <c r="AA26" s="93"/>
      <c r="AB26" s="93"/>
      <c r="AC26" s="279">
        <f>IF(Thresholds!$E$1=Lists!$A$8,Exploration!U51,IF(Thresholds!$E$1=Lists!$A$9,Exploration!V51,IF(Thresholds!$E$1=Lists!$A$10,Exploration!W51,IF(Thresholds!$E$1=Lists!$A$11,Development!AV107,Development!BE107-Development!AV107))))</f>
        <v>0</v>
      </c>
      <c r="AD26" s="279">
        <f t="shared" si="13"/>
        <v>0</v>
      </c>
      <c r="AE26" s="279"/>
      <c r="AF26" s="279"/>
      <c r="AG26" s="275">
        <f t="shared" ref="AG26:AV41" ca="1" si="21">IF(OR($A26="",$A26&lt;$AG$2-1),0,IF($A26=$AG$2-1,AG$7,1/(1+AG$6)^($A26-$AG$2+0.5+$AI$1)))</f>
        <v>0.22111378473605692</v>
      </c>
      <c r="AH26" s="275">
        <f t="shared" ca="1" si="21"/>
        <v>4.6415888336127817E+31</v>
      </c>
      <c r="AI26" s="275">
        <f t="shared" ca="1" si="21"/>
        <v>6812920690579664</v>
      </c>
      <c r="AJ26" s="275">
        <f t="shared" ca="1" si="21"/>
        <v>116687697041.5851</v>
      </c>
      <c r="AK26" s="275">
        <f t="shared" ca="1" si="21"/>
        <v>190069952.83102486</v>
      </c>
      <c r="AL26" s="275">
        <f t="shared" ca="1" si="21"/>
        <v>1998558.218899559</v>
      </c>
      <c r="AM26" s="275">
        <f t="shared" ca="1" si="21"/>
        <v>58385.938392045449</v>
      </c>
      <c r="AN26" s="275">
        <f t="shared" ca="1" si="21"/>
        <v>3255.4063198360986</v>
      </c>
      <c r="AO26" s="275">
        <f t="shared" ca="1" si="21"/>
        <v>283.54002051141129</v>
      </c>
      <c r="AP26" s="275">
        <f t="shared" ca="1" si="21"/>
        <v>34.230129273247186</v>
      </c>
      <c r="AQ26" s="275">
        <f t="shared" ca="1" si="20"/>
        <v>5.3026577895059042</v>
      </c>
      <c r="AR26" s="275">
        <f t="shared" ca="1" si="20"/>
        <v>1.0000000000000018</v>
      </c>
      <c r="AS26" s="275">
        <f t="shared" ca="1" si="20"/>
        <v>0.85423674454463439</v>
      </c>
      <c r="AT26" s="275">
        <f t="shared" ca="1" si="20"/>
        <v>0.73085397568181709</v>
      </c>
      <c r="AU26" s="275">
        <f t="shared" ca="1" si="20"/>
        <v>0.62624452519526208</v>
      </c>
      <c r="AV26" s="275">
        <f t="shared" ca="1" si="20"/>
        <v>0.53740965064802981</v>
      </c>
      <c r="AW26" s="275">
        <f t="shared" ca="1" si="20"/>
        <v>0.46185193204306341</v>
      </c>
      <c r="AX26" s="275">
        <f t="shared" ca="1" si="20"/>
        <v>0.39748779677493218</v>
      </c>
      <c r="AY26" s="275">
        <f t="shared" ca="1" si="20"/>
        <v>0.34257593625229349</v>
      </c>
      <c r="AZ26" s="275">
        <f t="shared" ca="1" si="20"/>
        <v>0.29565861499003415</v>
      </c>
      <c r="BA26" s="275">
        <f t="shared" ca="1" si="20"/>
        <v>0.25551345980198598</v>
      </c>
      <c r="BB26" s="275">
        <f t="shared" ca="1" si="20"/>
        <v>0.22111378473605758</v>
      </c>
      <c r="BC26" s="275">
        <f t="shared" ca="1" si="20"/>
        <v>0.10938325958607609</v>
      </c>
      <c r="BD26" s="275">
        <f t="shared" ca="1" si="20"/>
        <v>5.5756684049110439E-2</v>
      </c>
      <c r="BE26" s="275">
        <f t="shared" ca="1" si="20"/>
        <v>2.9214029313688984E-2</v>
      </c>
      <c r="BF26" s="275">
        <f t="shared" ca="1" si="20"/>
        <v>1.5699901287490846E-2</v>
      </c>
      <c r="BG26" s="275">
        <f t="shared" ref="BG26:BV41" ca="1" si="22">IF(OR($A26="",$A26&lt;$AG$2-1),0,IF($A26=$AG$2-1,BG$7,1/(1+BG$6)^($A26-$AG$2+0.5+$AI$1)))</f>
        <v>8.6373794451635091E-3</v>
      </c>
      <c r="BH26" s="275">
        <f t="shared" ca="1" si="22"/>
        <v>4.8563066436907824E-3</v>
      </c>
      <c r="BI26" s="275">
        <f t="shared" ca="1" si="22"/>
        <v>1.6288774022447999E-3</v>
      </c>
      <c r="BJ26" s="275">
        <f t="shared" ca="1" si="22"/>
        <v>5.8627351406774356E-4</v>
      </c>
      <c r="BK26" s="275">
        <f t="shared" ca="1" si="22"/>
        <v>2.2450468662806302E-4</v>
      </c>
      <c r="BL26" s="275">
        <f t="shared" ca="1" si="22"/>
        <v>9.0820802671698654E-5</v>
      </c>
      <c r="BM26" s="275">
        <f t="shared" ca="1" si="22"/>
        <v>3.8583473105690413E-5</v>
      </c>
      <c r="BN26" s="275">
        <f t="shared" ca="1" si="22"/>
        <v>1.7127411625814479E-5</v>
      </c>
      <c r="BO26" s="275">
        <f t="shared" ca="1" si="22"/>
        <v>7.910328150279211E-6</v>
      </c>
      <c r="BP26" s="275">
        <f t="shared" ca="1" si="22"/>
        <v>3.7871068073161724E-6</v>
      </c>
      <c r="BQ26" s="275">
        <f t="shared" ca="1" si="22"/>
        <v>1.8734521119040361E-6</v>
      </c>
      <c r="BR26" s="275">
        <f t="shared" ca="1" si="22"/>
        <v>9.5496767859959199E-7</v>
      </c>
      <c r="BS26" s="275">
        <f t="shared" ca="1" si="22"/>
        <v>5.0036070530415723E-7</v>
      </c>
      <c r="BT26" s="275">
        <f t="shared" ca="1" si="22"/>
        <v>2.6889867183550856E-7</v>
      </c>
      <c r="BU26" s="275">
        <f t="shared" ca="1" si="22"/>
        <v>1.4793595312566345E-7</v>
      </c>
      <c r="BV26" s="275">
        <f t="shared" ca="1" si="22"/>
        <v>8.3175962867669023E-8</v>
      </c>
      <c r="BW26" s="275">
        <f t="shared" ref="BU26:CH41" ca="1" si="23">IF(OR($A26="",$A26&lt;$AG$2-1),0,IF($A26=$AG$2-1,BW$7,1/(1+BW$6)^($A26-$AG$2+0.5+$AI$1)))</f>
        <v>4.7719772726242648E-8</v>
      </c>
      <c r="BX26" s="275">
        <f t="shared" ca="1" si="23"/>
        <v>2.7898453756233849E-8</v>
      </c>
      <c r="BY26" s="275">
        <f t="shared" ca="1" si="23"/>
        <v>2.4299050174103801E-9</v>
      </c>
      <c r="BZ26" s="275">
        <f t="shared" ca="1" si="23"/>
        <v>2.9334822900008288E-10</v>
      </c>
      <c r="CA26" s="275">
        <f t="shared" ca="1" si="23"/>
        <v>4.5443160881100745E-11</v>
      </c>
      <c r="CB26" s="275">
        <f t="shared" ca="1" si="23"/>
        <v>1.8949194331708915E-12</v>
      </c>
      <c r="CC26" s="275">
        <f t="shared" ca="1" si="23"/>
        <v>1.345463290949664E-13</v>
      </c>
      <c r="CD26" s="275">
        <f t="shared" ca="1" si="23"/>
        <v>1.3959289998364634E-14</v>
      </c>
      <c r="CE26" s="275">
        <f t="shared" ca="1" si="23"/>
        <v>1.9239790682307608E-15</v>
      </c>
      <c r="CF26" s="275">
        <f t="shared" ca="1" si="23"/>
        <v>3.3065587961633906E-16</v>
      </c>
      <c r="CG26" s="275">
        <f t="shared" ca="1" si="23"/>
        <v>6.7790592760264582E-17</v>
      </c>
      <c r="CH26" s="275">
        <f t="shared" ca="1" si="23"/>
        <v>1.6055266831055743E-17</v>
      </c>
    </row>
    <row r="27" spans="1:86" ht="15" x14ac:dyDescent="0.25">
      <c r="A27" s="160">
        <f>IF(OR(A26=Abandonment!$B$4,A26=""),"",'Success Cash Flow'!A26+1)</f>
        <v>2029</v>
      </c>
      <c r="B27" s="258">
        <f>Revenue!S28</f>
        <v>25.897213042562992</v>
      </c>
      <c r="C27" s="258">
        <f>Revenue!T28</f>
        <v>415.04204108393014</v>
      </c>
      <c r="D27" s="258">
        <f>Revenue!U28</f>
        <v>0</v>
      </c>
      <c r="E27" s="258">
        <f t="shared" si="18"/>
        <v>440.93925412649315</v>
      </c>
      <c r="F27" s="258">
        <f>Exploration!X52</f>
        <v>0</v>
      </c>
      <c r="G27" s="258">
        <f>Development!BX108</f>
        <v>0</v>
      </c>
      <c r="H27" s="258">
        <f>Abandonment!K33</f>
        <v>0</v>
      </c>
      <c r="I27" s="258">
        <f>Operations!P36</f>
        <v>72.924022418921609</v>
      </c>
      <c r="J27" s="258">
        <f t="shared" si="9"/>
        <v>72.924022418921609</v>
      </c>
      <c r="K27" s="258">
        <f t="shared" si="10"/>
        <v>368.01523170757156</v>
      </c>
      <c r="L27" s="258">
        <f>Royalty!AM29*Development!$BP$88</f>
        <v>126.25299031298778</v>
      </c>
      <c r="M27" s="258">
        <f>'Provincial Tax'!X27*Development!$BP$88</f>
        <v>36.222880918927899</v>
      </c>
      <c r="N27" s="258">
        <f>'Federal Tax'!X28*Development!$BP$88</f>
        <v>39.714147058140171</v>
      </c>
      <c r="O27" s="258">
        <f t="shared" si="11"/>
        <v>202.19001829005583</v>
      </c>
      <c r="P27" s="258">
        <f t="shared" si="12"/>
        <v>165.82521341751573</v>
      </c>
      <c r="Q27" s="218"/>
      <c r="R27" s="218"/>
      <c r="S27" s="218"/>
      <c r="T27" s="218"/>
      <c r="U27" s="218"/>
      <c r="V27" s="218"/>
      <c r="W27" s="218"/>
      <c r="X27" s="218"/>
      <c r="Y27" s="93"/>
      <c r="Z27" s="93"/>
      <c r="AA27" s="93"/>
      <c r="AB27" s="93"/>
      <c r="AC27" s="279">
        <f>IF(Thresholds!$E$1=Lists!$A$8,Exploration!U52,IF(Thresholds!$E$1=Lists!$A$9,Exploration!V52,IF(Thresholds!$E$1=Lists!$A$10,Exploration!W52,IF(Thresholds!$E$1=Lists!$A$11,Development!AV108,Development!BE108-Development!AV108))))</f>
        <v>0</v>
      </c>
      <c r="AD27" s="279">
        <f t="shared" si="13"/>
        <v>0</v>
      </c>
      <c r="AE27" s="279"/>
      <c r="AF27" s="279"/>
      <c r="AG27" s="275">
        <f t="shared" ca="1" si="21"/>
        <v>0.20101253157823357</v>
      </c>
      <c r="AH27" s="275">
        <f t="shared" ca="1" si="21"/>
        <v>4.6415888336126933E+33</v>
      </c>
      <c r="AI27" s="275">
        <f t="shared" ca="1" si="21"/>
        <v>6.8129206905795992E+16</v>
      </c>
      <c r="AJ27" s="275">
        <f t="shared" ca="1" si="21"/>
        <v>583438485207.92505</v>
      </c>
      <c r="AK27" s="275">
        <f t="shared" ca="1" si="21"/>
        <v>633566509.43674946</v>
      </c>
      <c r="AL27" s="275">
        <f t="shared" ca="1" si="21"/>
        <v>4996395.547248885</v>
      </c>
      <c r="AM27" s="275">
        <f t="shared" ca="1" si="21"/>
        <v>116771.8767840909</v>
      </c>
      <c r="AN27" s="275">
        <f t="shared" ca="1" si="21"/>
        <v>5425.6771997268306</v>
      </c>
      <c r="AO27" s="275">
        <f t="shared" ca="1" si="21"/>
        <v>405.05717215915905</v>
      </c>
      <c r="AP27" s="275">
        <f t="shared" ca="1" si="21"/>
        <v>42.787661591558987</v>
      </c>
      <c r="AQ27" s="275">
        <f t="shared" ca="1" si="20"/>
        <v>5.891841988339892</v>
      </c>
      <c r="AR27" s="275">
        <f t="shared" ca="1" si="20"/>
        <v>1.0000000000000018</v>
      </c>
      <c r="AS27" s="275">
        <f t="shared" ca="1" si="20"/>
        <v>0.84577895499468769</v>
      </c>
      <c r="AT27" s="275">
        <f t="shared" ca="1" si="20"/>
        <v>0.71652350557040911</v>
      </c>
      <c r="AU27" s="275">
        <f t="shared" ca="1" si="20"/>
        <v>0.60800439339345846</v>
      </c>
      <c r="AV27" s="275">
        <f t="shared" ca="1" si="20"/>
        <v>0.51674004870002888</v>
      </c>
      <c r="AW27" s="275">
        <f t="shared" ca="1" si="20"/>
        <v>0.43985898289815573</v>
      </c>
      <c r="AX27" s="275">
        <f t="shared" ca="1" si="20"/>
        <v>0.3749884875235211</v>
      </c>
      <c r="AY27" s="275">
        <f t="shared" ca="1" si="20"/>
        <v>0.32016442640401271</v>
      </c>
      <c r="AZ27" s="275">
        <f t="shared" ca="1" si="20"/>
        <v>0.27375797684262426</v>
      </c>
      <c r="BA27" s="275">
        <f t="shared" ca="1" si="20"/>
        <v>0.23441601816695967</v>
      </c>
      <c r="BB27" s="275">
        <f t="shared" ca="1" si="20"/>
        <v>0.20101253157823423</v>
      </c>
      <c r="BC27" s="275">
        <f t="shared" ca="1" si="20"/>
        <v>9.5115877900935758E-2</v>
      </c>
      <c r="BD27" s="275">
        <f t="shared" ca="1" si="20"/>
        <v>4.6463903374258722E-2</v>
      </c>
      <c r="BE27" s="275">
        <f t="shared" ca="1" si="20"/>
        <v>2.3371223450951197E-2</v>
      </c>
      <c r="BF27" s="275">
        <f t="shared" ca="1" si="20"/>
        <v>1.2076847144223735E-2</v>
      </c>
      <c r="BG27" s="275">
        <f t="shared" ca="1" si="22"/>
        <v>6.3980588482692672E-3</v>
      </c>
      <c r="BH27" s="275">
        <f t="shared" ca="1" si="22"/>
        <v>3.4687904597791338E-3</v>
      </c>
      <c r="BI27" s="275">
        <f t="shared" ca="1" si="22"/>
        <v>1.0859182681632014E-3</v>
      </c>
      <c r="BJ27" s="275">
        <f t="shared" ca="1" si="22"/>
        <v>3.6642094629234001E-4</v>
      </c>
      <c r="BK27" s="275">
        <f t="shared" ca="1" si="22"/>
        <v>1.3206158036944908E-4</v>
      </c>
      <c r="BL27" s="275">
        <f t="shared" ca="1" si="22"/>
        <v>5.0456001484277056E-5</v>
      </c>
      <c r="BM27" s="275">
        <f t="shared" ca="1" si="22"/>
        <v>2.0307091108258139E-5</v>
      </c>
      <c r="BN27" s="275">
        <f t="shared" ca="1" si="22"/>
        <v>8.5637058129072394E-6</v>
      </c>
      <c r="BO27" s="275">
        <f t="shared" ca="1" si="22"/>
        <v>3.7668229287043924E-6</v>
      </c>
      <c r="BP27" s="275">
        <f t="shared" ca="1" si="22"/>
        <v>1.7214121851437192E-6</v>
      </c>
      <c r="BQ27" s="275">
        <f t="shared" ca="1" si="22"/>
        <v>8.1454439648001664E-7</v>
      </c>
      <c r="BR27" s="275">
        <f t="shared" ca="1" si="22"/>
        <v>3.9790319941649721E-7</v>
      </c>
      <c r="BS27" s="275">
        <f t="shared" ca="1" si="22"/>
        <v>2.001442821216634E-7</v>
      </c>
      <c r="BT27" s="275">
        <f t="shared" ca="1" si="22"/>
        <v>1.0342256609058037E-7</v>
      </c>
      <c r="BU27" s="275">
        <f t="shared" ca="1" si="22"/>
        <v>5.4791093750245772E-8</v>
      </c>
      <c r="BV27" s="275">
        <f t="shared" ca="1" si="22"/>
        <v>2.9705701024167586E-8</v>
      </c>
      <c r="BW27" s="275">
        <f t="shared" ca="1" si="23"/>
        <v>1.6455094043532015E-8</v>
      </c>
      <c r="BX27" s="275">
        <f t="shared" ca="1" si="23"/>
        <v>9.2994845854113051E-9</v>
      </c>
      <c r="BY27" s="275">
        <f t="shared" ca="1" si="23"/>
        <v>6.9425857640296832E-10</v>
      </c>
      <c r="BZ27" s="275">
        <f t="shared" ca="1" si="23"/>
        <v>7.333705725002072E-11</v>
      </c>
      <c r="CA27" s="275">
        <f t="shared" ca="1" si="23"/>
        <v>1.0098480195800197E-11</v>
      </c>
      <c r="CB27" s="275">
        <f t="shared" ca="1" si="23"/>
        <v>3.445308060310724E-13</v>
      </c>
      <c r="CC27" s="275">
        <f t="shared" ca="1" si="23"/>
        <v>2.0699435245379495E-14</v>
      </c>
      <c r="CD27" s="275">
        <f t="shared" ca="1" si="23"/>
        <v>1.8612386664486268E-15</v>
      </c>
      <c r="CE27" s="275">
        <f t="shared" ca="1" si="23"/>
        <v>2.2635047861538506E-16</v>
      </c>
      <c r="CF27" s="275">
        <f t="shared" ca="1" si="23"/>
        <v>3.480588206487805E-17</v>
      </c>
      <c r="CG27" s="94"/>
      <c r="CH27" s="94"/>
    </row>
    <row r="28" spans="1:86" ht="15" x14ac:dyDescent="0.25">
      <c r="A28" s="160">
        <f>IF(OR(A27=Abandonment!$B$4,A27=""),"",'Success Cash Flow'!A27+1)</f>
        <v>2030</v>
      </c>
      <c r="B28" s="258">
        <f>Revenue!S29</f>
        <v>22.562946863332996</v>
      </c>
      <c r="C28" s="258">
        <f>Revenue!T29</f>
        <v>361.60537829437402</v>
      </c>
      <c r="D28" s="258">
        <f>Revenue!U29</f>
        <v>0</v>
      </c>
      <c r="E28" s="258">
        <f t="shared" si="18"/>
        <v>384.16832515770705</v>
      </c>
      <c r="F28" s="258">
        <f>Exploration!X53</f>
        <v>0</v>
      </c>
      <c r="G28" s="258">
        <f>Development!BX109</f>
        <v>0</v>
      </c>
      <c r="H28" s="258">
        <f>Abandonment!K34</f>
        <v>0</v>
      </c>
      <c r="I28" s="258">
        <f>Operations!P37</f>
        <v>70.859645183552558</v>
      </c>
      <c r="J28" s="258">
        <f t="shared" si="9"/>
        <v>70.859645183552558</v>
      </c>
      <c r="K28" s="258">
        <f t="shared" si="10"/>
        <v>313.30867997415447</v>
      </c>
      <c r="L28" s="258">
        <f>Royalty!AM30*Development!$BP$88</f>
        <v>107.17795040952971</v>
      </c>
      <c r="M28" s="258">
        <f>'Provincial Tax'!X28*Development!$BP$88</f>
        <v>31.160862126337445</v>
      </c>
      <c r="N28" s="258">
        <f>'Federal Tax'!X29*Development!$BP$88</f>
        <v>34.528130750210693</v>
      </c>
      <c r="O28" s="258">
        <f t="shared" si="11"/>
        <v>172.86694328607786</v>
      </c>
      <c r="P28" s="258">
        <f t="shared" si="12"/>
        <v>140.44173668807662</v>
      </c>
      <c r="Q28" s="218"/>
      <c r="R28" s="218"/>
      <c r="S28" s="218"/>
      <c r="T28" s="218"/>
      <c r="U28" s="218"/>
      <c r="V28" s="218"/>
      <c r="W28" s="218"/>
      <c r="X28" s="218"/>
      <c r="Y28" s="93"/>
      <c r="Z28" s="93"/>
      <c r="AA28" s="93"/>
      <c r="AB28" s="93"/>
      <c r="AC28" s="279">
        <f>IF(Thresholds!$E$1=Lists!$A$8,Exploration!U53,IF(Thresholds!$E$1=Lists!$A$9,Exploration!V53,IF(Thresholds!$E$1=Lists!$A$10,Exploration!W53,IF(Thresholds!$E$1=Lists!$A$11,Development!AV109,Development!BE109-Development!AV109))))</f>
        <v>0</v>
      </c>
      <c r="AD28" s="279">
        <f t="shared" si="13"/>
        <v>0</v>
      </c>
      <c r="AE28" s="279"/>
      <c r="AF28" s="279"/>
      <c r="AG28" s="275">
        <f t="shared" ca="1" si="21"/>
        <v>0.18273866507112141</v>
      </c>
      <c r="AH28" s="275">
        <f t="shared" ca="1" si="21"/>
        <v>4.641588833612737E+35</v>
      </c>
      <c r="AI28" s="275">
        <f t="shared" ca="1" si="21"/>
        <v>6.8129206905796301E+17</v>
      </c>
      <c r="AJ28" s="275">
        <f t="shared" ca="1" si="21"/>
        <v>2917192426039.6235</v>
      </c>
      <c r="AK28" s="275">
        <f t="shared" ca="1" si="21"/>
        <v>2111888364.7891643</v>
      </c>
      <c r="AL28" s="275">
        <f t="shared" ca="1" si="21"/>
        <v>12490988.868122224</v>
      </c>
      <c r="AM28" s="275">
        <f t="shared" ca="1" si="21"/>
        <v>233543.75356818183</v>
      </c>
      <c r="AN28" s="275">
        <f t="shared" ca="1" si="21"/>
        <v>9042.7953328780495</v>
      </c>
      <c r="AO28" s="275">
        <f t="shared" ca="1" si="21"/>
        <v>578.65310308451296</v>
      </c>
      <c r="AP28" s="275">
        <f t="shared" ca="1" si="21"/>
        <v>53.484576989448755</v>
      </c>
      <c r="AQ28" s="275">
        <f t="shared" ca="1" si="20"/>
        <v>6.5464910981554381</v>
      </c>
      <c r="AR28" s="275">
        <f t="shared" ca="1" si="20"/>
        <v>1.000000000000002</v>
      </c>
      <c r="AS28" s="275">
        <f t="shared" ca="1" si="20"/>
        <v>0.83740490593533456</v>
      </c>
      <c r="AT28" s="275">
        <f t="shared" ca="1" si="20"/>
        <v>0.70247402506902856</v>
      </c>
      <c r="AU28" s="275">
        <f t="shared" ca="1" si="20"/>
        <v>0.59029552756646464</v>
      </c>
      <c r="AV28" s="275">
        <f t="shared" ca="1" si="20"/>
        <v>0.49686543144233553</v>
      </c>
      <c r="AW28" s="275">
        <f t="shared" ca="1" si="20"/>
        <v>0.41891331704586271</v>
      </c>
      <c r="AX28" s="275">
        <f t="shared" ca="1" si="20"/>
        <v>0.3537627240787935</v>
      </c>
      <c r="AY28" s="275">
        <f t="shared" ca="1" si="20"/>
        <v>0.29921909009720821</v>
      </c>
      <c r="AZ28" s="275">
        <f t="shared" ca="1" si="20"/>
        <v>0.25347960818761511</v>
      </c>
      <c r="BA28" s="275">
        <f t="shared" ca="1" si="20"/>
        <v>0.21506056712565111</v>
      </c>
      <c r="BB28" s="275">
        <f t="shared" ca="1" si="20"/>
        <v>0.18273866507112205</v>
      </c>
      <c r="BC28" s="275">
        <f t="shared" ca="1" si="20"/>
        <v>8.2709459044291944E-2</v>
      </c>
      <c r="BD28" s="275">
        <f t="shared" ca="1" si="20"/>
        <v>3.8719919478548942E-2</v>
      </c>
      <c r="BE28" s="275">
        <f t="shared" ca="1" si="20"/>
        <v>1.8696978760760957E-2</v>
      </c>
      <c r="BF28" s="275">
        <f t="shared" ca="1" si="20"/>
        <v>9.2898824186336409E-3</v>
      </c>
      <c r="BG28" s="275">
        <f t="shared" ca="1" si="22"/>
        <v>4.7393028505698289E-3</v>
      </c>
      <c r="BH28" s="275">
        <f t="shared" ca="1" si="22"/>
        <v>2.4777074712708097E-3</v>
      </c>
      <c r="BI28" s="275">
        <f t="shared" ca="1" si="22"/>
        <v>7.2394551210880082E-4</v>
      </c>
      <c r="BJ28" s="275">
        <f t="shared" ca="1" si="22"/>
        <v>2.2901309143271269E-4</v>
      </c>
      <c r="BK28" s="275">
        <f t="shared" ca="1" si="22"/>
        <v>7.7683282570264193E-5</v>
      </c>
      <c r="BL28" s="275">
        <f t="shared" ca="1" si="22"/>
        <v>2.8031111935709487E-5</v>
      </c>
      <c r="BM28" s="275">
        <f t="shared" ca="1" si="22"/>
        <v>1.0687942688556928E-5</v>
      </c>
      <c r="BN28" s="275">
        <f t="shared" ca="1" si="22"/>
        <v>4.2818529064536273E-6</v>
      </c>
      <c r="BO28" s="275">
        <f t="shared" ca="1" si="22"/>
        <v>1.7937252041449483E-6</v>
      </c>
      <c r="BP28" s="275">
        <f t="shared" ca="1" si="22"/>
        <v>7.824600841562353E-7</v>
      </c>
      <c r="BQ28" s="275">
        <f t="shared" ca="1" si="22"/>
        <v>3.5414973760000762E-7</v>
      </c>
      <c r="BR28" s="275">
        <f t="shared" ca="1" si="22"/>
        <v>1.657929997568741E-7</v>
      </c>
      <c r="BS28" s="275">
        <f t="shared" ca="1" si="22"/>
        <v>8.0057712848665288E-8</v>
      </c>
      <c r="BT28" s="275">
        <f t="shared" ca="1" si="22"/>
        <v>3.9777910034838589E-8</v>
      </c>
      <c r="BU28" s="275">
        <f t="shared" ca="1" si="23"/>
        <v>2.0292997685276234E-8</v>
      </c>
      <c r="BV28" s="275">
        <f t="shared" ca="1" si="23"/>
        <v>1.0609178937202698E-8</v>
      </c>
      <c r="BW28" s="275">
        <f t="shared" ca="1" si="23"/>
        <v>5.6741703598386291E-9</v>
      </c>
      <c r="BX28" s="275">
        <f t="shared" ca="1" si="23"/>
        <v>3.0998281951370981E-9</v>
      </c>
      <c r="BY28" s="275">
        <f t="shared" ca="1" si="23"/>
        <v>1.983595932579909E-10</v>
      </c>
      <c r="BZ28" s="275">
        <f t="shared" ca="1" si="23"/>
        <v>1.8334264312505177E-11</v>
      </c>
      <c r="CA28" s="275">
        <f t="shared" ca="1" si="23"/>
        <v>2.2441067101778204E-12</v>
      </c>
      <c r="CB28" s="275">
        <f t="shared" ca="1" si="23"/>
        <v>6.2641964732922247E-14</v>
      </c>
      <c r="CC28" s="275">
        <f t="shared" ca="1" si="23"/>
        <v>3.1845284992891606E-15</v>
      </c>
      <c r="CD28" s="275">
        <f t="shared" ca="1" si="23"/>
        <v>2.4816515552648393E-16</v>
      </c>
      <c r="CE28" s="275">
        <f t="shared" ca="1" si="23"/>
        <v>2.662946807239822E-17</v>
      </c>
      <c r="CF28" s="275">
        <f t="shared" ca="1" si="23"/>
        <v>3.6637770594608485E-18</v>
      </c>
      <c r="CG28" s="94"/>
      <c r="CH28" s="94"/>
    </row>
    <row r="29" spans="1:86" ht="15" x14ac:dyDescent="0.25">
      <c r="A29" s="160">
        <f>IF(OR(A28=Abandonment!$B$4,A28=""),"",'Success Cash Flow'!A28+1)</f>
        <v>2031</v>
      </c>
      <c r="B29" s="258">
        <f>Revenue!S30</f>
        <v>19.657967454678879</v>
      </c>
      <c r="C29" s="258">
        <f>Revenue!T30</f>
        <v>315.04868583897348</v>
      </c>
      <c r="D29" s="258">
        <f>Revenue!U30</f>
        <v>0</v>
      </c>
      <c r="E29" s="258">
        <f t="shared" si="18"/>
        <v>334.70665329365238</v>
      </c>
      <c r="F29" s="258">
        <f>Exploration!X54</f>
        <v>0</v>
      </c>
      <c r="G29" s="258">
        <f>Development!BX110</f>
        <v>0</v>
      </c>
      <c r="H29" s="258">
        <f>Abandonment!K35</f>
        <v>0</v>
      </c>
      <c r="I29" s="258">
        <f>Operations!P38</f>
        <v>69.244171283513964</v>
      </c>
      <c r="J29" s="258">
        <f t="shared" si="9"/>
        <v>69.244171283513964</v>
      </c>
      <c r="K29" s="258">
        <f t="shared" si="10"/>
        <v>265.46248201013839</v>
      </c>
      <c r="L29" s="258">
        <f>Royalty!AM31*Development!$BP$88</f>
        <v>90.488322708625432</v>
      </c>
      <c r="M29" s="258">
        <f>'Provincial Tax'!X29*Development!$BP$88</f>
        <v>26.647802107146322</v>
      </c>
      <c r="N29" s="258">
        <f>'Federal Tax'!X30*Development!$BP$88</f>
        <v>28.72934760005062</v>
      </c>
      <c r="O29" s="258">
        <f t="shared" si="11"/>
        <v>145.86547241582238</v>
      </c>
      <c r="P29" s="258">
        <f t="shared" si="12"/>
        <v>119.59700959431601</v>
      </c>
      <c r="Q29" s="218"/>
      <c r="R29" s="218"/>
      <c r="S29" s="218"/>
      <c r="T29" s="218"/>
      <c r="U29" s="218"/>
      <c r="V29" s="218"/>
      <c r="W29" s="218"/>
      <c r="X29" s="218"/>
      <c r="Y29" s="93"/>
      <c r="Z29" s="93"/>
      <c r="AA29" s="93"/>
      <c r="AB29" s="93"/>
      <c r="AC29" s="279">
        <f>IF(Thresholds!$E$1=Lists!$A$8,Exploration!U54,IF(Thresholds!$E$1=Lists!$A$9,Exploration!V54,IF(Thresholds!$E$1=Lists!$A$10,Exploration!W54,IF(Thresholds!$E$1=Lists!$A$11,Development!AV110,Development!BE110-Development!AV110))))</f>
        <v>0</v>
      </c>
      <c r="AD29" s="279">
        <f t="shared" si="13"/>
        <v>0</v>
      </c>
      <c r="AE29" s="279"/>
      <c r="AF29" s="279"/>
      <c r="AG29" s="275">
        <f t="shared" ca="1" si="21"/>
        <v>0.16612605915556494</v>
      </c>
      <c r="AH29" s="275">
        <f t="shared" ca="1" si="21"/>
        <v>4.6415888336127138E+37</v>
      </c>
      <c r="AI29" s="275">
        <f t="shared" ca="1" si="21"/>
        <v>6.8129206905796137E+18</v>
      </c>
      <c r="AJ29" s="275">
        <f t="shared" ca="1" si="21"/>
        <v>14585962130198.105</v>
      </c>
      <c r="AK29" s="275">
        <f t="shared" ca="1" si="21"/>
        <v>7039627882.6305485</v>
      </c>
      <c r="AL29" s="275">
        <f t="shared" ca="1" si="21"/>
        <v>31227472.170305584</v>
      </c>
      <c r="AM29" s="275">
        <f t="shared" ca="1" si="21"/>
        <v>467087.50713636365</v>
      </c>
      <c r="AN29" s="275">
        <f t="shared" ca="1" si="21"/>
        <v>15071.325554796746</v>
      </c>
      <c r="AO29" s="275">
        <f t="shared" ca="1" si="21"/>
        <v>826.64729012073292</v>
      </c>
      <c r="AP29" s="275">
        <f t="shared" ca="1" si="21"/>
        <v>66.855721236810936</v>
      </c>
      <c r="AQ29" s="275">
        <f t="shared" ca="1" si="20"/>
        <v>7.2738789979504856</v>
      </c>
      <c r="AR29" s="275">
        <f t="shared" ca="1" si="20"/>
        <v>1.0000000000000022</v>
      </c>
      <c r="AS29" s="275">
        <f t="shared" ca="1" si="20"/>
        <v>0.82911376825280658</v>
      </c>
      <c r="AT29" s="275">
        <f t="shared" ca="1" si="20"/>
        <v>0.68870002457747925</v>
      </c>
      <c r="AU29" s="275">
        <f t="shared" ca="1" si="20"/>
        <v>0.57310245394802406</v>
      </c>
      <c r="AV29" s="275">
        <f t="shared" ca="1" si="20"/>
        <v>0.47775522254070729</v>
      </c>
      <c r="AW29" s="275">
        <f t="shared" ca="1" si="20"/>
        <v>0.39896506385320257</v>
      </c>
      <c r="AX29" s="275">
        <f t="shared" ca="1" si="20"/>
        <v>0.33373841894225809</v>
      </c>
      <c r="AY29" s="275">
        <f t="shared" ca="1" si="20"/>
        <v>0.27964400943664325</v>
      </c>
      <c r="AZ29" s="275">
        <f t="shared" ca="1" si="20"/>
        <v>0.23470334091445844</v>
      </c>
      <c r="BA29" s="275">
        <f t="shared" ca="1" si="20"/>
        <v>0.19730327259234048</v>
      </c>
      <c r="BB29" s="275">
        <f t="shared" ca="1" si="20"/>
        <v>0.16612605915556553</v>
      </c>
      <c r="BC29" s="275">
        <f t="shared" ca="1" si="20"/>
        <v>7.1921268734166946E-2</v>
      </c>
      <c r="BD29" s="275">
        <f t="shared" ca="1" si="20"/>
        <v>3.2266599565457459E-2</v>
      </c>
      <c r="BE29" s="275">
        <f t="shared" ca="1" si="20"/>
        <v>1.4957583008608775E-2</v>
      </c>
      <c r="BF29" s="275">
        <f t="shared" ca="1" si="20"/>
        <v>7.1460633989489592E-3</v>
      </c>
      <c r="BG29" s="275">
        <f t="shared" ca="1" si="22"/>
        <v>3.5105947041257995E-3</v>
      </c>
      <c r="BH29" s="275">
        <f t="shared" ca="1" si="22"/>
        <v>1.7697910509077213E-3</v>
      </c>
      <c r="BI29" s="275">
        <f t="shared" ca="1" si="22"/>
        <v>4.8263034140586756E-4</v>
      </c>
      <c r="BJ29" s="275">
        <f t="shared" ca="1" si="22"/>
        <v>1.4313318214544528E-4</v>
      </c>
      <c r="BK29" s="275">
        <f t="shared" ca="1" si="22"/>
        <v>4.5696048570743643E-5</v>
      </c>
      <c r="BL29" s="275">
        <f t="shared" ca="1" si="22"/>
        <v>1.5572839964283054E-5</v>
      </c>
      <c r="BM29" s="275">
        <f t="shared" ca="1" si="22"/>
        <v>5.6252329939773283E-6</v>
      </c>
      <c r="BN29" s="275">
        <f t="shared" ca="1" si="22"/>
        <v>2.1409264532268132E-6</v>
      </c>
      <c r="BO29" s="275">
        <f t="shared" ca="1" si="22"/>
        <v>8.541548591166419E-7</v>
      </c>
      <c r="BP29" s="275">
        <f t="shared" ca="1" si="22"/>
        <v>3.5566367461647093E-7</v>
      </c>
      <c r="BQ29" s="275">
        <f t="shared" ca="1" si="22"/>
        <v>1.5397814678261189E-7</v>
      </c>
      <c r="BR29" s="275">
        <f t="shared" ca="1" si="22"/>
        <v>6.9080416565364179E-8</v>
      </c>
      <c r="BS29" s="275">
        <f t="shared" ca="1" si="22"/>
        <v>3.2023085139466085E-8</v>
      </c>
      <c r="BT29" s="275">
        <f t="shared" ca="1" si="22"/>
        <v>1.5299196167245606E-8</v>
      </c>
      <c r="BU29" s="275">
        <f t="shared" ca="1" si="23"/>
        <v>7.5159250686208342E-9</v>
      </c>
      <c r="BV29" s="275">
        <f t="shared" ca="1" si="23"/>
        <v>3.7889924775723883E-9</v>
      </c>
      <c r="BW29" s="275">
        <f t="shared" ca="1" si="23"/>
        <v>1.9566104689098663E-9</v>
      </c>
      <c r="BX29" s="275">
        <f t="shared" ca="1" si="23"/>
        <v>1.0332760650456979E-9</v>
      </c>
      <c r="BY29" s="275">
        <f t="shared" ca="1" si="23"/>
        <v>5.6674169502283112E-11</v>
      </c>
      <c r="BZ29" s="275">
        <f t="shared" ca="1" si="23"/>
        <v>4.5835660781262926E-12</v>
      </c>
      <c r="CA29" s="275">
        <f t="shared" ca="1" si="23"/>
        <v>4.9869038003951537E-13</v>
      </c>
      <c r="CB29" s="275">
        <f t="shared" ca="1" si="23"/>
        <v>1.1389448133258591E-14</v>
      </c>
      <c r="CC29" s="275">
        <f t="shared" ca="1" si="23"/>
        <v>4.899274614291027E-16</v>
      </c>
      <c r="CD29" s="275">
        <f t="shared" ca="1" si="23"/>
        <v>3.3088687403531008E-17</v>
      </c>
      <c r="CE29" s="275">
        <f t="shared" ca="1" si="23"/>
        <v>3.1328785967527286E-18</v>
      </c>
      <c r="CF29" s="275">
        <f t="shared" ca="1" si="23"/>
        <v>3.8566074310114204E-19</v>
      </c>
      <c r="CG29" s="94"/>
      <c r="CH29" s="94"/>
    </row>
    <row r="30" spans="1:86" ht="15" x14ac:dyDescent="0.25">
      <c r="A30" s="160">
        <f>IF(OR(A29=Abandonment!$B$4,A29=""),"",'Success Cash Flow'!A29+1)</f>
        <v>2032</v>
      </c>
      <c r="B30" s="258">
        <f>Revenue!S31</f>
        <v>17.170208096919669</v>
      </c>
      <c r="C30" s="258">
        <f>Revenue!T31</f>
        <v>275.17857626876452</v>
      </c>
      <c r="D30" s="258">
        <f>Revenue!U31</f>
        <v>0</v>
      </c>
      <c r="E30" s="258">
        <f t="shared" si="18"/>
        <v>292.3487843656842</v>
      </c>
      <c r="F30" s="258">
        <f>Exploration!X55</f>
        <v>0</v>
      </c>
      <c r="G30" s="258">
        <f>Development!BX111</f>
        <v>0</v>
      </c>
      <c r="H30" s="258">
        <f>Abandonment!K36</f>
        <v>0</v>
      </c>
      <c r="I30" s="258">
        <f>Operations!P39</f>
        <v>68.039371117325288</v>
      </c>
      <c r="J30" s="258">
        <f t="shared" si="9"/>
        <v>68.039371117325288</v>
      </c>
      <c r="K30" s="258">
        <f t="shared" si="10"/>
        <v>224.30941324835891</v>
      </c>
      <c r="L30" s="258">
        <f>Royalty!AM32*Development!$BP$88</f>
        <v>76.126916647819229</v>
      </c>
      <c r="M30" s="258">
        <f>'Provincial Tax'!X30*Development!$BP$88</f>
        <v>22.710036220598823</v>
      </c>
      <c r="N30" s="258">
        <f>'Federal Tax'!X31*Development!$BP$88</f>
        <v>24.78197996032188</v>
      </c>
      <c r="O30" s="258">
        <f t="shared" si="11"/>
        <v>123.61893282873993</v>
      </c>
      <c r="P30" s="258">
        <f t="shared" si="12"/>
        <v>100.69048041961898</v>
      </c>
      <c r="Q30" s="218"/>
      <c r="R30" s="218"/>
      <c r="S30" s="218"/>
      <c r="T30" s="218"/>
      <c r="U30" s="218"/>
      <c r="V30" s="218"/>
      <c r="W30" s="218"/>
      <c r="X30" s="218"/>
      <c r="Y30" s="93"/>
      <c r="Z30" s="93"/>
      <c r="AA30" s="93"/>
      <c r="AB30" s="93"/>
      <c r="AC30" s="279">
        <f>IF(Thresholds!$E$1=Lists!$A$8,Exploration!U55,IF(Thresholds!$E$1=Lists!$A$9,Exploration!V55,IF(Thresholds!$E$1=Lists!$A$10,Exploration!W55,IF(Thresholds!$E$1=Lists!$A$11,Development!AV111,Development!BE111-Development!AV111))))</f>
        <v>0</v>
      </c>
      <c r="AD30" s="279">
        <f t="shared" si="13"/>
        <v>0</v>
      </c>
      <c r="AE30" s="279"/>
      <c r="AF30" s="279"/>
      <c r="AG30" s="275">
        <f t="shared" ca="1" si="21"/>
        <v>0.15102369014142264</v>
      </c>
      <c r="AH30" s="275">
        <f t="shared" ca="1" si="21"/>
        <v>4.6415888336126916E+39</v>
      </c>
      <c r="AI30" s="275">
        <f t="shared" ca="1" si="21"/>
        <v>6.8129206905796452E+19</v>
      </c>
      <c r="AJ30" s="275">
        <f t="shared" ca="1" si="21"/>
        <v>72929810650990.469</v>
      </c>
      <c r="AK30" s="275">
        <f t="shared" ca="1" si="21"/>
        <v>23465426275.435158</v>
      </c>
      <c r="AL30" s="275">
        <f t="shared" ca="1" si="21"/>
        <v>78068680.425764039</v>
      </c>
      <c r="AM30" s="275">
        <f t="shared" ca="1" si="21"/>
        <v>934175.01427272731</v>
      </c>
      <c r="AN30" s="275">
        <f t="shared" ca="1" si="21"/>
        <v>25118.875924661239</v>
      </c>
      <c r="AO30" s="275">
        <f t="shared" ca="1" si="21"/>
        <v>1180.9247001724755</v>
      </c>
      <c r="AP30" s="275">
        <f t="shared" ca="1" si="21"/>
        <v>83.56965154601366</v>
      </c>
      <c r="AQ30" s="275">
        <f t="shared" ca="1" si="20"/>
        <v>8.0820877755005416</v>
      </c>
      <c r="AR30" s="275">
        <f t="shared" ca="1" si="20"/>
        <v>1.0000000000000022</v>
      </c>
      <c r="AS30" s="275">
        <f t="shared" ca="1" si="20"/>
        <v>0.82090472104238299</v>
      </c>
      <c r="AT30" s="275">
        <f t="shared" ca="1" si="20"/>
        <v>0.67519610252694051</v>
      </c>
      <c r="AU30" s="275">
        <f t="shared" ca="1" si="20"/>
        <v>0.55641014946410117</v>
      </c>
      <c r="AV30" s="275">
        <f t="shared" ca="1" si="20"/>
        <v>0.45938002167375708</v>
      </c>
      <c r="AW30" s="275">
        <f t="shared" ca="1" si="20"/>
        <v>0.37996672747924065</v>
      </c>
      <c r="AX30" s="275">
        <f t="shared" ca="1" si="20"/>
        <v>0.31484756503986616</v>
      </c>
      <c r="AY30" s="275">
        <f t="shared" ca="1" si="20"/>
        <v>0.26134954152957313</v>
      </c>
      <c r="AZ30" s="275">
        <f t="shared" ca="1" si="20"/>
        <v>0.21731790825412825</v>
      </c>
      <c r="BA30" s="275">
        <f t="shared" ca="1" si="20"/>
        <v>0.18101217669022068</v>
      </c>
      <c r="BB30" s="275">
        <f t="shared" ca="1" si="20"/>
        <v>0.15102369014142322</v>
      </c>
      <c r="BC30" s="275">
        <f t="shared" ca="1" si="20"/>
        <v>6.2540233681884286E-2</v>
      </c>
      <c r="BD30" s="275">
        <f t="shared" ca="1" si="20"/>
        <v>2.6888832971214555E-2</v>
      </c>
      <c r="BE30" s="275">
        <f t="shared" ca="1" si="20"/>
        <v>1.1966066406887018E-2</v>
      </c>
      <c r="BF30" s="275">
        <f t="shared" ca="1" si="20"/>
        <v>5.4969718453453517E-3</v>
      </c>
      <c r="BG30" s="275">
        <f t="shared" ca="1" si="22"/>
        <v>2.600440521574667E-3</v>
      </c>
      <c r="BH30" s="275">
        <f t="shared" ca="1" si="22"/>
        <v>1.2641364649340866E-3</v>
      </c>
      <c r="BI30" s="275">
        <f t="shared" ca="1" si="22"/>
        <v>3.2175356093724498E-4</v>
      </c>
      <c r="BJ30" s="275">
        <f t="shared" ca="1" si="22"/>
        <v>8.9458238840903364E-5</v>
      </c>
      <c r="BK30" s="275">
        <f t="shared" ca="1" si="22"/>
        <v>2.6880028571025676E-5</v>
      </c>
      <c r="BL30" s="275">
        <f t="shared" ca="1" si="22"/>
        <v>8.6515777579350346E-6</v>
      </c>
      <c r="BM30" s="275">
        <f t="shared" ca="1" si="22"/>
        <v>2.9606489441985976E-6</v>
      </c>
      <c r="BN30" s="275">
        <f t="shared" ca="1" si="22"/>
        <v>1.0704632266134064E-6</v>
      </c>
      <c r="BO30" s="275">
        <f t="shared" ca="1" si="22"/>
        <v>4.0674040910316343E-7</v>
      </c>
      <c r="BP30" s="275">
        <f t="shared" ca="1" si="22"/>
        <v>1.6166530664385056E-7</v>
      </c>
      <c r="BQ30" s="275">
        <f t="shared" ca="1" si="22"/>
        <v>6.6947020340266003E-8</v>
      </c>
      <c r="BR30" s="275">
        <f t="shared" ca="1" si="22"/>
        <v>2.8783506902235116E-8</v>
      </c>
      <c r="BS30" s="275">
        <f t="shared" ca="1" si="22"/>
        <v>1.2809234055786468E-8</v>
      </c>
      <c r="BT30" s="275">
        <f t="shared" ca="1" si="22"/>
        <v>5.8843062181713845E-9</v>
      </c>
      <c r="BU30" s="275">
        <f t="shared" ca="1" si="23"/>
        <v>2.783675951341043E-9</v>
      </c>
      <c r="BV30" s="275">
        <f t="shared" ca="1" si="23"/>
        <v>1.3532115991329993E-9</v>
      </c>
      <c r="BW30" s="275">
        <f t="shared" ca="1" si="23"/>
        <v>6.7469326514133357E-10</v>
      </c>
      <c r="BX30" s="275">
        <f t="shared" ca="1" si="23"/>
        <v>3.4442535501523347E-10</v>
      </c>
      <c r="BY30" s="275">
        <f t="shared" ca="1" si="23"/>
        <v>1.6192619857795175E-11</v>
      </c>
      <c r="BZ30" s="275">
        <f t="shared" ca="1" si="23"/>
        <v>1.1458915195315772E-12</v>
      </c>
      <c r="CA30" s="275">
        <f t="shared" ca="1" si="23"/>
        <v>1.1082008445322558E-13</v>
      </c>
      <c r="CB30" s="275">
        <f t="shared" ca="1" si="23"/>
        <v>2.0708087515015621E-15</v>
      </c>
      <c r="CC30" s="275">
        <f t="shared" ca="1" si="23"/>
        <v>7.5373455604476981E-17</v>
      </c>
      <c r="CD30" s="275">
        <f t="shared" ca="1" si="23"/>
        <v>4.4118249871374735E-18</v>
      </c>
      <c r="CE30" s="275">
        <f t="shared" ca="1" si="23"/>
        <v>3.6857395255914684E-19</v>
      </c>
      <c r="CF30" s="275">
        <f t="shared" ca="1" si="23"/>
        <v>4.0595867694857073E-20</v>
      </c>
      <c r="CG30" s="94"/>
      <c r="CH30" s="94"/>
    </row>
    <row r="31" spans="1:86" ht="15" x14ac:dyDescent="0.25">
      <c r="A31" s="160">
        <f>IF(OR(A30=Abandonment!$B$4,A30=""),"",'Success Cash Flow'!A30+1)</f>
        <v>2033</v>
      </c>
      <c r="B31" s="258">
        <f>Revenue!S32</f>
        <v>14.915259753609787</v>
      </c>
      <c r="C31" s="258">
        <f>Revenue!T32</f>
        <v>239.03961562431297</v>
      </c>
      <c r="D31" s="258">
        <f>Revenue!U32</f>
        <v>0</v>
      </c>
      <c r="E31" s="258">
        <f t="shared" si="18"/>
        <v>253.95487537792275</v>
      </c>
      <c r="F31" s="258">
        <f>Exploration!X56</f>
        <v>0</v>
      </c>
      <c r="G31" s="258">
        <f>Development!BX112</f>
        <v>0</v>
      </c>
      <c r="H31" s="258">
        <f>Abandonment!K37</f>
        <v>0</v>
      </c>
      <c r="I31" s="258">
        <f>Operations!P40</f>
        <v>67.147540644737703</v>
      </c>
      <c r="J31" s="258">
        <f t="shared" si="9"/>
        <v>67.147540644737703</v>
      </c>
      <c r="K31" s="258">
        <f t="shared" si="10"/>
        <v>186.80733473318503</v>
      </c>
      <c r="L31" s="258">
        <f>Royalty!AM33*Development!$BP$88</f>
        <v>63.032403234048942</v>
      </c>
      <c r="M31" s="258">
        <f>'Provincial Tax'!X31*Development!$BP$88</f>
        <v>19.062935623480136</v>
      </c>
      <c r="N31" s="258">
        <f>'Federal Tax'!X32*Development!$BP$88</f>
        <v>20.203815538972478</v>
      </c>
      <c r="O31" s="258">
        <f t="shared" si="11"/>
        <v>102.29915439650155</v>
      </c>
      <c r="P31" s="258">
        <f t="shared" si="12"/>
        <v>84.508180336683481</v>
      </c>
      <c r="Q31" s="218"/>
      <c r="R31" s="218"/>
      <c r="S31" s="218"/>
      <c r="T31" s="218"/>
      <c r="U31" s="218"/>
      <c r="V31" s="218"/>
      <c r="W31" s="218"/>
      <c r="X31" s="218"/>
      <c r="Y31" s="93"/>
      <c r="Z31" s="93"/>
      <c r="AA31" s="93"/>
      <c r="AB31" s="93"/>
      <c r="AC31" s="279">
        <f>IF(Thresholds!$E$1=Lists!$A$8,Exploration!U56,IF(Thresholds!$E$1=Lists!$A$9,Exploration!V56,IF(Thresholds!$E$1=Lists!$A$10,Exploration!W56,IF(Thresholds!$E$1=Lists!$A$11,Development!AV112,Development!BE112-Development!AV112))))</f>
        <v>0</v>
      </c>
      <c r="AD31" s="279">
        <f t="shared" si="13"/>
        <v>0</v>
      </c>
      <c r="AE31" s="279"/>
      <c r="AF31" s="279"/>
      <c r="AG31" s="275">
        <f t="shared" ca="1" si="21"/>
        <v>0.13729426376492965</v>
      </c>
      <c r="AH31" s="275">
        <f t="shared" ca="1" si="21"/>
        <v>4.6415888336127348E+41</v>
      </c>
      <c r="AI31" s="275">
        <f t="shared" ca="1" si="21"/>
        <v>6.8129206905796284E+20</v>
      </c>
      <c r="AJ31" s="275">
        <f t="shared" ca="1" si="21"/>
        <v>364649053254952.06</v>
      </c>
      <c r="AK31" s="275">
        <f t="shared" ca="1" si="21"/>
        <v>78218087584.783844</v>
      </c>
      <c r="AL31" s="275">
        <f t="shared" ca="1" si="21"/>
        <v>195171701.06440958</v>
      </c>
      <c r="AM31" s="275">
        <f t="shared" ca="1" si="21"/>
        <v>1868350.0285454551</v>
      </c>
      <c r="AN31" s="275">
        <f t="shared" ca="1" si="21"/>
        <v>41864.793207768795</v>
      </c>
      <c r="AO31" s="275">
        <f t="shared" ca="1" si="21"/>
        <v>1687.0352859606796</v>
      </c>
      <c r="AP31" s="275">
        <f t="shared" ca="1" si="21"/>
        <v>104.46206443251717</v>
      </c>
      <c r="AQ31" s="275">
        <f t="shared" ca="1" si="20"/>
        <v>8.9800975283339355</v>
      </c>
      <c r="AR31" s="275">
        <f t="shared" ca="1" si="20"/>
        <v>1.0000000000000022</v>
      </c>
      <c r="AS31" s="275">
        <f t="shared" ca="1" si="20"/>
        <v>0.81277695152711193</v>
      </c>
      <c r="AT31" s="275">
        <f t="shared" ca="1" si="20"/>
        <v>0.6619569632617065</v>
      </c>
      <c r="AU31" s="275">
        <f t="shared" ca="1" si="20"/>
        <v>0.54020402860592354</v>
      </c>
      <c r="AV31" s="275">
        <f t="shared" ca="1" si="20"/>
        <v>0.44171155930168959</v>
      </c>
      <c r="AW31" s="275">
        <f t="shared" ca="1" si="20"/>
        <v>0.36187307378975314</v>
      </c>
      <c r="AX31" s="275">
        <f t="shared" ca="1" si="20"/>
        <v>0.29702600475459073</v>
      </c>
      <c r="AY31" s="275">
        <f t="shared" ca="1" si="20"/>
        <v>0.24425190797156374</v>
      </c>
      <c r="AZ31" s="275">
        <f t="shared" ca="1" si="20"/>
        <v>0.20122028542048917</v>
      </c>
      <c r="BA31" s="275">
        <f t="shared" ca="1" si="20"/>
        <v>0.16606621714699143</v>
      </c>
      <c r="BB31" s="275">
        <f t="shared" ca="1" si="20"/>
        <v>0.1372942637649302</v>
      </c>
      <c r="BC31" s="275">
        <f t="shared" ca="1" si="20"/>
        <v>5.4382811897290696E-2</v>
      </c>
      <c r="BD31" s="275">
        <f t="shared" ca="1" si="20"/>
        <v>2.2407360809345477E-2</v>
      </c>
      <c r="BE31" s="275">
        <f t="shared" ca="1" si="20"/>
        <v>9.5728531255096158E-3</v>
      </c>
      <c r="BF31" s="275">
        <f t="shared" ca="1" si="20"/>
        <v>4.2284398810348853E-3</v>
      </c>
      <c r="BG31" s="275">
        <f t="shared" ca="1" si="22"/>
        <v>1.9262522382034577E-3</v>
      </c>
      <c r="BH31" s="275">
        <f t="shared" ca="1" si="22"/>
        <v>9.0295461781006187E-4</v>
      </c>
      <c r="BI31" s="275">
        <f t="shared" ca="1" si="22"/>
        <v>2.1450237395816344E-4</v>
      </c>
      <c r="BJ31" s="275">
        <f t="shared" ca="1" si="22"/>
        <v>5.5911399275564645E-5</v>
      </c>
      <c r="BK31" s="275">
        <f t="shared" ca="1" si="22"/>
        <v>1.5811781512368049E-5</v>
      </c>
      <c r="BL31" s="275">
        <f t="shared" ca="1" si="22"/>
        <v>4.8064320877416784E-6</v>
      </c>
      <c r="BM31" s="275">
        <f t="shared" ca="1" si="22"/>
        <v>1.5582362864203137E-6</v>
      </c>
      <c r="BN31" s="275">
        <f t="shared" ca="1" si="22"/>
        <v>5.352316133067032E-7</v>
      </c>
      <c r="BO31" s="275">
        <f t="shared" ca="1" si="22"/>
        <v>1.9368590909674444E-7</v>
      </c>
      <c r="BP31" s="275">
        <f t="shared" ca="1" si="22"/>
        <v>7.3484230292659279E-8</v>
      </c>
      <c r="BQ31" s="275">
        <f t="shared" ca="1" si="22"/>
        <v>2.9107400147941771E-8</v>
      </c>
      <c r="BR31" s="275">
        <f t="shared" ca="1" si="22"/>
        <v>1.1993127875931272E-8</v>
      </c>
      <c r="BS31" s="275">
        <f t="shared" ca="1" si="22"/>
        <v>5.1236936223145817E-9</v>
      </c>
      <c r="BT31" s="275">
        <f t="shared" ca="1" si="22"/>
        <v>2.2631946992966857E-9</v>
      </c>
      <c r="BU31" s="275">
        <f t="shared" ca="1" si="23"/>
        <v>1.0309910930892763E-9</v>
      </c>
      <c r="BV31" s="275">
        <f t="shared" ca="1" si="23"/>
        <v>4.8328985683321356E-10</v>
      </c>
      <c r="BW31" s="275">
        <f t="shared" ca="1" si="23"/>
        <v>2.3265285004873582E-10</v>
      </c>
      <c r="BX31" s="275">
        <f t="shared" ca="1" si="23"/>
        <v>1.1480845167174435E-10</v>
      </c>
      <c r="BY31" s="275">
        <f t="shared" ca="1" si="23"/>
        <v>4.6264628165129069E-12</v>
      </c>
      <c r="BZ31" s="275">
        <f t="shared" ca="1" si="23"/>
        <v>2.8647287988289424E-13</v>
      </c>
      <c r="CA31" s="275">
        <f t="shared" ca="1" si="23"/>
        <v>2.4626685434050113E-14</v>
      </c>
      <c r="CB31" s="275">
        <f t="shared" ca="1" si="23"/>
        <v>3.76510682091193E-16</v>
      </c>
      <c r="CC31" s="275">
        <f t="shared" ca="1" si="23"/>
        <v>1.1595916246842638E-17</v>
      </c>
      <c r="CD31" s="275">
        <f t="shared" ca="1" si="23"/>
        <v>5.8824333161833054E-19</v>
      </c>
      <c r="CE31" s="275">
        <f t="shared" ca="1" si="23"/>
        <v>4.3361641477546653E-20</v>
      </c>
      <c r="CF31" s="275">
        <f t="shared" ca="1" si="23"/>
        <v>4.273249231037588E-21</v>
      </c>
      <c r="CG31" s="94"/>
      <c r="CH31" s="94"/>
    </row>
    <row r="32" spans="1:86" ht="15" x14ac:dyDescent="0.25">
      <c r="A32" s="160">
        <f>IF(OR(A31=Abandonment!$B$4,A31=""),"",'Success Cash Flow'!A31+1)</f>
        <v>2034</v>
      </c>
      <c r="B32" s="258">
        <f>Revenue!S33</f>
        <v>12.994920060332534</v>
      </c>
      <c r="C32" s="258">
        <f>Revenue!T33</f>
        <v>208.2632651126828</v>
      </c>
      <c r="D32" s="258">
        <f>Revenue!U33</f>
        <v>0</v>
      </c>
      <c r="E32" s="258">
        <f t="shared" si="18"/>
        <v>221.25818517301533</v>
      </c>
      <c r="F32" s="258">
        <f>Exploration!X57</f>
        <v>0</v>
      </c>
      <c r="G32" s="258">
        <f>Development!BX113</f>
        <v>0</v>
      </c>
      <c r="H32" s="258">
        <f>Abandonment!K38</f>
        <v>0</v>
      </c>
      <c r="I32" s="258">
        <f>Operations!P41</f>
        <v>66.587272365926964</v>
      </c>
      <c r="J32" s="258">
        <f t="shared" si="9"/>
        <v>66.587272365926964</v>
      </c>
      <c r="K32" s="258">
        <f t="shared" si="10"/>
        <v>154.67091280708837</v>
      </c>
      <c r="L32" s="258">
        <f>Royalty!AM34*Development!$BP$88</f>
        <v>51.804264949673488</v>
      </c>
      <c r="M32" s="258">
        <f>'Provincial Tax'!X32*Development!$BP$88</f>
        <v>15.908696902063955</v>
      </c>
      <c r="N32" s="258">
        <f>'Federal Tax'!X33*Development!$BP$88</f>
        <v>17.06651218576831</v>
      </c>
      <c r="O32" s="258">
        <f t="shared" si="11"/>
        <v>84.779474037505764</v>
      </c>
      <c r="P32" s="258">
        <f t="shared" si="12"/>
        <v>69.891438769582606</v>
      </c>
      <c r="Q32" s="218"/>
      <c r="R32" s="218"/>
      <c r="S32" s="218"/>
      <c r="T32" s="218"/>
      <c r="U32" s="218"/>
      <c r="V32" s="218"/>
      <c r="W32" s="218"/>
      <c r="X32" s="218"/>
      <c r="Y32" s="93"/>
      <c r="Z32" s="93"/>
      <c r="AA32" s="93"/>
      <c r="AB32" s="93"/>
      <c r="AC32" s="279">
        <f>IF(Thresholds!$E$1=Lists!$A$8,Exploration!U57,IF(Thresholds!$E$1=Lists!$A$9,Exploration!V57,IF(Thresholds!$E$1=Lists!$A$10,Exploration!W57,IF(Thresholds!$E$1=Lists!$A$11,Development!AV113,Development!BE113-Development!AV113))))</f>
        <v>0</v>
      </c>
      <c r="AD32" s="279">
        <f t="shared" si="13"/>
        <v>0</v>
      </c>
      <c r="AE32" s="279"/>
      <c r="AF32" s="279"/>
      <c r="AG32" s="275">
        <f t="shared" ca="1" si="21"/>
        <v>0.12481296705902697</v>
      </c>
      <c r="AH32" s="275">
        <f t="shared" ca="1" si="21"/>
        <v>4.6415888336127117E+43</v>
      </c>
      <c r="AI32" s="275">
        <f t="shared" ca="1" si="21"/>
        <v>6.8129206905796118E+21</v>
      </c>
      <c r="AJ32" s="275">
        <f t="shared" ca="1" si="21"/>
        <v>1823245266274765.2</v>
      </c>
      <c r="AK32" s="275">
        <f t="shared" ca="1" si="21"/>
        <v>260726958615.94614</v>
      </c>
      <c r="AL32" s="275">
        <f t="shared" ca="1" si="21"/>
        <v>487929252.66102439</v>
      </c>
      <c r="AM32" s="275">
        <f t="shared" ca="1" si="21"/>
        <v>3736700.0570909102</v>
      </c>
      <c r="AN32" s="275">
        <f t="shared" ca="1" si="21"/>
        <v>69774.655346281317</v>
      </c>
      <c r="AO32" s="275">
        <f t="shared" ca="1" si="21"/>
        <v>2410.0504085152565</v>
      </c>
      <c r="AP32" s="275">
        <f t="shared" ca="1" si="21"/>
        <v>130.57758054064647</v>
      </c>
      <c r="AQ32" s="275">
        <f t="shared" ca="1" si="20"/>
        <v>9.9778861425932632</v>
      </c>
      <c r="AR32" s="275">
        <f t="shared" ca="1" si="20"/>
        <v>1.0000000000000024</v>
      </c>
      <c r="AS32" s="275">
        <f t="shared" ca="1" si="20"/>
        <v>0.80472965497733873</v>
      </c>
      <c r="AT32" s="275">
        <f t="shared" ca="1" si="20"/>
        <v>0.64897741496245753</v>
      </c>
      <c r="AU32" s="275">
        <f t="shared" ca="1" si="20"/>
        <v>0.52446993068536274</v>
      </c>
      <c r="AV32" s="275">
        <f t="shared" ca="1" si="20"/>
        <v>0.42472265317470159</v>
      </c>
      <c r="AW32" s="275">
        <f t="shared" ca="1" si="20"/>
        <v>0.34464102265690771</v>
      </c>
      <c r="AX32" s="275">
        <f t="shared" ca="1" si="20"/>
        <v>0.28021321203263283</v>
      </c>
      <c r="AY32" s="275">
        <f t="shared" ca="1" si="20"/>
        <v>0.22827281118837733</v>
      </c>
      <c r="AZ32" s="275">
        <f t="shared" ca="1" si="20"/>
        <v>0.18631507909304551</v>
      </c>
      <c r="BA32" s="275">
        <f t="shared" ca="1" si="20"/>
        <v>0.15235432765779036</v>
      </c>
      <c r="BB32" s="275">
        <f t="shared" ca="1" si="20"/>
        <v>0.12481296705902747</v>
      </c>
      <c r="BC32" s="275">
        <f t="shared" ca="1" si="20"/>
        <v>4.7289401649817993E-2</v>
      </c>
      <c r="BD32" s="275">
        <f t="shared" ca="1" si="20"/>
        <v>1.8672800674454565E-2</v>
      </c>
      <c r="BE32" s="275">
        <f t="shared" ca="1" si="20"/>
        <v>7.6582825004076933E-3</v>
      </c>
      <c r="BF32" s="275">
        <f t="shared" ca="1" si="20"/>
        <v>3.2526460623345296E-3</v>
      </c>
      <c r="BG32" s="275">
        <f t="shared" ca="1" si="22"/>
        <v>1.426853509780338E-3</v>
      </c>
      <c r="BH32" s="275">
        <f t="shared" ca="1" si="22"/>
        <v>6.4496758415004418E-4</v>
      </c>
      <c r="BI32" s="275">
        <f t="shared" ca="1" si="22"/>
        <v>1.4300158263877546E-4</v>
      </c>
      <c r="BJ32" s="275">
        <f t="shared" ca="1" si="22"/>
        <v>3.4944624547227868E-5</v>
      </c>
      <c r="BK32" s="275">
        <f t="shared" ca="1" si="22"/>
        <v>9.3010479484517932E-6</v>
      </c>
      <c r="BL32" s="275">
        <f t="shared" ca="1" si="22"/>
        <v>2.6702400487453779E-6</v>
      </c>
      <c r="BM32" s="275">
        <f t="shared" ca="1" si="22"/>
        <v>8.2012436127384899E-7</v>
      </c>
      <c r="BN32" s="275">
        <f t="shared" ca="1" si="22"/>
        <v>2.676158066533516E-7</v>
      </c>
      <c r="BO32" s="275">
        <f t="shared" ca="1" si="22"/>
        <v>9.2231385284164156E-8</v>
      </c>
      <c r="BP32" s="275">
        <f t="shared" ca="1" si="22"/>
        <v>3.3401922860299705E-8</v>
      </c>
      <c r="BQ32" s="275">
        <f t="shared" ca="1" si="22"/>
        <v>1.265539136867035E-8</v>
      </c>
      <c r="BR32" s="275">
        <f t="shared" ca="1" si="22"/>
        <v>4.9971366149713699E-9</v>
      </c>
      <c r="BS32" s="275">
        <f t="shared" ca="1" si="22"/>
        <v>2.049477448925831E-9</v>
      </c>
      <c r="BT32" s="275">
        <f t="shared" ca="1" si="22"/>
        <v>8.7045949972949732E-10</v>
      </c>
      <c r="BU32" s="275">
        <f t="shared" ca="1" si="23"/>
        <v>3.8184855299602872E-10</v>
      </c>
      <c r="BV32" s="275">
        <f t="shared" ca="1" si="23"/>
        <v>1.726035202975761E-10</v>
      </c>
      <c r="BW32" s="275">
        <f t="shared" ca="1" si="23"/>
        <v>8.0225120706460676E-11</v>
      </c>
      <c r="BX32" s="275">
        <f t="shared" ca="1" si="23"/>
        <v>3.8269483890581408E-11</v>
      </c>
      <c r="BY32" s="275">
        <f t="shared" ca="1" si="23"/>
        <v>1.3218465190036874E-12</v>
      </c>
      <c r="BZ32" s="275">
        <f t="shared" ca="1" si="23"/>
        <v>7.1618219970723548E-14</v>
      </c>
      <c r="CA32" s="275">
        <f t="shared" ca="1" si="23"/>
        <v>5.4725967631222638E-15</v>
      </c>
      <c r="CB32" s="275">
        <f t="shared" ca="1" si="23"/>
        <v>6.8456487652944178E-17</v>
      </c>
      <c r="CC32" s="275">
        <f t="shared" ca="1" si="23"/>
        <v>1.7839871148988717E-18</v>
      </c>
      <c r="CD32" s="275">
        <f t="shared" ca="1" si="23"/>
        <v>7.8432444215777536E-20</v>
      </c>
      <c r="CE32" s="275">
        <f t="shared" ca="1" si="23"/>
        <v>5.101369585593719E-21</v>
      </c>
      <c r="CF32" s="275">
        <f t="shared" ca="1" si="23"/>
        <v>4.498157085302725E-22</v>
      </c>
      <c r="CG32" s="94"/>
      <c r="CH32" s="94"/>
    </row>
    <row r="33" spans="1:86" ht="15" x14ac:dyDescent="0.25">
      <c r="A33" s="160">
        <f>IF(OR(A32=Abandonment!$B$4,A32=""),"",'Success Cash Flow'!A32+1)</f>
        <v>2035</v>
      </c>
      <c r="B33" s="258">
        <f>Revenue!S34</f>
        <v>11.321824102564705</v>
      </c>
      <c r="C33" s="258">
        <f>Revenue!T34</f>
        <v>181.44936972942463</v>
      </c>
      <c r="D33" s="258">
        <f>Revenue!U34</f>
        <v>0</v>
      </c>
      <c r="E33" s="258">
        <f t="shared" si="18"/>
        <v>192.77119383198934</v>
      </c>
      <c r="F33" s="258">
        <f>Exploration!X58</f>
        <v>0</v>
      </c>
      <c r="G33" s="258">
        <f>Development!BX114</f>
        <v>0</v>
      </c>
      <c r="H33" s="258">
        <f>Abandonment!K39</f>
        <v>0</v>
      </c>
      <c r="I33" s="258">
        <f>Operations!P42</f>
        <v>66.301263067493082</v>
      </c>
      <c r="J33" s="258">
        <f t="shared" si="9"/>
        <v>66.301263067493082</v>
      </c>
      <c r="K33" s="258">
        <f t="shared" si="10"/>
        <v>126.46993076449625</v>
      </c>
      <c r="L33" s="258">
        <f>Royalty!AM35*Development!$BP$88</f>
        <v>41.943931560211425</v>
      </c>
      <c r="M33" s="258">
        <f>'Provincial Tax'!X33*Development!$BP$88</f>
        <v>13.115761121358414</v>
      </c>
      <c r="N33" s="258">
        <f>'Federal Tax'!X34*Development!$BP$88</f>
        <v>13.610832686153062</v>
      </c>
      <c r="O33" s="258">
        <f t="shared" si="11"/>
        <v>68.670525367722902</v>
      </c>
      <c r="P33" s="258">
        <f t="shared" si="12"/>
        <v>57.799405396773352</v>
      </c>
      <c r="Q33" s="218"/>
      <c r="R33" s="218"/>
      <c r="S33" s="218"/>
      <c r="T33" s="218"/>
      <c r="U33" s="218"/>
      <c r="V33" s="218"/>
      <c r="W33" s="218"/>
      <c r="X33" s="218"/>
      <c r="Y33" s="93"/>
      <c r="Z33" s="93"/>
      <c r="AA33" s="93"/>
      <c r="AB33" s="93"/>
      <c r="AC33" s="279">
        <f>IF(Thresholds!$E$1=Lists!$A$8,Exploration!U58,IF(Thresholds!$E$1=Lists!$A$9,Exploration!V58,IF(Thresholds!$E$1=Lists!$A$10,Exploration!W58,IF(Thresholds!$E$1=Lists!$A$11,Development!AV114,Development!BE114-Development!AV114))))</f>
        <v>0</v>
      </c>
      <c r="AD33" s="279">
        <f t="shared" si="13"/>
        <v>0</v>
      </c>
      <c r="AE33" s="279"/>
      <c r="AF33" s="279"/>
      <c r="AG33" s="275">
        <f t="shared" ca="1" si="21"/>
        <v>0.11346633369002447</v>
      </c>
      <c r="AH33" s="275">
        <f t="shared" ca="1" si="21"/>
        <v>4.6415888336126888E+45</v>
      </c>
      <c r="AI33" s="275">
        <f t="shared" ca="1" si="21"/>
        <v>6.8129206905796429E+22</v>
      </c>
      <c r="AJ33" s="275">
        <f t="shared" ca="1" si="21"/>
        <v>9116226331373854</v>
      </c>
      <c r="AK33" s="275">
        <f t="shared" ca="1" si="21"/>
        <v>869089862053.15381</v>
      </c>
      <c r="AL33" s="275">
        <f t="shared" ca="1" si="21"/>
        <v>1219823131.6525621</v>
      </c>
      <c r="AM33" s="275">
        <f t="shared" ca="1" si="21"/>
        <v>7473400.1141818222</v>
      </c>
      <c r="AN33" s="275">
        <f t="shared" ca="1" si="21"/>
        <v>116291.09224380217</v>
      </c>
      <c r="AO33" s="275">
        <f t="shared" ca="1" si="21"/>
        <v>3442.9291550217954</v>
      </c>
      <c r="AP33" s="275">
        <f t="shared" ca="1" si="21"/>
        <v>163.22197567580807</v>
      </c>
      <c r="AQ33" s="275">
        <f t="shared" ca="1" si="20"/>
        <v>11.086540158436959</v>
      </c>
      <c r="AR33" s="275">
        <f t="shared" ca="1" si="20"/>
        <v>1.0000000000000027</v>
      </c>
      <c r="AS33" s="275">
        <f t="shared" ca="1" si="20"/>
        <v>0.79676203463102868</v>
      </c>
      <c r="AT33" s="275">
        <f t="shared" ca="1" si="20"/>
        <v>0.63625236761025261</v>
      </c>
      <c r="AU33" s="275">
        <f t="shared" ca="1" si="20"/>
        <v>0.50919410746151728</v>
      </c>
      <c r="AV33" s="275">
        <f t="shared" ca="1" si="20"/>
        <v>0.4083871665141362</v>
      </c>
      <c r="AW33" s="275">
        <f t="shared" ca="1" si="20"/>
        <v>0.32822954538753124</v>
      </c>
      <c r="AX33" s="275">
        <f t="shared" ca="1" si="20"/>
        <v>0.26435208682323857</v>
      </c>
      <c r="AY33" s="275">
        <f t="shared" ca="1" si="20"/>
        <v>0.21333907587698819</v>
      </c>
      <c r="AZ33" s="275">
        <f t="shared" ca="1" si="20"/>
        <v>0.17251396212319034</v>
      </c>
      <c r="BA33" s="275">
        <f t="shared" ca="1" si="20"/>
        <v>0.13977461253008291</v>
      </c>
      <c r="BB33" s="275">
        <f t="shared" ca="1" si="20"/>
        <v>0.11346633369002497</v>
      </c>
      <c r="BC33" s="275">
        <f t="shared" ca="1" si="20"/>
        <v>4.1121218825928708E-2</v>
      </c>
      <c r="BD33" s="275">
        <f t="shared" ca="1" si="20"/>
        <v>1.5560667228712135E-2</v>
      </c>
      <c r="BE33" s="275">
        <f t="shared" ca="1" si="20"/>
        <v>6.1266260003261545E-3</v>
      </c>
      <c r="BF33" s="275">
        <f t="shared" ca="1" si="20"/>
        <v>2.5020354325650221E-3</v>
      </c>
      <c r="BG33" s="275">
        <f t="shared" ca="1" si="22"/>
        <v>1.0569285257632137E-3</v>
      </c>
      <c r="BH33" s="275">
        <f t="shared" ca="1" si="22"/>
        <v>4.6069113153574578E-4</v>
      </c>
      <c r="BI33" s="275">
        <f t="shared" ca="1" si="22"/>
        <v>9.5334388425850368E-5</v>
      </c>
      <c r="BJ33" s="275">
        <f t="shared" ca="1" si="22"/>
        <v>2.1840390342017435E-5</v>
      </c>
      <c r="BK33" s="275">
        <f t="shared" ca="1" si="22"/>
        <v>5.471204675559879E-6</v>
      </c>
      <c r="BL33" s="275">
        <f t="shared" ca="1" si="22"/>
        <v>1.4834666937474329E-6</v>
      </c>
      <c r="BM33" s="275">
        <f t="shared" ca="1" si="22"/>
        <v>4.3164440067044738E-7</v>
      </c>
      <c r="BN33" s="275">
        <f t="shared" ca="1" si="22"/>
        <v>1.3380790332667601E-7</v>
      </c>
      <c r="BO33" s="275">
        <f t="shared" ca="1" si="22"/>
        <v>4.3919707278173317E-8</v>
      </c>
      <c r="BP33" s="275">
        <f t="shared" ca="1" si="22"/>
        <v>1.5182692209227152E-8</v>
      </c>
      <c r="BQ33" s="275">
        <f t="shared" ca="1" si="22"/>
        <v>5.5023440733349213E-9</v>
      </c>
      <c r="BR33" s="275">
        <f t="shared" ca="1" si="22"/>
        <v>2.0821402562380665E-9</v>
      </c>
      <c r="BS33" s="275">
        <f t="shared" ca="1" si="22"/>
        <v>8.1979097957033162E-10</v>
      </c>
      <c r="BT33" s="275">
        <f t="shared" ca="1" si="22"/>
        <v>3.3479211528057579E-10</v>
      </c>
      <c r="BU33" s="275">
        <f t="shared" ca="1" si="23"/>
        <v>1.4142538999852879E-10</v>
      </c>
      <c r="BV33" s="275">
        <f t="shared" ca="1" si="23"/>
        <v>6.1644114391991396E-11</v>
      </c>
      <c r="BW33" s="275">
        <f t="shared" ca="1" si="23"/>
        <v>2.7663834726365766E-11</v>
      </c>
      <c r="BX33" s="275">
        <f t="shared" ca="1" si="23"/>
        <v>1.2756494630193834E-11</v>
      </c>
      <c r="BY33" s="275">
        <f t="shared" ca="1" si="23"/>
        <v>3.7767043400105352E-13</v>
      </c>
      <c r="BZ33" s="275">
        <f t="shared" ca="1" si="23"/>
        <v>1.7904554992680884E-14</v>
      </c>
      <c r="CA33" s="275">
        <f t="shared" ca="1" si="23"/>
        <v>1.2161326140271693E-15</v>
      </c>
      <c r="CB33" s="275">
        <f t="shared" ca="1" si="23"/>
        <v>1.2446634118717124E-17</v>
      </c>
      <c r="CC33" s="275">
        <f t="shared" ca="1" si="23"/>
        <v>2.7445955613828661E-19</v>
      </c>
      <c r="CD33" s="275">
        <f t="shared" ca="1" si="23"/>
        <v>1.045765922877035E-20</v>
      </c>
      <c r="CE33" s="275">
        <f t="shared" ca="1" si="23"/>
        <v>6.0016112771690759E-22</v>
      </c>
      <c r="CF33" s="275">
        <f t="shared" ca="1" si="23"/>
        <v>4.7349021950554683E-23</v>
      </c>
      <c r="CG33" s="94"/>
      <c r="CH33" s="94"/>
    </row>
    <row r="34" spans="1:86" ht="15" x14ac:dyDescent="0.25">
      <c r="A34" s="160">
        <f>IF(OR(A33=Abandonment!$B$4,A33=""),"",'Success Cash Flow'!A33+1)</f>
        <v>2036</v>
      </c>
      <c r="B34" s="258">
        <f>Revenue!S35</f>
        <v>9.8890221649790977</v>
      </c>
      <c r="C34" s="258">
        <f>Revenue!T35</f>
        <v>158.48654976624272</v>
      </c>
      <c r="D34" s="258">
        <f>Revenue!U35</f>
        <v>0</v>
      </c>
      <c r="E34" s="258">
        <f t="shared" si="18"/>
        <v>168.37557193122183</v>
      </c>
      <c r="F34" s="258">
        <f>Exploration!X59</f>
        <v>0</v>
      </c>
      <c r="G34" s="258">
        <f>Development!BX115</f>
        <v>0</v>
      </c>
      <c r="H34" s="258">
        <f>Abandonment!K40</f>
        <v>0</v>
      </c>
      <c r="I34" s="258">
        <f>Operations!P43</f>
        <v>66.26788769655434</v>
      </c>
      <c r="J34" s="258">
        <f t="shared" si="9"/>
        <v>66.26788769655434</v>
      </c>
      <c r="K34" s="258">
        <f t="shared" si="10"/>
        <v>102.10768423466749</v>
      </c>
      <c r="L34" s="258">
        <f>Royalty!AM36*Development!$BP$88</f>
        <v>33.418313412754216</v>
      </c>
      <c r="M34" s="258">
        <f>'Provincial Tax'!X34*Development!$BP$88</f>
        <v>10.686853688521017</v>
      </c>
      <c r="N34" s="258">
        <f>'Federal Tax'!X35*Development!$BP$88</f>
        <v>11.217538521023666</v>
      </c>
      <c r="O34" s="258">
        <f t="shared" si="11"/>
        <v>55.322705622298898</v>
      </c>
      <c r="P34" s="258">
        <f t="shared" si="12"/>
        <v>46.78497861236859</v>
      </c>
      <c r="Q34" s="218"/>
      <c r="R34" s="218"/>
      <c r="S34" s="218"/>
      <c r="T34" s="218"/>
      <c r="U34" s="218"/>
      <c r="V34" s="218"/>
      <c r="W34" s="218"/>
      <c r="X34" s="218"/>
      <c r="Y34" s="93"/>
      <c r="Z34" s="93"/>
      <c r="AA34" s="93"/>
      <c r="AB34" s="93"/>
      <c r="AC34" s="279">
        <f>IF(Thresholds!$E$1=Lists!$A$8,Exploration!U59,IF(Thresholds!$E$1=Lists!$A$9,Exploration!V59,IF(Thresholds!$E$1=Lists!$A$10,Exploration!W59,IF(Thresholds!$E$1=Lists!$A$11,Development!AV115,Development!BE115-Development!AV115))))</f>
        <v>0</v>
      </c>
      <c r="AD34" s="279">
        <f t="shared" si="13"/>
        <v>0</v>
      </c>
      <c r="AE34" s="279"/>
      <c r="AF34" s="279"/>
      <c r="AG34" s="275">
        <f t="shared" ca="1" si="21"/>
        <v>0.10315121244547681</v>
      </c>
      <c r="AH34" s="275">
        <f t="shared" ca="1" si="21"/>
        <v>4.6415888336127323E+47</v>
      </c>
      <c r="AI34" s="275">
        <f t="shared" ca="1" si="21"/>
        <v>6.8129206905796261E+23</v>
      </c>
      <c r="AJ34" s="275">
        <f t="shared" ca="1" si="21"/>
        <v>4.5581131656869072E+16</v>
      </c>
      <c r="AK34" s="275">
        <f t="shared" ca="1" si="21"/>
        <v>2896966206843.8452</v>
      </c>
      <c r="AL34" s="275">
        <f t="shared" ca="1" si="21"/>
        <v>3049557829.1314082</v>
      </c>
      <c r="AM34" s="275">
        <f t="shared" ca="1" si="21"/>
        <v>14946800.22836367</v>
      </c>
      <c r="AN34" s="275">
        <f t="shared" ca="1" si="21"/>
        <v>193818.48707300361</v>
      </c>
      <c r="AO34" s="275">
        <f t="shared" ca="1" si="21"/>
        <v>4918.4702214597119</v>
      </c>
      <c r="AP34" s="275">
        <f t="shared" ca="1" si="21"/>
        <v>204.02746959476028</v>
      </c>
      <c r="AQ34" s="275">
        <f t="shared" ca="1" si="20"/>
        <v>12.318377953818844</v>
      </c>
      <c r="AR34" s="275">
        <f t="shared" ca="1" si="20"/>
        <v>1.0000000000000027</v>
      </c>
      <c r="AS34" s="275">
        <f t="shared" ca="1" si="20"/>
        <v>0.78887330161488012</v>
      </c>
      <c r="AT34" s="275">
        <f t="shared" ca="1" si="20"/>
        <v>0.6237768309904439</v>
      </c>
      <c r="AU34" s="275">
        <f t="shared" ca="1" si="20"/>
        <v>0.49436321112768689</v>
      </c>
      <c r="AV34" s="275">
        <f t="shared" ca="1" si="20"/>
        <v>0.39267996780205416</v>
      </c>
      <c r="AW34" s="275">
        <f t="shared" ca="1" si="20"/>
        <v>0.3125995670357441</v>
      </c>
      <c r="AX34" s="275">
        <f t="shared" ca="1" si="20"/>
        <v>0.24938876115399869</v>
      </c>
      <c r="AY34" s="275">
        <f t="shared" ca="1" si="20"/>
        <v>0.19938231390372729</v>
      </c>
      <c r="AZ34" s="275">
        <f t="shared" ca="1" si="20"/>
        <v>0.15973515011406514</v>
      </c>
      <c r="BA34" s="275">
        <f t="shared" ca="1" si="20"/>
        <v>0.12823358947714031</v>
      </c>
      <c r="BB34" s="275">
        <f t="shared" ca="1" si="20"/>
        <v>0.10315121244547727</v>
      </c>
      <c r="BC34" s="275">
        <f t="shared" ca="1" si="20"/>
        <v>3.5757581587764091E-2</v>
      </c>
      <c r="BD34" s="275">
        <f t="shared" ca="1" si="20"/>
        <v>1.2967222690593453E-2</v>
      </c>
      <c r="BE34" s="275">
        <f t="shared" ca="1" si="20"/>
        <v>4.9013008002609278E-3</v>
      </c>
      <c r="BF34" s="275">
        <f t="shared" ca="1" si="20"/>
        <v>1.9246426404346336E-3</v>
      </c>
      <c r="BG34" s="275">
        <f t="shared" ca="1" si="22"/>
        <v>7.8291001908386225E-4</v>
      </c>
      <c r="BH34" s="275">
        <f t="shared" ca="1" si="22"/>
        <v>3.2906509395410445E-4</v>
      </c>
      <c r="BI34" s="275">
        <f t="shared" ca="1" si="22"/>
        <v>6.3556258950566962E-5</v>
      </c>
      <c r="BJ34" s="275">
        <f t="shared" ca="1" si="22"/>
        <v>1.3650243963760907E-5</v>
      </c>
      <c r="BK34" s="275">
        <f t="shared" ca="1" si="22"/>
        <v>3.2183556915058119E-6</v>
      </c>
      <c r="BL34" s="275">
        <f t="shared" ca="1" si="22"/>
        <v>8.2414816319301857E-7</v>
      </c>
      <c r="BM34" s="275">
        <f t="shared" ca="1" si="22"/>
        <v>2.2718126351076169E-7</v>
      </c>
      <c r="BN34" s="275">
        <f t="shared" ca="1" si="22"/>
        <v>6.6903951663337874E-8</v>
      </c>
      <c r="BO34" s="275">
        <f t="shared" ca="1" si="22"/>
        <v>2.0914146322939707E-8</v>
      </c>
      <c r="BP34" s="275">
        <f t="shared" ca="1" si="22"/>
        <v>6.9012237314668689E-9</v>
      </c>
      <c r="BQ34" s="275">
        <f t="shared" ca="1" si="22"/>
        <v>2.3923235101456206E-9</v>
      </c>
      <c r="BR34" s="275">
        <f t="shared" ca="1" si="22"/>
        <v>8.6755844009919553E-10</v>
      </c>
      <c r="BS34" s="275">
        <f t="shared" ca="1" si="22"/>
        <v>3.2791639182813351E-10</v>
      </c>
      <c r="BT34" s="275">
        <f t="shared" ca="1" si="22"/>
        <v>1.2876619818483679E-10</v>
      </c>
      <c r="BU34" s="275">
        <f t="shared" ca="1" si="23"/>
        <v>5.2379774073529231E-11</v>
      </c>
      <c r="BV34" s="275">
        <f t="shared" ca="1" si="23"/>
        <v>2.2015755139996988E-11</v>
      </c>
      <c r="BW34" s="275">
        <f t="shared" ca="1" si="23"/>
        <v>9.5392533539192016E-12</v>
      </c>
      <c r="BX34" s="275">
        <f t="shared" ca="1" si="23"/>
        <v>4.252164876731272E-12</v>
      </c>
      <c r="BY34" s="275">
        <f t="shared" ca="1" si="23"/>
        <v>1.0790583828601529E-13</v>
      </c>
      <c r="BZ34" s="275">
        <f t="shared" ca="1" si="23"/>
        <v>4.4761387481702202E-15</v>
      </c>
      <c r="CA34" s="275">
        <f t="shared" ca="1" si="23"/>
        <v>2.7025169200603743E-16</v>
      </c>
      <c r="CB34" s="275">
        <f t="shared" ca="1" si="23"/>
        <v>2.2630243852212955E-18</v>
      </c>
      <c r="CC34" s="275">
        <f t="shared" ca="1" si="23"/>
        <v>4.2224547098198035E-20</v>
      </c>
      <c r="CD34" s="275">
        <f t="shared" ca="1" si="23"/>
        <v>1.394354563836049E-21</v>
      </c>
      <c r="CE34" s="275">
        <f t="shared" ca="1" si="23"/>
        <v>7.0607191496106706E-23</v>
      </c>
      <c r="CF34" s="275">
        <f t="shared" ca="1" si="23"/>
        <v>4.9841075737425985E-24</v>
      </c>
      <c r="CG34" s="94"/>
      <c r="CH34" s="94"/>
    </row>
    <row r="35" spans="1:86" ht="15" x14ac:dyDescent="0.25">
      <c r="A35" s="160">
        <f>IF(OR(A34=Abandonment!$B$4,A34=""),"",'Success Cash Flow'!A34+1)</f>
        <v>2037</v>
      </c>
      <c r="B35" s="258">
        <f>Revenue!S36</f>
        <v>8.5903055727279494</v>
      </c>
      <c r="C35" s="258">
        <f>Revenue!T36</f>
        <v>137.67265043462041</v>
      </c>
      <c r="D35" s="258">
        <f>Revenue!U36</f>
        <v>0</v>
      </c>
      <c r="E35" s="258">
        <f t="shared" si="18"/>
        <v>146.26295600734835</v>
      </c>
      <c r="F35" s="258">
        <f>Exploration!X60</f>
        <v>0</v>
      </c>
      <c r="G35" s="258">
        <f>Development!BX116</f>
        <v>0</v>
      </c>
      <c r="H35" s="258">
        <f>Abandonment!K41</f>
        <v>0</v>
      </c>
      <c r="I35" s="258">
        <f>Operations!P44</f>
        <v>66.431277271911156</v>
      </c>
      <c r="J35" s="258">
        <f t="shared" si="9"/>
        <v>66.431277271911156</v>
      </c>
      <c r="K35" s="258">
        <f t="shared" si="10"/>
        <v>79.831678735437194</v>
      </c>
      <c r="L35" s="258">
        <f>Royalty!AM37*Development!$BP$88</f>
        <v>25.615992852886116</v>
      </c>
      <c r="M35" s="258">
        <f>'Provincial Tax'!X35*Development!$BP$88</f>
        <v>8.4489229033265296</v>
      </c>
      <c r="N35" s="258">
        <f>'Federal Tax'!X36*Development!$BP$88</f>
        <v>8.4817698173397886</v>
      </c>
      <c r="O35" s="258">
        <f t="shared" si="11"/>
        <v>42.546685573552431</v>
      </c>
      <c r="P35" s="258">
        <f t="shared" si="12"/>
        <v>37.284993161884763</v>
      </c>
      <c r="Q35" s="218"/>
      <c r="R35" s="218"/>
      <c r="S35" s="218"/>
      <c r="T35" s="218"/>
      <c r="U35" s="218"/>
      <c r="V35" s="218"/>
      <c r="W35" s="218"/>
      <c r="X35" s="218"/>
      <c r="Y35" s="93"/>
      <c r="Z35" s="93"/>
      <c r="AA35" s="93"/>
      <c r="AB35" s="93"/>
      <c r="AC35" s="279">
        <f>IF(Thresholds!$E$1=Lists!$A$8,Exploration!U60,IF(Thresholds!$E$1=Lists!$A$9,Exploration!V60,IF(Thresholds!$E$1=Lists!$A$10,Exploration!W60,IF(Thresholds!$E$1=Lists!$A$11,Development!AV116,Development!BE116-Development!AV116))))</f>
        <v>0</v>
      </c>
      <c r="AD35" s="279">
        <f t="shared" si="13"/>
        <v>0</v>
      </c>
      <c r="AE35" s="279"/>
      <c r="AF35" s="279"/>
      <c r="AG35" s="275">
        <f t="shared" ca="1" si="21"/>
        <v>9.3773829495888014E-2</v>
      </c>
      <c r="AH35" s="275">
        <f t="shared" ca="1" si="21"/>
        <v>4.6415888336127092E+49</v>
      </c>
      <c r="AI35" s="275">
        <f t="shared" ca="1" si="21"/>
        <v>6.8129206905796097E+24</v>
      </c>
      <c r="AJ35" s="275">
        <f t="shared" ca="1" si="21"/>
        <v>2.2790565828434598E+17</v>
      </c>
      <c r="AK35" s="275">
        <f t="shared" ca="1" si="21"/>
        <v>9656554022812.8184</v>
      </c>
      <c r="AL35" s="275">
        <f t="shared" ca="1" si="21"/>
        <v>7623894572.8285284</v>
      </c>
      <c r="AM35" s="275">
        <f t="shared" ca="1" si="21"/>
        <v>29893600.456727292</v>
      </c>
      <c r="AN35" s="275">
        <f t="shared" ca="1" si="21"/>
        <v>323030.81178833981</v>
      </c>
      <c r="AO35" s="275">
        <f t="shared" ca="1" si="21"/>
        <v>7026.3860306567385</v>
      </c>
      <c r="AP35" s="275">
        <f t="shared" ca="1" si="21"/>
        <v>255.03433699345032</v>
      </c>
      <c r="AQ35" s="275">
        <f t="shared" ca="1" si="20"/>
        <v>13.687086615354271</v>
      </c>
      <c r="AR35" s="275">
        <f t="shared" ca="1" si="20"/>
        <v>1.0000000000000027</v>
      </c>
      <c r="AS35" s="275">
        <f t="shared" ca="1" si="20"/>
        <v>0.78106267486621805</v>
      </c>
      <c r="AT35" s="275">
        <f t="shared" ca="1" si="20"/>
        <v>0.61154591273572945</v>
      </c>
      <c r="AU35" s="275">
        <f t="shared" ca="1" si="20"/>
        <v>0.47996428264823976</v>
      </c>
      <c r="AV35" s="275">
        <f t="shared" ca="1" si="20"/>
        <v>0.37757689211735984</v>
      </c>
      <c r="AW35" s="275">
        <f t="shared" ca="1" si="20"/>
        <v>0.29771387336737531</v>
      </c>
      <c r="AX35" s="275">
        <f t="shared" ca="1" si="20"/>
        <v>0.23527241618301767</v>
      </c>
      <c r="AY35" s="275">
        <f t="shared" ca="1" si="20"/>
        <v>0.18633861112497879</v>
      </c>
      <c r="AZ35" s="275">
        <f t="shared" ca="1" si="20"/>
        <v>0.14790291677228254</v>
      </c>
      <c r="BA35" s="275">
        <f t="shared" ca="1" si="20"/>
        <v>0.11764549493315626</v>
      </c>
      <c r="BB35" s="275">
        <f t="shared" ca="1" si="20"/>
        <v>9.3773829495888431E-2</v>
      </c>
      <c r="BC35" s="275">
        <f t="shared" ca="1" si="20"/>
        <v>3.1093549206751378E-2</v>
      </c>
      <c r="BD35" s="275">
        <f t="shared" ca="1" si="20"/>
        <v>1.0806018908827883E-2</v>
      </c>
      <c r="BE35" s="275">
        <f t="shared" ca="1" si="20"/>
        <v>3.9210406402087426E-3</v>
      </c>
      <c r="BF35" s="275">
        <f t="shared" ca="1" si="20"/>
        <v>1.4804943387958715E-3</v>
      </c>
      <c r="BG35" s="275">
        <f t="shared" ca="1" si="22"/>
        <v>5.7993334746952768E-4</v>
      </c>
      <c r="BH35" s="275">
        <f t="shared" ca="1" si="22"/>
        <v>2.3504649568150294E-4</v>
      </c>
      <c r="BI35" s="275">
        <f t="shared" ca="1" si="22"/>
        <v>4.2370839300377999E-5</v>
      </c>
      <c r="BJ35" s="275">
        <f t="shared" ca="1" si="22"/>
        <v>8.531402477350574E-6</v>
      </c>
      <c r="BK35" s="275">
        <f t="shared" ca="1" si="22"/>
        <v>1.8931504067681247E-6</v>
      </c>
      <c r="BL35" s="275">
        <f t="shared" ca="1" si="22"/>
        <v>4.5786009066278825E-7</v>
      </c>
      <c r="BM35" s="275">
        <f t="shared" ca="1" si="22"/>
        <v>1.1956908605829556E-7</v>
      </c>
      <c r="BN35" s="275">
        <f t="shared" ca="1" si="22"/>
        <v>3.3451975831668996E-8</v>
      </c>
      <c r="BO35" s="275">
        <f t="shared" ca="1" si="22"/>
        <v>9.9591172966379354E-9</v>
      </c>
      <c r="BP35" s="275">
        <f t="shared" ca="1" si="22"/>
        <v>3.1369198779394888E-9</v>
      </c>
      <c r="BQ35" s="275">
        <f t="shared" ca="1" si="22"/>
        <v>1.0401406565850536E-9</v>
      </c>
      <c r="BR35" s="275">
        <f t="shared" ca="1" si="22"/>
        <v>3.6148268337466536E-10</v>
      </c>
      <c r="BS35" s="275">
        <f t="shared" ca="1" si="22"/>
        <v>1.311665567312533E-10</v>
      </c>
      <c r="BT35" s="275">
        <f t="shared" ca="1" si="22"/>
        <v>4.9525460840321829E-11</v>
      </c>
      <c r="BU35" s="275">
        <f t="shared" ca="1" si="23"/>
        <v>1.9399916323529368E-11</v>
      </c>
      <c r="BV35" s="275">
        <f t="shared" ca="1" si="23"/>
        <v>7.8627696928560581E-12</v>
      </c>
      <c r="BW35" s="275">
        <f t="shared" ca="1" si="23"/>
        <v>3.2893977082480025E-12</v>
      </c>
      <c r="BX35" s="275">
        <f t="shared" ca="1" si="23"/>
        <v>1.4173882922437557E-12</v>
      </c>
      <c r="BY35" s="275">
        <f t="shared" ca="1" si="23"/>
        <v>3.0830239510290082E-14</v>
      </c>
      <c r="BZ35" s="275">
        <f t="shared" ca="1" si="23"/>
        <v>1.1190346870425509E-15</v>
      </c>
      <c r="CA35" s="275">
        <f t="shared" ca="1" si="23"/>
        <v>6.0055931556897179E-17</v>
      </c>
      <c r="CB35" s="275">
        <f t="shared" ca="1" si="23"/>
        <v>4.1145897913114459E-19</v>
      </c>
      <c r="CC35" s="275">
        <f t="shared" ca="1" si="23"/>
        <v>6.496084168953559E-21</v>
      </c>
      <c r="CD35" s="275">
        <f t="shared" ca="1" si="23"/>
        <v>1.8591394184480548E-22</v>
      </c>
      <c r="CE35" s="275">
        <f t="shared" ca="1" si="23"/>
        <v>8.3067284113066641E-24</v>
      </c>
      <c r="CF35" s="275">
        <f t="shared" ca="1" si="23"/>
        <v>5.2464290249922109E-25</v>
      </c>
      <c r="CG35" s="94"/>
      <c r="CH35" s="94"/>
    </row>
    <row r="36" spans="1:86" ht="15" x14ac:dyDescent="0.25">
      <c r="A36" s="160">
        <f>IF(OR(A35=Abandonment!$B$4,A35=""),"",'Success Cash Flow'!A35+1)</f>
        <v>2038</v>
      </c>
      <c r="B36" s="258">
        <f>Revenue!S37</f>
        <v>7.4843037302392537</v>
      </c>
      <c r="C36" s="258">
        <f>Revenue!T37</f>
        <v>119.94729669116344</v>
      </c>
      <c r="D36" s="258">
        <f>Revenue!U37</f>
        <v>0</v>
      </c>
      <c r="E36" s="258">
        <f t="shared" si="18"/>
        <v>127.43160042140269</v>
      </c>
      <c r="F36" s="258">
        <f>Exploration!X61</f>
        <v>0</v>
      </c>
      <c r="G36" s="258">
        <f>Development!BX117</f>
        <v>0</v>
      </c>
      <c r="H36" s="258">
        <f>Abandonment!K42</f>
        <v>0</v>
      </c>
      <c r="I36" s="258">
        <f>Operations!P45</f>
        <v>66.802552795486847</v>
      </c>
      <c r="J36" s="258">
        <f t="shared" si="9"/>
        <v>66.802552795486847</v>
      </c>
      <c r="K36" s="258">
        <f t="shared" si="10"/>
        <v>60.629047625915845</v>
      </c>
      <c r="L36" s="258">
        <f>Royalty!AM38*Development!$BP$88</f>
        <v>18.882077321228508</v>
      </c>
      <c r="M36" s="258">
        <f>'Provincial Tax'!X36*Development!$BP$88</f>
        <v>6.5117232963887712</v>
      </c>
      <c r="N36" s="258">
        <f>'Federal Tax'!X37*Development!$BP$88</f>
        <v>6.5691768166913151</v>
      </c>
      <c r="O36" s="258">
        <f t="shared" si="11"/>
        <v>31.962977434308595</v>
      </c>
      <c r="P36" s="258">
        <f t="shared" si="12"/>
        <v>28.66607019160725</v>
      </c>
      <c r="Q36" s="218"/>
      <c r="R36" s="218"/>
      <c r="S36" s="218"/>
      <c r="T36" s="218"/>
      <c r="U36" s="218"/>
      <c r="V36" s="218"/>
      <c r="W36" s="218"/>
      <c r="X36" s="218"/>
      <c r="Y36" s="93"/>
      <c r="Z36" s="93"/>
      <c r="AA36" s="93"/>
      <c r="AB36" s="93"/>
      <c r="AC36" s="279">
        <f>IF(Thresholds!$E$1=Lists!$A$8,Exploration!U61,IF(Thresholds!$E$1=Lists!$A$9,Exploration!V61,IF(Thresholds!$E$1=Lists!$A$10,Exploration!W61,IF(Thresholds!$E$1=Lists!$A$11,Development!AV117,Development!BE117-Development!AV117))))</f>
        <v>0</v>
      </c>
      <c r="AD36" s="279">
        <f t="shared" si="13"/>
        <v>0</v>
      </c>
      <c r="AE36" s="279"/>
      <c r="AF36" s="279"/>
      <c r="AG36" s="275">
        <f t="shared" ca="1" si="21"/>
        <v>8.5248935905352721E-2</v>
      </c>
      <c r="AH36" s="275">
        <f t="shared" ca="1" si="21"/>
        <v>4.6415888336126864E+51</v>
      </c>
      <c r="AI36" s="275">
        <f t="shared" ca="1" si="21"/>
        <v>6.8129206905796419E+25</v>
      </c>
      <c r="AJ36" s="275">
        <f t="shared" ca="1" si="21"/>
        <v>1.1395282914217249E+18</v>
      </c>
      <c r="AK36" s="275">
        <f t="shared" ca="1" si="21"/>
        <v>32188513409376.055</v>
      </c>
      <c r="AL36" s="275">
        <f t="shared" ca="1" si="21"/>
        <v>19059736432.071339</v>
      </c>
      <c r="AM36" s="275">
        <f t="shared" ca="1" si="21"/>
        <v>59787200.913454689</v>
      </c>
      <c r="AN36" s="275">
        <f t="shared" ca="1" si="21"/>
        <v>538384.68631389958</v>
      </c>
      <c r="AO36" s="275">
        <f t="shared" ca="1" si="21"/>
        <v>10037.694329509617</v>
      </c>
      <c r="AP36" s="275">
        <f t="shared" ca="1" si="21"/>
        <v>318.79292124181285</v>
      </c>
      <c r="AQ36" s="275">
        <f t="shared" ca="1" si="20"/>
        <v>15.207874017060309</v>
      </c>
      <c r="AR36" s="275">
        <f t="shared" ca="1" si="20"/>
        <v>1.0000000000000029</v>
      </c>
      <c r="AS36" s="275">
        <f t="shared" ca="1" si="20"/>
        <v>0.77332938105566162</v>
      </c>
      <c r="AT36" s="275">
        <f t="shared" ca="1" si="20"/>
        <v>0.59955481640757791</v>
      </c>
      <c r="AU36" s="275">
        <f t="shared" ca="1" si="20"/>
        <v>0.46598474043518429</v>
      </c>
      <c r="AV36" s="275">
        <f t="shared" ca="1" si="20"/>
        <v>0.36305470395899986</v>
      </c>
      <c r="AW36" s="275">
        <f t="shared" ca="1" si="20"/>
        <v>0.28353702225464328</v>
      </c>
      <c r="AX36" s="275">
        <f t="shared" ca="1" si="20"/>
        <v>0.22195510960662046</v>
      </c>
      <c r="AY36" s="275">
        <f t="shared" ca="1" si="20"/>
        <v>0.17414823469624191</v>
      </c>
      <c r="AZ36" s="275">
        <f t="shared" ca="1" si="20"/>
        <v>0.13694714515952092</v>
      </c>
      <c r="BA36" s="275">
        <f t="shared" ca="1" si="20"/>
        <v>0.10793164672766628</v>
      </c>
      <c r="BB36" s="275">
        <f t="shared" ca="1" si="20"/>
        <v>8.5248935905353165E-2</v>
      </c>
      <c r="BC36" s="275">
        <f t="shared" ca="1" si="20"/>
        <v>2.7037868875435987E-2</v>
      </c>
      <c r="BD36" s="275">
        <f t="shared" ca="1" si="20"/>
        <v>9.005015757356568E-3</v>
      </c>
      <c r="BE36" s="275">
        <f t="shared" ca="1" si="20"/>
        <v>3.1368325121669941E-3</v>
      </c>
      <c r="BF36" s="275">
        <f t="shared" ca="1" si="20"/>
        <v>1.1388417990737482E-3</v>
      </c>
      <c r="BG36" s="275">
        <f t="shared" ca="1" si="22"/>
        <v>4.2958025738483544E-4</v>
      </c>
      <c r="BH36" s="275">
        <f t="shared" ca="1" si="22"/>
        <v>1.6789035405821655E-4</v>
      </c>
      <c r="BI36" s="275">
        <f t="shared" ca="1" si="22"/>
        <v>2.8247226200251969E-5</v>
      </c>
      <c r="BJ36" s="275">
        <f t="shared" ca="1" si="22"/>
        <v>5.3321265483441032E-6</v>
      </c>
      <c r="BK36" s="275">
        <f t="shared" ca="1" si="22"/>
        <v>1.1136178863341912E-6</v>
      </c>
      <c r="BL36" s="275">
        <f t="shared" ca="1" si="22"/>
        <v>2.5436671703488248E-7</v>
      </c>
      <c r="BM36" s="275">
        <f t="shared" ca="1" si="22"/>
        <v>6.2931097925418796E-8</v>
      </c>
      <c r="BN36" s="275">
        <f t="shared" ca="1" si="22"/>
        <v>1.6725987915834525E-8</v>
      </c>
      <c r="BO36" s="275">
        <f t="shared" ca="1" si="22"/>
        <v>4.7424368079228342E-9</v>
      </c>
      <c r="BP36" s="275">
        <f t="shared" ca="1" si="22"/>
        <v>1.425872671790678E-9</v>
      </c>
      <c r="BQ36" s="275">
        <f t="shared" ca="1" si="22"/>
        <v>4.5223506808045862E-10</v>
      </c>
      <c r="BR36" s="275">
        <f t="shared" ca="1" si="22"/>
        <v>1.5061778473944359E-10</v>
      </c>
      <c r="BS36" s="275">
        <f t="shared" ca="1" si="22"/>
        <v>5.2466622692501265E-11</v>
      </c>
      <c r="BT36" s="275">
        <f t="shared" ca="1" si="22"/>
        <v>1.9048254169354543E-11</v>
      </c>
      <c r="BU36" s="275">
        <f t="shared" ca="1" si="23"/>
        <v>7.1851541938997481E-12</v>
      </c>
      <c r="BV36" s="275">
        <f t="shared" ca="1" si="23"/>
        <v>2.8081320331628752E-12</v>
      </c>
      <c r="BW36" s="275">
        <f t="shared" ca="1" si="23"/>
        <v>1.1342750718096565E-12</v>
      </c>
      <c r="BX36" s="275">
        <f t="shared" ca="1" si="23"/>
        <v>4.7246276408125305E-13</v>
      </c>
      <c r="BY36" s="275">
        <f t="shared" ca="1" si="23"/>
        <v>8.8086398600828804E-15</v>
      </c>
      <c r="BZ36" s="275">
        <f t="shared" ca="1" si="23"/>
        <v>2.7975867176063866E-16</v>
      </c>
      <c r="CA36" s="275">
        <f t="shared" ca="1" si="23"/>
        <v>1.3345762568199365E-17</v>
      </c>
      <c r="CB36" s="275">
        <f t="shared" ca="1" si="23"/>
        <v>7.4810723478389914E-20</v>
      </c>
      <c r="CC36" s="275">
        <f t="shared" ca="1" si="23"/>
        <v>9.9939756445438898E-22</v>
      </c>
      <c r="CD36" s="275">
        <f t="shared" ca="1" si="23"/>
        <v>2.4788525579307428E-23</v>
      </c>
      <c r="CE36" s="275">
        <f t="shared" ca="1" si="23"/>
        <v>9.7726216603607736E-25</v>
      </c>
      <c r="CF36" s="275">
        <f t="shared" ca="1" si="23"/>
        <v>5.5225568684128553E-26</v>
      </c>
      <c r="CG36" s="94"/>
      <c r="CH36" s="94"/>
    </row>
    <row r="37" spans="1:86" ht="15" x14ac:dyDescent="0.25">
      <c r="A37" s="160">
        <f>IF(OR(A36=Abandonment!$B$4,A36=""),"",'Success Cash Flow'!A36+1)</f>
        <v>2039</v>
      </c>
      <c r="B37" s="258">
        <f>Revenue!S38</f>
        <v>6.5206996249709466</v>
      </c>
      <c r="C37" s="258">
        <f>Revenue!T38</f>
        <v>104.50408224217611</v>
      </c>
      <c r="D37" s="258">
        <f>Revenue!U38</f>
        <v>0</v>
      </c>
      <c r="E37" s="258">
        <f t="shared" si="18"/>
        <v>111.02478186714706</v>
      </c>
      <c r="F37" s="258">
        <f>Exploration!X62</f>
        <v>0</v>
      </c>
      <c r="G37" s="258">
        <f>Development!BX118</f>
        <v>0</v>
      </c>
      <c r="H37" s="258">
        <f>Abandonment!K43</f>
        <v>0</v>
      </c>
      <c r="I37" s="258">
        <f>Operations!P46</f>
        <v>67.349134157210486</v>
      </c>
      <c r="J37" s="258">
        <f t="shared" si="9"/>
        <v>67.349134157210486</v>
      </c>
      <c r="K37" s="258">
        <f t="shared" si="10"/>
        <v>43.67564770993657</v>
      </c>
      <c r="L37" s="258">
        <f>Royalty!AM39*Development!$BP$88</f>
        <v>12.929257002975433</v>
      </c>
      <c r="M37" s="258">
        <f>'Provincial Tax'!X37*Development!$BP$88</f>
        <v>4.7945572720779008</v>
      </c>
      <c r="N37" s="258">
        <f>'Federal Tax'!X38*Development!$BP$88</f>
        <v>4.4860400961728581</v>
      </c>
      <c r="O37" s="258">
        <f t="shared" si="11"/>
        <v>22.209854371226193</v>
      </c>
      <c r="P37" s="258">
        <f t="shared" si="12"/>
        <v>21.465793338710377</v>
      </c>
      <c r="Q37" s="218"/>
      <c r="R37" s="218"/>
      <c r="S37" s="218"/>
      <c r="T37" s="218"/>
      <c r="U37" s="218"/>
      <c r="V37" s="218"/>
      <c r="W37" s="218"/>
      <c r="X37" s="218"/>
      <c r="Y37" s="93"/>
      <c r="Z37" s="93"/>
      <c r="AA37" s="93"/>
      <c r="AB37" s="93"/>
      <c r="AC37" s="279">
        <f>IF(Thresholds!$E$1=Lists!$A$8,Exploration!U62,IF(Thresholds!$E$1=Lists!$A$9,Exploration!V62,IF(Thresholds!$E$1=Lists!$A$10,Exploration!W62,IF(Thresholds!$E$1=Lists!$A$11,Development!AV118,Development!BE118-Development!AV118))))</f>
        <v>0</v>
      </c>
      <c r="AD37" s="279">
        <f t="shared" si="13"/>
        <v>0</v>
      </c>
      <c r="AE37" s="279"/>
      <c r="AF37" s="279"/>
      <c r="AG37" s="275">
        <f t="shared" ca="1" si="21"/>
        <v>7.7499032641229745E-2</v>
      </c>
      <c r="AH37" s="275">
        <f t="shared" ca="1" si="21"/>
        <v>4.6415888336127294E+53</v>
      </c>
      <c r="AI37" s="275">
        <f t="shared" ca="1" si="21"/>
        <v>6.8129206905796255E+26</v>
      </c>
      <c r="AJ37" s="275">
        <f t="shared" ca="1" si="21"/>
        <v>5.6976414571086408E+18</v>
      </c>
      <c r="AK37" s="275">
        <f t="shared" ca="1" si="21"/>
        <v>107295044697920.17</v>
      </c>
      <c r="AL37" s="275">
        <f t="shared" ca="1" si="21"/>
        <v>47649341080.178215</v>
      </c>
      <c r="AM37" s="275">
        <f t="shared" ca="1" si="21"/>
        <v>119574401.8269092</v>
      </c>
      <c r="AN37" s="275">
        <f t="shared" ca="1" si="21"/>
        <v>897307.81052316586</v>
      </c>
      <c r="AO37" s="275">
        <f t="shared" ca="1" si="21"/>
        <v>14339.563327870896</v>
      </c>
      <c r="AP37" s="275">
        <f t="shared" ca="1" si="21"/>
        <v>398.49115155226644</v>
      </c>
      <c r="AQ37" s="275">
        <f t="shared" ca="1" si="20"/>
        <v>16.897637796733676</v>
      </c>
      <c r="AR37" s="275">
        <f t="shared" ca="1" si="20"/>
        <v>1.0000000000000031</v>
      </c>
      <c r="AS37" s="275">
        <f t="shared" ca="1" si="20"/>
        <v>0.76567265451055622</v>
      </c>
      <c r="AT37" s="275">
        <f t="shared" ca="1" si="20"/>
        <v>0.58779883961527257</v>
      </c>
      <c r="AU37" s="275">
        <f t="shared" ca="1" si="20"/>
        <v>0.45241236935454798</v>
      </c>
      <c r="AV37" s="275">
        <f t="shared" ca="1" si="20"/>
        <v>0.34909106149903846</v>
      </c>
      <c r="AW37" s="275">
        <f t="shared" ca="1" si="20"/>
        <v>0.2700352592901365</v>
      </c>
      <c r="AX37" s="275">
        <f t="shared" ca="1" si="20"/>
        <v>0.20939161283643445</v>
      </c>
      <c r="AY37" s="275">
        <f t="shared" ca="1" si="20"/>
        <v>0.16275535952919806</v>
      </c>
      <c r="AZ37" s="275">
        <f t="shared" ca="1" si="20"/>
        <v>0.12680291218474157</v>
      </c>
      <c r="BA37" s="275">
        <f t="shared" ca="1" si="20"/>
        <v>9.90198593831801E-2</v>
      </c>
      <c r="BB37" s="275">
        <f t="shared" ca="1" si="20"/>
        <v>7.7499032641230162E-2</v>
      </c>
      <c r="BC37" s="275">
        <f t="shared" ca="1" si="20"/>
        <v>2.3511190326466074E-2</v>
      </c>
      <c r="BD37" s="275">
        <f t="shared" ca="1" si="20"/>
        <v>7.504179797797144E-3</v>
      </c>
      <c r="BE37" s="275">
        <f t="shared" ca="1" si="20"/>
        <v>2.5094660097335956E-3</v>
      </c>
      <c r="BF37" s="275">
        <f t="shared" ca="1" si="20"/>
        <v>8.7603215313365225E-4</v>
      </c>
      <c r="BG37" s="275">
        <f t="shared" ca="1" si="22"/>
        <v>3.1820759806284115E-4</v>
      </c>
      <c r="BH37" s="275">
        <f t="shared" ca="1" si="22"/>
        <v>1.1992168147015456E-4</v>
      </c>
      <c r="BI37" s="275">
        <f t="shared" ca="1" si="22"/>
        <v>1.8831484133501324E-5</v>
      </c>
      <c r="BJ37" s="275">
        <f t="shared" ca="1" si="22"/>
        <v>3.3325790927150665E-6</v>
      </c>
      <c r="BK37" s="275">
        <f t="shared" ca="1" si="22"/>
        <v>6.5506934490246549E-7</v>
      </c>
      <c r="BL37" s="275">
        <f t="shared" ca="1" si="22"/>
        <v>1.4131484279715674E-7</v>
      </c>
      <c r="BM37" s="275">
        <f t="shared" ca="1" si="22"/>
        <v>3.3121630487062511E-8</v>
      </c>
      <c r="BN37" s="275">
        <f t="shared" ca="1" si="22"/>
        <v>8.3629939579172475E-9</v>
      </c>
      <c r="BO37" s="275">
        <f t="shared" ca="1" si="22"/>
        <v>2.2583032418680198E-9</v>
      </c>
      <c r="BP37" s="275">
        <f t="shared" ca="1" si="22"/>
        <v>6.4812394172303594E-10</v>
      </c>
      <c r="BQ37" s="275">
        <f t="shared" ca="1" si="22"/>
        <v>1.9662394264367719E-10</v>
      </c>
      <c r="BR37" s="275">
        <f t="shared" ca="1" si="22"/>
        <v>6.2757410308101581E-11</v>
      </c>
      <c r="BS37" s="275">
        <f t="shared" ca="1" si="22"/>
        <v>2.0986649077000487E-11</v>
      </c>
      <c r="BT37" s="275">
        <f t="shared" ca="1" si="22"/>
        <v>7.3262516035978995E-12</v>
      </c>
      <c r="BU37" s="275">
        <f t="shared" ca="1" si="23"/>
        <v>2.6611682199628722E-12</v>
      </c>
      <c r="BV37" s="275">
        <f t="shared" ca="1" si="23"/>
        <v>1.0029042975581688E-12</v>
      </c>
      <c r="BW37" s="275">
        <f t="shared" ca="1" si="23"/>
        <v>3.9112933510677826E-13</v>
      </c>
      <c r="BX37" s="275">
        <f t="shared" ca="1" si="23"/>
        <v>1.5748758802708416E-13</v>
      </c>
      <c r="BY37" s="275">
        <f t="shared" ca="1" si="23"/>
        <v>2.5167542457379653E-15</v>
      </c>
      <c r="BZ37" s="275">
        <f t="shared" ca="1" si="23"/>
        <v>6.9939667940159395E-17</v>
      </c>
      <c r="CA37" s="275">
        <f t="shared" ca="1" si="23"/>
        <v>2.9657250151554128E-18</v>
      </c>
      <c r="CB37" s="275">
        <f t="shared" ca="1" si="23"/>
        <v>1.3601949723343621E-20</v>
      </c>
      <c r="CC37" s="275">
        <f t="shared" ca="1" si="23"/>
        <v>1.5375347145452173E-22</v>
      </c>
      <c r="CD37" s="275">
        <f t="shared" ca="1" si="23"/>
        <v>3.3051367439076624E-24</v>
      </c>
      <c r="CE37" s="275">
        <f t="shared" ca="1" si="23"/>
        <v>1.1497201953365607E-25</v>
      </c>
      <c r="CF37" s="275">
        <f t="shared" ca="1" si="23"/>
        <v>5.8132177562240602E-27</v>
      </c>
      <c r="CG37" s="94"/>
      <c r="CH37" s="94"/>
    </row>
    <row r="38" spans="1:86" ht="15" x14ac:dyDescent="0.25">
      <c r="A38" s="160">
        <f>IF(OR(A37=Abandonment!$B$4,A37=""),"",'Success Cash Flow'!A37+1)</f>
        <v>2040</v>
      </c>
      <c r="B38" s="258">
        <f>Revenue!S39</f>
        <v>5.6954906328125059</v>
      </c>
      <c r="C38" s="258">
        <f>Revenue!T39</f>
        <v>91.278858977288621</v>
      </c>
      <c r="D38" s="258">
        <f>Revenue!U39</f>
        <v>0</v>
      </c>
      <c r="E38" s="258">
        <f t="shared" si="18"/>
        <v>96.974349610101129</v>
      </c>
      <c r="F38" s="258">
        <f>Exploration!X63</f>
        <v>0</v>
      </c>
      <c r="G38" s="258">
        <f>Development!BX119</f>
        <v>0</v>
      </c>
      <c r="H38" s="258">
        <f>Abandonment!K44</f>
        <v>0</v>
      </c>
      <c r="I38" s="258">
        <f>Operations!P47</f>
        <v>68.059000331392795</v>
      </c>
      <c r="J38" s="258">
        <f t="shared" si="9"/>
        <v>68.059000331392795</v>
      </c>
      <c r="K38" s="258">
        <f t="shared" si="10"/>
        <v>28.915349278708334</v>
      </c>
      <c r="L38" s="258">
        <f>Royalty!AM40*Development!$BP$88</f>
        <v>7.7383072359491694</v>
      </c>
      <c r="M38" s="258">
        <f>'Provincial Tax'!X38*Development!$BP$88</f>
        <v>3.2953629023290691</v>
      </c>
      <c r="N38" s="258">
        <f>'Federal Tax'!X39*Development!$BP$88</f>
        <v>3.0076209482010325</v>
      </c>
      <c r="O38" s="258">
        <f t="shared" si="11"/>
        <v>14.041291086479273</v>
      </c>
      <c r="P38" s="258">
        <f t="shared" si="12"/>
        <v>14.874058192229061</v>
      </c>
      <c r="Q38" s="218"/>
      <c r="R38" s="218"/>
      <c r="S38" s="218"/>
      <c r="T38" s="218"/>
      <c r="U38" s="218"/>
      <c r="V38" s="218"/>
      <c r="W38" s="218"/>
      <c r="X38" s="218"/>
      <c r="Y38" s="93"/>
      <c r="Z38" s="93"/>
      <c r="AA38" s="93"/>
      <c r="AB38" s="93"/>
      <c r="AC38" s="279">
        <f>IF(Thresholds!$E$1=Lists!$A$8,Exploration!U63,IF(Thresholds!$E$1=Lists!$A$9,Exploration!V63,IF(Thresholds!$E$1=Lists!$A$10,Exploration!W63,IF(Thresholds!$E$1=Lists!$A$11,Development!AV119,Development!BE119-Development!AV119))))</f>
        <v>0</v>
      </c>
      <c r="AD38" s="279">
        <f t="shared" si="13"/>
        <v>0</v>
      </c>
      <c r="AE38" s="279"/>
      <c r="AF38" s="279"/>
      <c r="AG38" s="275">
        <f t="shared" ca="1" si="21"/>
        <v>7.0453666037481572E-2</v>
      </c>
      <c r="AH38" s="275">
        <f t="shared" ca="1" si="21"/>
        <v>4.641588833612641E+55</v>
      </c>
      <c r="AI38" s="275">
        <f t="shared" ca="1" si="21"/>
        <v>6.8129206905796081E+27</v>
      </c>
      <c r="AJ38" s="275">
        <f t="shared" ca="1" si="21"/>
        <v>2.8488207285543285E+19</v>
      </c>
      <c r="AK38" s="275">
        <f t="shared" ca="1" si="21"/>
        <v>357650148993067.19</v>
      </c>
      <c r="AL38" s="275">
        <f t="shared" ca="1" si="21"/>
        <v>119123352700.44566</v>
      </c>
      <c r="AM38" s="275">
        <f t="shared" ca="1" si="21"/>
        <v>239148803.65381882</v>
      </c>
      <c r="AN38" s="275">
        <f t="shared" ca="1" si="21"/>
        <v>1495513.0175386094</v>
      </c>
      <c r="AO38" s="275">
        <f t="shared" ca="1" si="21"/>
        <v>20485.090468386981</v>
      </c>
      <c r="AP38" s="275">
        <f t="shared" ca="1" si="21"/>
        <v>498.11393944033301</v>
      </c>
      <c r="AQ38" s="275">
        <f t="shared" ca="1" si="20"/>
        <v>18.775153107481863</v>
      </c>
      <c r="AR38" s="275">
        <f t="shared" ca="1" si="20"/>
        <v>1.0000000000000031</v>
      </c>
      <c r="AS38" s="275">
        <f t="shared" ca="1" si="20"/>
        <v>0.75809173713916467</v>
      </c>
      <c r="AT38" s="275">
        <f t="shared" ca="1" si="20"/>
        <v>0.57627337217183605</v>
      </c>
      <c r="AU38" s="275">
        <f t="shared" ca="1" si="20"/>
        <v>0.43923531005295924</v>
      </c>
      <c r="AV38" s="275">
        <f t="shared" ca="1" si="20"/>
        <v>0.33566448221061396</v>
      </c>
      <c r="AW38" s="275">
        <f t="shared" ca="1" si="20"/>
        <v>0.25717643741917767</v>
      </c>
      <c r="AX38" s="275">
        <f t="shared" ca="1" si="20"/>
        <v>0.19753925739286274</v>
      </c>
      <c r="AY38" s="275">
        <f t="shared" ca="1" si="20"/>
        <v>0.15210781264411036</v>
      </c>
      <c r="AZ38" s="275">
        <f t="shared" ca="1" si="20"/>
        <v>0.11741010387476074</v>
      </c>
      <c r="BA38" s="275">
        <f t="shared" ca="1" si="20"/>
        <v>9.0843907690990933E-2</v>
      </c>
      <c r="BB38" s="275">
        <f t="shared" ca="1" si="20"/>
        <v>7.0453666037481974E-2</v>
      </c>
      <c r="BC38" s="275">
        <f t="shared" ca="1" si="20"/>
        <v>2.0444513327361809E-2</v>
      </c>
      <c r="BD38" s="275">
        <f t="shared" ca="1" si="20"/>
        <v>6.2534831648309516E-3</v>
      </c>
      <c r="BE38" s="275">
        <f t="shared" ca="1" si="20"/>
        <v>2.0075728077868765E-3</v>
      </c>
      <c r="BF38" s="275">
        <f t="shared" ca="1" si="20"/>
        <v>6.7387088702588679E-4</v>
      </c>
      <c r="BG38" s="275">
        <f t="shared" ca="1" si="22"/>
        <v>2.3570933189840071E-4</v>
      </c>
      <c r="BH38" s="275">
        <f t="shared" ca="1" si="22"/>
        <v>8.5658343907253328E-5</v>
      </c>
      <c r="BI38" s="275">
        <f t="shared" ca="1" si="22"/>
        <v>1.2554322755667558E-5</v>
      </c>
      <c r="BJ38" s="275">
        <f t="shared" ca="1" si="22"/>
        <v>2.0828619329469184E-6</v>
      </c>
      <c r="BK38" s="275">
        <f t="shared" ca="1" si="22"/>
        <v>3.8533490876615627E-7</v>
      </c>
      <c r="BL38" s="275">
        <f t="shared" ca="1" si="22"/>
        <v>7.8508245998420571E-8</v>
      </c>
      <c r="BM38" s="275">
        <f t="shared" ca="1" si="22"/>
        <v>1.7432437098453945E-8</v>
      </c>
      <c r="BN38" s="275">
        <f t="shared" ca="1" si="22"/>
        <v>4.1814969789586312E-9</v>
      </c>
      <c r="BO38" s="275">
        <f t="shared" ca="1" si="22"/>
        <v>1.0753824961276262E-9</v>
      </c>
      <c r="BP38" s="275">
        <f t="shared" ca="1" si="22"/>
        <v>2.9460179169228938E-10</v>
      </c>
      <c r="BQ38" s="275">
        <f t="shared" ca="1" si="22"/>
        <v>8.5488670714642356E-11</v>
      </c>
      <c r="BR38" s="275">
        <f t="shared" ca="1" si="22"/>
        <v>2.6148920961709026E-11</v>
      </c>
      <c r="BS38" s="275">
        <f t="shared" ca="1" si="22"/>
        <v>8.3946596308002166E-12</v>
      </c>
      <c r="BT38" s="275">
        <f t="shared" ca="1" si="22"/>
        <v>2.8177890783068836E-12</v>
      </c>
      <c r="BU38" s="275">
        <f t="shared" ca="1" si="23"/>
        <v>9.8561785924550935E-13</v>
      </c>
      <c r="BV38" s="275">
        <f t="shared" ca="1" si="23"/>
        <v>3.5818010627077545E-13</v>
      </c>
      <c r="BW38" s="275">
        <f t="shared" ca="1" si="23"/>
        <v>1.348721845195788E-13</v>
      </c>
      <c r="BX38" s="275">
        <f t="shared" ca="1" si="23"/>
        <v>5.2495862675694653E-14</v>
      </c>
      <c r="BY38" s="275">
        <f t="shared" ca="1" si="23"/>
        <v>7.1907264163941871E-16</v>
      </c>
      <c r="BZ38" s="275">
        <f t="shared" ca="1" si="23"/>
        <v>1.748491698503991E-17</v>
      </c>
      <c r="CA38" s="275">
        <f t="shared" ca="1" si="23"/>
        <v>6.5905000336786924E-19</v>
      </c>
      <c r="CB38" s="275">
        <f t="shared" ca="1" si="23"/>
        <v>2.4730817678806583E-21</v>
      </c>
      <c r="CC38" s="275">
        <f t="shared" ca="1" si="23"/>
        <v>2.3654380223772628E-23</v>
      </c>
      <c r="CD38" s="275">
        <f t="shared" ca="1" si="23"/>
        <v>4.4068489918768892E-25</v>
      </c>
      <c r="CE38" s="275">
        <f t="shared" ca="1" si="23"/>
        <v>1.3526119945136092E-26</v>
      </c>
      <c r="CF38" s="275">
        <f t="shared" ca="1" si="23"/>
        <v>6.1191765854990118E-28</v>
      </c>
      <c r="CG38" s="94"/>
      <c r="CH38" s="94"/>
    </row>
    <row r="39" spans="1:86" ht="15" x14ac:dyDescent="0.25">
      <c r="A39" s="160">
        <f>IF(OR(A38=Abandonment!$B$4,A38=""),"",'Success Cash Flow'!A38+1)</f>
        <v>2041</v>
      </c>
      <c r="B39" s="258">
        <f>Revenue!S40</f>
        <v>4.9475068521674093</v>
      </c>
      <c r="C39" s="258">
        <f>Revenue!T40</f>
        <v>79.291286627075166</v>
      </c>
      <c r="D39" s="258">
        <f>Revenue!U40</f>
        <v>0</v>
      </c>
      <c r="E39" s="258">
        <f t="shared" si="18"/>
        <v>84.238793479242574</v>
      </c>
      <c r="F39" s="258">
        <f>Exploration!X64</f>
        <v>0</v>
      </c>
      <c r="G39" s="258">
        <f>Development!BX120</f>
        <v>0</v>
      </c>
      <c r="H39" s="258">
        <f>Abandonment!K45</f>
        <v>0</v>
      </c>
      <c r="I39" s="258">
        <f>Operations!P48</f>
        <v>68.900418662387978</v>
      </c>
      <c r="J39" s="258">
        <f t="shared" si="9"/>
        <v>68.900418662387978</v>
      </c>
      <c r="K39" s="258">
        <f t="shared" si="10"/>
        <v>15.338374816854596</v>
      </c>
      <c r="L39" s="258">
        <f>Royalty!AM41*Development!$BP$88</f>
        <v>4.2119396739621298</v>
      </c>
      <c r="M39" s="258">
        <f>'Provincial Tax'!X39*Development!$BP$88</f>
        <v>1.7109863288636571</v>
      </c>
      <c r="N39" s="258">
        <f>'Federal Tax'!X40*Development!$BP$88</f>
        <v>1.1014226047206253</v>
      </c>
      <c r="O39" s="258">
        <f t="shared" si="11"/>
        <v>7.0243486075464121</v>
      </c>
      <c r="P39" s="258">
        <f t="shared" si="12"/>
        <v>8.3140262093081851</v>
      </c>
      <c r="Q39" s="218"/>
      <c r="R39" s="218"/>
      <c r="S39" s="218"/>
      <c r="T39" s="218"/>
      <c r="U39" s="218"/>
      <c r="V39" s="218"/>
      <c r="W39" s="218"/>
      <c r="X39" s="218"/>
      <c r="Y39" s="93"/>
      <c r="Z39" s="93"/>
      <c r="AA39" s="93"/>
      <c r="AB39" s="93"/>
      <c r="AC39" s="279">
        <f>IF(Thresholds!$E$1=Lists!$A$8,Exploration!U64,IF(Thresholds!$E$1=Lists!$A$9,Exploration!V64,IF(Thresholds!$E$1=Lists!$A$10,Exploration!W64,IF(Thresholds!$E$1=Lists!$A$11,Development!AV120,Development!BE120-Development!AV120))))</f>
        <v>0</v>
      </c>
      <c r="AD39" s="279">
        <f t="shared" si="13"/>
        <v>0</v>
      </c>
      <c r="AE39" s="279"/>
      <c r="AF39" s="279"/>
      <c r="AG39" s="275">
        <f t="shared" ca="1" si="21"/>
        <v>6.4048787306801427E-2</v>
      </c>
      <c r="AH39" s="275">
        <f t="shared" ca="1" si="21"/>
        <v>4.6415888336126846E+57</v>
      </c>
      <c r="AI39" s="275">
        <f t="shared" ca="1" si="21"/>
        <v>6.8129206905796405E+28</v>
      </c>
      <c r="AJ39" s="275">
        <f t="shared" ca="1" si="21"/>
        <v>1.4244103642771581E+20</v>
      </c>
      <c r="AK39" s="275">
        <f t="shared" ca="1" si="21"/>
        <v>1192167163310224</v>
      </c>
      <c r="AL39" s="275">
        <f t="shared" ca="1" si="21"/>
        <v>297808381751.11444</v>
      </c>
      <c r="AM39" s="275">
        <f t="shared" ca="1" si="21"/>
        <v>478297607.3076368</v>
      </c>
      <c r="AN39" s="275">
        <f t="shared" ca="1" si="21"/>
        <v>2492521.6958976868</v>
      </c>
      <c r="AO39" s="275">
        <f t="shared" ca="1" si="21"/>
        <v>29264.414954838569</v>
      </c>
      <c r="AP39" s="275">
        <f t="shared" ca="1" si="21"/>
        <v>622.64242430041622</v>
      </c>
      <c r="AQ39" s="275">
        <f t="shared" ca="1" si="20"/>
        <v>20.861281230535404</v>
      </c>
      <c r="AR39" s="275">
        <f t="shared" ca="1" si="20"/>
        <v>1.0000000000000031</v>
      </c>
      <c r="AS39" s="275">
        <f t="shared" ca="1" si="20"/>
        <v>0.75058587835560875</v>
      </c>
      <c r="AT39" s="275">
        <f t="shared" ca="1" si="20"/>
        <v>0.56497389428611389</v>
      </c>
      <c r="AU39" s="275">
        <f t="shared" ca="1" si="20"/>
        <v>0.42644204859510615</v>
      </c>
      <c r="AV39" s="275">
        <f t="shared" ca="1" si="20"/>
        <v>0.3227543098178981</v>
      </c>
      <c r="AW39" s="275">
        <f t="shared" ca="1" si="20"/>
        <v>0.24492994039921681</v>
      </c>
      <c r="AX39" s="275">
        <f t="shared" ca="1" si="20"/>
        <v>0.18635778999326674</v>
      </c>
      <c r="AY39" s="275">
        <f t="shared" ca="1" si="20"/>
        <v>0.14215683424683215</v>
      </c>
      <c r="AZ39" s="275">
        <f t="shared" ca="1" si="20"/>
        <v>0.10871305914329701</v>
      </c>
      <c r="BA39" s="275">
        <f t="shared" ca="1" si="20"/>
        <v>8.3343034578890793E-2</v>
      </c>
      <c r="BB39" s="275">
        <f t="shared" ca="1" si="20"/>
        <v>6.4048787306801802E-2</v>
      </c>
      <c r="BC39" s="275">
        <f t="shared" ca="1" si="20"/>
        <v>1.7777837675966798E-2</v>
      </c>
      <c r="BD39" s="275">
        <f t="shared" ca="1" si="20"/>
        <v>5.2112359706924629E-3</v>
      </c>
      <c r="BE39" s="275">
        <f t="shared" ca="1" si="20"/>
        <v>1.6060582462295012E-3</v>
      </c>
      <c r="BF39" s="275">
        <f t="shared" ca="1" si="20"/>
        <v>5.1836222078914355E-4</v>
      </c>
      <c r="BG39" s="275">
        <f t="shared" ca="1" si="22"/>
        <v>1.7459950510992665E-4</v>
      </c>
      <c r="BH39" s="275">
        <f t="shared" ca="1" si="22"/>
        <v>6.1184531362323759E-5</v>
      </c>
      <c r="BI39" s="275">
        <f t="shared" ca="1" si="22"/>
        <v>8.3695485037783644E-6</v>
      </c>
      <c r="BJ39" s="275">
        <f t="shared" ca="1" si="22"/>
        <v>1.3017887080918227E-6</v>
      </c>
      <c r="BK39" s="275">
        <f t="shared" ca="1" si="22"/>
        <v>2.2666759339185664E-7</v>
      </c>
      <c r="BL39" s="275">
        <f t="shared" ca="1" si="22"/>
        <v>4.3615692221344624E-8</v>
      </c>
      <c r="BM39" s="275">
        <f t="shared" ca="1" si="22"/>
        <v>9.1749668939231247E-9</v>
      </c>
      <c r="BN39" s="275">
        <f t="shared" ca="1" si="22"/>
        <v>2.0907484894793115E-9</v>
      </c>
      <c r="BO39" s="275">
        <f t="shared" ca="1" si="22"/>
        <v>5.1208690291791806E-10</v>
      </c>
      <c r="BP39" s="275">
        <f t="shared" ca="1" si="22"/>
        <v>1.3390990531467661E-10</v>
      </c>
      <c r="BQ39" s="275">
        <f t="shared" ca="1" si="22"/>
        <v>3.7168987267235841E-11</v>
      </c>
      <c r="BR39" s="275">
        <f t="shared" ca="1" si="22"/>
        <v>1.0895383734045405E-11</v>
      </c>
      <c r="BS39" s="275">
        <f t="shared" ca="1" si="22"/>
        <v>3.3578638523200835E-12</v>
      </c>
      <c r="BT39" s="275">
        <f t="shared" ca="1" si="22"/>
        <v>1.0837650301180317E-12</v>
      </c>
      <c r="BU39" s="275">
        <f t="shared" ca="1" si="23"/>
        <v>3.6504365157240993E-13</v>
      </c>
      <c r="BV39" s="275">
        <f t="shared" ca="1" si="23"/>
        <v>1.2792146652527683E-13</v>
      </c>
      <c r="BW39" s="275">
        <f t="shared" ca="1" si="23"/>
        <v>4.6507649834337382E-14</v>
      </c>
      <c r="BX39" s="275">
        <f t="shared" ca="1" si="23"/>
        <v>1.749862089189826E-14</v>
      </c>
      <c r="BY39" s="275">
        <f t="shared" ca="1" si="23"/>
        <v>2.0544932618269102E-16</v>
      </c>
      <c r="BZ39" s="275">
        <f t="shared" ca="1" si="23"/>
        <v>4.3712292462599922E-18</v>
      </c>
      <c r="CA39" s="275">
        <f t="shared" ca="1" si="23"/>
        <v>1.4645555630397084E-19</v>
      </c>
      <c r="CB39" s="275">
        <f t="shared" ca="1" si="23"/>
        <v>4.4965123052375609E-22</v>
      </c>
      <c r="CC39" s="275">
        <f t="shared" ca="1" si="23"/>
        <v>3.6391354190419258E-24</v>
      </c>
      <c r="CD39" s="275">
        <f t="shared" ca="1" si="23"/>
        <v>5.8757986558358605E-26</v>
      </c>
      <c r="CE39" s="275">
        <f t="shared" ca="1" si="23"/>
        <v>1.5913082288395388E-27</v>
      </c>
      <c r="CF39" s="275">
        <f t="shared" ca="1" si="23"/>
        <v>6.441238511051594E-29</v>
      </c>
      <c r="CG39" s="94"/>
      <c r="CH39" s="94"/>
    </row>
    <row r="40" spans="1:86" ht="15" x14ac:dyDescent="0.25">
      <c r="A40" s="160">
        <f>IF(OR(A39=Abandonment!$B$4,A39=""),"",'Success Cash Flow'!A39+1)</f>
        <v>2042</v>
      </c>
      <c r="B40" s="258">
        <f>Revenue!S41</f>
        <v>4.31051534495084</v>
      </c>
      <c r="C40" s="258">
        <f>Revenue!T41</f>
        <v>69.082533473838993</v>
      </c>
      <c r="D40" s="258">
        <f>Revenue!U41</f>
        <v>0</v>
      </c>
      <c r="E40" s="258">
        <f t="shared" si="18"/>
        <v>73.393048818789836</v>
      </c>
      <c r="F40" s="258">
        <f>Exploration!X65</f>
        <v>0</v>
      </c>
      <c r="G40" s="258">
        <f>Development!BX121</f>
        <v>0</v>
      </c>
      <c r="H40" s="258">
        <f>Abandonment!K46</f>
        <v>0</v>
      </c>
      <c r="I40" s="258">
        <f>Operations!P49</f>
        <v>69.880249868404576</v>
      </c>
      <c r="J40" s="258">
        <f t="shared" si="9"/>
        <v>69.880249868404576</v>
      </c>
      <c r="K40" s="258">
        <f t="shared" si="10"/>
        <v>3.5127989503852604</v>
      </c>
      <c r="L40" s="258">
        <f>Royalty!AM42*Development!$BP$88</f>
        <v>3.6696524409394922</v>
      </c>
      <c r="M40" s="258">
        <f>'Provincial Tax'!X40*Development!$BP$88</f>
        <v>-7.6693326918419388E-2</v>
      </c>
      <c r="N40" s="258">
        <f>'Federal Tax'!X41*Development!$BP$88</f>
        <v>-0.78885357131934863</v>
      </c>
      <c r="O40" s="258">
        <f t="shared" si="11"/>
        <v>2.8041055427017239</v>
      </c>
      <c r="P40" s="258">
        <f t="shared" si="12"/>
        <v>0.7086934076835365</v>
      </c>
      <c r="Q40" s="218"/>
      <c r="R40" s="218"/>
      <c r="S40" s="218"/>
      <c r="T40" s="218"/>
      <c r="U40" s="218"/>
      <c r="V40" s="218"/>
      <c r="W40" s="218"/>
      <c r="X40" s="218"/>
      <c r="Y40" s="93"/>
      <c r="Z40" s="93"/>
      <c r="AA40" s="93"/>
      <c r="AB40" s="93"/>
      <c r="AC40" s="279">
        <f>IF(Thresholds!$E$1=Lists!$A$8,Exploration!U65,IF(Thresholds!$E$1=Lists!$A$9,Exploration!V65,IF(Thresholds!$E$1=Lists!$A$10,Exploration!W65,IF(Thresholds!$E$1=Lists!$A$11,Development!AV121,Development!BE121-Development!AV121))))</f>
        <v>0</v>
      </c>
      <c r="AD40" s="279">
        <f t="shared" si="13"/>
        <v>0</v>
      </c>
      <c r="AE40" s="279"/>
      <c r="AF40" s="279"/>
      <c r="AG40" s="275">
        <f t="shared" ca="1" si="21"/>
        <v>5.8226170278910389E-2</v>
      </c>
      <c r="AH40" s="275">
        <f t="shared" ca="1" si="21"/>
        <v>4.6415888336127274E+59</v>
      </c>
      <c r="AI40" s="275">
        <f t="shared" ca="1" si="21"/>
        <v>6.8129206905796718E+29</v>
      </c>
      <c r="AJ40" s="275">
        <f t="shared" ca="1" si="21"/>
        <v>7.1220518213858099E+20</v>
      </c>
      <c r="AK40" s="275">
        <f t="shared" ca="1" si="21"/>
        <v>3973890544367412.5</v>
      </c>
      <c r="AL40" s="275">
        <f t="shared" ca="1" si="21"/>
        <v>744520954377.78674</v>
      </c>
      <c r="AM40" s="275">
        <f t="shared" ca="1" si="21"/>
        <v>956595214.6152755</v>
      </c>
      <c r="AN40" s="275">
        <f t="shared" ca="1" si="21"/>
        <v>4154202.8264961434</v>
      </c>
      <c r="AO40" s="275">
        <f t="shared" ca="1" si="21"/>
        <v>41806.307078340782</v>
      </c>
      <c r="AP40" s="275">
        <f t="shared" ca="1" si="21"/>
        <v>778.30303037552085</v>
      </c>
      <c r="AQ40" s="275">
        <f t="shared" ca="1" si="20"/>
        <v>23.179201367261562</v>
      </c>
      <c r="AR40" s="275">
        <f t="shared" ca="1" si="20"/>
        <v>1.0000000000000033</v>
      </c>
      <c r="AS40" s="275">
        <f t="shared" ca="1" si="20"/>
        <v>0.74315433500555339</v>
      </c>
      <c r="AT40" s="275">
        <f t="shared" ca="1" si="20"/>
        <v>0.55389597479030783</v>
      </c>
      <c r="AU40" s="275">
        <f t="shared" ca="1" si="20"/>
        <v>0.41402140640301571</v>
      </c>
      <c r="AV40" s="275">
        <f t="shared" ca="1" si="20"/>
        <v>0.31034068251720975</v>
      </c>
      <c r="AW40" s="275">
        <f t="shared" ca="1" si="20"/>
        <v>0.2332666099040161</v>
      </c>
      <c r="AX40" s="275">
        <f t="shared" ca="1" si="20"/>
        <v>0.1758092358427045</v>
      </c>
      <c r="AY40" s="275">
        <f t="shared" ca="1" si="20"/>
        <v>0.13285685443629172</v>
      </c>
      <c r="AZ40" s="275">
        <f t="shared" ca="1" si="20"/>
        <v>0.10066023994749726</v>
      </c>
      <c r="BA40" s="275">
        <f t="shared" ca="1" si="20"/>
        <v>7.6461499613661249E-2</v>
      </c>
      <c r="BB40" s="275">
        <f t="shared" ca="1" si="20"/>
        <v>5.8226170278910729E-2</v>
      </c>
      <c r="BC40" s="275">
        <f t="shared" ca="1" si="20"/>
        <v>1.545898928344938E-2</v>
      </c>
      <c r="BD40" s="275">
        <f t="shared" ca="1" si="20"/>
        <v>4.3426966422437175E-3</v>
      </c>
      <c r="BE40" s="275">
        <f t="shared" ca="1" si="20"/>
        <v>1.2848465969836011E-3</v>
      </c>
      <c r="BF40" s="275">
        <f t="shared" ca="1" si="20"/>
        <v>3.9874016983780264E-4</v>
      </c>
      <c r="BG40" s="275">
        <f t="shared" ca="1" si="22"/>
        <v>1.2933296674809373E-4</v>
      </c>
      <c r="BH40" s="275">
        <f t="shared" ca="1" si="22"/>
        <v>4.3703236687374152E-5</v>
      </c>
      <c r="BI40" s="275">
        <f t="shared" ca="1" si="22"/>
        <v>5.5796990025189124E-6</v>
      </c>
      <c r="BJ40" s="275">
        <f t="shared" ca="1" si="22"/>
        <v>8.1361794255738971E-7</v>
      </c>
      <c r="BK40" s="275">
        <f t="shared" ca="1" si="22"/>
        <v>1.3333387846579806E-7</v>
      </c>
      <c r="BL40" s="275">
        <f t="shared" ca="1" si="22"/>
        <v>2.4230940122969247E-8</v>
      </c>
      <c r="BM40" s="275">
        <f t="shared" ca="1" si="22"/>
        <v>4.8289299441700804E-9</v>
      </c>
      <c r="BN40" s="275">
        <f t="shared" ca="1" si="22"/>
        <v>1.0453742447396576E-9</v>
      </c>
      <c r="BO40" s="275">
        <f t="shared" ca="1" si="22"/>
        <v>2.4385090615138991E-10</v>
      </c>
      <c r="BP40" s="275">
        <f t="shared" ca="1" si="22"/>
        <v>6.0868138779398515E-11</v>
      </c>
      <c r="BQ40" s="275">
        <f t="shared" ca="1" si="22"/>
        <v>1.616042924662424E-11</v>
      </c>
      <c r="BR40" s="275">
        <f t="shared" ca="1" si="22"/>
        <v>4.5397432225189251E-12</v>
      </c>
      <c r="BS40" s="275">
        <f t="shared" ca="1" si="22"/>
        <v>1.3431455409280322E-12</v>
      </c>
      <c r="BT40" s="275">
        <f t="shared" ca="1" si="22"/>
        <v>4.168327038915505E-13</v>
      </c>
      <c r="BU40" s="275">
        <f t="shared" ca="1" si="23"/>
        <v>1.3520135243422605E-13</v>
      </c>
      <c r="BV40" s="275">
        <f t="shared" ca="1" si="23"/>
        <v>4.568623804474168E-14</v>
      </c>
      <c r="BW40" s="275">
        <f t="shared" ca="1" si="23"/>
        <v>1.6037120632530138E-14</v>
      </c>
      <c r="BX40" s="275">
        <f t="shared" ca="1" si="23"/>
        <v>5.8328736306327467E-15</v>
      </c>
      <c r="BY40" s="275">
        <f t="shared" ca="1" si="23"/>
        <v>5.8699807480768873E-17</v>
      </c>
      <c r="BZ40" s="275">
        <f t="shared" ca="1" si="23"/>
        <v>1.092807311564994E-18</v>
      </c>
      <c r="CA40" s="275">
        <f t="shared" ca="1" si="23"/>
        <v>3.2545679178660172E-20</v>
      </c>
      <c r="CB40" s="275">
        <f t="shared" ca="1" si="23"/>
        <v>8.1754769186137458E-23</v>
      </c>
      <c r="CC40" s="275">
        <f t="shared" ca="1" si="23"/>
        <v>5.5986698754491289E-25</v>
      </c>
      <c r="CD40" s="275">
        <f t="shared" ca="1" si="23"/>
        <v>7.8343982077811034E-27</v>
      </c>
      <c r="CE40" s="275">
        <f t="shared" ca="1" si="23"/>
        <v>1.8721273280465144E-28</v>
      </c>
      <c r="CF40" s="275">
        <f t="shared" ca="1" si="23"/>
        <v>6.780251064264885E-30</v>
      </c>
      <c r="CG40" s="94"/>
      <c r="CH40" s="94"/>
    </row>
    <row r="41" spans="1:86" x14ac:dyDescent="0.3">
      <c r="A41" s="160">
        <f>IF(OR(A40=Abandonment!$B$4,A40=""),"",'Success Cash Flow'!A40+1)</f>
        <v>2043</v>
      </c>
      <c r="B41" s="258">
        <f>Revenue!S42</f>
        <v>0</v>
      </c>
      <c r="C41" s="258">
        <f>Revenue!T42</f>
        <v>0</v>
      </c>
      <c r="D41" s="258">
        <f>Revenue!U42</f>
        <v>0</v>
      </c>
      <c r="E41" s="258">
        <f t="shared" si="18"/>
        <v>0</v>
      </c>
      <c r="F41" s="258">
        <f>Exploration!X66</f>
        <v>0</v>
      </c>
      <c r="G41" s="258">
        <f>Development!BX122</f>
        <v>0</v>
      </c>
      <c r="H41" s="258">
        <f>Abandonment!K47</f>
        <v>94.533110105071046</v>
      </c>
      <c r="I41" s="258">
        <f>Operations!P50</f>
        <v>0</v>
      </c>
      <c r="J41" s="258">
        <f t="shared" si="9"/>
        <v>94.533110105071046</v>
      </c>
      <c r="K41" s="258">
        <f t="shared" si="10"/>
        <v>-94.533110105071046</v>
      </c>
      <c r="L41" s="258">
        <f>Royalty!AM43*Development!$BP$88</f>
        <v>-19.729715430196929</v>
      </c>
      <c r="M41" s="258">
        <f>'Provincial Tax'!X41*Development!$BP$88</f>
        <v>-12.120200233952707</v>
      </c>
      <c r="N41" s="258">
        <f>'Federal Tax'!X42*Development!$BP$88</f>
        <v>-17.239548875836761</v>
      </c>
      <c r="O41" s="258">
        <f t="shared" si="11"/>
        <v>-49.089464539986395</v>
      </c>
      <c r="P41" s="258">
        <f t="shared" si="12"/>
        <v>-45.443645565084651</v>
      </c>
      <c r="Q41" s="218"/>
      <c r="R41" s="218"/>
      <c r="S41" s="218"/>
      <c r="T41" s="218"/>
      <c r="U41" s="218"/>
      <c r="V41" s="218"/>
      <c r="W41" s="218"/>
      <c r="X41" s="218"/>
      <c r="Y41" s="93"/>
      <c r="Z41" s="93"/>
      <c r="AA41" s="93"/>
      <c r="AB41" s="93"/>
      <c r="AC41" s="279">
        <f>IF(Thresholds!$E$1=Lists!$A$8,Exploration!U66,IF(Thresholds!$E$1=Lists!$A$9,Exploration!V66,IF(Thresholds!$E$1=Lists!$A$10,Exploration!W66,IF(Thresholds!$E$1=Lists!$A$11,Development!AV122,Development!BE122-Development!AV122))))</f>
        <v>0</v>
      </c>
      <c r="AD41" s="279">
        <f t="shared" si="13"/>
        <v>0</v>
      </c>
      <c r="AE41" s="279"/>
      <c r="AF41" s="279"/>
      <c r="AG41" s="275">
        <f t="shared" ca="1" si="21"/>
        <v>5.2932882071736707E-2</v>
      </c>
      <c r="AH41" s="275">
        <f t="shared" ca="1" si="21"/>
        <v>4.6415888336126394E+61</v>
      </c>
      <c r="AI41" s="275">
        <f t="shared" ca="1" si="21"/>
        <v>6.8129206905796079E+30</v>
      </c>
      <c r="AJ41" s="275">
        <f t="shared" ca="1" si="21"/>
        <v>3.5610259106929149E+21</v>
      </c>
      <c r="AK41" s="275">
        <f t="shared" ca="1" si="21"/>
        <v>1.324630181455804E+16</v>
      </c>
      <c r="AL41" s="275">
        <f t="shared" ca="1" si="21"/>
        <v>1861302385944.4685</v>
      </c>
      <c r="AM41" s="275">
        <f t="shared" ca="1" si="21"/>
        <v>1913190429.2305474</v>
      </c>
      <c r="AN41" s="275">
        <f t="shared" ca="1" si="21"/>
        <v>6923671.3774935706</v>
      </c>
      <c r="AO41" s="275">
        <f t="shared" ca="1" si="21"/>
        <v>59723.295826201174</v>
      </c>
      <c r="AP41" s="275">
        <f t="shared" ca="1" si="21"/>
        <v>972.87878796940117</v>
      </c>
      <c r="AQ41" s="275">
        <f t="shared" ca="1" si="21"/>
        <v>25.754668185846182</v>
      </c>
      <c r="AR41" s="275">
        <f t="shared" ca="1" si="21"/>
        <v>1.0000000000000036</v>
      </c>
      <c r="AS41" s="275">
        <f t="shared" ca="1" si="21"/>
        <v>0.73579637129262732</v>
      </c>
      <c r="AT41" s="275">
        <f t="shared" ca="1" si="21"/>
        <v>0.54303526940226265</v>
      </c>
      <c r="AU41" s="275">
        <f t="shared" ca="1" si="21"/>
        <v>0.40196253048836489</v>
      </c>
      <c r="AV41" s="275">
        <f t="shared" ca="1" si="21"/>
        <v>0.29840450242039401</v>
      </c>
      <c r="AW41" s="275">
        <f t="shared" ref="AW41:BL49" ca="1" si="24">IF(OR($A41="",$A41&lt;$AG$2-1),0,IF($A41=$AG$2-1,AW$7,1/(1+AW$6)^($A41-$AG$2+0.5+$AI$1)))</f>
        <v>0.22215867609906295</v>
      </c>
      <c r="AX41" s="275">
        <f t="shared" ca="1" si="24"/>
        <v>0.16585776966292881</v>
      </c>
      <c r="AY41" s="275">
        <f t="shared" ca="1" si="24"/>
        <v>0.12416528451989883</v>
      </c>
      <c r="AZ41" s="275">
        <f t="shared" ca="1" si="24"/>
        <v>9.3203925877312285E-2</v>
      </c>
      <c r="BA41" s="275">
        <f t="shared" ca="1" si="24"/>
        <v>7.0148164783175482E-2</v>
      </c>
      <c r="BB41" s="275">
        <f t="shared" ca="1" si="24"/>
        <v>5.2932882071737034E-2</v>
      </c>
      <c r="BC41" s="275">
        <f t="shared" ca="1" si="24"/>
        <v>1.3442599376912509E-2</v>
      </c>
      <c r="BD41" s="275">
        <f t="shared" ca="1" si="24"/>
        <v>3.6189138685364343E-3</v>
      </c>
      <c r="BE41" s="275">
        <f t="shared" ca="1" si="24"/>
        <v>1.0278772775868818E-3</v>
      </c>
      <c r="BF41" s="275">
        <f t="shared" ca="1" si="24"/>
        <v>3.0672320756754042E-4</v>
      </c>
      <c r="BG41" s="275">
        <f t="shared" ca="1" si="24"/>
        <v>9.5802197591180466E-5</v>
      </c>
      <c r="BH41" s="275">
        <f t="shared" ca="1" si="24"/>
        <v>3.1216597633838651E-5</v>
      </c>
      <c r="BI41" s="275">
        <f t="shared" ca="1" si="24"/>
        <v>3.7197993350126108E-6</v>
      </c>
      <c r="BJ41" s="275">
        <f t="shared" ca="1" si="24"/>
        <v>5.085112140983689E-7</v>
      </c>
      <c r="BK41" s="275">
        <f t="shared" ca="1" si="22"/>
        <v>7.8431693215175335E-8</v>
      </c>
      <c r="BL41" s="275">
        <f t="shared" ca="1" si="22"/>
        <v>1.3461633401649587E-8</v>
      </c>
      <c r="BM41" s="275">
        <f t="shared" ca="1" si="22"/>
        <v>2.5415420758789883E-9</v>
      </c>
      <c r="BN41" s="275">
        <f t="shared" ca="1" si="22"/>
        <v>5.2268712236982962E-10</v>
      </c>
      <c r="BO41" s="275">
        <f t="shared" ca="1" si="22"/>
        <v>1.1611947911970925E-10</v>
      </c>
      <c r="BP41" s="275">
        <f t="shared" ca="1" si="22"/>
        <v>2.7667335808817529E-11</v>
      </c>
      <c r="BQ41" s="275">
        <f t="shared" ca="1" si="22"/>
        <v>7.0262735854888082E-12</v>
      </c>
      <c r="BR41" s="275">
        <f t="shared" ca="1" si="22"/>
        <v>1.8915596760495483E-12</v>
      </c>
      <c r="BS41" s="275">
        <f t="shared" ca="1" si="22"/>
        <v>5.3725821637121239E-13</v>
      </c>
      <c r="BT41" s="275">
        <f t="shared" ca="1" si="22"/>
        <v>1.6032027072751939E-13</v>
      </c>
      <c r="BU41" s="275">
        <f t="shared" ca="1" si="23"/>
        <v>5.007457497563933E-14</v>
      </c>
      <c r="BV41" s="275">
        <f t="shared" ca="1" si="23"/>
        <v>1.6316513587407726E-14</v>
      </c>
      <c r="BW41" s="275">
        <f t="shared" ca="1" si="23"/>
        <v>5.5300415974242082E-15</v>
      </c>
      <c r="BX41" s="275">
        <f t="shared" ca="1" si="23"/>
        <v>1.9442912102109202E-15</v>
      </c>
      <c r="BY41" s="275">
        <f t="shared" ca="1" si="23"/>
        <v>1.6771373565933959E-17</v>
      </c>
      <c r="BZ41" s="275">
        <f t="shared" ca="1" si="23"/>
        <v>2.7320182789124942E-19</v>
      </c>
      <c r="CA41" s="275">
        <f t="shared" ca="1" si="23"/>
        <v>7.2323731508133678E-21</v>
      </c>
      <c r="CB41" s="275">
        <f t="shared" ca="1" si="23"/>
        <v>1.4864503488388628E-23</v>
      </c>
      <c r="CC41" s="275">
        <f t="shared" ca="1" si="23"/>
        <v>8.6133382699217568E-26</v>
      </c>
      <c r="CD41" s="275">
        <f t="shared" ca="1" si="23"/>
        <v>1.0445864277041484E-27</v>
      </c>
      <c r="CE41" s="275">
        <f t="shared" ca="1" si="23"/>
        <v>2.2025027388782349E-29</v>
      </c>
      <c r="CF41" s="275">
        <f t="shared" ca="1" si="23"/>
        <v>7.1371063834366726E-31</v>
      </c>
      <c r="CG41" s="94"/>
      <c r="CH41" s="94"/>
    </row>
    <row r="42" spans="1:86" x14ac:dyDescent="0.3">
      <c r="A42" s="160" t="str">
        <f>IF(OR(A41=Abandonment!$B$4,A41=""),"",'Success Cash Flow'!A41+1)</f>
        <v/>
      </c>
      <c r="B42" s="258">
        <f>Revenue!S43</f>
        <v>0</v>
      </c>
      <c r="C42" s="258">
        <f>Revenue!T43</f>
        <v>0</v>
      </c>
      <c r="D42" s="258">
        <f>Revenue!U43</f>
        <v>0</v>
      </c>
      <c r="E42" s="258">
        <f t="shared" si="18"/>
        <v>0</v>
      </c>
      <c r="F42" s="258">
        <f>Exploration!X67</f>
        <v>0</v>
      </c>
      <c r="G42" s="258">
        <f>Development!BX123</f>
        <v>0</v>
      </c>
      <c r="H42" s="258">
        <f>Abandonment!K48</f>
        <v>0</v>
      </c>
      <c r="I42" s="258">
        <f>Operations!P51</f>
        <v>0</v>
      </c>
      <c r="J42" s="258">
        <f t="shared" si="9"/>
        <v>0</v>
      </c>
      <c r="K42" s="258">
        <f t="shared" si="10"/>
        <v>0</v>
      </c>
      <c r="L42" s="258">
        <f>Royalty!AM44*Development!$BP$88</f>
        <v>0</v>
      </c>
      <c r="M42" s="258">
        <f>'Provincial Tax'!X42*Development!$BP$88</f>
        <v>0</v>
      </c>
      <c r="N42" s="258">
        <f>'Federal Tax'!X43*Development!$BP$88</f>
        <v>-2.2604110836202373</v>
      </c>
      <c r="O42" s="258">
        <f t="shared" si="11"/>
        <v>-2.2604110836202373</v>
      </c>
      <c r="P42" s="258">
        <f t="shared" si="12"/>
        <v>2.2604110836202373</v>
      </c>
      <c r="Q42" s="218"/>
      <c r="R42" s="218"/>
      <c r="S42" s="218"/>
      <c r="T42" s="218"/>
      <c r="U42" s="218"/>
      <c r="V42" s="218"/>
      <c r="W42" s="218"/>
      <c r="X42" s="218"/>
      <c r="Y42" s="93"/>
      <c r="Z42" s="93"/>
      <c r="AA42" s="93"/>
      <c r="AB42" s="93"/>
      <c r="AC42" s="279">
        <f>IF(Thresholds!$E$1=Lists!$A$8,Exploration!U67,IF(Thresholds!$E$1=Lists!$A$9,Exploration!V67,IF(Thresholds!$E$1=Lists!$A$10,Exploration!W67,IF(Thresholds!$E$1=Lists!$A$11,Development!AV123,Development!BE123-Development!AV123))))</f>
        <v>0</v>
      </c>
      <c r="AD42" s="279">
        <f t="shared" si="13"/>
        <v>0</v>
      </c>
      <c r="AE42" s="279"/>
      <c r="AF42" s="279"/>
      <c r="AG42" s="275">
        <f t="shared" ref="AG42:AV49" ca="1" si="25">IF(OR($A42="",$A42&lt;$AG$2-1),0,IF($A42=$AG$2-1,AG$7,1/(1+AG$6)^($A42-$AG$2+0.5+$AI$1)))</f>
        <v>0</v>
      </c>
      <c r="AH42" s="275">
        <f t="shared" ca="1" si="25"/>
        <v>0</v>
      </c>
      <c r="AI42" s="275">
        <f t="shared" ca="1" si="25"/>
        <v>0</v>
      </c>
      <c r="AJ42" s="275">
        <f t="shared" ca="1" si="25"/>
        <v>0</v>
      </c>
      <c r="AK42" s="275">
        <f t="shared" ca="1" si="25"/>
        <v>0</v>
      </c>
      <c r="AL42" s="275">
        <f t="shared" ca="1" si="25"/>
        <v>0</v>
      </c>
      <c r="AM42" s="275">
        <f t="shared" ca="1" si="25"/>
        <v>0</v>
      </c>
      <c r="AN42" s="275">
        <f t="shared" ca="1" si="25"/>
        <v>0</v>
      </c>
      <c r="AO42" s="275">
        <f t="shared" ca="1" si="25"/>
        <v>0</v>
      </c>
      <c r="AP42" s="275">
        <f t="shared" ca="1" si="25"/>
        <v>0</v>
      </c>
      <c r="AQ42" s="275">
        <f t="shared" ca="1" si="25"/>
        <v>0</v>
      </c>
      <c r="AR42" s="275">
        <f t="shared" ca="1" si="25"/>
        <v>0</v>
      </c>
      <c r="AS42" s="275">
        <f t="shared" ca="1" si="25"/>
        <v>0</v>
      </c>
      <c r="AT42" s="275">
        <f t="shared" ca="1" si="25"/>
        <v>0</v>
      </c>
      <c r="AU42" s="275">
        <f t="shared" ca="1" si="25"/>
        <v>0</v>
      </c>
      <c r="AV42" s="275">
        <f t="shared" ca="1" si="25"/>
        <v>0</v>
      </c>
      <c r="AW42" s="275">
        <f t="shared" ca="1" si="24"/>
        <v>0</v>
      </c>
      <c r="AX42" s="275">
        <f t="shared" ca="1" si="24"/>
        <v>0</v>
      </c>
      <c r="AY42" s="275">
        <f t="shared" ca="1" si="24"/>
        <v>0</v>
      </c>
      <c r="AZ42" s="275">
        <f t="shared" ca="1" si="24"/>
        <v>0</v>
      </c>
      <c r="BA42" s="275">
        <f t="shared" ca="1" si="24"/>
        <v>0</v>
      </c>
      <c r="BB42" s="275">
        <f t="shared" ca="1" si="24"/>
        <v>0</v>
      </c>
      <c r="BC42" s="275">
        <f t="shared" ca="1" si="24"/>
        <v>0</v>
      </c>
      <c r="BD42" s="275">
        <f t="shared" ca="1" si="24"/>
        <v>0</v>
      </c>
      <c r="BE42" s="275">
        <f t="shared" ca="1" si="24"/>
        <v>0</v>
      </c>
      <c r="BF42" s="275">
        <f t="shared" ca="1" si="24"/>
        <v>0</v>
      </c>
      <c r="BG42" s="275">
        <f t="shared" ca="1" si="24"/>
        <v>0</v>
      </c>
      <c r="BH42" s="275">
        <f t="shared" ca="1" si="24"/>
        <v>0</v>
      </c>
      <c r="BI42" s="275">
        <f t="shared" ca="1" si="24"/>
        <v>0</v>
      </c>
      <c r="BJ42" s="275">
        <f t="shared" ca="1" si="24"/>
        <v>0</v>
      </c>
      <c r="BK42" s="275">
        <f t="shared" ca="1" si="24"/>
        <v>0</v>
      </c>
      <c r="BL42" s="275">
        <f t="shared" ca="1" si="24"/>
        <v>0</v>
      </c>
      <c r="BM42" s="275">
        <f t="shared" ref="BM42:CB49" ca="1" si="26">IF(OR($A42="",$A42&lt;$AG$2-1),0,IF($A42=$AG$2-1,BM$7,1/(1+BM$6)^($A42-$AG$2+0.5+$AI$1)))</f>
        <v>0</v>
      </c>
      <c r="BN42" s="275">
        <f t="shared" ca="1" si="26"/>
        <v>0</v>
      </c>
      <c r="BO42" s="275">
        <f t="shared" ca="1" si="26"/>
        <v>0</v>
      </c>
      <c r="BP42" s="275">
        <f t="shared" ca="1" si="26"/>
        <v>0</v>
      </c>
      <c r="BQ42" s="275">
        <f t="shared" ca="1" si="26"/>
        <v>0</v>
      </c>
      <c r="BR42" s="275">
        <f t="shared" ca="1" si="26"/>
        <v>0</v>
      </c>
      <c r="BS42" s="275">
        <f t="shared" ca="1" si="26"/>
        <v>0</v>
      </c>
      <c r="BT42" s="275">
        <f t="shared" ca="1" si="26"/>
        <v>0</v>
      </c>
      <c r="BU42" s="275">
        <f t="shared" ca="1" si="26"/>
        <v>0</v>
      </c>
      <c r="BV42" s="275">
        <f t="shared" ca="1" si="26"/>
        <v>0</v>
      </c>
      <c r="BW42" s="275">
        <f t="shared" ca="1" si="26"/>
        <v>0</v>
      </c>
      <c r="BX42" s="275">
        <f t="shared" ca="1" si="26"/>
        <v>0</v>
      </c>
      <c r="BY42" s="275">
        <f t="shared" ca="1" si="26"/>
        <v>0</v>
      </c>
      <c r="BZ42" s="275">
        <f t="shared" ca="1" si="26"/>
        <v>0</v>
      </c>
      <c r="CA42" s="275">
        <f t="shared" ca="1" si="26"/>
        <v>0</v>
      </c>
      <c r="CB42" s="275">
        <f t="shared" ca="1" si="26"/>
        <v>0</v>
      </c>
      <c r="CC42" s="275">
        <f t="shared" ref="CC42:CF49" ca="1" si="27">IF(OR($A42="",$A42&lt;$AG$2-1),0,IF($A42=$AG$2-1,CC$7,1/(1+CC$6)^($A42-$AG$2+0.5+$AI$1)))</f>
        <v>0</v>
      </c>
      <c r="CD42" s="275">
        <f t="shared" ca="1" si="27"/>
        <v>0</v>
      </c>
      <c r="CE42" s="275">
        <f t="shared" ca="1" si="27"/>
        <v>0</v>
      </c>
      <c r="CF42" s="275">
        <f t="shared" ca="1" si="27"/>
        <v>0</v>
      </c>
      <c r="CG42" s="94"/>
      <c r="CH42" s="94"/>
    </row>
    <row r="43" spans="1:86" x14ac:dyDescent="0.3">
      <c r="A43" s="160" t="str">
        <f>IF(OR(A42=Abandonment!$B$4,A42=""),"",'Success Cash Flow'!A42+1)</f>
        <v/>
      </c>
      <c r="B43" s="258">
        <f>Revenue!S44</f>
        <v>0</v>
      </c>
      <c r="C43" s="258">
        <f>Revenue!T44</f>
        <v>0</v>
      </c>
      <c r="D43" s="258">
        <f>Revenue!U44</f>
        <v>0</v>
      </c>
      <c r="E43" s="258">
        <f t="shared" si="18"/>
        <v>0</v>
      </c>
      <c r="F43" s="258">
        <f>Exploration!X68</f>
        <v>0</v>
      </c>
      <c r="G43" s="258">
        <f>Development!BX124</f>
        <v>0</v>
      </c>
      <c r="H43" s="258">
        <f>Abandonment!K49</f>
        <v>0</v>
      </c>
      <c r="I43" s="258">
        <f>Operations!P52</f>
        <v>0</v>
      </c>
      <c r="J43" s="258">
        <f t="shared" si="9"/>
        <v>0</v>
      </c>
      <c r="K43" s="258">
        <f t="shared" si="10"/>
        <v>0</v>
      </c>
      <c r="L43" s="258">
        <f>Royalty!AM45*Development!$BP$88</f>
        <v>0</v>
      </c>
      <c r="M43" s="258">
        <f>'Provincial Tax'!X43*Development!$BP$88</f>
        <v>0</v>
      </c>
      <c r="N43" s="258">
        <f>'Federal Tax'!X44*Development!$BP$88</f>
        <v>0</v>
      </c>
      <c r="O43" s="258">
        <f t="shared" si="11"/>
        <v>0</v>
      </c>
      <c r="P43" s="258">
        <f t="shared" si="12"/>
        <v>0</v>
      </c>
      <c r="Q43" s="218"/>
      <c r="R43" s="218"/>
      <c r="S43" s="218"/>
      <c r="T43" s="218"/>
      <c r="U43" s="218"/>
      <c r="V43" s="218"/>
      <c r="W43" s="218"/>
      <c r="X43" s="218"/>
      <c r="Y43" s="93"/>
      <c r="Z43" s="93"/>
      <c r="AA43" s="93"/>
      <c r="AB43" s="93"/>
      <c r="AC43" s="279">
        <f>IF(Thresholds!$E$1=Lists!$A$8,Exploration!U68,IF(Thresholds!$E$1=Lists!$A$9,Exploration!V68,IF(Thresholds!$E$1=Lists!$A$10,Exploration!W68,IF(Thresholds!$E$1=Lists!$A$11,Development!AV124,Development!BE124-Development!AV124))))</f>
        <v>0</v>
      </c>
      <c r="AD43" s="279">
        <f t="shared" si="13"/>
        <v>0</v>
      </c>
      <c r="AE43" s="279"/>
      <c r="AF43" s="279"/>
      <c r="AG43" s="275">
        <f t="shared" ca="1" si="25"/>
        <v>0</v>
      </c>
      <c r="AH43" s="275">
        <f t="shared" ca="1" si="25"/>
        <v>0</v>
      </c>
      <c r="AI43" s="275">
        <f t="shared" ca="1" si="25"/>
        <v>0</v>
      </c>
      <c r="AJ43" s="275">
        <f t="shared" ca="1" si="25"/>
        <v>0</v>
      </c>
      <c r="AK43" s="275">
        <f t="shared" ca="1" si="25"/>
        <v>0</v>
      </c>
      <c r="AL43" s="275">
        <f t="shared" ca="1" si="25"/>
        <v>0</v>
      </c>
      <c r="AM43" s="275">
        <f t="shared" ca="1" si="25"/>
        <v>0</v>
      </c>
      <c r="AN43" s="275">
        <f t="shared" ca="1" si="25"/>
        <v>0</v>
      </c>
      <c r="AO43" s="275">
        <f t="shared" ca="1" si="25"/>
        <v>0</v>
      </c>
      <c r="AP43" s="275">
        <f t="shared" ca="1" si="25"/>
        <v>0</v>
      </c>
      <c r="AQ43" s="275">
        <f t="shared" ca="1" si="25"/>
        <v>0</v>
      </c>
      <c r="AR43" s="275">
        <f t="shared" ca="1" si="25"/>
        <v>0</v>
      </c>
      <c r="AS43" s="275">
        <f t="shared" ca="1" si="25"/>
        <v>0</v>
      </c>
      <c r="AT43" s="275">
        <f t="shared" ca="1" si="25"/>
        <v>0</v>
      </c>
      <c r="AU43" s="275">
        <f t="shared" ca="1" si="25"/>
        <v>0</v>
      </c>
      <c r="AV43" s="275">
        <f t="shared" ca="1" si="25"/>
        <v>0</v>
      </c>
      <c r="AW43" s="275">
        <f t="shared" ca="1" si="24"/>
        <v>0</v>
      </c>
      <c r="AX43" s="275">
        <f t="shared" ca="1" si="24"/>
        <v>0</v>
      </c>
      <c r="AY43" s="275">
        <f t="shared" ca="1" si="24"/>
        <v>0</v>
      </c>
      <c r="AZ43" s="275">
        <f t="shared" ca="1" si="24"/>
        <v>0</v>
      </c>
      <c r="BA43" s="275">
        <f t="shared" ca="1" si="24"/>
        <v>0</v>
      </c>
      <c r="BB43" s="275">
        <f t="shared" ca="1" si="24"/>
        <v>0</v>
      </c>
      <c r="BC43" s="275">
        <f t="shared" ca="1" si="24"/>
        <v>0</v>
      </c>
      <c r="BD43" s="275">
        <f t="shared" ca="1" si="24"/>
        <v>0</v>
      </c>
      <c r="BE43" s="275">
        <f t="shared" ca="1" si="24"/>
        <v>0</v>
      </c>
      <c r="BF43" s="275">
        <f t="shared" ca="1" si="24"/>
        <v>0</v>
      </c>
      <c r="BG43" s="275">
        <f t="shared" ca="1" si="24"/>
        <v>0</v>
      </c>
      <c r="BH43" s="275">
        <f t="shared" ca="1" si="24"/>
        <v>0</v>
      </c>
      <c r="BI43" s="275">
        <f t="shared" ca="1" si="24"/>
        <v>0</v>
      </c>
      <c r="BJ43" s="275">
        <f t="shared" ca="1" si="24"/>
        <v>0</v>
      </c>
      <c r="BK43" s="275">
        <f t="shared" ca="1" si="24"/>
        <v>0</v>
      </c>
      <c r="BL43" s="275">
        <f t="shared" ca="1" si="24"/>
        <v>0</v>
      </c>
      <c r="BM43" s="275">
        <f t="shared" ca="1" si="26"/>
        <v>0</v>
      </c>
      <c r="BN43" s="275">
        <f t="shared" ca="1" si="26"/>
        <v>0</v>
      </c>
      <c r="BO43" s="275">
        <f t="shared" ca="1" si="26"/>
        <v>0</v>
      </c>
      <c r="BP43" s="275">
        <f t="shared" ca="1" si="26"/>
        <v>0</v>
      </c>
      <c r="BQ43" s="275">
        <f t="shared" ca="1" si="26"/>
        <v>0</v>
      </c>
      <c r="BR43" s="275">
        <f t="shared" ca="1" si="26"/>
        <v>0</v>
      </c>
      <c r="BS43" s="275">
        <f t="shared" ca="1" si="26"/>
        <v>0</v>
      </c>
      <c r="BT43" s="275">
        <f t="shared" ca="1" si="26"/>
        <v>0</v>
      </c>
      <c r="BU43" s="275">
        <f t="shared" ca="1" si="26"/>
        <v>0</v>
      </c>
      <c r="BV43" s="275">
        <f t="shared" ca="1" si="26"/>
        <v>0</v>
      </c>
      <c r="BW43" s="275">
        <f t="shared" ca="1" si="26"/>
        <v>0</v>
      </c>
      <c r="BX43" s="275">
        <f t="shared" ca="1" si="26"/>
        <v>0</v>
      </c>
      <c r="BY43" s="275">
        <f t="shared" ca="1" si="26"/>
        <v>0</v>
      </c>
      <c r="BZ43" s="275">
        <f t="shared" ca="1" si="26"/>
        <v>0</v>
      </c>
      <c r="CA43" s="275">
        <f t="shared" ca="1" si="26"/>
        <v>0</v>
      </c>
      <c r="CB43" s="275">
        <f t="shared" ca="1" si="26"/>
        <v>0</v>
      </c>
      <c r="CC43" s="275">
        <f t="shared" ca="1" si="27"/>
        <v>0</v>
      </c>
      <c r="CD43" s="275">
        <f t="shared" ca="1" si="27"/>
        <v>0</v>
      </c>
      <c r="CE43" s="275">
        <f t="shared" ca="1" si="27"/>
        <v>0</v>
      </c>
      <c r="CF43" s="275">
        <f t="shared" ca="1" si="27"/>
        <v>0</v>
      </c>
      <c r="CG43" s="94"/>
      <c r="CH43" s="94"/>
    </row>
    <row r="44" spans="1:86" x14ac:dyDescent="0.3">
      <c r="A44" s="160" t="str">
        <f>IF(OR(A43=Abandonment!$B$4,A43=""),"",'Success Cash Flow'!A43+1)</f>
        <v/>
      </c>
      <c r="B44" s="258">
        <f>Revenue!S45</f>
        <v>0</v>
      </c>
      <c r="C44" s="258">
        <f>Revenue!T45</f>
        <v>0</v>
      </c>
      <c r="D44" s="258">
        <f>Revenue!U45</f>
        <v>0</v>
      </c>
      <c r="E44" s="258">
        <f t="shared" si="18"/>
        <v>0</v>
      </c>
      <c r="F44" s="258">
        <f>Exploration!X69</f>
        <v>0</v>
      </c>
      <c r="G44" s="258">
        <f>Development!BX125</f>
        <v>0</v>
      </c>
      <c r="H44" s="258">
        <f>Abandonment!K50</f>
        <v>0</v>
      </c>
      <c r="I44" s="258">
        <f>Operations!P53</f>
        <v>0</v>
      </c>
      <c r="J44" s="258">
        <f t="shared" si="9"/>
        <v>0</v>
      </c>
      <c r="K44" s="258">
        <f t="shared" si="10"/>
        <v>0</v>
      </c>
      <c r="L44" s="258">
        <f>Royalty!AM46*Development!$BP$88</f>
        <v>0</v>
      </c>
      <c r="M44" s="258">
        <f>'Provincial Tax'!X44*Development!$BP$88</f>
        <v>0</v>
      </c>
      <c r="N44" s="258">
        <f>'Federal Tax'!X45*Development!$BP$88</f>
        <v>0</v>
      </c>
      <c r="O44" s="258">
        <f t="shared" si="11"/>
        <v>0</v>
      </c>
      <c r="P44" s="258">
        <f t="shared" si="12"/>
        <v>0</v>
      </c>
      <c r="Q44" s="218"/>
      <c r="R44" s="218"/>
      <c r="S44" s="218"/>
      <c r="T44" s="218"/>
      <c r="U44" s="218"/>
      <c r="V44" s="218"/>
      <c r="W44" s="218"/>
      <c r="X44" s="218"/>
      <c r="Y44" s="93"/>
      <c r="Z44" s="93"/>
      <c r="AA44" s="93"/>
      <c r="AB44" s="93"/>
      <c r="AC44" s="279">
        <f>IF(Thresholds!$E$1=Lists!$A$8,Exploration!U69,IF(Thresholds!$E$1=Lists!$A$9,Exploration!V69,IF(Thresholds!$E$1=Lists!$A$10,Exploration!W69,IF(Thresholds!$E$1=Lists!$A$11,Development!AV125,Development!BE125-Development!AV125))))</f>
        <v>0</v>
      </c>
      <c r="AD44" s="279">
        <f t="shared" si="13"/>
        <v>0</v>
      </c>
      <c r="AE44" s="279"/>
      <c r="AF44" s="279"/>
      <c r="AG44" s="275">
        <f t="shared" ca="1" si="25"/>
        <v>0</v>
      </c>
      <c r="AH44" s="275">
        <f t="shared" ca="1" si="25"/>
        <v>0</v>
      </c>
      <c r="AI44" s="275">
        <f t="shared" ca="1" si="25"/>
        <v>0</v>
      </c>
      <c r="AJ44" s="275">
        <f t="shared" ca="1" si="25"/>
        <v>0</v>
      </c>
      <c r="AK44" s="275">
        <f t="shared" ca="1" si="25"/>
        <v>0</v>
      </c>
      <c r="AL44" s="275">
        <f t="shared" ca="1" si="25"/>
        <v>0</v>
      </c>
      <c r="AM44" s="275">
        <f t="shared" ca="1" si="25"/>
        <v>0</v>
      </c>
      <c r="AN44" s="275">
        <f t="shared" ca="1" si="25"/>
        <v>0</v>
      </c>
      <c r="AO44" s="275">
        <f t="shared" ca="1" si="25"/>
        <v>0</v>
      </c>
      <c r="AP44" s="275">
        <f t="shared" ca="1" si="25"/>
        <v>0</v>
      </c>
      <c r="AQ44" s="275">
        <f t="shared" ca="1" si="25"/>
        <v>0</v>
      </c>
      <c r="AR44" s="275">
        <f t="shared" ca="1" si="25"/>
        <v>0</v>
      </c>
      <c r="AS44" s="275">
        <f t="shared" ca="1" si="25"/>
        <v>0</v>
      </c>
      <c r="AT44" s="275">
        <f t="shared" ca="1" si="25"/>
        <v>0</v>
      </c>
      <c r="AU44" s="275">
        <f t="shared" ca="1" si="25"/>
        <v>0</v>
      </c>
      <c r="AV44" s="275">
        <f t="shared" ca="1" si="25"/>
        <v>0</v>
      </c>
      <c r="AW44" s="275">
        <f t="shared" ca="1" si="24"/>
        <v>0</v>
      </c>
      <c r="AX44" s="275">
        <f t="shared" ca="1" si="24"/>
        <v>0</v>
      </c>
      <c r="AY44" s="275">
        <f t="shared" ca="1" si="24"/>
        <v>0</v>
      </c>
      <c r="AZ44" s="275">
        <f t="shared" ca="1" si="24"/>
        <v>0</v>
      </c>
      <c r="BA44" s="275">
        <f t="shared" ca="1" si="24"/>
        <v>0</v>
      </c>
      <c r="BB44" s="275">
        <f t="shared" ca="1" si="24"/>
        <v>0</v>
      </c>
      <c r="BC44" s="275">
        <f t="shared" ca="1" si="24"/>
        <v>0</v>
      </c>
      <c r="BD44" s="275">
        <f t="shared" ca="1" si="24"/>
        <v>0</v>
      </c>
      <c r="BE44" s="275">
        <f t="shared" ca="1" si="24"/>
        <v>0</v>
      </c>
      <c r="BF44" s="275">
        <f t="shared" ca="1" si="24"/>
        <v>0</v>
      </c>
      <c r="BG44" s="275">
        <f t="shared" ca="1" si="24"/>
        <v>0</v>
      </c>
      <c r="BH44" s="275">
        <f t="shared" ca="1" si="24"/>
        <v>0</v>
      </c>
      <c r="BI44" s="275">
        <f t="shared" ca="1" si="24"/>
        <v>0</v>
      </c>
      <c r="BJ44" s="275">
        <f t="shared" ca="1" si="24"/>
        <v>0</v>
      </c>
      <c r="BK44" s="275">
        <f t="shared" ca="1" si="24"/>
        <v>0</v>
      </c>
      <c r="BL44" s="275">
        <f t="shared" ca="1" si="24"/>
        <v>0</v>
      </c>
      <c r="BM44" s="275">
        <f t="shared" ca="1" si="26"/>
        <v>0</v>
      </c>
      <c r="BN44" s="275">
        <f t="shared" ca="1" si="26"/>
        <v>0</v>
      </c>
      <c r="BO44" s="275">
        <f t="shared" ca="1" si="26"/>
        <v>0</v>
      </c>
      <c r="BP44" s="275">
        <f t="shared" ca="1" si="26"/>
        <v>0</v>
      </c>
      <c r="BQ44" s="275">
        <f t="shared" ca="1" si="26"/>
        <v>0</v>
      </c>
      <c r="BR44" s="275">
        <f t="shared" ca="1" si="26"/>
        <v>0</v>
      </c>
      <c r="BS44" s="275">
        <f t="shared" ca="1" si="26"/>
        <v>0</v>
      </c>
      <c r="BT44" s="275">
        <f t="shared" ca="1" si="26"/>
        <v>0</v>
      </c>
      <c r="BU44" s="275">
        <f t="shared" ca="1" si="26"/>
        <v>0</v>
      </c>
      <c r="BV44" s="275">
        <f t="shared" ca="1" si="26"/>
        <v>0</v>
      </c>
      <c r="BW44" s="275">
        <f t="shared" ca="1" si="26"/>
        <v>0</v>
      </c>
      <c r="BX44" s="275">
        <f t="shared" ca="1" si="26"/>
        <v>0</v>
      </c>
      <c r="BY44" s="275">
        <f t="shared" ca="1" si="26"/>
        <v>0</v>
      </c>
      <c r="BZ44" s="275">
        <f t="shared" ca="1" si="26"/>
        <v>0</v>
      </c>
      <c r="CA44" s="275">
        <f t="shared" ca="1" si="26"/>
        <v>0</v>
      </c>
      <c r="CB44" s="275">
        <f t="shared" ca="1" si="26"/>
        <v>0</v>
      </c>
      <c r="CC44" s="275">
        <f t="shared" ca="1" si="27"/>
        <v>0</v>
      </c>
      <c r="CD44" s="275">
        <f t="shared" ca="1" si="27"/>
        <v>0</v>
      </c>
      <c r="CE44" s="275">
        <f t="shared" ca="1" si="27"/>
        <v>0</v>
      </c>
      <c r="CF44" s="275">
        <f t="shared" ca="1" si="27"/>
        <v>0</v>
      </c>
      <c r="CG44" s="94"/>
      <c r="CH44" s="94"/>
    </row>
    <row r="45" spans="1:86" x14ac:dyDescent="0.3">
      <c r="A45" s="160" t="str">
        <f>IF(OR(A44=Abandonment!$B$4,A44=""),"",'Success Cash Flow'!A44+1)</f>
        <v/>
      </c>
      <c r="B45" s="258">
        <f>Revenue!S46</f>
        <v>0</v>
      </c>
      <c r="C45" s="258">
        <f>Revenue!T46</f>
        <v>0</v>
      </c>
      <c r="D45" s="258">
        <f>Revenue!U46</f>
        <v>0</v>
      </c>
      <c r="E45" s="258">
        <f t="shared" si="18"/>
        <v>0</v>
      </c>
      <c r="F45" s="258">
        <f>Exploration!X70</f>
        <v>0</v>
      </c>
      <c r="G45" s="258">
        <f>Development!BX126</f>
        <v>0</v>
      </c>
      <c r="H45" s="258">
        <f>Abandonment!K51</f>
        <v>0</v>
      </c>
      <c r="I45" s="258">
        <f>Operations!P54</f>
        <v>0</v>
      </c>
      <c r="J45" s="258">
        <f t="shared" si="9"/>
        <v>0</v>
      </c>
      <c r="K45" s="258">
        <f t="shared" si="10"/>
        <v>0</v>
      </c>
      <c r="L45" s="258">
        <f>Royalty!AM47*Development!$BP$88</f>
        <v>0</v>
      </c>
      <c r="M45" s="258">
        <f>'Provincial Tax'!X45*Development!$BP$88</f>
        <v>0</v>
      </c>
      <c r="N45" s="258">
        <f>'Federal Tax'!X46*Development!$BP$88</f>
        <v>0</v>
      </c>
      <c r="O45" s="258">
        <f t="shared" si="11"/>
        <v>0</v>
      </c>
      <c r="P45" s="258">
        <f t="shared" si="12"/>
        <v>0</v>
      </c>
      <c r="Q45" s="218"/>
      <c r="R45" s="218"/>
      <c r="S45" s="218"/>
      <c r="T45" s="218"/>
      <c r="U45" s="218"/>
      <c r="V45" s="218"/>
      <c r="W45" s="218"/>
      <c r="X45" s="218"/>
      <c r="Y45" s="93"/>
      <c r="Z45" s="93"/>
      <c r="AA45" s="93"/>
      <c r="AB45" s="93"/>
      <c r="AC45" s="279">
        <f>IF(Thresholds!$E$1=Lists!$A$8,Exploration!U70,IF(Thresholds!$E$1=Lists!$A$9,Exploration!V70,IF(Thresholds!$E$1=Lists!$A$10,Exploration!W70,IF(Thresholds!$E$1=Lists!$A$11,Development!AV126,Development!BE126-Development!AV126))))</f>
        <v>0</v>
      </c>
      <c r="AD45" s="279">
        <f t="shared" si="13"/>
        <v>0</v>
      </c>
      <c r="AE45" s="279"/>
      <c r="AF45" s="279"/>
      <c r="AG45" s="275">
        <f t="shared" ca="1" si="25"/>
        <v>0</v>
      </c>
      <c r="AH45" s="275">
        <f t="shared" ca="1" si="25"/>
        <v>0</v>
      </c>
      <c r="AI45" s="275">
        <f t="shared" ca="1" si="25"/>
        <v>0</v>
      </c>
      <c r="AJ45" s="275">
        <f t="shared" ca="1" si="25"/>
        <v>0</v>
      </c>
      <c r="AK45" s="275">
        <f t="shared" ca="1" si="25"/>
        <v>0</v>
      </c>
      <c r="AL45" s="275">
        <f t="shared" ca="1" si="25"/>
        <v>0</v>
      </c>
      <c r="AM45" s="275">
        <f t="shared" ca="1" si="25"/>
        <v>0</v>
      </c>
      <c r="AN45" s="275">
        <f t="shared" ca="1" si="25"/>
        <v>0</v>
      </c>
      <c r="AO45" s="275">
        <f t="shared" ca="1" si="25"/>
        <v>0</v>
      </c>
      <c r="AP45" s="275">
        <f t="shared" ca="1" si="25"/>
        <v>0</v>
      </c>
      <c r="AQ45" s="275">
        <f t="shared" ca="1" si="25"/>
        <v>0</v>
      </c>
      <c r="AR45" s="275">
        <f t="shared" ca="1" si="25"/>
        <v>0</v>
      </c>
      <c r="AS45" s="275">
        <f t="shared" ca="1" si="25"/>
        <v>0</v>
      </c>
      <c r="AT45" s="275">
        <f t="shared" ca="1" si="25"/>
        <v>0</v>
      </c>
      <c r="AU45" s="275">
        <f t="shared" ca="1" si="25"/>
        <v>0</v>
      </c>
      <c r="AV45" s="275">
        <f t="shared" ca="1" si="25"/>
        <v>0</v>
      </c>
      <c r="AW45" s="275">
        <f t="shared" ca="1" si="24"/>
        <v>0</v>
      </c>
      <c r="AX45" s="275">
        <f t="shared" ca="1" si="24"/>
        <v>0</v>
      </c>
      <c r="AY45" s="275">
        <f t="shared" ca="1" si="24"/>
        <v>0</v>
      </c>
      <c r="AZ45" s="275">
        <f t="shared" ca="1" si="24"/>
        <v>0</v>
      </c>
      <c r="BA45" s="275">
        <f t="shared" ca="1" si="24"/>
        <v>0</v>
      </c>
      <c r="BB45" s="275">
        <f t="shared" ca="1" si="24"/>
        <v>0</v>
      </c>
      <c r="BC45" s="275">
        <f t="shared" ca="1" si="24"/>
        <v>0</v>
      </c>
      <c r="BD45" s="275">
        <f t="shared" ca="1" si="24"/>
        <v>0</v>
      </c>
      <c r="BE45" s="275">
        <f t="shared" ca="1" si="24"/>
        <v>0</v>
      </c>
      <c r="BF45" s="275">
        <f t="shared" ca="1" si="24"/>
        <v>0</v>
      </c>
      <c r="BG45" s="275">
        <f t="shared" ca="1" si="24"/>
        <v>0</v>
      </c>
      <c r="BH45" s="275">
        <f t="shared" ca="1" si="24"/>
        <v>0</v>
      </c>
      <c r="BI45" s="275">
        <f t="shared" ca="1" si="24"/>
        <v>0</v>
      </c>
      <c r="BJ45" s="275">
        <f t="shared" ca="1" si="24"/>
        <v>0</v>
      </c>
      <c r="BK45" s="275">
        <f t="shared" ca="1" si="24"/>
        <v>0</v>
      </c>
      <c r="BL45" s="275">
        <f t="shared" ca="1" si="24"/>
        <v>0</v>
      </c>
      <c r="BM45" s="275">
        <f t="shared" ca="1" si="26"/>
        <v>0</v>
      </c>
      <c r="BN45" s="275">
        <f t="shared" ca="1" si="26"/>
        <v>0</v>
      </c>
      <c r="BO45" s="275">
        <f t="shared" ca="1" si="26"/>
        <v>0</v>
      </c>
      <c r="BP45" s="275">
        <f t="shared" ca="1" si="26"/>
        <v>0</v>
      </c>
      <c r="BQ45" s="275">
        <f t="shared" ca="1" si="26"/>
        <v>0</v>
      </c>
      <c r="BR45" s="275">
        <f t="shared" ca="1" si="26"/>
        <v>0</v>
      </c>
      <c r="BS45" s="275">
        <f t="shared" ca="1" si="26"/>
        <v>0</v>
      </c>
      <c r="BT45" s="275">
        <f t="shared" ca="1" si="26"/>
        <v>0</v>
      </c>
      <c r="BU45" s="275">
        <f t="shared" ca="1" si="26"/>
        <v>0</v>
      </c>
      <c r="BV45" s="275">
        <f t="shared" ca="1" si="26"/>
        <v>0</v>
      </c>
      <c r="BW45" s="275">
        <f t="shared" ca="1" si="26"/>
        <v>0</v>
      </c>
      <c r="BX45" s="275">
        <f t="shared" ca="1" si="26"/>
        <v>0</v>
      </c>
      <c r="BY45" s="275">
        <f t="shared" ca="1" si="26"/>
        <v>0</v>
      </c>
      <c r="BZ45" s="275">
        <f t="shared" ca="1" si="26"/>
        <v>0</v>
      </c>
      <c r="CA45" s="275">
        <f t="shared" ca="1" si="26"/>
        <v>0</v>
      </c>
      <c r="CB45" s="275">
        <f t="shared" ca="1" si="26"/>
        <v>0</v>
      </c>
      <c r="CC45" s="275">
        <f t="shared" ca="1" si="27"/>
        <v>0</v>
      </c>
      <c r="CD45" s="275">
        <f t="shared" ca="1" si="27"/>
        <v>0</v>
      </c>
      <c r="CE45" s="275">
        <f t="shared" ca="1" si="27"/>
        <v>0</v>
      </c>
      <c r="CF45" s="275">
        <f t="shared" ca="1" si="27"/>
        <v>0</v>
      </c>
      <c r="CG45" s="94"/>
      <c r="CH45" s="94"/>
    </row>
    <row r="46" spans="1:86" x14ac:dyDescent="0.3">
      <c r="A46" s="160" t="str">
        <f>IF(OR(A45=Abandonment!$B$4,A45=""),"",'Success Cash Flow'!A45+1)</f>
        <v/>
      </c>
      <c r="B46" s="258">
        <f>Revenue!S47</f>
        <v>0</v>
      </c>
      <c r="C46" s="258">
        <f>Revenue!T47</f>
        <v>0</v>
      </c>
      <c r="D46" s="258">
        <f>Revenue!U47</f>
        <v>0</v>
      </c>
      <c r="E46" s="258">
        <f t="shared" si="18"/>
        <v>0</v>
      </c>
      <c r="F46" s="258">
        <f>Exploration!X71</f>
        <v>0</v>
      </c>
      <c r="G46" s="258">
        <f>Development!BX127</f>
        <v>0</v>
      </c>
      <c r="H46" s="258">
        <f>Abandonment!K52</f>
        <v>0</v>
      </c>
      <c r="I46" s="258">
        <f>Operations!P55</f>
        <v>0</v>
      </c>
      <c r="J46" s="258">
        <f t="shared" si="9"/>
        <v>0</v>
      </c>
      <c r="K46" s="258">
        <f t="shared" si="10"/>
        <v>0</v>
      </c>
      <c r="L46" s="258">
        <f>Royalty!AM48*Development!$BP$88</f>
        <v>0</v>
      </c>
      <c r="M46" s="258">
        <f>'Provincial Tax'!X46*Development!$BP$88</f>
        <v>0</v>
      </c>
      <c r="N46" s="258">
        <f>'Federal Tax'!X47*Development!$BP$88</f>
        <v>0</v>
      </c>
      <c r="O46" s="258">
        <f t="shared" si="11"/>
        <v>0</v>
      </c>
      <c r="P46" s="258">
        <f t="shared" si="12"/>
        <v>0</v>
      </c>
      <c r="Q46" s="218"/>
      <c r="R46" s="218"/>
      <c r="S46" s="218"/>
      <c r="T46" s="218"/>
      <c r="U46" s="218"/>
      <c r="V46" s="218"/>
      <c r="W46" s="218"/>
      <c r="X46" s="218"/>
      <c r="Y46" s="93"/>
      <c r="Z46" s="93"/>
      <c r="AA46" s="93"/>
      <c r="AB46" s="93"/>
      <c r="AC46" s="279">
        <f>IF(Thresholds!$E$1=Lists!$A$8,Exploration!U71,IF(Thresholds!$E$1=Lists!$A$9,Exploration!V71,IF(Thresholds!$E$1=Lists!$A$10,Exploration!W71,IF(Thresholds!$E$1=Lists!$A$11,Development!AV127,Development!BE127-Development!AV127))))</f>
        <v>0</v>
      </c>
      <c r="AD46" s="279">
        <f t="shared" si="13"/>
        <v>0</v>
      </c>
      <c r="AE46" s="279"/>
      <c r="AF46" s="279"/>
      <c r="AG46" s="275">
        <f t="shared" ca="1" si="25"/>
        <v>0</v>
      </c>
      <c r="AH46" s="275">
        <f t="shared" ca="1" si="25"/>
        <v>0</v>
      </c>
      <c r="AI46" s="275">
        <f t="shared" ca="1" si="25"/>
        <v>0</v>
      </c>
      <c r="AJ46" s="275">
        <f t="shared" ca="1" si="25"/>
        <v>0</v>
      </c>
      <c r="AK46" s="275">
        <f t="shared" ca="1" si="25"/>
        <v>0</v>
      </c>
      <c r="AL46" s="275">
        <f t="shared" ca="1" si="25"/>
        <v>0</v>
      </c>
      <c r="AM46" s="275">
        <f t="shared" ca="1" si="25"/>
        <v>0</v>
      </c>
      <c r="AN46" s="275">
        <f t="shared" ca="1" si="25"/>
        <v>0</v>
      </c>
      <c r="AO46" s="275">
        <f t="shared" ca="1" si="25"/>
        <v>0</v>
      </c>
      <c r="AP46" s="275">
        <f t="shared" ca="1" si="25"/>
        <v>0</v>
      </c>
      <c r="AQ46" s="275">
        <f t="shared" ca="1" si="25"/>
        <v>0</v>
      </c>
      <c r="AR46" s="275">
        <f t="shared" ca="1" si="25"/>
        <v>0</v>
      </c>
      <c r="AS46" s="275">
        <f t="shared" ca="1" si="25"/>
        <v>0</v>
      </c>
      <c r="AT46" s="275">
        <f t="shared" ca="1" si="25"/>
        <v>0</v>
      </c>
      <c r="AU46" s="275">
        <f t="shared" ca="1" si="25"/>
        <v>0</v>
      </c>
      <c r="AV46" s="275">
        <f t="shared" ca="1" si="25"/>
        <v>0</v>
      </c>
      <c r="AW46" s="275">
        <f t="shared" ca="1" si="24"/>
        <v>0</v>
      </c>
      <c r="AX46" s="275">
        <f t="shared" ca="1" si="24"/>
        <v>0</v>
      </c>
      <c r="AY46" s="275">
        <f t="shared" ca="1" si="24"/>
        <v>0</v>
      </c>
      <c r="AZ46" s="275">
        <f t="shared" ca="1" si="24"/>
        <v>0</v>
      </c>
      <c r="BA46" s="275">
        <f t="shared" ca="1" si="24"/>
        <v>0</v>
      </c>
      <c r="BB46" s="275">
        <f t="shared" ca="1" si="24"/>
        <v>0</v>
      </c>
      <c r="BC46" s="275">
        <f t="shared" ca="1" si="24"/>
        <v>0</v>
      </c>
      <c r="BD46" s="275">
        <f t="shared" ca="1" si="24"/>
        <v>0</v>
      </c>
      <c r="BE46" s="275">
        <f t="shared" ca="1" si="24"/>
        <v>0</v>
      </c>
      <c r="BF46" s="275">
        <f t="shared" ca="1" si="24"/>
        <v>0</v>
      </c>
      <c r="BG46" s="275">
        <f t="shared" ca="1" si="24"/>
        <v>0</v>
      </c>
      <c r="BH46" s="275">
        <f t="shared" ca="1" si="24"/>
        <v>0</v>
      </c>
      <c r="BI46" s="275">
        <f t="shared" ca="1" si="24"/>
        <v>0</v>
      </c>
      <c r="BJ46" s="275">
        <f t="shared" ca="1" si="24"/>
        <v>0</v>
      </c>
      <c r="BK46" s="275">
        <f t="shared" ca="1" si="24"/>
        <v>0</v>
      </c>
      <c r="BL46" s="275">
        <f t="shared" ca="1" si="24"/>
        <v>0</v>
      </c>
      <c r="BM46" s="275">
        <f t="shared" ca="1" si="26"/>
        <v>0</v>
      </c>
      <c r="BN46" s="275">
        <f t="shared" ca="1" si="26"/>
        <v>0</v>
      </c>
      <c r="BO46" s="275">
        <f t="shared" ca="1" si="26"/>
        <v>0</v>
      </c>
      <c r="BP46" s="275">
        <f t="shared" ca="1" si="26"/>
        <v>0</v>
      </c>
      <c r="BQ46" s="275">
        <f t="shared" ca="1" si="26"/>
        <v>0</v>
      </c>
      <c r="BR46" s="275">
        <f t="shared" ca="1" si="26"/>
        <v>0</v>
      </c>
      <c r="BS46" s="275">
        <f t="shared" ca="1" si="26"/>
        <v>0</v>
      </c>
      <c r="BT46" s="275">
        <f t="shared" ca="1" si="26"/>
        <v>0</v>
      </c>
      <c r="BU46" s="275">
        <f t="shared" ca="1" si="26"/>
        <v>0</v>
      </c>
      <c r="BV46" s="275">
        <f t="shared" ca="1" si="26"/>
        <v>0</v>
      </c>
      <c r="BW46" s="275">
        <f t="shared" ca="1" si="26"/>
        <v>0</v>
      </c>
      <c r="BX46" s="275">
        <f t="shared" ca="1" si="26"/>
        <v>0</v>
      </c>
      <c r="BY46" s="275">
        <f t="shared" ca="1" si="26"/>
        <v>0</v>
      </c>
      <c r="BZ46" s="275">
        <f t="shared" ca="1" si="26"/>
        <v>0</v>
      </c>
      <c r="CA46" s="275">
        <f t="shared" ca="1" si="26"/>
        <v>0</v>
      </c>
      <c r="CB46" s="275">
        <f t="shared" ca="1" si="26"/>
        <v>0</v>
      </c>
      <c r="CC46" s="275">
        <f t="shared" ca="1" si="27"/>
        <v>0</v>
      </c>
      <c r="CD46" s="275">
        <f t="shared" ca="1" si="27"/>
        <v>0</v>
      </c>
      <c r="CE46" s="275">
        <f t="shared" ca="1" si="27"/>
        <v>0</v>
      </c>
      <c r="CF46" s="275">
        <f t="shared" ca="1" si="27"/>
        <v>0</v>
      </c>
      <c r="CG46" s="94"/>
      <c r="CH46" s="94"/>
    </row>
    <row r="47" spans="1:86" x14ac:dyDescent="0.3">
      <c r="A47" s="160" t="str">
        <f>IF(OR(A46=Abandonment!$B$4,A46=""),"",'Success Cash Flow'!A46+1)</f>
        <v/>
      </c>
      <c r="B47" s="258">
        <f>Revenue!S48</f>
        <v>0</v>
      </c>
      <c r="C47" s="258">
        <f>Revenue!T48</f>
        <v>0</v>
      </c>
      <c r="D47" s="258">
        <f>Revenue!U48</f>
        <v>0</v>
      </c>
      <c r="E47" s="258">
        <f t="shared" si="18"/>
        <v>0</v>
      </c>
      <c r="F47" s="258">
        <f>Exploration!X72</f>
        <v>0</v>
      </c>
      <c r="G47" s="258">
        <f>Development!BX128</f>
        <v>0</v>
      </c>
      <c r="H47" s="258">
        <f>Abandonment!K53</f>
        <v>0</v>
      </c>
      <c r="I47" s="258">
        <f>Operations!P56</f>
        <v>0</v>
      </c>
      <c r="J47" s="258">
        <f t="shared" si="9"/>
        <v>0</v>
      </c>
      <c r="K47" s="258">
        <f t="shared" si="10"/>
        <v>0</v>
      </c>
      <c r="L47" s="258">
        <f>Royalty!AM49*Development!$BP$88</f>
        <v>0</v>
      </c>
      <c r="M47" s="258">
        <f>'Provincial Tax'!X47*Development!$BP$88</f>
        <v>0</v>
      </c>
      <c r="N47" s="258">
        <f>'Federal Tax'!X48*Development!$BP$88</f>
        <v>0</v>
      </c>
      <c r="O47" s="258">
        <f t="shared" si="11"/>
        <v>0</v>
      </c>
      <c r="P47" s="258">
        <f t="shared" si="12"/>
        <v>0</v>
      </c>
      <c r="Q47" s="218"/>
      <c r="R47" s="218"/>
      <c r="S47" s="218"/>
      <c r="T47" s="218"/>
      <c r="U47" s="218"/>
      <c r="V47" s="218"/>
      <c r="W47" s="218"/>
      <c r="X47" s="218"/>
      <c r="Y47" s="93"/>
      <c r="Z47" s="93"/>
      <c r="AA47" s="93"/>
      <c r="AB47" s="93"/>
      <c r="AC47" s="279">
        <f>IF(Thresholds!$E$1=Lists!$A$8,Exploration!U72,IF(Thresholds!$E$1=Lists!$A$9,Exploration!V72,IF(Thresholds!$E$1=Lists!$A$10,Exploration!W72,IF(Thresholds!$E$1=Lists!$A$11,Development!AV128,Development!BE128-Development!AV128))))</f>
        <v>0</v>
      </c>
      <c r="AD47" s="279">
        <f t="shared" si="13"/>
        <v>0</v>
      </c>
      <c r="AE47" s="279"/>
      <c r="AF47" s="279"/>
      <c r="AG47" s="275">
        <f t="shared" ca="1" si="25"/>
        <v>0</v>
      </c>
      <c r="AH47" s="275">
        <f t="shared" ca="1" si="25"/>
        <v>0</v>
      </c>
      <c r="AI47" s="275">
        <f t="shared" ca="1" si="25"/>
        <v>0</v>
      </c>
      <c r="AJ47" s="275">
        <f t="shared" ca="1" si="25"/>
        <v>0</v>
      </c>
      <c r="AK47" s="275">
        <f t="shared" ca="1" si="25"/>
        <v>0</v>
      </c>
      <c r="AL47" s="275">
        <f t="shared" ca="1" si="25"/>
        <v>0</v>
      </c>
      <c r="AM47" s="275">
        <f t="shared" ca="1" si="25"/>
        <v>0</v>
      </c>
      <c r="AN47" s="275">
        <f t="shared" ca="1" si="25"/>
        <v>0</v>
      </c>
      <c r="AO47" s="275">
        <f t="shared" ca="1" si="25"/>
        <v>0</v>
      </c>
      <c r="AP47" s="275">
        <f t="shared" ca="1" si="25"/>
        <v>0</v>
      </c>
      <c r="AQ47" s="275">
        <f t="shared" ca="1" si="25"/>
        <v>0</v>
      </c>
      <c r="AR47" s="275">
        <f t="shared" ca="1" si="25"/>
        <v>0</v>
      </c>
      <c r="AS47" s="275">
        <f t="shared" ca="1" si="25"/>
        <v>0</v>
      </c>
      <c r="AT47" s="275">
        <f t="shared" ca="1" si="25"/>
        <v>0</v>
      </c>
      <c r="AU47" s="275">
        <f t="shared" ca="1" si="25"/>
        <v>0</v>
      </c>
      <c r="AV47" s="275">
        <f t="shared" ca="1" si="25"/>
        <v>0</v>
      </c>
      <c r="AW47" s="275">
        <f t="shared" ca="1" si="24"/>
        <v>0</v>
      </c>
      <c r="AX47" s="275">
        <f t="shared" ca="1" si="24"/>
        <v>0</v>
      </c>
      <c r="AY47" s="275">
        <f t="shared" ca="1" si="24"/>
        <v>0</v>
      </c>
      <c r="AZ47" s="275">
        <f t="shared" ca="1" si="24"/>
        <v>0</v>
      </c>
      <c r="BA47" s="275">
        <f t="shared" ca="1" si="24"/>
        <v>0</v>
      </c>
      <c r="BB47" s="275">
        <f t="shared" ca="1" si="24"/>
        <v>0</v>
      </c>
      <c r="BC47" s="275">
        <f t="shared" ca="1" si="24"/>
        <v>0</v>
      </c>
      <c r="BD47" s="275">
        <f t="shared" ca="1" si="24"/>
        <v>0</v>
      </c>
      <c r="BE47" s="275">
        <f t="shared" ca="1" si="24"/>
        <v>0</v>
      </c>
      <c r="BF47" s="275">
        <f t="shared" ca="1" si="24"/>
        <v>0</v>
      </c>
      <c r="BG47" s="275">
        <f t="shared" ca="1" si="24"/>
        <v>0</v>
      </c>
      <c r="BH47" s="275">
        <f t="shared" ca="1" si="24"/>
        <v>0</v>
      </c>
      <c r="BI47" s="275">
        <f t="shared" ca="1" si="24"/>
        <v>0</v>
      </c>
      <c r="BJ47" s="275">
        <f t="shared" ca="1" si="24"/>
        <v>0</v>
      </c>
      <c r="BK47" s="275">
        <f t="shared" ca="1" si="24"/>
        <v>0</v>
      </c>
      <c r="BL47" s="275">
        <f t="shared" ca="1" si="24"/>
        <v>0</v>
      </c>
      <c r="BM47" s="275">
        <f t="shared" ca="1" si="26"/>
        <v>0</v>
      </c>
      <c r="BN47" s="275">
        <f t="shared" ca="1" si="26"/>
        <v>0</v>
      </c>
      <c r="BO47" s="275">
        <f t="shared" ca="1" si="26"/>
        <v>0</v>
      </c>
      <c r="BP47" s="275">
        <f t="shared" ca="1" si="26"/>
        <v>0</v>
      </c>
      <c r="BQ47" s="275">
        <f t="shared" ca="1" si="26"/>
        <v>0</v>
      </c>
      <c r="BR47" s="275">
        <f t="shared" ca="1" si="26"/>
        <v>0</v>
      </c>
      <c r="BS47" s="275">
        <f t="shared" ca="1" si="26"/>
        <v>0</v>
      </c>
      <c r="BT47" s="275">
        <f t="shared" ca="1" si="26"/>
        <v>0</v>
      </c>
      <c r="BU47" s="275">
        <f t="shared" ca="1" si="26"/>
        <v>0</v>
      </c>
      <c r="BV47" s="275">
        <f t="shared" ca="1" si="26"/>
        <v>0</v>
      </c>
      <c r="BW47" s="275">
        <f t="shared" ca="1" si="26"/>
        <v>0</v>
      </c>
      <c r="BX47" s="275">
        <f t="shared" ca="1" si="26"/>
        <v>0</v>
      </c>
      <c r="BY47" s="275">
        <f t="shared" ca="1" si="26"/>
        <v>0</v>
      </c>
      <c r="BZ47" s="275">
        <f t="shared" ca="1" si="26"/>
        <v>0</v>
      </c>
      <c r="CA47" s="275">
        <f t="shared" ca="1" si="26"/>
        <v>0</v>
      </c>
      <c r="CB47" s="275">
        <f t="shared" ca="1" si="26"/>
        <v>0</v>
      </c>
      <c r="CC47" s="275">
        <f t="shared" ca="1" si="27"/>
        <v>0</v>
      </c>
      <c r="CD47" s="275">
        <f t="shared" ca="1" si="27"/>
        <v>0</v>
      </c>
      <c r="CE47" s="275">
        <f t="shared" ca="1" si="27"/>
        <v>0</v>
      </c>
      <c r="CF47" s="275">
        <f t="shared" ca="1" si="27"/>
        <v>0</v>
      </c>
      <c r="CG47" s="94"/>
      <c r="CH47" s="94"/>
    </row>
    <row r="48" spans="1:86" x14ac:dyDescent="0.3">
      <c r="A48" s="160" t="str">
        <f>IF(OR(A47=Abandonment!$B$4,A47=""),"",'Success Cash Flow'!A47+1)</f>
        <v/>
      </c>
      <c r="B48" s="258">
        <f>Revenue!S49</f>
        <v>0</v>
      </c>
      <c r="C48" s="258">
        <f>Revenue!T49</f>
        <v>0</v>
      </c>
      <c r="D48" s="258">
        <f>Revenue!U49</f>
        <v>0</v>
      </c>
      <c r="E48" s="258">
        <f t="shared" si="18"/>
        <v>0</v>
      </c>
      <c r="F48" s="258">
        <f>Exploration!X73</f>
        <v>0</v>
      </c>
      <c r="G48" s="258">
        <f>Development!BX129</f>
        <v>0</v>
      </c>
      <c r="H48" s="258">
        <f>Abandonment!K54</f>
        <v>0</v>
      </c>
      <c r="I48" s="258">
        <f>Operations!P57</f>
        <v>0</v>
      </c>
      <c r="J48" s="258">
        <f t="shared" si="9"/>
        <v>0</v>
      </c>
      <c r="K48" s="258">
        <f t="shared" si="10"/>
        <v>0</v>
      </c>
      <c r="L48" s="258">
        <f>Royalty!AM50*Development!$BP$88</f>
        <v>0</v>
      </c>
      <c r="M48" s="258">
        <f>'Provincial Tax'!X48*Development!$BP$88</f>
        <v>0</v>
      </c>
      <c r="N48" s="258">
        <f>'Federal Tax'!X49*Development!$BP$88</f>
        <v>0</v>
      </c>
      <c r="O48" s="258">
        <f t="shared" si="11"/>
        <v>0</v>
      </c>
      <c r="P48" s="258">
        <f t="shared" si="12"/>
        <v>0</v>
      </c>
      <c r="Q48" s="218"/>
      <c r="R48" s="218"/>
      <c r="S48" s="218"/>
      <c r="T48" s="218"/>
      <c r="U48" s="218"/>
      <c r="V48" s="218"/>
      <c r="W48" s="218"/>
      <c r="X48" s="218"/>
      <c r="Y48" s="93"/>
      <c r="Z48" s="93"/>
      <c r="AA48" s="93"/>
      <c r="AB48" s="93"/>
      <c r="AC48" s="279">
        <f>IF(Thresholds!$E$1=Lists!$A$8,Exploration!U73,IF(Thresholds!$E$1=Lists!$A$9,Exploration!V73,IF(Thresholds!$E$1=Lists!$A$10,Exploration!W73,IF(Thresholds!$E$1=Lists!$A$11,Development!AV129,Development!BE129-Development!AV129))))</f>
        <v>0</v>
      </c>
      <c r="AD48" s="279">
        <f t="shared" si="13"/>
        <v>0</v>
      </c>
      <c r="AE48" s="279"/>
      <c r="AF48" s="279"/>
      <c r="AG48" s="275">
        <f t="shared" ca="1" si="25"/>
        <v>0</v>
      </c>
      <c r="AH48" s="275">
        <f t="shared" ca="1" si="25"/>
        <v>0</v>
      </c>
      <c r="AI48" s="275">
        <f t="shared" ca="1" si="25"/>
        <v>0</v>
      </c>
      <c r="AJ48" s="275">
        <f t="shared" ca="1" si="25"/>
        <v>0</v>
      </c>
      <c r="AK48" s="275">
        <f t="shared" ca="1" si="25"/>
        <v>0</v>
      </c>
      <c r="AL48" s="275">
        <f t="shared" ca="1" si="25"/>
        <v>0</v>
      </c>
      <c r="AM48" s="275">
        <f t="shared" ca="1" si="25"/>
        <v>0</v>
      </c>
      <c r="AN48" s="275">
        <f t="shared" ca="1" si="25"/>
        <v>0</v>
      </c>
      <c r="AO48" s="275">
        <f t="shared" ca="1" si="25"/>
        <v>0</v>
      </c>
      <c r="AP48" s="275">
        <f t="shared" ca="1" si="25"/>
        <v>0</v>
      </c>
      <c r="AQ48" s="275">
        <f t="shared" ca="1" si="25"/>
        <v>0</v>
      </c>
      <c r="AR48" s="275">
        <f t="shared" ca="1" si="25"/>
        <v>0</v>
      </c>
      <c r="AS48" s="275">
        <f t="shared" ca="1" si="25"/>
        <v>0</v>
      </c>
      <c r="AT48" s="275">
        <f t="shared" ca="1" si="25"/>
        <v>0</v>
      </c>
      <c r="AU48" s="275">
        <f t="shared" ca="1" si="25"/>
        <v>0</v>
      </c>
      <c r="AV48" s="275">
        <f t="shared" ca="1" si="25"/>
        <v>0</v>
      </c>
      <c r="AW48" s="275">
        <f t="shared" ca="1" si="24"/>
        <v>0</v>
      </c>
      <c r="AX48" s="275">
        <f t="shared" ca="1" si="24"/>
        <v>0</v>
      </c>
      <c r="AY48" s="275">
        <f t="shared" ca="1" si="24"/>
        <v>0</v>
      </c>
      <c r="AZ48" s="275">
        <f t="shared" ca="1" si="24"/>
        <v>0</v>
      </c>
      <c r="BA48" s="275">
        <f t="shared" ca="1" si="24"/>
        <v>0</v>
      </c>
      <c r="BB48" s="275">
        <f t="shared" ca="1" si="24"/>
        <v>0</v>
      </c>
      <c r="BC48" s="275">
        <f t="shared" ca="1" si="24"/>
        <v>0</v>
      </c>
      <c r="BD48" s="275">
        <f t="shared" ca="1" si="24"/>
        <v>0</v>
      </c>
      <c r="BE48" s="275">
        <f t="shared" ca="1" si="24"/>
        <v>0</v>
      </c>
      <c r="BF48" s="275">
        <f t="shared" ca="1" si="24"/>
        <v>0</v>
      </c>
      <c r="BG48" s="275">
        <f t="shared" ca="1" si="24"/>
        <v>0</v>
      </c>
      <c r="BH48" s="275">
        <f t="shared" ca="1" si="24"/>
        <v>0</v>
      </c>
      <c r="BI48" s="275">
        <f t="shared" ca="1" si="24"/>
        <v>0</v>
      </c>
      <c r="BJ48" s="275">
        <f t="shared" ca="1" si="24"/>
        <v>0</v>
      </c>
      <c r="BK48" s="275">
        <f t="shared" ca="1" si="24"/>
        <v>0</v>
      </c>
      <c r="BL48" s="275">
        <f t="shared" ca="1" si="24"/>
        <v>0</v>
      </c>
      <c r="BM48" s="275">
        <f t="shared" ca="1" si="26"/>
        <v>0</v>
      </c>
      <c r="BN48" s="275">
        <f t="shared" ca="1" si="26"/>
        <v>0</v>
      </c>
      <c r="BO48" s="275">
        <f t="shared" ca="1" si="26"/>
        <v>0</v>
      </c>
      <c r="BP48" s="275">
        <f t="shared" ca="1" si="26"/>
        <v>0</v>
      </c>
      <c r="BQ48" s="275">
        <f t="shared" ca="1" si="26"/>
        <v>0</v>
      </c>
      <c r="BR48" s="275">
        <f t="shared" ca="1" si="26"/>
        <v>0</v>
      </c>
      <c r="BS48" s="275">
        <f t="shared" ca="1" si="26"/>
        <v>0</v>
      </c>
      <c r="BT48" s="275">
        <f t="shared" ca="1" si="26"/>
        <v>0</v>
      </c>
      <c r="BU48" s="275">
        <f t="shared" ca="1" si="26"/>
        <v>0</v>
      </c>
      <c r="BV48" s="275">
        <f t="shared" ca="1" si="26"/>
        <v>0</v>
      </c>
      <c r="BW48" s="275">
        <f t="shared" ca="1" si="26"/>
        <v>0</v>
      </c>
      <c r="BX48" s="275">
        <f t="shared" ca="1" si="26"/>
        <v>0</v>
      </c>
      <c r="BY48" s="275">
        <f t="shared" ca="1" si="26"/>
        <v>0</v>
      </c>
      <c r="BZ48" s="275">
        <f t="shared" ca="1" si="26"/>
        <v>0</v>
      </c>
      <c r="CA48" s="275">
        <f t="shared" ca="1" si="26"/>
        <v>0</v>
      </c>
      <c r="CB48" s="275">
        <f t="shared" ca="1" si="26"/>
        <v>0</v>
      </c>
      <c r="CC48" s="275">
        <f t="shared" ca="1" si="27"/>
        <v>0</v>
      </c>
      <c r="CD48" s="275">
        <f t="shared" ca="1" si="27"/>
        <v>0</v>
      </c>
      <c r="CE48" s="275">
        <f t="shared" ca="1" si="27"/>
        <v>0</v>
      </c>
      <c r="CF48" s="275">
        <f t="shared" ca="1" si="27"/>
        <v>0</v>
      </c>
      <c r="CG48" s="94"/>
      <c r="CH48" s="94"/>
    </row>
    <row r="49" spans="1:86" x14ac:dyDescent="0.3">
      <c r="A49" s="160" t="str">
        <f>IF(OR(A48=Abandonment!$B$4,A48=""),"",'Success Cash Flow'!A48+1)</f>
        <v/>
      </c>
      <c r="B49" s="258">
        <f>Revenue!S50</f>
        <v>0</v>
      </c>
      <c r="C49" s="258">
        <f>Revenue!T50</f>
        <v>0</v>
      </c>
      <c r="D49" s="258">
        <f>Revenue!U50</f>
        <v>0</v>
      </c>
      <c r="E49" s="258">
        <f t="shared" si="18"/>
        <v>0</v>
      </c>
      <c r="F49" s="258">
        <f>Exploration!X74</f>
        <v>0</v>
      </c>
      <c r="G49" s="258">
        <f>Development!BX130</f>
        <v>0</v>
      </c>
      <c r="H49" s="258">
        <f>Abandonment!K55</f>
        <v>0</v>
      </c>
      <c r="I49" s="258">
        <f>Operations!P58</f>
        <v>0</v>
      </c>
      <c r="J49" s="258">
        <f t="shared" si="9"/>
        <v>0</v>
      </c>
      <c r="K49" s="258">
        <f t="shared" si="10"/>
        <v>0</v>
      </c>
      <c r="L49" s="258">
        <f>Royalty!AM51*Development!$BP$88</f>
        <v>0</v>
      </c>
      <c r="M49" s="258">
        <f>'Provincial Tax'!X49*Development!$BP$88</f>
        <v>0</v>
      </c>
      <c r="N49" s="258">
        <f>'Federal Tax'!X50*Development!$BP$88</f>
        <v>0</v>
      </c>
      <c r="O49" s="258">
        <f t="shared" si="11"/>
        <v>0</v>
      </c>
      <c r="P49" s="258">
        <f t="shared" si="12"/>
        <v>0</v>
      </c>
      <c r="Q49" s="218"/>
      <c r="R49" s="218"/>
      <c r="S49" s="218"/>
      <c r="T49" s="218"/>
      <c r="U49" s="218"/>
      <c r="V49" s="218"/>
      <c r="W49" s="218"/>
      <c r="X49" s="218"/>
      <c r="Y49" s="93"/>
      <c r="Z49" s="93"/>
      <c r="AA49" s="93"/>
      <c r="AB49" s="93"/>
      <c r="AC49" s="279">
        <f>IF(Thresholds!$E$1=Lists!$A$8,Exploration!U74,IF(Thresholds!$E$1=Lists!$A$9,Exploration!V74,IF(Thresholds!$E$1=Lists!$A$10,Exploration!W74,IF(Thresholds!$E$1=Lists!$A$11,Development!AV130,Development!BE130-Development!AV130))))</f>
        <v>0</v>
      </c>
      <c r="AD49" s="279">
        <f t="shared" si="13"/>
        <v>0</v>
      </c>
      <c r="AE49" s="279"/>
      <c r="AF49" s="279"/>
      <c r="AG49" s="275">
        <f t="shared" ca="1" si="25"/>
        <v>0</v>
      </c>
      <c r="AH49" s="275">
        <f t="shared" ca="1" si="25"/>
        <v>0</v>
      </c>
      <c r="AI49" s="275">
        <f t="shared" ca="1" si="25"/>
        <v>0</v>
      </c>
      <c r="AJ49" s="275">
        <f t="shared" ca="1" si="25"/>
        <v>0</v>
      </c>
      <c r="AK49" s="275">
        <f t="shared" ca="1" si="25"/>
        <v>0</v>
      </c>
      <c r="AL49" s="275">
        <f t="shared" ca="1" si="25"/>
        <v>0</v>
      </c>
      <c r="AM49" s="275">
        <f t="shared" ca="1" si="25"/>
        <v>0</v>
      </c>
      <c r="AN49" s="275">
        <f t="shared" ca="1" si="25"/>
        <v>0</v>
      </c>
      <c r="AO49" s="275">
        <f t="shared" ca="1" si="25"/>
        <v>0</v>
      </c>
      <c r="AP49" s="275">
        <f t="shared" ca="1" si="25"/>
        <v>0</v>
      </c>
      <c r="AQ49" s="275">
        <f t="shared" ca="1" si="25"/>
        <v>0</v>
      </c>
      <c r="AR49" s="275">
        <f t="shared" ca="1" si="25"/>
        <v>0</v>
      </c>
      <c r="AS49" s="275">
        <f t="shared" ca="1" si="25"/>
        <v>0</v>
      </c>
      <c r="AT49" s="275">
        <f t="shared" ca="1" si="25"/>
        <v>0</v>
      </c>
      <c r="AU49" s="275">
        <f t="shared" ca="1" si="25"/>
        <v>0</v>
      </c>
      <c r="AV49" s="275">
        <f t="shared" ca="1" si="25"/>
        <v>0</v>
      </c>
      <c r="AW49" s="275">
        <f t="shared" ca="1" si="24"/>
        <v>0</v>
      </c>
      <c r="AX49" s="275">
        <f t="shared" ca="1" si="24"/>
        <v>0</v>
      </c>
      <c r="AY49" s="275">
        <f t="shared" ca="1" si="24"/>
        <v>0</v>
      </c>
      <c r="AZ49" s="275">
        <f t="shared" ca="1" si="24"/>
        <v>0</v>
      </c>
      <c r="BA49" s="275">
        <f t="shared" ca="1" si="24"/>
        <v>0</v>
      </c>
      <c r="BB49" s="275">
        <f t="shared" ca="1" si="24"/>
        <v>0</v>
      </c>
      <c r="BC49" s="275">
        <f t="shared" ca="1" si="24"/>
        <v>0</v>
      </c>
      <c r="BD49" s="275">
        <f t="shared" ca="1" si="24"/>
        <v>0</v>
      </c>
      <c r="BE49" s="275">
        <f t="shared" ca="1" si="24"/>
        <v>0</v>
      </c>
      <c r="BF49" s="275">
        <f t="shared" ca="1" si="24"/>
        <v>0</v>
      </c>
      <c r="BG49" s="275">
        <f t="shared" ca="1" si="24"/>
        <v>0</v>
      </c>
      <c r="BH49" s="275">
        <f t="shared" ca="1" si="24"/>
        <v>0</v>
      </c>
      <c r="BI49" s="275">
        <f t="shared" ca="1" si="24"/>
        <v>0</v>
      </c>
      <c r="BJ49" s="275">
        <f t="shared" ca="1" si="24"/>
        <v>0</v>
      </c>
      <c r="BK49" s="275">
        <f t="shared" ca="1" si="24"/>
        <v>0</v>
      </c>
      <c r="BL49" s="275">
        <f t="shared" ca="1" si="24"/>
        <v>0</v>
      </c>
      <c r="BM49" s="275">
        <f t="shared" ca="1" si="26"/>
        <v>0</v>
      </c>
      <c r="BN49" s="275">
        <f t="shared" ca="1" si="26"/>
        <v>0</v>
      </c>
      <c r="BO49" s="275">
        <f t="shared" ca="1" si="26"/>
        <v>0</v>
      </c>
      <c r="BP49" s="275">
        <f t="shared" ca="1" si="26"/>
        <v>0</v>
      </c>
      <c r="BQ49" s="275">
        <f t="shared" ca="1" si="26"/>
        <v>0</v>
      </c>
      <c r="BR49" s="275">
        <f t="shared" ca="1" si="26"/>
        <v>0</v>
      </c>
      <c r="BS49" s="275">
        <f t="shared" ca="1" si="26"/>
        <v>0</v>
      </c>
      <c r="BT49" s="275">
        <f t="shared" ca="1" si="26"/>
        <v>0</v>
      </c>
      <c r="BU49" s="275">
        <f t="shared" ca="1" si="26"/>
        <v>0</v>
      </c>
      <c r="BV49" s="275">
        <f t="shared" ca="1" si="26"/>
        <v>0</v>
      </c>
      <c r="BW49" s="275">
        <f t="shared" ca="1" si="26"/>
        <v>0</v>
      </c>
      <c r="BX49" s="275">
        <f t="shared" ca="1" si="26"/>
        <v>0</v>
      </c>
      <c r="BY49" s="275">
        <f t="shared" ca="1" si="26"/>
        <v>0</v>
      </c>
      <c r="BZ49" s="275">
        <f t="shared" ca="1" si="26"/>
        <v>0</v>
      </c>
      <c r="CA49" s="275">
        <f t="shared" ca="1" si="26"/>
        <v>0</v>
      </c>
      <c r="CB49" s="275">
        <f t="shared" ca="1" si="26"/>
        <v>0</v>
      </c>
      <c r="CC49" s="275">
        <f t="shared" ca="1" si="27"/>
        <v>0</v>
      </c>
      <c r="CD49" s="275">
        <f t="shared" ca="1" si="27"/>
        <v>0</v>
      </c>
      <c r="CE49" s="275">
        <f t="shared" ca="1" si="27"/>
        <v>0</v>
      </c>
      <c r="CF49" s="275">
        <f t="shared" ca="1" si="27"/>
        <v>0</v>
      </c>
      <c r="CG49" s="94"/>
      <c r="CH49" s="94"/>
    </row>
    <row r="50" spans="1:86" x14ac:dyDescent="0.3">
      <c r="A50" s="162"/>
      <c r="B50" s="162"/>
      <c r="C50" s="162"/>
      <c r="D50" s="260">
        <f>Revenue!U51</f>
        <v>0</v>
      </c>
      <c r="E50" s="162"/>
      <c r="F50" s="162"/>
      <c r="G50" s="162"/>
      <c r="H50" s="162"/>
      <c r="I50" s="273"/>
      <c r="J50" s="162"/>
      <c r="K50" s="162"/>
      <c r="L50" s="162"/>
      <c r="M50" s="273"/>
      <c r="N50" s="273"/>
      <c r="O50" s="162"/>
      <c r="P50" s="162"/>
      <c r="Q50" s="168"/>
      <c r="R50" s="168"/>
      <c r="S50" s="168"/>
      <c r="T50" s="168"/>
      <c r="U50" s="168"/>
      <c r="V50" s="168"/>
      <c r="W50" s="168"/>
      <c r="X50" s="168"/>
      <c r="Y50" s="93"/>
      <c r="Z50" s="93"/>
      <c r="AA50" s="93"/>
      <c r="AB50" s="93"/>
      <c r="AC50" s="279"/>
      <c r="AD50" s="279"/>
      <c r="AE50" s="279"/>
      <c r="AF50" s="279"/>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c r="CA50" s="275"/>
      <c r="CB50" s="275"/>
      <c r="CC50" s="275"/>
      <c r="CD50" s="275"/>
      <c r="CE50" s="275"/>
      <c r="CF50" s="275"/>
      <c r="CG50" s="94"/>
      <c r="CH50" s="94"/>
    </row>
  </sheetData>
  <sheetProtection password="8BC3" sheet="1" objects="1" scenarios="1"/>
  <hyperlinks>
    <hyperlink ref="H4" location="Abandonment!A1" display="Abandon"/>
    <hyperlink ref="N4" location="'Federal Tax'!A1" display="Federal"/>
    <hyperlink ref="M4" location="'Provincial Tax'!A1" display="Provincial"/>
    <hyperlink ref="L4" location="Royalty!A1" display="Royalty"/>
    <hyperlink ref="I4" location="Operations!A1" display="Operating"/>
    <hyperlink ref="G4" location="Development!A1" display="Capital"/>
    <hyperlink ref="F4" location="Exploration!A1" display="Exploration"/>
    <hyperlink ref="G1" location="Guide" display="Guide"/>
    <hyperlink ref="G2" location="Input" display="Input"/>
  </hyperlinks>
  <pageMargins left="0.7" right="0.7" top="0.75" bottom="0.75" header="0.3" footer="0.3"/>
  <pageSetup paperSize="9" scale="66" fitToWidth="0" orientation="landscape" r:id="rId1"/>
  <headerFooter>
    <oddFooter>&amp;LNova Scotia Exploration Economics Model&amp;Rwww.indeva.com</oddFooter>
  </headerFooter>
  <colBreaks count="1" manualBreakCount="1">
    <brk id="1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W44"/>
  <sheetViews>
    <sheetView showGridLines="0" showRowColHeaders="0" zoomScaleNormal="100" workbookViewId="0">
      <pane ySplit="1" topLeftCell="A2" activePane="bottomLeft" state="frozen"/>
      <selection activeCell="D43" sqref="D43"/>
      <selection pane="bottomLeft" activeCell="E38" sqref="E38"/>
    </sheetView>
  </sheetViews>
  <sheetFormatPr defaultRowHeight="14.4" x14ac:dyDescent="0.3"/>
  <cols>
    <col min="1" max="1" width="5.109375" style="4" customWidth="1"/>
    <col min="2" max="2" width="7.109375" customWidth="1"/>
    <col min="3" max="3" width="14" customWidth="1"/>
    <col min="4" max="4" width="113.88671875" customWidth="1"/>
    <col min="5" max="5" width="19.6640625" customWidth="1"/>
  </cols>
  <sheetData>
    <row r="1" spans="1:23" ht="20.25" customHeight="1" x14ac:dyDescent="0.25">
      <c r="A1" s="389"/>
      <c r="B1" s="450" t="s">
        <v>777</v>
      </c>
      <c r="C1" s="450" t="s">
        <v>791</v>
      </c>
      <c r="D1" s="451" t="s">
        <v>778</v>
      </c>
      <c r="E1" s="452" t="s">
        <v>775</v>
      </c>
      <c r="F1" s="389"/>
      <c r="G1" s="389"/>
      <c r="H1" s="389"/>
      <c r="I1" s="389"/>
      <c r="J1" s="389"/>
      <c r="K1" s="389"/>
      <c r="L1" s="389"/>
      <c r="M1" s="389"/>
      <c r="N1" s="389"/>
      <c r="O1" s="389"/>
      <c r="P1" s="389"/>
      <c r="Q1" s="389"/>
      <c r="R1" s="389"/>
      <c r="S1" s="389"/>
      <c r="T1" s="389"/>
      <c r="U1" s="389"/>
      <c r="V1" s="389"/>
      <c r="W1" s="389"/>
    </row>
    <row r="2" spans="1:23" ht="91.5" customHeight="1" x14ac:dyDescent="0.25">
      <c r="A2" s="389"/>
      <c r="B2" s="453">
        <v>1</v>
      </c>
      <c r="C2" s="453" t="s">
        <v>767</v>
      </c>
      <c r="D2" s="454" t="s">
        <v>839</v>
      </c>
      <c r="E2" s="455"/>
      <c r="F2" s="389"/>
      <c r="G2" s="389"/>
      <c r="H2" s="389"/>
      <c r="I2" s="389"/>
      <c r="J2" s="389"/>
      <c r="K2" s="389"/>
      <c r="L2" s="389"/>
      <c r="M2" s="389"/>
      <c r="N2" s="389"/>
      <c r="O2" s="389"/>
      <c r="P2" s="389"/>
      <c r="Q2" s="389"/>
      <c r="R2" s="389"/>
      <c r="S2" s="389"/>
      <c r="T2" s="389"/>
      <c r="U2" s="389"/>
      <c r="V2" s="389"/>
      <c r="W2" s="389"/>
    </row>
    <row r="3" spans="1:23" ht="21.75" customHeight="1" x14ac:dyDescent="0.25">
      <c r="A3" s="389"/>
      <c r="B3" s="505" t="s">
        <v>792</v>
      </c>
      <c r="C3" s="506"/>
      <c r="D3" s="506"/>
      <c r="E3" s="507"/>
      <c r="F3" s="389"/>
      <c r="G3" s="389"/>
      <c r="H3" s="389"/>
      <c r="I3" s="389"/>
      <c r="J3" s="389"/>
      <c r="K3" s="389"/>
      <c r="L3" s="389"/>
      <c r="M3" s="389"/>
      <c r="N3" s="389"/>
      <c r="O3" s="389"/>
      <c r="P3" s="389"/>
      <c r="Q3" s="389"/>
      <c r="R3" s="389"/>
      <c r="S3" s="389"/>
      <c r="T3" s="389"/>
      <c r="U3" s="389"/>
      <c r="V3" s="389"/>
      <c r="W3" s="389"/>
    </row>
    <row r="4" spans="1:23" ht="68.25" customHeight="1" x14ac:dyDescent="0.25">
      <c r="A4" s="389"/>
      <c r="B4" s="453">
        <f>B2+1</f>
        <v>2</v>
      </c>
      <c r="C4" s="456" t="s">
        <v>793</v>
      </c>
      <c r="D4" s="457" t="s">
        <v>908</v>
      </c>
      <c r="E4" s="458" t="s">
        <v>143</v>
      </c>
      <c r="F4" s="389"/>
      <c r="G4" s="389"/>
      <c r="H4" s="389"/>
      <c r="I4" s="389"/>
      <c r="J4" s="389"/>
      <c r="K4" s="389"/>
      <c r="L4" s="389"/>
      <c r="M4" s="389"/>
      <c r="N4" s="389"/>
      <c r="O4" s="389"/>
      <c r="P4" s="389"/>
      <c r="Q4" s="389"/>
      <c r="R4" s="389"/>
      <c r="S4" s="389"/>
      <c r="T4" s="389"/>
      <c r="U4" s="389"/>
      <c r="V4" s="389"/>
      <c r="W4" s="389"/>
    </row>
    <row r="5" spans="1:23" ht="41.25" customHeight="1" x14ac:dyDescent="0.25">
      <c r="A5" s="389"/>
      <c r="B5" s="453">
        <f t="shared" ref="B5:B11" si="0">B4+1</f>
        <v>3</v>
      </c>
      <c r="C5" s="456" t="s">
        <v>891</v>
      </c>
      <c r="D5" s="459" t="s">
        <v>892</v>
      </c>
      <c r="E5" s="458" t="s">
        <v>893</v>
      </c>
      <c r="F5" s="389"/>
      <c r="G5" s="389"/>
      <c r="H5" s="389"/>
      <c r="I5" s="389"/>
      <c r="J5" s="389"/>
      <c r="K5" s="389"/>
      <c r="L5" s="389"/>
      <c r="M5" s="389"/>
      <c r="N5" s="389"/>
      <c r="O5" s="389"/>
      <c r="P5" s="389"/>
      <c r="Q5" s="389"/>
      <c r="R5" s="389"/>
      <c r="S5" s="389"/>
      <c r="T5" s="389"/>
      <c r="U5" s="389"/>
      <c r="V5" s="389"/>
      <c r="W5" s="389"/>
    </row>
    <row r="6" spans="1:23" ht="51.75" customHeight="1" x14ac:dyDescent="0.25">
      <c r="A6" s="389"/>
      <c r="B6" s="453">
        <f t="shared" si="0"/>
        <v>4</v>
      </c>
      <c r="C6" s="456" t="s">
        <v>794</v>
      </c>
      <c r="D6" s="454" t="s">
        <v>904</v>
      </c>
      <c r="E6" s="458" t="s">
        <v>143</v>
      </c>
      <c r="F6" s="389"/>
      <c r="G6" s="389"/>
      <c r="H6" s="389"/>
      <c r="I6" s="389"/>
      <c r="J6" s="389"/>
      <c r="K6" s="389"/>
      <c r="L6" s="389"/>
      <c r="M6" s="389"/>
      <c r="N6" s="389"/>
      <c r="O6" s="389"/>
      <c r="P6" s="389"/>
      <c r="Q6" s="389"/>
      <c r="R6" s="389"/>
      <c r="S6" s="389"/>
      <c r="T6" s="389"/>
      <c r="U6" s="389"/>
      <c r="V6" s="389"/>
      <c r="W6" s="389"/>
    </row>
    <row r="7" spans="1:23" ht="45.75" customHeight="1" x14ac:dyDescent="0.25">
      <c r="A7" s="389"/>
      <c r="B7" s="453">
        <f t="shared" si="0"/>
        <v>5</v>
      </c>
      <c r="C7" s="456" t="s">
        <v>387</v>
      </c>
      <c r="D7" s="457" t="s">
        <v>838</v>
      </c>
      <c r="E7" s="458" t="s">
        <v>812</v>
      </c>
      <c r="F7" s="389"/>
      <c r="G7" s="389"/>
      <c r="H7" s="389"/>
      <c r="I7" s="389"/>
      <c r="J7" s="389"/>
      <c r="K7" s="389"/>
      <c r="L7" s="389"/>
      <c r="M7" s="389"/>
      <c r="N7" s="389"/>
      <c r="O7" s="389"/>
      <c r="P7" s="389"/>
      <c r="Q7" s="389"/>
      <c r="R7" s="389"/>
      <c r="S7" s="389"/>
      <c r="T7" s="389"/>
      <c r="U7" s="389"/>
      <c r="V7" s="389"/>
      <c r="W7" s="389"/>
    </row>
    <row r="8" spans="1:23" ht="41.25" customHeight="1" x14ac:dyDescent="0.25">
      <c r="A8" s="389"/>
      <c r="B8" s="453">
        <f t="shared" si="0"/>
        <v>6</v>
      </c>
      <c r="C8" s="456" t="s">
        <v>795</v>
      </c>
      <c r="D8" s="454" t="s">
        <v>810</v>
      </c>
      <c r="E8" s="458" t="s">
        <v>795</v>
      </c>
      <c r="F8" s="389"/>
      <c r="G8" s="389"/>
      <c r="H8" s="389"/>
      <c r="I8" s="389"/>
      <c r="J8" s="389"/>
      <c r="K8" s="389"/>
      <c r="L8" s="389"/>
      <c r="M8" s="389"/>
      <c r="N8" s="389"/>
      <c r="O8" s="389"/>
      <c r="P8" s="389"/>
      <c r="Q8" s="389"/>
      <c r="R8" s="389"/>
      <c r="S8" s="389"/>
      <c r="T8" s="389"/>
      <c r="U8" s="389"/>
      <c r="V8" s="389"/>
      <c r="W8" s="389"/>
    </row>
    <row r="9" spans="1:23" ht="57.75" customHeight="1" x14ac:dyDescent="0.3">
      <c r="A9" s="389"/>
      <c r="B9" s="453">
        <f t="shared" si="0"/>
        <v>7</v>
      </c>
      <c r="C9" s="456" t="s">
        <v>0</v>
      </c>
      <c r="D9" s="457" t="s">
        <v>813</v>
      </c>
      <c r="E9" s="458" t="s">
        <v>0</v>
      </c>
      <c r="F9" s="389"/>
      <c r="G9" s="389"/>
      <c r="H9" s="389"/>
      <c r="I9" s="389"/>
      <c r="J9" s="389"/>
      <c r="K9" s="389"/>
      <c r="L9" s="389"/>
      <c r="M9" s="389"/>
      <c r="N9" s="389"/>
      <c r="O9" s="389"/>
      <c r="P9" s="389"/>
      <c r="Q9" s="389"/>
      <c r="R9" s="389"/>
      <c r="S9" s="389"/>
      <c r="T9" s="389"/>
      <c r="U9" s="389"/>
      <c r="V9" s="389"/>
      <c r="W9" s="389"/>
    </row>
    <row r="10" spans="1:23" ht="28.5" customHeight="1" x14ac:dyDescent="0.3">
      <c r="A10" s="389"/>
      <c r="B10" s="453">
        <f t="shared" si="0"/>
        <v>8</v>
      </c>
      <c r="C10" s="456" t="s">
        <v>796</v>
      </c>
      <c r="D10" s="454" t="s">
        <v>909</v>
      </c>
      <c r="E10" s="458" t="s">
        <v>811</v>
      </c>
      <c r="F10" s="389"/>
      <c r="G10" s="389"/>
      <c r="H10" s="389"/>
      <c r="I10" s="389"/>
      <c r="J10" s="389"/>
      <c r="K10" s="389"/>
      <c r="L10" s="389"/>
      <c r="M10" s="389"/>
      <c r="N10" s="389"/>
      <c r="O10" s="389"/>
      <c r="P10" s="389"/>
      <c r="Q10" s="389"/>
      <c r="R10" s="389"/>
      <c r="S10" s="389"/>
      <c r="T10" s="389"/>
      <c r="U10" s="389"/>
      <c r="V10" s="389"/>
      <c r="W10" s="389"/>
    </row>
    <row r="11" spans="1:23" ht="17.25" customHeight="1" x14ac:dyDescent="0.3">
      <c r="A11" s="389"/>
      <c r="B11" s="453">
        <f t="shared" si="0"/>
        <v>9</v>
      </c>
      <c r="C11" s="456" t="s">
        <v>836</v>
      </c>
      <c r="D11" s="459" t="s">
        <v>837</v>
      </c>
      <c r="E11" s="458" t="s">
        <v>835</v>
      </c>
      <c r="F11" s="389"/>
      <c r="G11" s="389"/>
      <c r="H11" s="389"/>
      <c r="I11" s="389"/>
      <c r="J11" s="389"/>
      <c r="K11" s="389"/>
      <c r="L11" s="389"/>
      <c r="M11" s="389"/>
      <c r="N11" s="389"/>
      <c r="O11" s="389"/>
      <c r="P11" s="389"/>
      <c r="Q11" s="389"/>
      <c r="R11" s="389"/>
      <c r="S11" s="389"/>
      <c r="T11" s="389"/>
      <c r="U11" s="389"/>
      <c r="V11" s="389"/>
      <c r="W11" s="389"/>
    </row>
    <row r="12" spans="1:23" ht="22.5" customHeight="1" x14ac:dyDescent="0.3">
      <c r="A12" s="389"/>
      <c r="B12" s="508" t="s">
        <v>797</v>
      </c>
      <c r="C12" s="509"/>
      <c r="D12" s="509"/>
      <c r="E12" s="510"/>
      <c r="F12" s="389"/>
      <c r="G12" s="389"/>
      <c r="H12" s="389"/>
      <c r="I12" s="389"/>
      <c r="J12" s="389"/>
      <c r="K12" s="389"/>
      <c r="L12" s="389"/>
      <c r="M12" s="389"/>
      <c r="N12" s="389"/>
      <c r="O12" s="389"/>
      <c r="P12" s="389"/>
      <c r="Q12" s="389"/>
      <c r="R12" s="389"/>
      <c r="S12" s="389"/>
      <c r="T12" s="389"/>
      <c r="U12" s="389"/>
      <c r="V12" s="389"/>
      <c r="W12" s="389"/>
    </row>
    <row r="13" spans="1:23" ht="68.25" customHeight="1" x14ac:dyDescent="0.3">
      <c r="A13" s="389"/>
      <c r="B13" s="453">
        <f>B10+1</f>
        <v>9</v>
      </c>
      <c r="C13" s="456" t="s">
        <v>797</v>
      </c>
      <c r="D13" s="454" t="s">
        <v>808</v>
      </c>
      <c r="E13" s="455"/>
      <c r="F13" s="389"/>
      <c r="G13" s="389"/>
      <c r="H13" s="389"/>
      <c r="I13" s="389"/>
      <c r="J13" s="389"/>
      <c r="K13" s="389"/>
      <c r="L13" s="389"/>
      <c r="M13" s="389"/>
      <c r="N13" s="389"/>
      <c r="O13" s="389"/>
      <c r="P13" s="389"/>
      <c r="Q13" s="389"/>
      <c r="R13" s="389"/>
      <c r="S13" s="389"/>
      <c r="T13" s="389"/>
      <c r="U13" s="389"/>
      <c r="V13" s="389"/>
      <c r="W13" s="389"/>
    </row>
    <row r="14" spans="1:23" ht="55.5" customHeight="1" x14ac:dyDescent="0.3">
      <c r="A14" s="389"/>
      <c r="B14" s="453">
        <f>B13+1</f>
        <v>10</v>
      </c>
      <c r="C14" s="456" t="s">
        <v>771</v>
      </c>
      <c r="D14" s="457" t="s">
        <v>1069</v>
      </c>
      <c r="E14" s="458" t="s">
        <v>772</v>
      </c>
      <c r="F14" s="389"/>
      <c r="G14" s="389"/>
      <c r="H14" s="389"/>
      <c r="I14" s="389"/>
      <c r="J14" s="389"/>
      <c r="K14" s="389"/>
      <c r="L14" s="389"/>
      <c r="M14" s="389"/>
      <c r="N14" s="389"/>
      <c r="O14" s="389"/>
      <c r="P14" s="389"/>
      <c r="Q14" s="389"/>
      <c r="R14" s="389"/>
      <c r="S14" s="389"/>
      <c r="T14" s="389"/>
      <c r="U14" s="389"/>
      <c r="V14" s="389"/>
      <c r="W14" s="389"/>
    </row>
    <row r="15" spans="1:23" ht="109.5" customHeight="1" x14ac:dyDescent="0.3">
      <c r="A15" s="389"/>
      <c r="B15" s="453">
        <f>B14+1</f>
        <v>11</v>
      </c>
      <c r="C15" s="456" t="s">
        <v>770</v>
      </c>
      <c r="D15" s="460" t="s">
        <v>809</v>
      </c>
      <c r="E15" s="458" t="s">
        <v>41</v>
      </c>
      <c r="F15" s="389"/>
      <c r="G15" s="389"/>
      <c r="H15" s="389"/>
      <c r="I15" s="389"/>
      <c r="J15" s="389"/>
      <c r="K15" s="389"/>
      <c r="L15" s="389"/>
      <c r="M15" s="389"/>
      <c r="N15" s="389"/>
      <c r="O15" s="389"/>
      <c r="P15" s="389"/>
      <c r="Q15" s="389"/>
      <c r="R15" s="389"/>
      <c r="S15" s="389"/>
      <c r="T15" s="389"/>
      <c r="U15" s="389"/>
      <c r="V15" s="389"/>
      <c r="W15" s="389"/>
    </row>
    <row r="16" spans="1:23" ht="42" customHeight="1" x14ac:dyDescent="0.3">
      <c r="A16" s="389"/>
      <c r="B16" s="453">
        <f>B15+1</f>
        <v>12</v>
      </c>
      <c r="C16" s="456" t="s">
        <v>779</v>
      </c>
      <c r="D16" s="461" t="s">
        <v>890</v>
      </c>
      <c r="E16" s="458" t="s">
        <v>782</v>
      </c>
      <c r="F16" s="389"/>
      <c r="G16" s="389"/>
      <c r="H16" s="389"/>
      <c r="I16" s="389"/>
      <c r="J16" s="389"/>
      <c r="K16" s="389"/>
      <c r="L16" s="389"/>
      <c r="M16" s="389"/>
      <c r="N16" s="389"/>
      <c r="O16" s="389"/>
      <c r="P16" s="389"/>
      <c r="Q16" s="389"/>
      <c r="R16" s="389"/>
      <c r="S16" s="389"/>
      <c r="T16" s="389"/>
      <c r="U16" s="389"/>
      <c r="V16" s="389"/>
      <c r="W16" s="389"/>
    </row>
    <row r="17" spans="1:23" ht="84" customHeight="1" x14ac:dyDescent="0.3">
      <c r="A17" s="389"/>
      <c r="B17" s="453">
        <f>B16+1</f>
        <v>13</v>
      </c>
      <c r="C17" s="456" t="s">
        <v>776</v>
      </c>
      <c r="D17" s="460" t="s">
        <v>905</v>
      </c>
      <c r="E17" s="458" t="s">
        <v>296</v>
      </c>
      <c r="F17" s="389"/>
      <c r="G17" s="389"/>
      <c r="H17" s="389"/>
      <c r="I17" s="389"/>
      <c r="J17" s="389"/>
      <c r="K17" s="389"/>
      <c r="L17" s="389"/>
      <c r="M17" s="389"/>
      <c r="N17" s="389"/>
      <c r="O17" s="389"/>
      <c r="P17" s="389"/>
      <c r="Q17" s="389"/>
      <c r="R17" s="389"/>
      <c r="S17" s="389"/>
      <c r="T17" s="389"/>
      <c r="U17" s="389"/>
      <c r="V17" s="389"/>
      <c r="W17" s="389"/>
    </row>
    <row r="18" spans="1:23" ht="35.25" customHeight="1" x14ac:dyDescent="0.3">
      <c r="A18" s="389"/>
      <c r="B18" s="511" t="s">
        <v>798</v>
      </c>
      <c r="C18" s="512"/>
      <c r="D18" s="512"/>
      <c r="E18" s="513"/>
      <c r="F18" s="389"/>
      <c r="G18" s="389"/>
      <c r="H18" s="389"/>
      <c r="I18" s="389"/>
      <c r="J18" s="389"/>
      <c r="K18" s="389"/>
      <c r="L18" s="389"/>
      <c r="M18" s="389"/>
      <c r="N18" s="389"/>
      <c r="O18" s="389"/>
      <c r="P18" s="389"/>
      <c r="Q18" s="389"/>
      <c r="R18" s="389"/>
      <c r="S18" s="389"/>
      <c r="T18" s="389"/>
      <c r="U18" s="389"/>
      <c r="V18" s="389"/>
      <c r="W18" s="389"/>
    </row>
    <row r="19" spans="1:23" x14ac:dyDescent="0.3">
      <c r="A19" s="389"/>
      <c r="B19" s="453">
        <f>B17+1</f>
        <v>14</v>
      </c>
      <c r="C19" s="456" t="s">
        <v>226</v>
      </c>
      <c r="D19" s="461" t="s">
        <v>814</v>
      </c>
      <c r="E19" s="458" t="s">
        <v>226</v>
      </c>
      <c r="F19" s="389"/>
      <c r="G19" s="389"/>
      <c r="H19" s="389"/>
      <c r="I19" s="389"/>
      <c r="J19" s="389"/>
      <c r="K19" s="389"/>
      <c r="L19" s="389"/>
      <c r="M19" s="389"/>
      <c r="N19" s="389"/>
      <c r="O19" s="389"/>
      <c r="P19" s="389"/>
      <c r="Q19" s="389"/>
      <c r="R19" s="389"/>
      <c r="S19" s="389"/>
      <c r="T19" s="389"/>
      <c r="U19" s="389"/>
      <c r="V19" s="389"/>
      <c r="W19" s="389"/>
    </row>
    <row r="20" spans="1:23" x14ac:dyDescent="0.3">
      <c r="A20" s="389"/>
      <c r="B20" s="453">
        <f>B19+1</f>
        <v>15</v>
      </c>
      <c r="C20" s="456" t="s">
        <v>799</v>
      </c>
      <c r="D20" s="460" t="s">
        <v>815</v>
      </c>
      <c r="E20" s="458" t="s">
        <v>799</v>
      </c>
      <c r="F20" s="389"/>
      <c r="G20" s="389"/>
      <c r="H20" s="389"/>
      <c r="I20" s="389"/>
      <c r="J20" s="389"/>
      <c r="K20" s="389"/>
      <c r="L20" s="389"/>
      <c r="M20" s="389"/>
      <c r="N20" s="389"/>
      <c r="O20" s="389"/>
      <c r="P20" s="389"/>
      <c r="Q20" s="389"/>
      <c r="R20" s="389"/>
      <c r="S20" s="389"/>
      <c r="T20" s="389"/>
      <c r="U20" s="389"/>
      <c r="V20" s="389"/>
      <c r="W20" s="389"/>
    </row>
    <row r="21" spans="1:23" x14ac:dyDescent="0.3">
      <c r="A21" s="389"/>
      <c r="B21" s="453">
        <f t="shared" ref="B21:B30" si="1">B20+1</f>
        <v>16</v>
      </c>
      <c r="C21" s="456" t="s">
        <v>800</v>
      </c>
      <c r="D21" s="461" t="s">
        <v>816</v>
      </c>
      <c r="E21" s="458" t="s">
        <v>800</v>
      </c>
      <c r="F21" s="389"/>
      <c r="G21" s="389"/>
      <c r="H21" s="389"/>
      <c r="I21" s="389"/>
      <c r="J21" s="389"/>
      <c r="K21" s="389"/>
      <c r="L21" s="389"/>
      <c r="M21" s="389"/>
      <c r="N21" s="389"/>
      <c r="O21" s="389"/>
      <c r="P21" s="389"/>
      <c r="Q21" s="389"/>
      <c r="R21" s="389"/>
      <c r="S21" s="389"/>
      <c r="T21" s="389"/>
      <c r="U21" s="389"/>
      <c r="V21" s="389"/>
      <c r="W21" s="389"/>
    </row>
    <row r="22" spans="1:23" x14ac:dyDescent="0.3">
      <c r="A22" s="389"/>
      <c r="B22" s="453">
        <f t="shared" si="1"/>
        <v>17</v>
      </c>
      <c r="C22" s="456" t="s">
        <v>15</v>
      </c>
      <c r="D22" s="460" t="s">
        <v>817</v>
      </c>
      <c r="E22" s="458" t="s">
        <v>15</v>
      </c>
      <c r="F22" s="389"/>
      <c r="G22" s="389"/>
      <c r="H22" s="389"/>
      <c r="I22" s="389"/>
      <c r="J22" s="389"/>
      <c r="K22" s="389"/>
      <c r="L22" s="389"/>
      <c r="M22" s="389"/>
      <c r="N22" s="389"/>
      <c r="O22" s="389"/>
      <c r="P22" s="389"/>
      <c r="Q22" s="389"/>
      <c r="R22" s="389"/>
      <c r="S22" s="389"/>
      <c r="T22" s="389"/>
      <c r="U22" s="389"/>
      <c r="V22" s="389"/>
      <c r="W22" s="389"/>
    </row>
    <row r="23" spans="1:23" x14ac:dyDescent="0.3">
      <c r="A23" s="389"/>
      <c r="B23" s="453">
        <f t="shared" si="1"/>
        <v>18</v>
      </c>
      <c r="C23" s="456" t="s">
        <v>134</v>
      </c>
      <c r="D23" s="461" t="s">
        <v>818</v>
      </c>
      <c r="E23" s="458" t="s">
        <v>134</v>
      </c>
      <c r="F23" s="389"/>
      <c r="G23" s="389"/>
      <c r="H23" s="389"/>
      <c r="I23" s="389"/>
      <c r="J23" s="389"/>
      <c r="K23" s="389"/>
      <c r="L23" s="389"/>
      <c r="M23" s="389"/>
      <c r="N23" s="389"/>
      <c r="O23" s="389"/>
      <c r="P23" s="389"/>
      <c r="Q23" s="389"/>
      <c r="R23" s="389"/>
      <c r="S23" s="389"/>
      <c r="T23" s="389"/>
      <c r="U23" s="389"/>
      <c r="V23" s="389"/>
      <c r="W23" s="389"/>
    </row>
    <row r="24" spans="1:23" x14ac:dyDescent="0.3">
      <c r="A24" s="389"/>
      <c r="B24" s="453">
        <f t="shared" si="1"/>
        <v>19</v>
      </c>
      <c r="C24" s="456" t="s">
        <v>19</v>
      </c>
      <c r="D24" s="460" t="s">
        <v>906</v>
      </c>
      <c r="E24" s="458" t="s">
        <v>19</v>
      </c>
      <c r="F24" s="389"/>
      <c r="G24" s="389"/>
      <c r="H24" s="389"/>
      <c r="I24" s="389"/>
      <c r="J24" s="389"/>
      <c r="K24" s="389"/>
      <c r="L24" s="389"/>
      <c r="M24" s="389"/>
      <c r="N24" s="389"/>
      <c r="O24" s="389"/>
      <c r="P24" s="389"/>
      <c r="Q24" s="389"/>
      <c r="R24" s="389"/>
      <c r="S24" s="389"/>
      <c r="T24" s="389"/>
      <c r="U24" s="389"/>
      <c r="V24" s="389"/>
      <c r="W24" s="389"/>
    </row>
    <row r="25" spans="1:23" x14ac:dyDescent="0.3">
      <c r="A25" s="389"/>
      <c r="B25" s="453">
        <f t="shared" si="1"/>
        <v>20</v>
      </c>
      <c r="C25" s="456" t="s">
        <v>38</v>
      </c>
      <c r="D25" s="461" t="s">
        <v>907</v>
      </c>
      <c r="E25" s="458" t="s">
        <v>38</v>
      </c>
      <c r="F25" s="389"/>
      <c r="G25" s="389"/>
      <c r="H25" s="389"/>
      <c r="I25" s="389"/>
      <c r="J25" s="389"/>
      <c r="K25" s="389"/>
      <c r="L25" s="389"/>
      <c r="M25" s="389"/>
      <c r="N25" s="389"/>
      <c r="O25" s="389"/>
      <c r="P25" s="389"/>
      <c r="Q25" s="389"/>
      <c r="R25" s="389"/>
      <c r="S25" s="389"/>
      <c r="T25" s="389"/>
      <c r="U25" s="389"/>
      <c r="V25" s="389"/>
      <c r="W25" s="389"/>
    </row>
    <row r="26" spans="1:23" x14ac:dyDescent="0.3">
      <c r="A26" s="389"/>
      <c r="B26" s="453">
        <f t="shared" si="1"/>
        <v>21</v>
      </c>
      <c r="C26" s="456" t="s">
        <v>801</v>
      </c>
      <c r="D26" s="460" t="s">
        <v>819</v>
      </c>
      <c r="E26" s="458" t="s">
        <v>824</v>
      </c>
      <c r="F26" s="389"/>
      <c r="G26" s="389"/>
      <c r="H26" s="389"/>
      <c r="I26" s="389"/>
      <c r="J26" s="389"/>
      <c r="K26" s="389"/>
      <c r="L26" s="389"/>
      <c r="M26" s="389"/>
      <c r="N26" s="389"/>
      <c r="O26" s="389"/>
      <c r="P26" s="389"/>
      <c r="Q26" s="389"/>
      <c r="R26" s="389"/>
      <c r="S26" s="389"/>
      <c r="T26" s="389"/>
      <c r="U26" s="389"/>
      <c r="V26" s="389"/>
      <c r="W26" s="389"/>
    </row>
    <row r="27" spans="1:23" x14ac:dyDescent="0.3">
      <c r="A27" s="389"/>
      <c r="B27" s="453">
        <f t="shared" si="1"/>
        <v>22</v>
      </c>
      <c r="C27" s="456" t="s">
        <v>802</v>
      </c>
      <c r="D27" s="461" t="s">
        <v>820</v>
      </c>
      <c r="E27" s="458" t="s">
        <v>825</v>
      </c>
      <c r="F27" s="389"/>
      <c r="G27" s="389"/>
      <c r="H27" s="389"/>
      <c r="I27" s="389"/>
      <c r="J27" s="389"/>
      <c r="K27" s="389"/>
      <c r="L27" s="389"/>
      <c r="M27" s="389"/>
      <c r="N27" s="389"/>
      <c r="O27" s="389"/>
      <c r="P27" s="389"/>
      <c r="Q27" s="389"/>
      <c r="R27" s="389"/>
      <c r="S27" s="389"/>
      <c r="T27" s="389"/>
      <c r="U27" s="389"/>
      <c r="V27" s="389"/>
      <c r="W27" s="389"/>
    </row>
    <row r="28" spans="1:23" ht="28.8" x14ac:dyDescent="0.3">
      <c r="A28" s="389"/>
      <c r="B28" s="453">
        <f t="shared" si="1"/>
        <v>23</v>
      </c>
      <c r="C28" s="456" t="s">
        <v>803</v>
      </c>
      <c r="D28" s="460" t="s">
        <v>821</v>
      </c>
      <c r="E28" s="458" t="s">
        <v>826</v>
      </c>
      <c r="F28" s="389"/>
      <c r="G28" s="389"/>
      <c r="H28" s="389"/>
      <c r="I28" s="389"/>
      <c r="J28" s="389"/>
      <c r="K28" s="389"/>
      <c r="L28" s="389"/>
      <c r="M28" s="389"/>
      <c r="N28" s="389"/>
      <c r="O28" s="389"/>
      <c r="P28" s="389"/>
      <c r="Q28" s="389"/>
      <c r="R28" s="389"/>
      <c r="S28" s="389"/>
      <c r="T28" s="389"/>
      <c r="U28" s="389"/>
      <c r="V28" s="389"/>
      <c r="W28" s="389"/>
    </row>
    <row r="29" spans="1:23" ht="28.8" x14ac:dyDescent="0.3">
      <c r="A29" s="389"/>
      <c r="B29" s="453">
        <f t="shared" si="1"/>
        <v>24</v>
      </c>
      <c r="C29" s="456" t="s">
        <v>804</v>
      </c>
      <c r="D29" s="461" t="s">
        <v>822</v>
      </c>
      <c r="E29" s="458" t="s">
        <v>827</v>
      </c>
      <c r="F29" s="389"/>
      <c r="G29" s="389"/>
      <c r="H29" s="389"/>
      <c r="I29" s="389"/>
      <c r="J29" s="389"/>
      <c r="K29" s="389"/>
      <c r="L29" s="389"/>
      <c r="M29" s="389"/>
      <c r="N29" s="389"/>
      <c r="O29" s="389"/>
      <c r="P29" s="389"/>
      <c r="Q29" s="389"/>
      <c r="R29" s="389"/>
      <c r="S29" s="389"/>
      <c r="T29" s="389"/>
      <c r="U29" s="389"/>
      <c r="V29" s="389"/>
      <c r="W29" s="389"/>
    </row>
    <row r="30" spans="1:23" ht="28.8" x14ac:dyDescent="0.3">
      <c r="A30" s="389"/>
      <c r="B30" s="453">
        <f t="shared" si="1"/>
        <v>25</v>
      </c>
      <c r="C30" s="456" t="s">
        <v>805</v>
      </c>
      <c r="D30" s="460" t="s">
        <v>823</v>
      </c>
      <c r="E30" s="458" t="s">
        <v>828</v>
      </c>
      <c r="F30" s="389"/>
      <c r="G30" s="389"/>
      <c r="H30" s="389"/>
      <c r="I30" s="389"/>
      <c r="J30" s="389"/>
      <c r="K30" s="389"/>
      <c r="L30" s="389"/>
      <c r="M30" s="389"/>
      <c r="N30" s="389"/>
      <c r="O30" s="389"/>
      <c r="P30" s="389"/>
      <c r="Q30" s="389"/>
      <c r="R30" s="389"/>
      <c r="S30" s="389"/>
      <c r="T30" s="389"/>
      <c r="U30" s="389"/>
      <c r="V30" s="389"/>
      <c r="W30" s="389"/>
    </row>
    <row r="31" spans="1:23" ht="21" x14ac:dyDescent="0.4">
      <c r="A31" s="389"/>
      <c r="B31" s="514" t="s">
        <v>806</v>
      </c>
      <c r="C31" s="515"/>
      <c r="D31" s="515"/>
      <c r="E31" s="516"/>
      <c r="F31" s="389"/>
      <c r="G31" s="389"/>
      <c r="H31" s="389"/>
      <c r="I31" s="389"/>
      <c r="J31" s="389"/>
      <c r="K31" s="389"/>
      <c r="L31" s="389"/>
      <c r="M31" s="389"/>
      <c r="N31" s="389"/>
      <c r="O31" s="389"/>
      <c r="P31" s="389"/>
      <c r="Q31" s="389"/>
      <c r="R31" s="389"/>
      <c r="S31" s="389"/>
      <c r="T31" s="389"/>
      <c r="U31" s="389"/>
      <c r="V31" s="389"/>
      <c r="W31" s="389"/>
    </row>
    <row r="32" spans="1:23" x14ac:dyDescent="0.3">
      <c r="A32" s="389"/>
      <c r="B32" s="453">
        <f>B30+1</f>
        <v>26</v>
      </c>
      <c r="C32" s="456" t="s">
        <v>807</v>
      </c>
      <c r="D32" s="461" t="s">
        <v>830</v>
      </c>
      <c r="E32" s="458" t="s">
        <v>829</v>
      </c>
      <c r="F32" s="389"/>
      <c r="G32" s="389"/>
      <c r="H32" s="389"/>
      <c r="I32" s="389"/>
      <c r="J32" s="389"/>
      <c r="K32" s="389"/>
      <c r="L32" s="389"/>
      <c r="M32" s="389"/>
      <c r="N32" s="389"/>
      <c r="O32" s="389"/>
      <c r="P32" s="389"/>
      <c r="Q32" s="389"/>
      <c r="R32" s="389"/>
      <c r="S32" s="389"/>
      <c r="T32" s="389"/>
      <c r="U32" s="389"/>
      <c r="V32" s="389"/>
      <c r="W32" s="389"/>
    </row>
    <row r="33" spans="1:23" x14ac:dyDescent="0.3">
      <c r="A33" s="389"/>
      <c r="B33" s="389"/>
      <c r="C33" s="389"/>
      <c r="D33" s="389"/>
      <c r="E33" s="389"/>
      <c r="F33" s="389"/>
      <c r="G33" s="389"/>
      <c r="H33" s="389"/>
      <c r="I33" s="389"/>
      <c r="J33" s="389"/>
      <c r="K33" s="389"/>
      <c r="L33" s="389"/>
      <c r="M33" s="389"/>
      <c r="N33" s="389"/>
      <c r="O33" s="389"/>
      <c r="P33" s="389"/>
      <c r="Q33" s="389"/>
      <c r="R33" s="389"/>
      <c r="S33" s="389"/>
      <c r="T33" s="389"/>
      <c r="U33" s="389"/>
      <c r="V33" s="389"/>
      <c r="W33" s="389"/>
    </row>
    <row r="34" spans="1:23" x14ac:dyDescent="0.3">
      <c r="A34" s="389"/>
      <c r="B34" s="389"/>
      <c r="C34" s="389"/>
      <c r="D34" s="389"/>
      <c r="E34" s="389"/>
      <c r="F34" s="389"/>
      <c r="G34" s="389"/>
      <c r="H34" s="389"/>
      <c r="I34" s="389"/>
      <c r="J34" s="389"/>
      <c r="K34" s="389"/>
      <c r="L34" s="389"/>
      <c r="M34" s="389"/>
      <c r="N34" s="389"/>
      <c r="O34" s="389"/>
      <c r="P34" s="389"/>
      <c r="Q34" s="389"/>
      <c r="R34" s="389"/>
      <c r="S34" s="389"/>
      <c r="T34" s="389"/>
      <c r="U34" s="389"/>
      <c r="V34" s="389"/>
      <c r="W34" s="389"/>
    </row>
    <row r="35" spans="1:23" x14ac:dyDescent="0.3">
      <c r="A35" s="389"/>
      <c r="B35" s="389"/>
      <c r="C35" s="389"/>
      <c r="D35" s="389"/>
      <c r="E35" s="389"/>
      <c r="F35" s="389"/>
      <c r="G35" s="389"/>
      <c r="H35" s="389"/>
      <c r="I35" s="389"/>
      <c r="J35" s="389"/>
      <c r="K35" s="389"/>
      <c r="L35" s="389"/>
      <c r="M35" s="389"/>
      <c r="N35" s="389"/>
      <c r="O35" s="389"/>
      <c r="P35" s="389"/>
      <c r="Q35" s="389"/>
      <c r="R35" s="389"/>
      <c r="S35" s="389"/>
      <c r="T35" s="389"/>
      <c r="U35" s="389"/>
      <c r="V35" s="389"/>
      <c r="W35" s="389"/>
    </row>
    <row r="36" spans="1:23" x14ac:dyDescent="0.3">
      <c r="A36" s="389"/>
      <c r="B36" s="389"/>
      <c r="C36" s="389"/>
      <c r="D36" s="389"/>
      <c r="E36" s="389"/>
      <c r="F36" s="389"/>
      <c r="G36" s="389"/>
      <c r="H36" s="389"/>
      <c r="I36" s="389"/>
      <c r="J36" s="389"/>
      <c r="K36" s="389"/>
      <c r="L36" s="389"/>
      <c r="M36" s="389"/>
      <c r="N36" s="389"/>
      <c r="O36" s="389"/>
      <c r="P36" s="389"/>
      <c r="Q36" s="389"/>
      <c r="R36" s="389"/>
      <c r="S36" s="389"/>
      <c r="T36" s="389"/>
      <c r="U36" s="389"/>
      <c r="V36" s="389"/>
      <c r="W36" s="389"/>
    </row>
    <row r="37" spans="1:23" x14ac:dyDescent="0.3">
      <c r="A37" s="389"/>
      <c r="B37" s="389"/>
      <c r="C37" s="389"/>
      <c r="D37" s="389"/>
      <c r="E37" s="389"/>
      <c r="F37" s="389"/>
      <c r="G37" s="389"/>
      <c r="H37" s="389"/>
      <c r="I37" s="389"/>
      <c r="J37" s="389"/>
      <c r="K37" s="389"/>
      <c r="L37" s="389"/>
      <c r="M37" s="389"/>
      <c r="N37" s="389"/>
      <c r="O37" s="389"/>
      <c r="P37" s="389"/>
      <c r="Q37" s="389"/>
      <c r="R37" s="389"/>
      <c r="S37" s="389"/>
      <c r="T37" s="389"/>
      <c r="U37" s="389"/>
      <c r="V37" s="389"/>
      <c r="W37" s="389"/>
    </row>
    <row r="38" spans="1:23" ht="46.5" customHeight="1" x14ac:dyDescent="0.85">
      <c r="A38" s="389"/>
      <c r="B38" s="389"/>
      <c r="C38" s="462" t="s">
        <v>871</v>
      </c>
      <c r="D38" s="389"/>
      <c r="E38" s="463" t="s">
        <v>872</v>
      </c>
      <c r="F38" s="389"/>
      <c r="G38" s="389"/>
      <c r="H38" s="389"/>
      <c r="I38" s="389"/>
      <c r="J38" s="389"/>
      <c r="K38" s="389"/>
      <c r="L38" s="389"/>
      <c r="M38" s="389"/>
      <c r="N38" s="389"/>
      <c r="O38" s="389"/>
      <c r="P38" s="389"/>
      <c r="Q38" s="389"/>
      <c r="R38" s="389"/>
      <c r="S38" s="389"/>
      <c r="T38" s="389"/>
      <c r="U38" s="389"/>
      <c r="V38" s="389"/>
      <c r="W38" s="389"/>
    </row>
    <row r="39" spans="1:23" x14ac:dyDescent="0.3">
      <c r="A39" s="389"/>
      <c r="B39" s="389"/>
      <c r="C39" s="389"/>
      <c r="D39" s="389"/>
      <c r="E39" s="389"/>
      <c r="F39" s="389"/>
      <c r="G39" s="389"/>
      <c r="H39" s="389"/>
      <c r="I39" s="389"/>
      <c r="J39" s="389"/>
      <c r="K39" s="389"/>
      <c r="L39" s="389"/>
      <c r="M39" s="389"/>
      <c r="N39" s="389"/>
      <c r="O39" s="389"/>
      <c r="P39" s="389"/>
      <c r="Q39" s="389"/>
      <c r="R39" s="389"/>
      <c r="S39" s="389"/>
      <c r="T39" s="389"/>
      <c r="U39" s="389"/>
      <c r="V39" s="389"/>
      <c r="W39" s="389"/>
    </row>
    <row r="40" spans="1:23" x14ac:dyDescent="0.3">
      <c r="A40" s="389"/>
      <c r="B40" s="389"/>
      <c r="C40" s="389"/>
      <c r="D40" s="389"/>
      <c r="E40" s="389"/>
      <c r="F40" s="389"/>
      <c r="G40" s="389"/>
      <c r="H40" s="389"/>
      <c r="I40" s="389"/>
      <c r="J40" s="389"/>
      <c r="K40" s="389"/>
      <c r="L40" s="389"/>
      <c r="M40" s="389"/>
      <c r="N40" s="389"/>
      <c r="O40" s="389"/>
      <c r="P40" s="389"/>
      <c r="Q40" s="389"/>
      <c r="R40" s="389"/>
      <c r="S40" s="389"/>
      <c r="T40" s="389"/>
      <c r="U40" s="389"/>
      <c r="V40" s="389"/>
      <c r="W40" s="389"/>
    </row>
    <row r="41" spans="1:23" x14ac:dyDescent="0.3">
      <c r="A41" s="389"/>
      <c r="B41" s="389"/>
      <c r="C41" s="389"/>
      <c r="D41" s="389"/>
      <c r="E41" s="389"/>
      <c r="F41" s="389"/>
      <c r="G41" s="389"/>
      <c r="H41" s="389"/>
      <c r="I41" s="389"/>
      <c r="J41" s="389"/>
      <c r="K41" s="389"/>
      <c r="L41" s="389"/>
      <c r="M41" s="389"/>
      <c r="N41" s="389"/>
      <c r="O41" s="389"/>
      <c r="P41" s="389"/>
      <c r="Q41" s="389"/>
      <c r="R41" s="389"/>
      <c r="S41" s="389"/>
      <c r="T41" s="389"/>
      <c r="U41" s="389"/>
      <c r="V41" s="389"/>
      <c r="W41" s="389"/>
    </row>
    <row r="42" spans="1:23" x14ac:dyDescent="0.3">
      <c r="A42" s="389"/>
      <c r="B42" s="389"/>
      <c r="C42" s="389"/>
      <c r="D42" s="389"/>
      <c r="E42" s="389"/>
      <c r="F42" s="389"/>
      <c r="G42" s="389"/>
      <c r="H42" s="389"/>
      <c r="I42" s="389"/>
      <c r="J42" s="389"/>
      <c r="K42" s="389"/>
      <c r="L42" s="389"/>
      <c r="M42" s="389"/>
      <c r="N42" s="389"/>
      <c r="O42" s="389"/>
      <c r="P42" s="389"/>
      <c r="Q42" s="389"/>
      <c r="R42" s="389"/>
      <c r="S42" s="389"/>
      <c r="T42" s="389"/>
      <c r="U42" s="389"/>
      <c r="V42" s="389"/>
      <c r="W42" s="389"/>
    </row>
    <row r="43" spans="1:23" x14ac:dyDescent="0.3">
      <c r="A43" s="389"/>
      <c r="B43" s="389"/>
      <c r="C43" s="389"/>
      <c r="D43" s="389"/>
      <c r="E43" s="389"/>
      <c r="F43" s="389"/>
      <c r="G43" s="389"/>
      <c r="H43" s="389"/>
      <c r="I43" s="389"/>
      <c r="J43" s="389"/>
      <c r="K43" s="389"/>
      <c r="L43" s="389"/>
      <c r="M43" s="389"/>
      <c r="N43" s="389"/>
      <c r="O43" s="389"/>
      <c r="P43" s="389"/>
      <c r="Q43" s="389"/>
      <c r="R43" s="389"/>
      <c r="S43" s="389"/>
      <c r="T43" s="389"/>
      <c r="U43" s="389"/>
      <c r="V43" s="389"/>
      <c r="W43" s="389"/>
    </row>
    <row r="44" spans="1:23" x14ac:dyDescent="0.3">
      <c r="A44" s="389"/>
      <c r="B44" s="389"/>
      <c r="C44" s="389"/>
      <c r="D44" s="389"/>
      <c r="E44" s="389"/>
      <c r="F44" s="389"/>
      <c r="G44" s="389"/>
      <c r="H44" s="389"/>
      <c r="I44" s="389"/>
      <c r="J44" s="389"/>
      <c r="K44" s="389"/>
      <c r="L44" s="389"/>
      <c r="M44" s="389"/>
      <c r="N44" s="389"/>
      <c r="O44" s="389"/>
      <c r="P44" s="389"/>
      <c r="Q44" s="389"/>
      <c r="R44" s="389"/>
      <c r="S44" s="389"/>
      <c r="T44" s="389"/>
      <c r="U44" s="389"/>
      <c r="V44" s="389"/>
      <c r="W44" s="389"/>
    </row>
  </sheetData>
  <sheetProtection password="8BC3" sheet="1" objects="1" scenarios="1"/>
  <mergeCells count="4">
    <mergeCell ref="B3:E3"/>
    <mergeCell ref="B12:E12"/>
    <mergeCell ref="B18:E18"/>
    <mergeCell ref="B31:E31"/>
  </mergeCells>
  <hyperlinks>
    <hyperlink ref="E4" location="Input" display="Input"/>
    <hyperlink ref="E15" location="Costs" display="Costs"/>
    <hyperlink ref="E14" location="Economics" display="Economics"/>
    <hyperlink ref="E16" location="Schedule" display="Schedule"/>
    <hyperlink ref="E17" location="Override" display="Override"/>
    <hyperlink ref="E6" location="Input" display="Input"/>
    <hyperlink ref="E7" location="cashflow" display="cashflow"/>
    <hyperlink ref="E8" location="thresholds" display="thresholds"/>
    <hyperlink ref="E9" location="Sensitivities" display="Sensitivities"/>
    <hyperlink ref="E10" location="Government_Take" display="Government_Take"/>
    <hyperlink ref="E19" location="Exploration" display="Exploration"/>
    <hyperlink ref="E20" location="Development" display="Development"/>
    <hyperlink ref="E21" location="Production" display="Production"/>
    <hyperlink ref="E22" location="Revenue" display="Revenue"/>
    <hyperlink ref="E23" location="Operations" display="Operations"/>
    <hyperlink ref="E24" location="Abandonment" display="Abandonment"/>
    <hyperlink ref="E25" location="Royalty" display="Royalty"/>
    <hyperlink ref="E26" location="Federal_Tax" display="Federal_Tax"/>
    <hyperlink ref="E27" location="Provincial_Tax" display="Provincial_Tax"/>
    <hyperlink ref="E28" location="Success_Cash" display="Success_Cash"/>
    <hyperlink ref="E29" location="Risked_Cash" display="Risked_Cash"/>
    <hyperlink ref="E30" location="Selected_Economics" display="Selected_Economics"/>
    <hyperlink ref="E32" location="User_Area" display="User_Area"/>
    <hyperlink ref="E11" location="Price_Charts" display="Price_Charts"/>
    <hyperlink ref="E38" r:id="rId1"/>
    <hyperlink ref="E5" location="Developments" display="Developments"/>
  </hyperlinks>
  <pageMargins left="0.70866141732283505" right="0.70866141732283505" top="0.74803149606299202" bottom="0.74803149606299202" header="0.31496062992126" footer="0.31496062992126"/>
  <pageSetup paperSize="9" scale="57" orientation="portrait" r:id="rId2"/>
  <headerFooter>
    <oddHeader>&amp;LNova Scotia Department of Energy&amp;CExploration Economics Model&amp;R&amp;D</oddHeader>
    <oddFooter>&amp;LNova Scotia Exploration Economics Model&amp;Rwww.indeva.com</oddFooter>
  </headerFooter>
  <rowBreaks count="1" manualBreakCount="1">
    <brk id="41" max="16383" man="1"/>
  </rowBreaks>
  <colBreaks count="1" manualBreakCount="1">
    <brk id="6"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79998168889431442"/>
    <pageSetUpPr fitToPage="1"/>
  </sheetPr>
  <dimension ref="A1:AI132"/>
  <sheetViews>
    <sheetView showGridLines="0" zoomScale="75" zoomScaleNormal="75" workbookViewId="0">
      <pane xSplit="1" ySplit="10" topLeftCell="B11" activePane="bottomRight" state="frozen"/>
      <selection activeCell="D43" sqref="D43"/>
      <selection pane="topRight" activeCell="D43" sqref="D43"/>
      <selection pane="bottomLeft" activeCell="D43" sqref="D43"/>
      <selection pane="bottomRight" activeCell="B11" sqref="B11"/>
    </sheetView>
  </sheetViews>
  <sheetFormatPr defaultRowHeight="14.4" x14ac:dyDescent="0.3"/>
  <cols>
    <col min="1" max="1" width="22.44140625" customWidth="1"/>
    <col min="2" max="3" width="12.109375" customWidth="1"/>
    <col min="4" max="4" width="15.88671875" customWidth="1"/>
    <col min="5" max="5" width="12.6640625" customWidth="1"/>
    <col min="6" max="6" width="10.88671875" customWidth="1"/>
    <col min="7" max="7" width="10.5546875" customWidth="1"/>
    <col min="9" max="9" width="14.33203125" customWidth="1"/>
    <col min="14" max="14" width="10.33203125" bestFit="1" customWidth="1"/>
  </cols>
  <sheetData>
    <row r="1" spans="1:35" ht="18.75" x14ac:dyDescent="0.3">
      <c r="A1" s="143" t="str">
        <f>Input!B8</f>
        <v>Prospect X</v>
      </c>
      <c r="B1" s="143" t="s">
        <v>429</v>
      </c>
      <c r="C1" s="143"/>
      <c r="D1" s="93"/>
      <c r="E1" s="93"/>
      <c r="F1" s="144" t="s">
        <v>769</v>
      </c>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row>
    <row r="2" spans="1:35" ht="18.75" x14ac:dyDescent="0.25">
      <c r="A2" s="93"/>
      <c r="B2" s="93"/>
      <c r="C2" s="93"/>
      <c r="D2" s="93"/>
      <c r="E2" s="93"/>
      <c r="F2" s="144" t="s">
        <v>143</v>
      </c>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row>
    <row r="3" spans="1:35" ht="15" x14ac:dyDescent="0.25">
      <c r="A3" s="135" t="s">
        <v>430</v>
      </c>
      <c r="B3" s="282" t="str">
        <f>FIXED(RIGHT(LEFT(Thresholds!E4,10),1),0)</f>
        <v>5</v>
      </c>
      <c r="C3" s="282"/>
      <c r="D3" s="135" t="str">
        <f>RIGHT(Thresholds!E4,LEN(Thresholds!E4)-13)</f>
        <v>Flat Real</v>
      </c>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row>
    <row r="4" spans="1:35" ht="15" x14ac:dyDescent="0.25">
      <c r="A4" s="135" t="s">
        <v>431</v>
      </c>
      <c r="B4" s="135">
        <f>(B3-1)*10</f>
        <v>40</v>
      </c>
      <c r="C4" s="168"/>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row>
    <row r="5" spans="1:35" ht="15" x14ac:dyDescent="0.25">
      <c r="A5" s="145" t="s">
        <v>432</v>
      </c>
      <c r="B5" s="135">
        <f>YEAR('Cost Assumptions'!O5)</f>
        <v>2012</v>
      </c>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row>
    <row r="6" spans="1:35" ht="15" x14ac:dyDescent="0.25">
      <c r="A6" s="135"/>
      <c r="B6" s="135">
        <f t="shared" ref="B6:G6" si="0">A6+1</f>
        <v>1</v>
      </c>
      <c r="C6" s="135">
        <f t="shared" si="0"/>
        <v>2</v>
      </c>
      <c r="D6" s="135">
        <f t="shared" si="0"/>
        <v>3</v>
      </c>
      <c r="E6" s="135">
        <f t="shared" si="0"/>
        <v>4</v>
      </c>
      <c r="F6" s="135">
        <f t="shared" si="0"/>
        <v>5</v>
      </c>
      <c r="G6" s="135">
        <f t="shared" si="0"/>
        <v>6</v>
      </c>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row>
    <row r="7" spans="1:35" ht="15" x14ac:dyDescent="0.25">
      <c r="A7" s="158"/>
      <c r="B7" s="140" t="s">
        <v>433</v>
      </c>
      <c r="C7" s="140" t="s">
        <v>433</v>
      </c>
      <c r="D7" s="140" t="s">
        <v>434</v>
      </c>
      <c r="E7" s="140" t="s">
        <v>435</v>
      </c>
      <c r="F7" s="140" t="s">
        <v>436</v>
      </c>
      <c r="G7" s="140" t="s">
        <v>437</v>
      </c>
      <c r="H7" s="93"/>
      <c r="I7" s="140" t="s">
        <v>438</v>
      </c>
      <c r="J7" s="93"/>
      <c r="K7" s="140" t="s">
        <v>57</v>
      </c>
      <c r="L7" s="93"/>
      <c r="M7" s="93"/>
      <c r="N7" s="93"/>
      <c r="O7" s="93"/>
      <c r="P7" s="93"/>
      <c r="Q7" s="93"/>
      <c r="R7" s="93"/>
      <c r="S7" s="93"/>
      <c r="T7" s="93"/>
      <c r="U7" s="93"/>
      <c r="V7" s="93"/>
      <c r="W7" s="93"/>
      <c r="X7" s="93"/>
      <c r="Y7" s="93"/>
      <c r="Z7" s="93"/>
      <c r="AA7" s="93"/>
      <c r="AB7" s="93"/>
      <c r="AC7" s="93"/>
      <c r="AD7" s="93"/>
      <c r="AE7" s="93"/>
      <c r="AF7" s="93"/>
      <c r="AG7" s="93"/>
      <c r="AH7" s="93"/>
      <c r="AI7" s="93"/>
    </row>
    <row r="8" spans="1:35" ht="15" x14ac:dyDescent="0.25">
      <c r="A8" s="160" t="s">
        <v>14</v>
      </c>
      <c r="B8" s="141" t="s">
        <v>1058</v>
      </c>
      <c r="C8" s="141" t="s">
        <v>647</v>
      </c>
      <c r="D8" s="141" t="s">
        <v>439</v>
      </c>
      <c r="E8" s="141"/>
      <c r="F8" s="141" t="s">
        <v>438</v>
      </c>
      <c r="G8" s="141" t="s">
        <v>440</v>
      </c>
      <c r="H8" s="93"/>
      <c r="I8" s="141" t="s">
        <v>57</v>
      </c>
      <c r="J8" s="93"/>
      <c r="K8" s="160"/>
      <c r="L8" s="93"/>
      <c r="M8" s="93"/>
      <c r="N8" s="93"/>
      <c r="O8" s="93"/>
      <c r="P8" s="93"/>
      <c r="Q8" s="93"/>
      <c r="R8" s="93"/>
      <c r="S8" s="93"/>
      <c r="T8" s="93"/>
      <c r="U8" s="93"/>
      <c r="V8" s="93"/>
      <c r="W8" s="93"/>
      <c r="X8" s="93"/>
      <c r="Y8" s="93"/>
      <c r="Z8" s="93"/>
      <c r="AA8" s="93"/>
      <c r="AB8" s="93"/>
      <c r="AC8" s="93"/>
      <c r="AD8" s="93"/>
      <c r="AE8" s="93"/>
      <c r="AF8" s="93"/>
      <c r="AG8" s="93"/>
      <c r="AH8" s="93"/>
      <c r="AI8" s="93"/>
    </row>
    <row r="9" spans="1:35" ht="15" x14ac:dyDescent="0.25">
      <c r="A9" s="162"/>
      <c r="B9" s="149" t="s">
        <v>441</v>
      </c>
      <c r="C9" s="149" t="s">
        <v>441</v>
      </c>
      <c r="D9" s="149" t="s">
        <v>442</v>
      </c>
      <c r="E9" s="149" t="s">
        <v>443</v>
      </c>
      <c r="F9" s="149"/>
      <c r="G9" s="149" t="s">
        <v>444</v>
      </c>
      <c r="H9" s="93"/>
      <c r="I9" s="162"/>
      <c r="J9" s="93"/>
      <c r="K9" s="162"/>
      <c r="L9" s="93"/>
      <c r="M9" s="93"/>
      <c r="N9" s="93"/>
      <c r="O9" s="93"/>
      <c r="P9" s="93"/>
      <c r="Q9" s="93"/>
      <c r="R9" s="93"/>
      <c r="S9" s="93"/>
      <c r="T9" s="93"/>
      <c r="U9" s="93"/>
      <c r="V9" s="93"/>
      <c r="W9" s="93"/>
      <c r="X9" s="93"/>
      <c r="Y9" s="93"/>
      <c r="Z9" s="93"/>
      <c r="AA9" s="93"/>
      <c r="AB9" s="93"/>
      <c r="AC9" s="93"/>
      <c r="AD9" s="93"/>
      <c r="AE9" s="93"/>
      <c r="AF9" s="93"/>
      <c r="AG9" s="93"/>
      <c r="AH9" s="93"/>
      <c r="AI9" s="93"/>
    </row>
    <row r="10" spans="1:35" ht="15" x14ac:dyDescent="0.25">
      <c r="A10" s="93"/>
      <c r="B10" s="93"/>
      <c r="C10" s="93"/>
      <c r="D10" s="93"/>
      <c r="E10" s="93"/>
      <c r="F10" s="93"/>
      <c r="G10" s="93"/>
      <c r="H10" s="93"/>
      <c r="I10" s="146"/>
      <c r="J10" s="93"/>
      <c r="K10" s="93"/>
      <c r="L10" s="93"/>
      <c r="M10" s="93"/>
      <c r="N10" s="93">
        <v>1</v>
      </c>
      <c r="O10" s="93"/>
      <c r="P10" s="93"/>
      <c r="Q10" s="93"/>
      <c r="R10" s="93"/>
      <c r="S10" s="93"/>
      <c r="T10" s="93"/>
      <c r="U10" s="93"/>
      <c r="V10" s="93"/>
      <c r="W10" s="93"/>
      <c r="X10" s="93"/>
      <c r="Y10" s="93"/>
      <c r="Z10" s="93"/>
      <c r="AA10" s="93"/>
      <c r="AB10" s="93"/>
      <c r="AC10" s="93"/>
      <c r="AD10" s="93"/>
      <c r="AE10" s="93"/>
      <c r="AF10" s="93"/>
      <c r="AG10" s="93"/>
      <c r="AH10" s="93"/>
      <c r="AI10" s="93"/>
    </row>
    <row r="11" spans="1:35" ht="15" x14ac:dyDescent="0.25">
      <c r="A11" s="158">
        <f>'Success Cash Flow'!A10</f>
        <v>2012</v>
      </c>
      <c r="B11" s="203">
        <f>INDEX('Economic Assumptions'!$B$12:$CC$60,$K11,$B$4+B$6)+'Economic Assumptions'!B$9*'Selected Economics'!$N11</f>
        <v>108.82000000000001</v>
      </c>
      <c r="C11" s="203">
        <f>INDEX('Economic Assumptions'!$B$12:$CC$60,$K11,$B$4+C$6)+'Economic Assumptions'!C$9*'Selected Economics'!$N11</f>
        <v>101</v>
      </c>
      <c r="D11" s="203">
        <f>INDEX('Economic Assumptions'!$B$12:$CC$60,$K11,$B$4+D$6)+'Economic Assumptions'!D$9*'Selected Economics'!$N11</f>
        <v>1.9000000000000001</v>
      </c>
      <c r="E11" s="283">
        <f>INDEX('Economic Assumptions'!$B$12:$CC$60,$K11,$B$4+E$6)</f>
        <v>1</v>
      </c>
      <c r="F11" s="257">
        <f>INDEX('Economic Assumptions'!$B$12:$CC$60,$K11,$B$4+F$6)</f>
        <v>2.5000000000000001E-2</v>
      </c>
      <c r="G11" s="257">
        <f>INDEX('Economic Assumptions'!$B$12:$CC$60,$K11,$B$4+G$6)</f>
        <v>2.5000000000000001E-2</v>
      </c>
      <c r="H11" s="93"/>
      <c r="I11" s="284">
        <f t="shared" ref="I11:I50" si="1">VLOOKUP(A11,$M$11:$N$53,2)</f>
        <v>1</v>
      </c>
      <c r="J11" s="93"/>
      <c r="K11" s="158">
        <f>A11-'Economic Assumptions'!A12+1</f>
        <v>1</v>
      </c>
      <c r="L11" s="93"/>
      <c r="M11" s="93">
        <f>'Economic Assumptions'!A12</f>
        <v>2012</v>
      </c>
      <c r="N11" s="285">
        <f>IF(M11&lt;=$B$5,1,(1+INDEX('Economic Assumptions'!$B$12:$CC$60,K11,$B$4+F$6))*N10)</f>
        <v>1</v>
      </c>
      <c r="O11" s="93"/>
      <c r="P11" s="93"/>
      <c r="Q11" s="93"/>
      <c r="R11" s="93"/>
      <c r="S11" s="93"/>
      <c r="T11" s="93"/>
      <c r="U11" s="93"/>
      <c r="V11" s="93"/>
      <c r="W11" s="93"/>
      <c r="X11" s="93"/>
      <c r="Y11" s="93"/>
      <c r="Z11" s="93"/>
      <c r="AA11" s="93"/>
      <c r="AB11" s="93"/>
      <c r="AC11" s="93"/>
      <c r="AD11" s="93"/>
      <c r="AE11" s="93"/>
      <c r="AF11" s="93"/>
      <c r="AG11" s="93"/>
      <c r="AH11" s="93"/>
      <c r="AI11" s="93"/>
    </row>
    <row r="12" spans="1:35" ht="15" x14ac:dyDescent="0.25">
      <c r="A12" s="160">
        <f>A11+1</f>
        <v>2013</v>
      </c>
      <c r="B12" s="205">
        <f>INDEX('Economic Assumptions'!$B$12:$CC$60,$K12,$B$4+B$6)+'Economic Assumptions'!B$9*'Selected Economics'!$N12</f>
        <v>111.54049999999999</v>
      </c>
      <c r="C12" s="205">
        <f>INDEX('Economic Assumptions'!$B$12:$CC$60,$K12,$B$4+C$6)+'Economic Assumptions'!C$9*'Selected Economics'!$N12</f>
        <v>103.52499999999999</v>
      </c>
      <c r="D12" s="205">
        <f>INDEX('Economic Assumptions'!$B$12:$CC$60,$K12,$B$4+D$6)+'Economic Assumptions'!D$9*'Selected Economics'!$N12</f>
        <v>1.9475000000000002</v>
      </c>
      <c r="E12" s="286">
        <f>INDEX('Economic Assumptions'!$B$12:$CC$60,$K12,$B$4+E$6)</f>
        <v>1</v>
      </c>
      <c r="F12" s="259">
        <f>INDEX('Economic Assumptions'!$B$12:$CC$60,$K12,$B$4+F$6)</f>
        <v>2.5000000000000001E-2</v>
      </c>
      <c r="G12" s="259">
        <f>INDEX('Economic Assumptions'!$B$12:$CC$60,$K12,$B$4+G$6)</f>
        <v>2.5000000000000001E-2</v>
      </c>
      <c r="H12" s="93"/>
      <c r="I12" s="287">
        <f t="shared" si="1"/>
        <v>1.0249999999999999</v>
      </c>
      <c r="J12" s="93"/>
      <c r="K12" s="160">
        <f>K11+1</f>
        <v>2</v>
      </c>
      <c r="L12" s="93"/>
      <c r="M12" s="93">
        <f>'Economic Assumptions'!A13</f>
        <v>2013</v>
      </c>
      <c r="N12" s="285">
        <f>IF(M12&lt;=$B$5,1,(1+INDEX('Economic Assumptions'!$B$12:$CC$60,M12-$M$11,$B$4+F$6))*N11)</f>
        <v>1.0249999999999999</v>
      </c>
      <c r="O12" s="93"/>
      <c r="P12" s="93"/>
      <c r="Q12" s="93"/>
      <c r="R12" s="93"/>
      <c r="S12" s="93"/>
      <c r="T12" s="93"/>
      <c r="U12" s="93"/>
      <c r="V12" s="93"/>
      <c r="W12" s="93"/>
      <c r="X12" s="93"/>
      <c r="Y12" s="93"/>
      <c r="Z12" s="93"/>
      <c r="AA12" s="93"/>
      <c r="AB12" s="93"/>
      <c r="AC12" s="93"/>
      <c r="AD12" s="93"/>
      <c r="AE12" s="93"/>
      <c r="AF12" s="93"/>
      <c r="AG12" s="93"/>
      <c r="AH12" s="93"/>
      <c r="AI12" s="93"/>
    </row>
    <row r="13" spans="1:35" ht="15" x14ac:dyDescent="0.25">
      <c r="A13" s="160">
        <f t="shared" ref="A13:A50" si="2">A12+1</f>
        <v>2014</v>
      </c>
      <c r="B13" s="205">
        <f>INDEX('Economic Assumptions'!$B$12:$CC$60,$K13,$B$4+B$6)+'Economic Assumptions'!B$9*'Selected Economics'!$N13</f>
        <v>114.32901249999999</v>
      </c>
      <c r="C13" s="205">
        <f>INDEX('Economic Assumptions'!$B$12:$CC$60,$K13,$B$4+C$6)+'Economic Assumptions'!C$9*'Selected Economics'!$N13</f>
        <v>106.11312499999998</v>
      </c>
      <c r="D13" s="205">
        <f>INDEX('Economic Assumptions'!$B$12:$CC$60,$K13,$B$4+D$6)+'Economic Assumptions'!D$9*'Selected Economics'!$N13</f>
        <v>1.9961875</v>
      </c>
      <c r="E13" s="286">
        <f>INDEX('Economic Assumptions'!$B$12:$CC$60,$K13,$B$4+E$6)</f>
        <v>1</v>
      </c>
      <c r="F13" s="259">
        <f>INDEX('Economic Assumptions'!$B$12:$CC$60,$K13,$B$4+F$6)</f>
        <v>2.5000000000000001E-2</v>
      </c>
      <c r="G13" s="259">
        <f>INDEX('Economic Assumptions'!$B$12:$CC$60,$K13,$B$4+G$6)</f>
        <v>2.5000000000000001E-2</v>
      </c>
      <c r="H13" s="93"/>
      <c r="I13" s="287">
        <f t="shared" si="1"/>
        <v>1.0506249999999999</v>
      </c>
      <c r="J13" s="93"/>
      <c r="K13" s="160">
        <f t="shared" ref="K13:K50" si="3">K12+1</f>
        <v>3</v>
      </c>
      <c r="L13" s="93"/>
      <c r="M13" s="93">
        <f>'Economic Assumptions'!A14</f>
        <v>2014</v>
      </c>
      <c r="N13" s="285">
        <f>IF(M13&lt;=$B$5,1,(1+INDEX('Economic Assumptions'!$B$12:$CC$60,M13-$M$11,$B$4+F$6))*N12)</f>
        <v>1.0506249999999999</v>
      </c>
      <c r="O13" s="93"/>
      <c r="P13" s="93"/>
      <c r="Q13" s="93"/>
      <c r="R13" s="93"/>
      <c r="S13" s="93"/>
      <c r="T13" s="93"/>
      <c r="U13" s="93"/>
      <c r="V13" s="93"/>
      <c r="W13" s="93"/>
      <c r="X13" s="93"/>
      <c r="Y13" s="93"/>
      <c r="Z13" s="93"/>
      <c r="AA13" s="93"/>
      <c r="AB13" s="93"/>
      <c r="AC13" s="93"/>
      <c r="AD13" s="93"/>
      <c r="AE13" s="93"/>
      <c r="AF13" s="93"/>
      <c r="AG13" s="93"/>
      <c r="AH13" s="93"/>
      <c r="AI13" s="93"/>
    </row>
    <row r="14" spans="1:35" ht="15" x14ac:dyDescent="0.25">
      <c r="A14" s="160">
        <f t="shared" si="2"/>
        <v>2015</v>
      </c>
      <c r="B14" s="205">
        <f>INDEX('Economic Assumptions'!$B$12:$CC$60,$K14,$B$4+B$6)+'Economic Assumptions'!B$9*'Selected Economics'!$N14</f>
        <v>117.18723781249999</v>
      </c>
      <c r="C14" s="205">
        <f>INDEX('Economic Assumptions'!$B$12:$CC$60,$K14,$B$4+C$6)+'Economic Assumptions'!C$9*'Selected Economics'!$N14</f>
        <v>108.76595312499998</v>
      </c>
      <c r="D14" s="205">
        <f>INDEX('Economic Assumptions'!$B$12:$CC$60,$K14,$B$4+D$6)+'Economic Assumptions'!D$9*'Selected Economics'!$N14</f>
        <v>2.0460921874999998</v>
      </c>
      <c r="E14" s="286">
        <f>INDEX('Economic Assumptions'!$B$12:$CC$60,$K14,$B$4+E$6)</f>
        <v>1</v>
      </c>
      <c r="F14" s="259">
        <f>INDEX('Economic Assumptions'!$B$12:$CC$60,$K14,$B$4+F$6)</f>
        <v>2.5000000000000001E-2</v>
      </c>
      <c r="G14" s="259">
        <f>INDEX('Economic Assumptions'!$B$12:$CC$60,$K14,$B$4+G$6)</f>
        <v>2.5000000000000001E-2</v>
      </c>
      <c r="H14" s="93"/>
      <c r="I14" s="287">
        <f t="shared" si="1"/>
        <v>1.0768906249999999</v>
      </c>
      <c r="J14" s="93"/>
      <c r="K14" s="160">
        <f t="shared" si="3"/>
        <v>4</v>
      </c>
      <c r="L14" s="93"/>
      <c r="M14" s="93">
        <f>'Economic Assumptions'!A15</f>
        <v>2015</v>
      </c>
      <c r="N14" s="285">
        <f>IF(M14&lt;=$B$5,1,(1+INDEX('Economic Assumptions'!$B$12:$CC$60,M14-$M$11,$B$4+F$6))*N13)</f>
        <v>1.0768906249999999</v>
      </c>
      <c r="O14" s="93"/>
      <c r="P14" s="93"/>
      <c r="Q14" s="93"/>
      <c r="R14" s="93"/>
      <c r="S14" s="93"/>
      <c r="T14" s="93"/>
      <c r="U14" s="93"/>
      <c r="V14" s="93"/>
      <c r="W14" s="93"/>
      <c r="X14" s="93"/>
      <c r="Y14" s="93"/>
      <c r="Z14" s="93"/>
      <c r="AA14" s="93"/>
      <c r="AB14" s="93"/>
      <c r="AC14" s="93"/>
      <c r="AD14" s="93"/>
      <c r="AE14" s="93"/>
      <c r="AF14" s="93"/>
      <c r="AG14" s="93"/>
      <c r="AH14" s="93"/>
      <c r="AI14" s="93"/>
    </row>
    <row r="15" spans="1:35" ht="15" x14ac:dyDescent="0.25">
      <c r="A15" s="160">
        <f t="shared" si="2"/>
        <v>2016</v>
      </c>
      <c r="B15" s="205">
        <f>INDEX('Economic Assumptions'!$B$12:$CC$60,$K15,$B$4+B$6)+'Economic Assumptions'!B$9*'Selected Economics'!$N15</f>
        <v>120.11691875781248</v>
      </c>
      <c r="C15" s="205">
        <f>INDEX('Economic Assumptions'!$B$12:$CC$60,$K15,$B$4+C$6)+'Economic Assumptions'!C$9*'Selected Economics'!$N15</f>
        <v>111.48510195312497</v>
      </c>
      <c r="D15" s="205">
        <f>INDEX('Economic Assumptions'!$B$12:$CC$60,$K15,$B$4+D$6)+'Economic Assumptions'!D$9*'Selected Economics'!$N15</f>
        <v>2.0972444921874995</v>
      </c>
      <c r="E15" s="286">
        <f>INDEX('Economic Assumptions'!$B$12:$CC$60,$K15,$B$4+E$6)</f>
        <v>1</v>
      </c>
      <c r="F15" s="259">
        <f>INDEX('Economic Assumptions'!$B$12:$CC$60,$K15,$B$4+F$6)</f>
        <v>2.5000000000000001E-2</v>
      </c>
      <c r="G15" s="259">
        <f>INDEX('Economic Assumptions'!$B$12:$CC$60,$K15,$B$4+G$6)</f>
        <v>2.5000000000000001E-2</v>
      </c>
      <c r="H15" s="93"/>
      <c r="I15" s="287">
        <f t="shared" si="1"/>
        <v>1.1038128906249998</v>
      </c>
      <c r="J15" s="93"/>
      <c r="K15" s="160">
        <f t="shared" si="3"/>
        <v>5</v>
      </c>
      <c r="L15" s="93"/>
      <c r="M15" s="93">
        <f>'Economic Assumptions'!A16</f>
        <v>2016</v>
      </c>
      <c r="N15" s="285">
        <f>IF(M15&lt;=$B$5,1,(1+INDEX('Economic Assumptions'!$B$12:$CC$60,M15-$M$11,$B$4+F$6))*N14)</f>
        <v>1.1038128906249998</v>
      </c>
      <c r="O15" s="93"/>
      <c r="P15" s="93"/>
      <c r="Q15" s="93"/>
      <c r="R15" s="93"/>
      <c r="S15" s="93"/>
      <c r="T15" s="93"/>
      <c r="U15" s="93"/>
      <c r="V15" s="93"/>
      <c r="W15" s="93"/>
      <c r="X15" s="93"/>
      <c r="Y15" s="93"/>
      <c r="Z15" s="93"/>
      <c r="AA15" s="93"/>
      <c r="AB15" s="93"/>
      <c r="AC15" s="93"/>
      <c r="AD15" s="93"/>
      <c r="AE15" s="93"/>
      <c r="AF15" s="93"/>
      <c r="AG15" s="93"/>
      <c r="AH15" s="93"/>
      <c r="AI15" s="93"/>
    </row>
    <row r="16" spans="1:35" ht="15" x14ac:dyDescent="0.25">
      <c r="A16" s="160">
        <f t="shared" si="2"/>
        <v>2017</v>
      </c>
      <c r="B16" s="205">
        <f>INDEX('Economic Assumptions'!$B$12:$CC$60,$K16,$B$4+B$6)+'Economic Assumptions'!B$9*'Selected Economics'!$N16</f>
        <v>123.11984172675778</v>
      </c>
      <c r="C16" s="205">
        <f>INDEX('Economic Assumptions'!$B$12:$CC$60,$K16,$B$4+C$6)+'Economic Assumptions'!C$9*'Selected Economics'!$N16</f>
        <v>114.27222950195308</v>
      </c>
      <c r="D16" s="205">
        <f>INDEX('Economic Assumptions'!$B$12:$CC$60,$K16,$B$4+D$6)+'Economic Assumptions'!D$9*'Selected Economics'!$N16</f>
        <v>2.1496756044921872</v>
      </c>
      <c r="E16" s="286">
        <f>INDEX('Economic Assumptions'!$B$12:$CC$60,$K16,$B$4+E$6)</f>
        <v>1</v>
      </c>
      <c r="F16" s="259">
        <f>INDEX('Economic Assumptions'!$B$12:$CC$60,$K16,$B$4+F$6)</f>
        <v>2.5000000000000001E-2</v>
      </c>
      <c r="G16" s="259">
        <f>INDEX('Economic Assumptions'!$B$12:$CC$60,$K16,$B$4+G$6)</f>
        <v>2.5000000000000001E-2</v>
      </c>
      <c r="H16" s="93"/>
      <c r="I16" s="287">
        <f t="shared" si="1"/>
        <v>1.1314082128906247</v>
      </c>
      <c r="J16" s="93"/>
      <c r="K16" s="160">
        <f t="shared" si="3"/>
        <v>6</v>
      </c>
      <c r="L16" s="93"/>
      <c r="M16" s="93">
        <f>'Economic Assumptions'!A17</f>
        <v>2017</v>
      </c>
      <c r="N16" s="285">
        <f>IF(M16&lt;=$B$5,1,(1+INDEX('Economic Assumptions'!$B$12:$CC$60,M16-$M$11,$B$4+F$6))*N15)</f>
        <v>1.1314082128906247</v>
      </c>
      <c r="O16" s="93"/>
      <c r="P16" s="93"/>
      <c r="Q16" s="93"/>
      <c r="R16" s="93"/>
      <c r="S16" s="93"/>
      <c r="T16" s="93"/>
      <c r="U16" s="93"/>
      <c r="V16" s="93"/>
      <c r="W16" s="93"/>
      <c r="X16" s="93"/>
      <c r="Y16" s="93"/>
      <c r="Z16" s="93"/>
      <c r="AA16" s="93"/>
      <c r="AB16" s="93"/>
      <c r="AC16" s="93"/>
      <c r="AD16" s="93"/>
      <c r="AE16" s="93"/>
      <c r="AF16" s="93"/>
      <c r="AG16" s="93"/>
      <c r="AH16" s="93"/>
      <c r="AI16" s="93"/>
    </row>
    <row r="17" spans="1:35" ht="15" x14ac:dyDescent="0.25">
      <c r="A17" s="160">
        <f t="shared" si="2"/>
        <v>2018</v>
      </c>
      <c r="B17" s="205">
        <f>INDEX('Economic Assumptions'!$B$12:$CC$60,$K17,$B$4+B$6)+'Economic Assumptions'!B$9*'Selected Economics'!$N17</f>
        <v>126.19783776992671</v>
      </c>
      <c r="C17" s="205">
        <f>INDEX('Economic Assumptions'!$B$12:$CC$60,$K17,$B$4+C$6)+'Economic Assumptions'!C$9*'Selected Economics'!$N17</f>
        <v>117.12903523950189</v>
      </c>
      <c r="D17" s="205">
        <f>INDEX('Economic Assumptions'!$B$12:$CC$60,$K17,$B$4+D$6)+'Economic Assumptions'!D$9*'Selected Economics'!$N17</f>
        <v>2.2034174946044915</v>
      </c>
      <c r="E17" s="286">
        <f>INDEX('Economic Assumptions'!$B$12:$CC$60,$K17,$B$4+E$6)</f>
        <v>1</v>
      </c>
      <c r="F17" s="259">
        <f>INDEX('Economic Assumptions'!$B$12:$CC$60,$K17,$B$4+F$6)</f>
        <v>2.5000000000000001E-2</v>
      </c>
      <c r="G17" s="259">
        <f>INDEX('Economic Assumptions'!$B$12:$CC$60,$K17,$B$4+G$6)</f>
        <v>2.5000000000000001E-2</v>
      </c>
      <c r="H17" s="93"/>
      <c r="I17" s="287">
        <f t="shared" si="1"/>
        <v>1.1596934182128902</v>
      </c>
      <c r="J17" s="93"/>
      <c r="K17" s="160">
        <f t="shared" si="3"/>
        <v>7</v>
      </c>
      <c r="L17" s="93"/>
      <c r="M17" s="93">
        <f>'Economic Assumptions'!A18</f>
        <v>2018</v>
      </c>
      <c r="N17" s="285">
        <f>IF(M17&lt;=$B$5,1,(1+INDEX('Economic Assumptions'!$B$12:$CC$60,M17-$M$11,$B$4+F$6))*N16)</f>
        <v>1.1596934182128902</v>
      </c>
      <c r="O17" s="93"/>
      <c r="P17" s="93"/>
      <c r="Q17" s="93"/>
      <c r="R17" s="93"/>
      <c r="S17" s="93"/>
      <c r="T17" s="93"/>
      <c r="U17" s="93"/>
      <c r="V17" s="93"/>
      <c r="W17" s="93"/>
      <c r="X17" s="93"/>
      <c r="Y17" s="93"/>
      <c r="Z17" s="93"/>
      <c r="AA17" s="93"/>
      <c r="AB17" s="93"/>
      <c r="AC17" s="93"/>
      <c r="AD17" s="93"/>
      <c r="AE17" s="93"/>
      <c r="AF17" s="93"/>
      <c r="AG17" s="93"/>
      <c r="AH17" s="93"/>
      <c r="AI17" s="93"/>
    </row>
    <row r="18" spans="1:35" ht="15" x14ac:dyDescent="0.25">
      <c r="A18" s="160">
        <f t="shared" si="2"/>
        <v>2019</v>
      </c>
      <c r="B18" s="205">
        <f>INDEX('Economic Assumptions'!$B$12:$CC$60,$K18,$B$4+B$6)+'Economic Assumptions'!B$9*'Selected Economics'!$N18</f>
        <v>129.35278371417488</v>
      </c>
      <c r="C18" s="205">
        <f>INDEX('Economic Assumptions'!$B$12:$CC$60,$K18,$B$4+C$6)+'Economic Assumptions'!C$9*'Selected Economics'!$N18</f>
        <v>120.05726112048944</v>
      </c>
      <c r="D18" s="205">
        <f>INDEX('Economic Assumptions'!$B$12:$CC$60,$K18,$B$4+D$6)+'Economic Assumptions'!D$9*'Selected Economics'!$N18</f>
        <v>2.2585029319696037</v>
      </c>
      <c r="E18" s="286">
        <f>INDEX('Economic Assumptions'!$B$12:$CC$60,$K18,$B$4+E$6)</f>
        <v>1</v>
      </c>
      <c r="F18" s="259">
        <f>INDEX('Economic Assumptions'!$B$12:$CC$60,$K18,$B$4+F$6)</f>
        <v>2.5000000000000001E-2</v>
      </c>
      <c r="G18" s="259">
        <f>INDEX('Economic Assumptions'!$B$12:$CC$60,$K18,$B$4+G$6)</f>
        <v>2.5000000000000001E-2</v>
      </c>
      <c r="H18" s="93"/>
      <c r="I18" s="287">
        <f t="shared" si="1"/>
        <v>1.1886857536682123</v>
      </c>
      <c r="J18" s="93"/>
      <c r="K18" s="160">
        <f t="shared" si="3"/>
        <v>8</v>
      </c>
      <c r="L18" s="93"/>
      <c r="M18" s="93">
        <f>'Economic Assumptions'!A19</f>
        <v>2019</v>
      </c>
      <c r="N18" s="285">
        <f>IF(M18&lt;=$B$5,1,(1+INDEX('Economic Assumptions'!$B$12:$CC$60,M18-$M$11,$B$4+F$6))*N17)</f>
        <v>1.1886857536682123</v>
      </c>
      <c r="O18" s="93"/>
      <c r="P18" s="93"/>
      <c r="Q18" s="93"/>
      <c r="R18" s="93"/>
      <c r="S18" s="93"/>
      <c r="T18" s="93"/>
      <c r="U18" s="93"/>
      <c r="V18" s="93"/>
      <c r="W18" s="93"/>
      <c r="X18" s="93"/>
      <c r="Y18" s="93"/>
      <c r="Z18" s="93"/>
      <c r="AA18" s="93"/>
      <c r="AB18" s="93"/>
      <c r="AC18" s="93"/>
      <c r="AD18" s="93"/>
      <c r="AE18" s="93"/>
      <c r="AF18" s="93"/>
      <c r="AG18" s="93"/>
      <c r="AH18" s="93"/>
      <c r="AI18" s="93"/>
    </row>
    <row r="19" spans="1:35" ht="15" x14ac:dyDescent="0.25">
      <c r="A19" s="160">
        <f t="shared" si="2"/>
        <v>2020</v>
      </c>
      <c r="B19" s="205">
        <f>INDEX('Economic Assumptions'!$B$12:$CC$60,$K19,$B$4+B$6)+'Economic Assumptions'!B$9*'Selected Economics'!$N19</f>
        <v>132.58660330702924</v>
      </c>
      <c r="C19" s="205">
        <f>INDEX('Economic Assumptions'!$B$12:$CC$60,$K19,$B$4+C$6)+'Economic Assumptions'!C$9*'Selected Economics'!$N19</f>
        <v>123.05869264850166</v>
      </c>
      <c r="D19" s="205">
        <f>INDEX('Economic Assumptions'!$B$12:$CC$60,$K19,$B$4+D$6)+'Economic Assumptions'!D$9*'Selected Economics'!$N19</f>
        <v>2.3149655052688436</v>
      </c>
      <c r="E19" s="286">
        <f>INDEX('Economic Assumptions'!$B$12:$CC$60,$K19,$B$4+E$6)</f>
        <v>1</v>
      </c>
      <c r="F19" s="259">
        <f>INDEX('Economic Assumptions'!$B$12:$CC$60,$K19,$B$4+F$6)</f>
        <v>2.5000000000000001E-2</v>
      </c>
      <c r="G19" s="259">
        <f>INDEX('Economic Assumptions'!$B$12:$CC$60,$K19,$B$4+G$6)</f>
        <v>2.5000000000000001E-2</v>
      </c>
      <c r="H19" s="93"/>
      <c r="I19" s="287">
        <f t="shared" si="1"/>
        <v>1.2184028975099175</v>
      </c>
      <c r="J19" s="93"/>
      <c r="K19" s="160">
        <f t="shared" si="3"/>
        <v>9</v>
      </c>
      <c r="L19" s="93"/>
      <c r="M19" s="93">
        <f>'Economic Assumptions'!A20</f>
        <v>2020</v>
      </c>
      <c r="N19" s="285">
        <f>IF(M19&lt;=$B$5,1,(1+INDEX('Economic Assumptions'!$B$12:$CC$60,M19-$M$11,$B$4+F$6))*N18)</f>
        <v>1.2184028975099175</v>
      </c>
      <c r="O19" s="93"/>
      <c r="P19" s="93"/>
      <c r="Q19" s="93"/>
      <c r="R19" s="93"/>
      <c r="S19" s="93"/>
      <c r="T19" s="93"/>
      <c r="U19" s="93"/>
      <c r="V19" s="93"/>
      <c r="W19" s="93"/>
      <c r="X19" s="93"/>
      <c r="Y19" s="93"/>
      <c r="Z19" s="93"/>
      <c r="AA19" s="93"/>
      <c r="AB19" s="93"/>
      <c r="AC19" s="93"/>
      <c r="AD19" s="93"/>
      <c r="AE19" s="93"/>
      <c r="AF19" s="93"/>
      <c r="AG19" s="93"/>
      <c r="AH19" s="93"/>
      <c r="AI19" s="93"/>
    </row>
    <row r="20" spans="1:35" ht="15" x14ac:dyDescent="0.25">
      <c r="A20" s="160">
        <f t="shared" si="2"/>
        <v>2021</v>
      </c>
      <c r="B20" s="205">
        <f>INDEX('Economic Assumptions'!$B$12:$CC$60,$K20,$B$4+B$6)+'Economic Assumptions'!B$9*'Selected Economics'!$N20</f>
        <v>135.90126838970494</v>
      </c>
      <c r="C20" s="205">
        <f>INDEX('Economic Assumptions'!$B$12:$CC$60,$K20,$B$4+C$6)+'Economic Assumptions'!C$9*'Selected Economics'!$N20</f>
        <v>126.13515996471419</v>
      </c>
      <c r="D20" s="205">
        <f>INDEX('Economic Assumptions'!$B$12:$CC$60,$K20,$B$4+D$6)+'Economic Assumptions'!D$9*'Selected Economics'!$N20</f>
        <v>2.3728396429005647</v>
      </c>
      <c r="E20" s="286">
        <f>INDEX('Economic Assumptions'!$B$12:$CC$60,$K20,$B$4+E$6)</f>
        <v>1</v>
      </c>
      <c r="F20" s="259">
        <f>INDEX('Economic Assumptions'!$B$12:$CC$60,$K20,$B$4+F$6)</f>
        <v>2.5000000000000001E-2</v>
      </c>
      <c r="G20" s="259">
        <f>INDEX('Economic Assumptions'!$B$12:$CC$60,$K20,$B$4+G$6)</f>
        <v>2.5000000000000001E-2</v>
      </c>
      <c r="H20" s="93"/>
      <c r="I20" s="287">
        <f t="shared" si="1"/>
        <v>1.2488629699476652</v>
      </c>
      <c r="J20" s="93"/>
      <c r="K20" s="160">
        <f t="shared" si="3"/>
        <v>10</v>
      </c>
      <c r="L20" s="93"/>
      <c r="M20" s="93">
        <f>'Economic Assumptions'!A21</f>
        <v>2021</v>
      </c>
      <c r="N20" s="285">
        <f>IF(M20&lt;=$B$5,1,(1+INDEX('Economic Assumptions'!$B$12:$CC$60,M20-$M$11,$B$4+F$6))*N19)</f>
        <v>1.2488629699476652</v>
      </c>
      <c r="O20" s="93"/>
      <c r="P20" s="93"/>
      <c r="Q20" s="93"/>
      <c r="R20" s="93"/>
      <c r="S20" s="93"/>
      <c r="T20" s="93"/>
      <c r="U20" s="93"/>
      <c r="V20" s="93"/>
      <c r="W20" s="93"/>
      <c r="X20" s="93"/>
      <c r="Y20" s="93"/>
      <c r="Z20" s="93"/>
      <c r="AA20" s="93"/>
      <c r="AB20" s="93"/>
      <c r="AC20" s="93"/>
      <c r="AD20" s="93"/>
      <c r="AE20" s="93"/>
      <c r="AF20" s="93"/>
      <c r="AG20" s="93"/>
      <c r="AH20" s="93"/>
      <c r="AI20" s="93"/>
    </row>
    <row r="21" spans="1:35" ht="15" x14ac:dyDescent="0.25">
      <c r="A21" s="160">
        <f t="shared" si="2"/>
        <v>2022</v>
      </c>
      <c r="B21" s="205">
        <f>INDEX('Economic Assumptions'!$B$12:$CC$60,$K21,$B$4+B$6)+'Economic Assumptions'!B$9*'Selected Economics'!$N21</f>
        <v>139.29880009944756</v>
      </c>
      <c r="C21" s="205">
        <f>INDEX('Economic Assumptions'!$B$12:$CC$60,$K21,$B$4+C$6)+'Economic Assumptions'!C$9*'Selected Economics'!$N21</f>
        <v>129.28853896383202</v>
      </c>
      <c r="D21" s="205">
        <f>INDEX('Economic Assumptions'!$B$12:$CC$60,$K21,$B$4+D$6)+'Economic Assumptions'!D$9*'Selected Economics'!$N21</f>
        <v>2.4321606339730786</v>
      </c>
      <c r="E21" s="286">
        <f>INDEX('Economic Assumptions'!$B$12:$CC$60,$K21,$B$4+E$6)</f>
        <v>1</v>
      </c>
      <c r="F21" s="259">
        <f>INDEX('Economic Assumptions'!$B$12:$CC$60,$K21,$B$4+F$6)</f>
        <v>2.5000000000000001E-2</v>
      </c>
      <c r="G21" s="259">
        <f>INDEX('Economic Assumptions'!$B$12:$CC$60,$K21,$B$4+G$6)</f>
        <v>2.5000000000000001E-2</v>
      </c>
      <c r="H21" s="93"/>
      <c r="I21" s="287">
        <f t="shared" si="1"/>
        <v>1.2800845441963566</v>
      </c>
      <c r="J21" s="93"/>
      <c r="K21" s="160">
        <f t="shared" si="3"/>
        <v>11</v>
      </c>
      <c r="L21" s="93"/>
      <c r="M21" s="93">
        <f>'Economic Assumptions'!A22</f>
        <v>2022</v>
      </c>
      <c r="N21" s="285">
        <f>IF(M21&lt;=$B$5,1,(1+INDEX('Economic Assumptions'!$B$12:$CC$60,M21-$M$11,$B$4+F$6))*N20)</f>
        <v>1.2800845441963566</v>
      </c>
      <c r="O21" s="93"/>
      <c r="P21" s="93"/>
      <c r="Q21" s="93"/>
      <c r="R21" s="93"/>
      <c r="S21" s="93"/>
      <c r="T21" s="93"/>
      <c r="U21" s="93"/>
      <c r="V21" s="93"/>
      <c r="W21" s="93"/>
      <c r="X21" s="93"/>
      <c r="Y21" s="93"/>
      <c r="Z21" s="93"/>
      <c r="AA21" s="93"/>
      <c r="AB21" s="93"/>
      <c r="AC21" s="93"/>
      <c r="AD21" s="93"/>
      <c r="AE21" s="93"/>
      <c r="AF21" s="93"/>
      <c r="AG21" s="93"/>
      <c r="AH21" s="93"/>
      <c r="AI21" s="93"/>
    </row>
    <row r="22" spans="1:35" ht="15" x14ac:dyDescent="0.25">
      <c r="A22" s="160">
        <f t="shared" si="2"/>
        <v>2023</v>
      </c>
      <c r="B22" s="205">
        <f>INDEX('Economic Assumptions'!$B$12:$CC$60,$K22,$B$4+B$6)+'Economic Assumptions'!B$9*'Selected Economics'!$N22</f>
        <v>142.78127010193373</v>
      </c>
      <c r="C22" s="205">
        <f>INDEX('Economic Assumptions'!$B$12:$CC$60,$K22,$B$4+C$6)+'Economic Assumptions'!C$9*'Selected Economics'!$N22</f>
        <v>132.52075243792783</v>
      </c>
      <c r="D22" s="205">
        <f>INDEX('Economic Assumptions'!$B$12:$CC$60,$K22,$B$4+D$6)+'Economic Assumptions'!D$9*'Selected Economics'!$N22</f>
        <v>2.4929646498224054</v>
      </c>
      <c r="E22" s="286">
        <f>INDEX('Economic Assumptions'!$B$12:$CC$60,$K22,$B$4+E$6)</f>
        <v>1</v>
      </c>
      <c r="F22" s="259">
        <f>INDEX('Economic Assumptions'!$B$12:$CC$60,$K22,$B$4+F$6)</f>
        <v>2.5000000000000001E-2</v>
      </c>
      <c r="G22" s="259">
        <f>INDEX('Economic Assumptions'!$B$12:$CC$60,$K22,$B$4+G$6)</f>
        <v>2.5000000000000001E-2</v>
      </c>
      <c r="H22" s="93"/>
      <c r="I22" s="287">
        <f t="shared" si="1"/>
        <v>1.3120866578012655</v>
      </c>
      <c r="J22" s="93"/>
      <c r="K22" s="160">
        <f t="shared" si="3"/>
        <v>12</v>
      </c>
      <c r="L22" s="93"/>
      <c r="M22" s="93">
        <f>'Economic Assumptions'!A23</f>
        <v>2023</v>
      </c>
      <c r="N22" s="285">
        <f>IF(M22&lt;=$B$5,1,(1+INDEX('Economic Assumptions'!$B$12:$CC$60,M22-$M$11,$B$4+F$6))*N21)</f>
        <v>1.3120866578012655</v>
      </c>
      <c r="O22" s="93"/>
      <c r="P22" s="93"/>
      <c r="Q22" s="93"/>
      <c r="R22" s="93"/>
      <c r="S22" s="93"/>
      <c r="T22" s="93"/>
      <c r="U22" s="93"/>
      <c r="V22" s="93"/>
      <c r="W22" s="93"/>
      <c r="X22" s="93"/>
      <c r="Y22" s="93"/>
      <c r="Z22" s="93"/>
      <c r="AA22" s="93"/>
      <c r="AB22" s="93"/>
      <c r="AC22" s="93"/>
      <c r="AD22" s="93"/>
      <c r="AE22" s="93"/>
      <c r="AF22" s="93"/>
      <c r="AG22" s="93"/>
      <c r="AH22" s="93"/>
      <c r="AI22" s="93"/>
    </row>
    <row r="23" spans="1:35" ht="15" x14ac:dyDescent="0.25">
      <c r="A23" s="160">
        <f t="shared" si="2"/>
        <v>2024</v>
      </c>
      <c r="B23" s="205">
        <f>INDEX('Economic Assumptions'!$B$12:$CC$60,$K23,$B$4+B$6)+'Economic Assumptions'!B$9*'Selected Economics'!$N23</f>
        <v>146.35080185448206</v>
      </c>
      <c r="C23" s="205">
        <f>INDEX('Economic Assumptions'!$B$12:$CC$60,$K23,$B$4+C$6)+'Economic Assumptions'!C$9*'Selected Economics'!$N23</f>
        <v>135.83377124887602</v>
      </c>
      <c r="D23" s="205">
        <f>INDEX('Economic Assumptions'!$B$12:$CC$60,$K23,$B$4+D$6)+'Economic Assumptions'!D$9*'Selected Economics'!$N23</f>
        <v>2.5552887660679651</v>
      </c>
      <c r="E23" s="286">
        <f>INDEX('Economic Assumptions'!$B$12:$CC$60,$K23,$B$4+E$6)</f>
        <v>1</v>
      </c>
      <c r="F23" s="259">
        <f>INDEX('Economic Assumptions'!$B$12:$CC$60,$K23,$B$4+F$6)</f>
        <v>2.5000000000000001E-2</v>
      </c>
      <c r="G23" s="259">
        <f>INDEX('Economic Assumptions'!$B$12:$CC$60,$K23,$B$4+G$6)</f>
        <v>2.5000000000000001E-2</v>
      </c>
      <c r="H23" s="93"/>
      <c r="I23" s="287">
        <f t="shared" si="1"/>
        <v>1.3448888242462971</v>
      </c>
      <c r="J23" s="93"/>
      <c r="K23" s="160">
        <f t="shared" si="3"/>
        <v>13</v>
      </c>
      <c r="L23" s="93"/>
      <c r="M23" s="93">
        <f>'Economic Assumptions'!A24</f>
        <v>2024</v>
      </c>
      <c r="N23" s="285">
        <f>IF(M23&lt;=$B$5,1,(1+INDEX('Economic Assumptions'!$B$12:$CC$60,M23-$M$11,$B$4+F$6))*N22)</f>
        <v>1.3448888242462971</v>
      </c>
      <c r="O23" s="93"/>
      <c r="P23" s="93"/>
      <c r="Q23" s="93"/>
      <c r="R23" s="93"/>
      <c r="S23" s="93"/>
      <c r="T23" s="93"/>
      <c r="U23" s="93"/>
      <c r="V23" s="93"/>
      <c r="W23" s="93"/>
      <c r="X23" s="93"/>
      <c r="Y23" s="93"/>
      <c r="Z23" s="93"/>
      <c r="AA23" s="93"/>
      <c r="AB23" s="93"/>
      <c r="AC23" s="93"/>
      <c r="AD23" s="93"/>
      <c r="AE23" s="93"/>
      <c r="AF23" s="93"/>
      <c r="AG23" s="93"/>
      <c r="AH23" s="93"/>
      <c r="AI23" s="93"/>
    </row>
    <row r="24" spans="1:35" ht="15" x14ac:dyDescent="0.25">
      <c r="A24" s="160">
        <f t="shared" si="2"/>
        <v>2025</v>
      </c>
      <c r="B24" s="205">
        <f>INDEX('Economic Assumptions'!$B$12:$CC$60,$K24,$B$4+B$6)+'Economic Assumptions'!B$9*'Selected Economics'!$N24</f>
        <v>150.00957190084407</v>
      </c>
      <c r="C24" s="205">
        <f>INDEX('Economic Assumptions'!$B$12:$CC$60,$K24,$B$4+C$6)+'Economic Assumptions'!C$9*'Selected Economics'!$N24</f>
        <v>139.2296155300979</v>
      </c>
      <c r="D24" s="205">
        <f>INDEX('Economic Assumptions'!$B$12:$CC$60,$K24,$B$4+D$6)+'Economic Assumptions'!D$9*'Selected Economics'!$N24</f>
        <v>2.6191709852196641</v>
      </c>
      <c r="E24" s="286">
        <f>INDEX('Economic Assumptions'!$B$12:$CC$60,$K24,$B$4+E$6)</f>
        <v>1</v>
      </c>
      <c r="F24" s="259">
        <f>INDEX('Economic Assumptions'!$B$12:$CC$60,$K24,$B$4+F$6)</f>
        <v>2.5000000000000001E-2</v>
      </c>
      <c r="G24" s="259">
        <f>INDEX('Economic Assumptions'!$B$12:$CC$60,$K24,$B$4+G$6)</f>
        <v>2.5000000000000001E-2</v>
      </c>
      <c r="H24" s="93"/>
      <c r="I24" s="287">
        <f t="shared" si="1"/>
        <v>1.3785110448524545</v>
      </c>
      <c r="J24" s="93"/>
      <c r="K24" s="160">
        <f t="shared" si="3"/>
        <v>14</v>
      </c>
      <c r="L24" s="93"/>
      <c r="M24" s="93">
        <f>'Economic Assumptions'!A25</f>
        <v>2025</v>
      </c>
      <c r="N24" s="285">
        <f>IF(M24&lt;=$B$5,1,(1+INDEX('Economic Assumptions'!$B$12:$CC$60,M24-$M$11,$B$4+F$6))*N23)</f>
        <v>1.3785110448524545</v>
      </c>
      <c r="O24" s="93"/>
      <c r="P24" s="93"/>
      <c r="Q24" s="93"/>
      <c r="R24" s="93"/>
      <c r="S24" s="93"/>
      <c r="T24" s="93"/>
      <c r="U24" s="93"/>
      <c r="V24" s="93"/>
      <c r="W24" s="93"/>
      <c r="X24" s="93"/>
      <c r="Y24" s="93"/>
      <c r="Z24" s="93"/>
      <c r="AA24" s="93"/>
      <c r="AB24" s="93"/>
      <c r="AC24" s="93"/>
      <c r="AD24" s="93"/>
      <c r="AE24" s="93"/>
      <c r="AF24" s="93"/>
      <c r="AG24" s="93"/>
      <c r="AH24" s="93"/>
      <c r="AI24" s="93"/>
    </row>
    <row r="25" spans="1:35" ht="15" x14ac:dyDescent="0.25">
      <c r="A25" s="160">
        <f t="shared" si="2"/>
        <v>2026</v>
      </c>
      <c r="B25" s="205">
        <f>INDEX('Economic Assumptions'!$B$12:$CC$60,$K25,$B$4+B$6)+'Economic Assumptions'!B$9*'Selected Economics'!$N25</f>
        <v>153.75981119836516</v>
      </c>
      <c r="C25" s="205">
        <f>INDEX('Economic Assumptions'!$B$12:$CC$60,$K25,$B$4+C$6)+'Economic Assumptions'!C$9*'Selected Economics'!$N25</f>
        <v>142.71035591835033</v>
      </c>
      <c r="D25" s="205">
        <f>INDEX('Economic Assumptions'!$B$12:$CC$60,$K25,$B$4+D$6)+'Economic Assumptions'!D$9*'Selected Economics'!$N25</f>
        <v>2.6846502598501552</v>
      </c>
      <c r="E25" s="286">
        <f>INDEX('Economic Assumptions'!$B$12:$CC$60,$K25,$B$4+E$6)</f>
        <v>1</v>
      </c>
      <c r="F25" s="259">
        <f>INDEX('Economic Assumptions'!$B$12:$CC$60,$K25,$B$4+F$6)</f>
        <v>2.5000000000000001E-2</v>
      </c>
      <c r="G25" s="259">
        <f>INDEX('Economic Assumptions'!$B$12:$CC$60,$K25,$B$4+G$6)</f>
        <v>2.5000000000000001E-2</v>
      </c>
      <c r="H25" s="93"/>
      <c r="I25" s="287">
        <f t="shared" si="1"/>
        <v>1.4129738209737657</v>
      </c>
      <c r="J25" s="93"/>
      <c r="K25" s="160">
        <f t="shared" si="3"/>
        <v>15</v>
      </c>
      <c r="L25" s="93"/>
      <c r="M25" s="93">
        <f>'Economic Assumptions'!A26</f>
        <v>2026</v>
      </c>
      <c r="N25" s="285">
        <f>IF(M25&lt;=$B$5,1,(1+INDEX('Economic Assumptions'!$B$12:$CC$60,M25-$M$11,$B$4+F$6))*N24)</f>
        <v>1.4129738209737657</v>
      </c>
      <c r="O25" s="93"/>
      <c r="P25" s="93"/>
      <c r="Q25" s="93"/>
      <c r="R25" s="93"/>
      <c r="S25" s="93"/>
      <c r="T25" s="93"/>
      <c r="U25" s="93"/>
      <c r="V25" s="93"/>
      <c r="W25" s="93"/>
      <c r="X25" s="93"/>
      <c r="Y25" s="93"/>
      <c r="Z25" s="93"/>
      <c r="AA25" s="93"/>
      <c r="AB25" s="93"/>
      <c r="AC25" s="93"/>
      <c r="AD25" s="93"/>
      <c r="AE25" s="93"/>
      <c r="AF25" s="93"/>
      <c r="AG25" s="93"/>
      <c r="AH25" s="93"/>
      <c r="AI25" s="93"/>
    </row>
    <row r="26" spans="1:35" ht="15" x14ac:dyDescent="0.25">
      <c r="A26" s="160">
        <f t="shared" si="2"/>
        <v>2027</v>
      </c>
      <c r="B26" s="205">
        <f>INDEX('Economic Assumptions'!$B$12:$CC$60,$K26,$B$4+B$6)+'Economic Assumptions'!B$9*'Selected Economics'!$N26</f>
        <v>157.60380647832429</v>
      </c>
      <c r="C26" s="205">
        <f>INDEX('Economic Assumptions'!$B$12:$CC$60,$K26,$B$4+C$6)+'Economic Assumptions'!C$9*'Selected Economics'!$N26</f>
        <v>146.27811481630908</v>
      </c>
      <c r="D26" s="205">
        <f>INDEX('Economic Assumptions'!$B$12:$CC$60,$K26,$B$4+D$6)+'Economic Assumptions'!D$9*'Selected Economics'!$N26</f>
        <v>2.7517665163464091</v>
      </c>
      <c r="E26" s="286">
        <f>INDEX('Economic Assumptions'!$B$12:$CC$60,$K26,$B$4+E$6)</f>
        <v>1</v>
      </c>
      <c r="F26" s="259">
        <f>INDEX('Economic Assumptions'!$B$12:$CC$60,$K26,$B$4+F$6)</f>
        <v>2.5000000000000001E-2</v>
      </c>
      <c r="G26" s="259">
        <f>INDEX('Economic Assumptions'!$B$12:$CC$60,$K26,$B$4+G$6)</f>
        <v>2.5000000000000001E-2</v>
      </c>
      <c r="H26" s="93"/>
      <c r="I26" s="287">
        <f t="shared" si="1"/>
        <v>1.4482981664981096</v>
      </c>
      <c r="J26" s="93"/>
      <c r="K26" s="160">
        <f t="shared" si="3"/>
        <v>16</v>
      </c>
      <c r="L26" s="93"/>
      <c r="M26" s="93">
        <f>'Economic Assumptions'!A27</f>
        <v>2027</v>
      </c>
      <c r="N26" s="285">
        <f>IF(M26&lt;=$B$5,1,(1+INDEX('Economic Assumptions'!$B$12:$CC$60,M26-$M$11,$B$4+F$6))*N25)</f>
        <v>1.4482981664981096</v>
      </c>
      <c r="O26" s="93"/>
      <c r="P26" s="93"/>
      <c r="Q26" s="93"/>
      <c r="R26" s="93"/>
      <c r="S26" s="93"/>
      <c r="T26" s="93"/>
      <c r="U26" s="93"/>
      <c r="V26" s="93"/>
      <c r="W26" s="93"/>
      <c r="X26" s="93"/>
      <c r="Y26" s="93"/>
      <c r="Z26" s="93"/>
      <c r="AA26" s="93"/>
      <c r="AB26" s="93"/>
      <c r="AC26" s="93"/>
      <c r="AD26" s="93"/>
      <c r="AE26" s="93"/>
      <c r="AF26" s="93"/>
      <c r="AG26" s="93"/>
      <c r="AH26" s="93"/>
      <c r="AI26" s="93"/>
    </row>
    <row r="27" spans="1:35" ht="15" x14ac:dyDescent="0.25">
      <c r="A27" s="160">
        <f t="shared" si="2"/>
        <v>2028</v>
      </c>
      <c r="B27" s="205">
        <f>INDEX('Economic Assumptions'!$B$12:$CC$60,$K27,$B$4+B$6)+'Economic Assumptions'!B$9*'Selected Economics'!$N27</f>
        <v>161.54390164028237</v>
      </c>
      <c r="C27" s="205">
        <f>INDEX('Economic Assumptions'!$B$12:$CC$60,$K27,$B$4+C$6)+'Economic Assumptions'!C$9*'Selected Economics'!$N27</f>
        <v>149.93506768671679</v>
      </c>
      <c r="D27" s="205">
        <f>INDEX('Economic Assumptions'!$B$12:$CC$60,$K27,$B$4+D$6)+'Economic Assumptions'!D$9*'Selected Economics'!$N27</f>
        <v>2.820560679255069</v>
      </c>
      <c r="E27" s="286">
        <f>INDEX('Economic Assumptions'!$B$12:$CC$60,$K27,$B$4+E$6)</f>
        <v>1</v>
      </c>
      <c r="F27" s="259">
        <f>INDEX('Economic Assumptions'!$B$12:$CC$60,$K27,$B$4+F$6)</f>
        <v>2.5000000000000001E-2</v>
      </c>
      <c r="G27" s="259">
        <f>INDEX('Economic Assumptions'!$B$12:$CC$60,$K27,$B$4+G$6)</f>
        <v>2.5000000000000001E-2</v>
      </c>
      <c r="H27" s="93"/>
      <c r="I27" s="287">
        <f t="shared" si="1"/>
        <v>1.4845056206605622</v>
      </c>
      <c r="J27" s="93"/>
      <c r="K27" s="160">
        <f t="shared" si="3"/>
        <v>17</v>
      </c>
      <c r="L27" s="93"/>
      <c r="M27" s="93">
        <f>'Economic Assumptions'!A28</f>
        <v>2028</v>
      </c>
      <c r="N27" s="285">
        <f>IF(M27&lt;=$B$5,1,(1+INDEX('Economic Assumptions'!$B$12:$CC$60,M27-$M$11,$B$4+F$6))*N26)</f>
        <v>1.4845056206605622</v>
      </c>
      <c r="O27" s="93"/>
      <c r="P27" s="93"/>
      <c r="Q27" s="93"/>
      <c r="R27" s="93"/>
      <c r="S27" s="93"/>
      <c r="T27" s="93"/>
      <c r="U27" s="93"/>
      <c r="V27" s="93"/>
      <c r="W27" s="93"/>
      <c r="X27" s="93"/>
      <c r="Y27" s="93"/>
      <c r="Z27" s="93"/>
      <c r="AA27" s="93"/>
      <c r="AB27" s="93"/>
      <c r="AC27" s="93"/>
      <c r="AD27" s="93"/>
      <c r="AE27" s="93"/>
      <c r="AF27" s="93"/>
      <c r="AG27" s="93"/>
      <c r="AH27" s="93"/>
      <c r="AI27" s="93"/>
    </row>
    <row r="28" spans="1:35" ht="15" x14ac:dyDescent="0.25">
      <c r="A28" s="160">
        <f t="shared" si="2"/>
        <v>2029</v>
      </c>
      <c r="B28" s="205">
        <f>INDEX('Economic Assumptions'!$B$12:$CC$60,$K28,$B$4+B$6)+'Economic Assumptions'!B$9*'Selected Economics'!$N28</f>
        <v>165.58249918128942</v>
      </c>
      <c r="C28" s="205">
        <f>INDEX('Economic Assumptions'!$B$12:$CC$60,$K28,$B$4+C$6)+'Economic Assumptions'!C$9*'Selected Economics'!$N28</f>
        <v>153.6834443788847</v>
      </c>
      <c r="D28" s="205">
        <f>INDEX('Economic Assumptions'!$B$12:$CC$60,$K28,$B$4+D$6)+'Economic Assumptions'!D$9*'Selected Economics'!$N28</f>
        <v>2.891074696236446</v>
      </c>
      <c r="E28" s="286">
        <f>INDEX('Economic Assumptions'!$B$12:$CC$60,$K28,$B$4+E$6)</f>
        <v>1</v>
      </c>
      <c r="F28" s="259">
        <f>INDEX('Economic Assumptions'!$B$12:$CC$60,$K28,$B$4+F$6)</f>
        <v>2.5000000000000001E-2</v>
      </c>
      <c r="G28" s="259">
        <f>INDEX('Economic Assumptions'!$B$12:$CC$60,$K28,$B$4+G$6)</f>
        <v>2.5000000000000001E-2</v>
      </c>
      <c r="H28" s="93"/>
      <c r="I28" s="287">
        <f t="shared" si="1"/>
        <v>1.5216182611770761</v>
      </c>
      <c r="J28" s="93"/>
      <c r="K28" s="160">
        <f t="shared" si="3"/>
        <v>18</v>
      </c>
      <c r="L28" s="93"/>
      <c r="M28" s="93">
        <f>'Economic Assumptions'!A29</f>
        <v>2029</v>
      </c>
      <c r="N28" s="285">
        <f>IF(M28&lt;=$B$5,1,(1+INDEX('Economic Assumptions'!$B$12:$CC$60,M28-$M$11,$B$4+F$6))*N27)</f>
        <v>1.5216182611770761</v>
      </c>
      <c r="O28" s="93"/>
      <c r="P28" s="93"/>
      <c r="Q28" s="93"/>
      <c r="R28" s="93"/>
      <c r="S28" s="93"/>
      <c r="T28" s="93"/>
      <c r="U28" s="93"/>
      <c r="V28" s="93"/>
      <c r="W28" s="93"/>
      <c r="X28" s="93"/>
      <c r="Y28" s="93"/>
      <c r="Z28" s="93"/>
      <c r="AA28" s="93"/>
      <c r="AB28" s="93"/>
      <c r="AC28" s="93"/>
      <c r="AD28" s="93"/>
      <c r="AE28" s="93"/>
      <c r="AF28" s="93"/>
      <c r="AG28" s="93"/>
      <c r="AH28" s="93"/>
      <c r="AI28" s="93"/>
    </row>
    <row r="29" spans="1:35" ht="15" x14ac:dyDescent="0.25">
      <c r="A29" s="160">
        <f t="shared" si="2"/>
        <v>2030</v>
      </c>
      <c r="B29" s="205">
        <f>INDEX('Economic Assumptions'!$B$12:$CC$60,$K29,$B$4+B$6)+'Economic Assumptions'!B$9*'Selected Economics'!$N29</f>
        <v>169.72206166082162</v>
      </c>
      <c r="C29" s="205">
        <f>INDEX('Economic Assumptions'!$B$12:$CC$60,$K29,$B$4+C$6)+'Economic Assumptions'!C$9*'Selected Economics'!$N29</f>
        <v>157.52553048835679</v>
      </c>
      <c r="D29" s="205">
        <f>INDEX('Economic Assumptions'!$B$12:$CC$60,$K29,$B$4+D$6)+'Economic Assumptions'!D$9*'Selected Economics'!$N29</f>
        <v>2.9633515636423566</v>
      </c>
      <c r="E29" s="286">
        <f>INDEX('Economic Assumptions'!$B$12:$CC$60,$K29,$B$4+E$6)</f>
        <v>1</v>
      </c>
      <c r="F29" s="259">
        <f>INDEX('Economic Assumptions'!$B$12:$CC$60,$K29,$B$4+F$6)</f>
        <v>2.5000000000000001E-2</v>
      </c>
      <c r="G29" s="259">
        <f>INDEX('Economic Assumptions'!$B$12:$CC$60,$K29,$B$4+G$6)</f>
        <v>2.5000000000000001E-2</v>
      </c>
      <c r="H29" s="93"/>
      <c r="I29" s="287">
        <f t="shared" si="1"/>
        <v>1.5596587177065029</v>
      </c>
      <c r="J29" s="93"/>
      <c r="K29" s="160">
        <f t="shared" si="3"/>
        <v>19</v>
      </c>
      <c r="L29" s="93"/>
      <c r="M29" s="93">
        <f>'Economic Assumptions'!A30</f>
        <v>2030</v>
      </c>
      <c r="N29" s="285">
        <f>IF(M29&lt;=$B$5,1,(1+INDEX('Economic Assumptions'!$B$12:$CC$60,M29-$M$11,$B$4+F$6))*N28)</f>
        <v>1.5596587177065029</v>
      </c>
      <c r="O29" s="93"/>
      <c r="P29" s="93"/>
      <c r="Q29" s="93"/>
      <c r="R29" s="93"/>
      <c r="S29" s="93"/>
      <c r="T29" s="93"/>
      <c r="U29" s="93"/>
      <c r="V29" s="93"/>
      <c r="W29" s="93"/>
      <c r="X29" s="93"/>
      <c r="Y29" s="93"/>
      <c r="Z29" s="93"/>
      <c r="AA29" s="93"/>
      <c r="AB29" s="93"/>
      <c r="AC29" s="93"/>
      <c r="AD29" s="93"/>
      <c r="AE29" s="93"/>
      <c r="AF29" s="93"/>
      <c r="AG29" s="93"/>
      <c r="AH29" s="93"/>
      <c r="AI29" s="93"/>
    </row>
    <row r="30" spans="1:35" ht="15" x14ac:dyDescent="0.25">
      <c r="A30" s="160">
        <f t="shared" si="2"/>
        <v>2031</v>
      </c>
      <c r="B30" s="205">
        <f>INDEX('Economic Assumptions'!$B$12:$CC$60,$K30,$B$4+B$6)+'Economic Assumptions'!B$9*'Selected Economics'!$N30</f>
        <v>173.96511320234217</v>
      </c>
      <c r="C30" s="205">
        <f>INDEX('Economic Assumptions'!$B$12:$CC$60,$K30,$B$4+C$6)+'Economic Assumptions'!C$9*'Selected Economics'!$N30</f>
        <v>161.46366875056572</v>
      </c>
      <c r="D30" s="205">
        <f>INDEX('Economic Assumptions'!$B$12:$CC$60,$K30,$B$4+D$6)+'Economic Assumptions'!D$9*'Selected Economics'!$N30</f>
        <v>3.0374353527334153</v>
      </c>
      <c r="E30" s="286">
        <f>INDEX('Economic Assumptions'!$B$12:$CC$60,$K30,$B$4+E$6)</f>
        <v>1</v>
      </c>
      <c r="F30" s="259">
        <f>INDEX('Economic Assumptions'!$B$12:$CC$60,$K30,$B$4+F$6)</f>
        <v>2.5000000000000001E-2</v>
      </c>
      <c r="G30" s="259">
        <f>INDEX('Economic Assumptions'!$B$12:$CC$60,$K30,$B$4+G$6)</f>
        <v>2.5000000000000001E-2</v>
      </c>
      <c r="H30" s="93"/>
      <c r="I30" s="287">
        <f t="shared" si="1"/>
        <v>1.5986501856491653</v>
      </c>
      <c r="J30" s="93"/>
      <c r="K30" s="160">
        <f t="shared" si="3"/>
        <v>20</v>
      </c>
      <c r="L30" s="93"/>
      <c r="M30" s="93">
        <f>'Economic Assumptions'!A31</f>
        <v>2031</v>
      </c>
      <c r="N30" s="285">
        <f>IF(M30&lt;=$B$5,1,(1+INDEX('Economic Assumptions'!$B$12:$CC$60,M30-$M$11,$B$4+F$6))*N29)</f>
        <v>1.5986501856491653</v>
      </c>
      <c r="O30" s="93"/>
      <c r="P30" s="93"/>
      <c r="Q30" s="93"/>
      <c r="R30" s="93"/>
      <c r="S30" s="93"/>
      <c r="T30" s="93"/>
      <c r="U30" s="93"/>
      <c r="V30" s="93"/>
      <c r="W30" s="93"/>
      <c r="X30" s="93"/>
      <c r="Y30" s="93"/>
      <c r="Z30" s="93"/>
      <c r="AA30" s="93"/>
      <c r="AB30" s="93"/>
      <c r="AC30" s="93"/>
      <c r="AD30" s="93"/>
      <c r="AE30" s="93"/>
      <c r="AF30" s="93"/>
      <c r="AG30" s="93"/>
      <c r="AH30" s="93"/>
      <c r="AI30" s="93"/>
    </row>
    <row r="31" spans="1:35" ht="15" x14ac:dyDescent="0.25">
      <c r="A31" s="160">
        <f t="shared" si="2"/>
        <v>2032</v>
      </c>
      <c r="B31" s="205">
        <f>INDEX('Economic Assumptions'!$B$12:$CC$60,$K31,$B$4+B$6)+'Economic Assumptions'!B$9*'Selected Economics'!$N31</f>
        <v>178.3142410324007</v>
      </c>
      <c r="C31" s="205">
        <f>INDEX('Economic Assumptions'!$B$12:$CC$60,$K31,$B$4+C$6)+'Economic Assumptions'!C$9*'Selected Economics'!$N31</f>
        <v>165.50026046932985</v>
      </c>
      <c r="D31" s="205">
        <f>INDEX('Economic Assumptions'!$B$12:$CC$60,$K31,$B$4+D$6)+'Economic Assumptions'!D$9*'Selected Economics'!$N31</f>
        <v>3.1133712365517505</v>
      </c>
      <c r="E31" s="286">
        <f>INDEX('Economic Assumptions'!$B$12:$CC$60,$K31,$B$4+E$6)</f>
        <v>1</v>
      </c>
      <c r="F31" s="259">
        <f>INDEX('Economic Assumptions'!$B$12:$CC$60,$K31,$B$4+F$6)</f>
        <v>2.5000000000000001E-2</v>
      </c>
      <c r="G31" s="259">
        <f>INDEX('Economic Assumptions'!$B$12:$CC$60,$K31,$B$4+G$6)</f>
        <v>2.5000000000000001E-2</v>
      </c>
      <c r="H31" s="93"/>
      <c r="I31" s="287">
        <f t="shared" si="1"/>
        <v>1.6386164402903942</v>
      </c>
      <c r="J31" s="93"/>
      <c r="K31" s="160">
        <f t="shared" si="3"/>
        <v>21</v>
      </c>
      <c r="L31" s="93"/>
      <c r="M31" s="93">
        <f>'Economic Assumptions'!A32</f>
        <v>2032</v>
      </c>
      <c r="N31" s="285">
        <f>IF(M31&lt;=$B$5,1,(1+INDEX('Economic Assumptions'!$B$12:$CC$60,M31-$M$11,$B$4+F$6))*N30)</f>
        <v>1.6386164402903942</v>
      </c>
      <c r="O31" s="93"/>
      <c r="P31" s="93"/>
      <c r="Q31" s="93"/>
      <c r="R31" s="93"/>
      <c r="S31" s="93"/>
      <c r="T31" s="93"/>
      <c r="U31" s="93"/>
      <c r="V31" s="93"/>
      <c r="W31" s="93"/>
      <c r="X31" s="93"/>
      <c r="Y31" s="93"/>
      <c r="Z31" s="93"/>
      <c r="AA31" s="93"/>
      <c r="AB31" s="93"/>
      <c r="AC31" s="93"/>
      <c r="AD31" s="93"/>
      <c r="AE31" s="93"/>
      <c r="AF31" s="93"/>
      <c r="AG31" s="93"/>
      <c r="AH31" s="93"/>
      <c r="AI31" s="93"/>
    </row>
    <row r="32" spans="1:35" ht="15" x14ac:dyDescent="0.25">
      <c r="A32" s="160">
        <f t="shared" si="2"/>
        <v>2033</v>
      </c>
      <c r="B32" s="205">
        <f>INDEX('Economic Assumptions'!$B$12:$CC$60,$K32,$B$4+B$6)+'Economic Assumptions'!B$9*'Selected Economics'!$N32</f>
        <v>182.7720970582107</v>
      </c>
      <c r="C32" s="205">
        <f>INDEX('Economic Assumptions'!$B$12:$CC$60,$K32,$B$4+C$6)+'Economic Assumptions'!C$9*'Selected Economics'!$N32</f>
        <v>169.63776698106307</v>
      </c>
      <c r="D32" s="205">
        <f>INDEX('Economic Assumptions'!$B$12:$CC$60,$K32,$B$4+D$6)+'Economic Assumptions'!D$9*'Selected Economics'!$N32</f>
        <v>3.1912055174655443</v>
      </c>
      <c r="E32" s="286">
        <f>INDEX('Economic Assumptions'!$B$12:$CC$60,$K32,$B$4+E$6)</f>
        <v>1</v>
      </c>
      <c r="F32" s="259">
        <f>INDEX('Economic Assumptions'!$B$12:$CC$60,$K32,$B$4+F$6)</f>
        <v>2.5000000000000001E-2</v>
      </c>
      <c r="G32" s="259">
        <f>INDEX('Economic Assumptions'!$B$12:$CC$60,$K32,$B$4+G$6)</f>
        <v>2.5000000000000001E-2</v>
      </c>
      <c r="H32" s="93"/>
      <c r="I32" s="287">
        <f t="shared" si="1"/>
        <v>1.6795818512976539</v>
      </c>
      <c r="J32" s="93"/>
      <c r="K32" s="160">
        <f t="shared" si="3"/>
        <v>22</v>
      </c>
      <c r="L32" s="93"/>
      <c r="M32" s="93">
        <f>'Economic Assumptions'!A33</f>
        <v>2033</v>
      </c>
      <c r="N32" s="285">
        <f>IF(M32&lt;=$B$5,1,(1+INDEX('Economic Assumptions'!$B$12:$CC$60,M32-$M$11,$B$4+F$6))*N31)</f>
        <v>1.6795818512976539</v>
      </c>
      <c r="O32" s="93"/>
      <c r="P32" s="93"/>
      <c r="Q32" s="93"/>
      <c r="R32" s="93"/>
      <c r="S32" s="93"/>
      <c r="T32" s="93"/>
      <c r="U32" s="93"/>
      <c r="V32" s="93"/>
      <c r="W32" s="93"/>
      <c r="X32" s="93"/>
      <c r="Y32" s="93"/>
      <c r="Z32" s="93"/>
      <c r="AA32" s="93"/>
      <c r="AB32" s="93"/>
      <c r="AC32" s="93"/>
      <c r="AD32" s="93"/>
      <c r="AE32" s="93"/>
      <c r="AF32" s="93"/>
      <c r="AG32" s="93"/>
      <c r="AH32" s="93"/>
      <c r="AI32" s="93"/>
    </row>
    <row r="33" spans="1:35" ht="15" x14ac:dyDescent="0.25">
      <c r="A33" s="160">
        <f t="shared" si="2"/>
        <v>2034</v>
      </c>
      <c r="B33" s="205">
        <f>INDEX('Economic Assumptions'!$B$12:$CC$60,$K33,$B$4+B$6)+'Economic Assumptions'!B$9*'Selected Economics'!$N33</f>
        <v>187.34139948466597</v>
      </c>
      <c r="C33" s="205">
        <f>INDEX('Economic Assumptions'!$B$12:$CC$60,$K33,$B$4+C$6)+'Economic Assumptions'!C$9*'Selected Economics'!$N33</f>
        <v>173.87871115558963</v>
      </c>
      <c r="D33" s="205">
        <f>INDEX('Economic Assumptions'!$B$12:$CC$60,$K33,$B$4+D$6)+'Economic Assumptions'!D$9*'Selected Economics'!$N33</f>
        <v>3.2709856554021823</v>
      </c>
      <c r="E33" s="286">
        <f>INDEX('Economic Assumptions'!$B$12:$CC$60,$K33,$B$4+E$6)</f>
        <v>1</v>
      </c>
      <c r="F33" s="259">
        <f>INDEX('Economic Assumptions'!$B$12:$CC$60,$K33,$B$4+F$6)</f>
        <v>2.5000000000000001E-2</v>
      </c>
      <c r="G33" s="259">
        <f>INDEX('Economic Assumptions'!$B$12:$CC$60,$K33,$B$4+G$6)</f>
        <v>2.5000000000000001E-2</v>
      </c>
      <c r="H33" s="93"/>
      <c r="I33" s="287">
        <f t="shared" si="1"/>
        <v>1.721571397580095</v>
      </c>
      <c r="J33" s="93"/>
      <c r="K33" s="160">
        <f t="shared" si="3"/>
        <v>23</v>
      </c>
      <c r="L33" s="93"/>
      <c r="M33" s="93">
        <f>'Economic Assumptions'!A34</f>
        <v>2034</v>
      </c>
      <c r="N33" s="285">
        <f>IF(M33&lt;=$B$5,1,(1+INDEX('Economic Assumptions'!$B$12:$CC$60,M33-$M$11,$B$4+F$6))*N32)</f>
        <v>1.721571397580095</v>
      </c>
      <c r="O33" s="93"/>
      <c r="P33" s="93"/>
      <c r="Q33" s="93"/>
      <c r="R33" s="93"/>
      <c r="S33" s="93"/>
      <c r="T33" s="93"/>
      <c r="U33" s="93"/>
      <c r="V33" s="93"/>
      <c r="W33" s="93"/>
      <c r="X33" s="93"/>
      <c r="Y33" s="93"/>
      <c r="Z33" s="93"/>
      <c r="AA33" s="93"/>
      <c r="AB33" s="93"/>
      <c r="AC33" s="93"/>
      <c r="AD33" s="93"/>
      <c r="AE33" s="93"/>
      <c r="AF33" s="93"/>
      <c r="AG33" s="93"/>
      <c r="AH33" s="93"/>
      <c r="AI33" s="93"/>
    </row>
    <row r="34" spans="1:35" ht="15" x14ac:dyDescent="0.25">
      <c r="A34" s="160">
        <f t="shared" si="2"/>
        <v>2035</v>
      </c>
      <c r="B34" s="205">
        <f>INDEX('Economic Assumptions'!$B$12:$CC$60,$K34,$B$4+B$6)+'Economic Assumptions'!B$9*'Selected Economics'!$N34</f>
        <v>192.02493447178259</v>
      </c>
      <c r="C34" s="205">
        <f>INDEX('Economic Assumptions'!$B$12:$CC$60,$K34,$B$4+C$6)+'Economic Assumptions'!C$9*'Selected Economics'!$N34</f>
        <v>178.22567893447936</v>
      </c>
      <c r="D34" s="205">
        <f>INDEX('Economic Assumptions'!$B$12:$CC$60,$K34,$B$4+D$6)+'Economic Assumptions'!D$9*'Selected Economics'!$N34</f>
        <v>3.352760296787237</v>
      </c>
      <c r="E34" s="286">
        <f>INDEX('Economic Assumptions'!$B$12:$CC$60,$K34,$B$4+E$6)</f>
        <v>1</v>
      </c>
      <c r="F34" s="259">
        <f>INDEX('Economic Assumptions'!$B$12:$CC$60,$K34,$B$4+F$6)</f>
        <v>2.5000000000000001E-2</v>
      </c>
      <c r="G34" s="259">
        <f>INDEX('Economic Assumptions'!$B$12:$CC$60,$K34,$B$4+G$6)</f>
        <v>2.5000000000000001E-2</v>
      </c>
      <c r="H34" s="93"/>
      <c r="I34" s="287">
        <f t="shared" si="1"/>
        <v>1.7646106825195973</v>
      </c>
      <c r="J34" s="93"/>
      <c r="K34" s="160">
        <f t="shared" si="3"/>
        <v>24</v>
      </c>
      <c r="L34" s="93"/>
      <c r="M34" s="93">
        <f>'Economic Assumptions'!A35</f>
        <v>2035</v>
      </c>
      <c r="N34" s="285">
        <f>IF(M34&lt;=$B$5,1,(1+INDEX('Economic Assumptions'!$B$12:$CC$60,M34-$M$11,$B$4+F$6))*N33)</f>
        <v>1.7646106825195973</v>
      </c>
      <c r="O34" s="93"/>
      <c r="P34" s="93"/>
      <c r="Q34" s="93"/>
      <c r="R34" s="93"/>
      <c r="S34" s="93"/>
      <c r="T34" s="93"/>
      <c r="U34" s="93"/>
      <c r="V34" s="93"/>
      <c r="W34" s="93"/>
      <c r="X34" s="93"/>
      <c r="Y34" s="93"/>
      <c r="Z34" s="93"/>
      <c r="AA34" s="93"/>
      <c r="AB34" s="93"/>
      <c r="AC34" s="93"/>
      <c r="AD34" s="93"/>
      <c r="AE34" s="93"/>
      <c r="AF34" s="93"/>
      <c r="AG34" s="93"/>
      <c r="AH34" s="93"/>
      <c r="AI34" s="93"/>
    </row>
    <row r="35" spans="1:35" ht="15" x14ac:dyDescent="0.25">
      <c r="A35" s="160">
        <f t="shared" si="2"/>
        <v>2036</v>
      </c>
      <c r="B35" s="205">
        <f>INDEX('Economic Assumptions'!$B$12:$CC$60,$K35,$B$4+B$6)+'Economic Assumptions'!B$9*'Selected Economics'!$N35</f>
        <v>196.82555783357714</v>
      </c>
      <c r="C35" s="205">
        <f>INDEX('Economic Assumptions'!$B$12:$CC$60,$K35,$B$4+C$6)+'Economic Assumptions'!C$9*'Selected Economics'!$N35</f>
        <v>182.68132090784133</v>
      </c>
      <c r="D35" s="205">
        <f>INDEX('Economic Assumptions'!$B$12:$CC$60,$K35,$B$4+D$6)+'Economic Assumptions'!D$9*'Selected Economics'!$N35</f>
        <v>3.4365793042069175</v>
      </c>
      <c r="E35" s="286">
        <f>INDEX('Economic Assumptions'!$B$12:$CC$60,$K35,$B$4+E$6)</f>
        <v>1</v>
      </c>
      <c r="F35" s="259">
        <f>INDEX('Economic Assumptions'!$B$12:$CC$60,$K35,$B$4+F$6)</f>
        <v>2.5000000000000001E-2</v>
      </c>
      <c r="G35" s="259">
        <f>INDEX('Economic Assumptions'!$B$12:$CC$60,$K35,$B$4+G$6)</f>
        <v>2.5000000000000001E-2</v>
      </c>
      <c r="H35" s="93"/>
      <c r="I35" s="287">
        <f t="shared" si="1"/>
        <v>1.8087259495825871</v>
      </c>
      <c r="J35" s="93"/>
      <c r="K35" s="160">
        <f t="shared" si="3"/>
        <v>25</v>
      </c>
      <c r="L35" s="93"/>
      <c r="M35" s="93">
        <f>'Economic Assumptions'!A36</f>
        <v>2036</v>
      </c>
      <c r="N35" s="285">
        <f>IF(M35&lt;=$B$5,1,(1+INDEX('Economic Assumptions'!$B$12:$CC$60,M35-$M$11,$B$4+F$6))*N34)</f>
        <v>1.8087259495825871</v>
      </c>
      <c r="O35" s="93"/>
      <c r="P35" s="93"/>
      <c r="Q35" s="93"/>
      <c r="R35" s="93"/>
      <c r="S35" s="93"/>
      <c r="T35" s="93"/>
      <c r="U35" s="93"/>
      <c r="V35" s="93"/>
      <c r="W35" s="93"/>
      <c r="X35" s="93"/>
      <c r="Y35" s="93"/>
      <c r="Z35" s="93"/>
      <c r="AA35" s="93"/>
      <c r="AB35" s="93"/>
      <c r="AC35" s="93"/>
      <c r="AD35" s="93"/>
      <c r="AE35" s="93"/>
      <c r="AF35" s="93"/>
      <c r="AG35" s="93"/>
      <c r="AH35" s="93"/>
      <c r="AI35" s="93"/>
    </row>
    <row r="36" spans="1:35" ht="15" x14ac:dyDescent="0.25">
      <c r="A36" s="160">
        <f t="shared" si="2"/>
        <v>2037</v>
      </c>
      <c r="B36" s="205">
        <f>INDEX('Economic Assumptions'!$B$12:$CC$60,$K36,$B$4+B$6)+'Economic Assumptions'!B$9*'Selected Economics'!$N36</f>
        <v>201.74619677941655</v>
      </c>
      <c r="C36" s="205">
        <f>INDEX('Economic Assumptions'!$B$12:$CC$60,$K36,$B$4+C$6)+'Economic Assumptions'!C$9*'Selected Economics'!$N36</f>
        <v>187.24835393053735</v>
      </c>
      <c r="D36" s="205">
        <f>INDEX('Economic Assumptions'!$B$12:$CC$60,$K36,$B$4+D$6)+'Economic Assumptions'!D$9*'Selected Economics'!$N36</f>
        <v>3.52249378681209</v>
      </c>
      <c r="E36" s="286">
        <f>INDEX('Economic Assumptions'!$B$12:$CC$60,$K36,$B$4+E$6)</f>
        <v>1</v>
      </c>
      <c r="F36" s="259">
        <f>INDEX('Economic Assumptions'!$B$12:$CC$60,$K36,$B$4+F$6)</f>
        <v>2.5000000000000001E-2</v>
      </c>
      <c r="G36" s="259">
        <f>INDEX('Economic Assumptions'!$B$12:$CC$60,$K36,$B$4+G$6)</f>
        <v>2.5000000000000001E-2</v>
      </c>
      <c r="H36" s="93"/>
      <c r="I36" s="287">
        <f t="shared" si="1"/>
        <v>1.8539440983221516</v>
      </c>
      <c r="J36" s="93"/>
      <c r="K36" s="160">
        <f t="shared" si="3"/>
        <v>26</v>
      </c>
      <c r="L36" s="93"/>
      <c r="M36" s="93">
        <f>'Economic Assumptions'!A37</f>
        <v>2037</v>
      </c>
      <c r="N36" s="285">
        <f>IF(M36&lt;=$B$5,1,(1+INDEX('Economic Assumptions'!$B$12:$CC$60,M36-$M$11,$B$4+F$6))*N35)</f>
        <v>1.8539440983221516</v>
      </c>
      <c r="O36" s="93"/>
      <c r="P36" s="93"/>
      <c r="Q36" s="93"/>
      <c r="R36" s="93"/>
      <c r="S36" s="93"/>
      <c r="T36" s="93"/>
      <c r="U36" s="93"/>
      <c r="V36" s="93"/>
      <c r="W36" s="93"/>
      <c r="X36" s="93"/>
      <c r="Y36" s="93"/>
      <c r="Z36" s="93"/>
      <c r="AA36" s="93"/>
      <c r="AB36" s="93"/>
      <c r="AC36" s="93"/>
      <c r="AD36" s="93"/>
      <c r="AE36" s="93"/>
      <c r="AF36" s="93"/>
      <c r="AG36" s="93"/>
      <c r="AH36" s="93"/>
      <c r="AI36" s="93"/>
    </row>
    <row r="37" spans="1:35" ht="15" x14ac:dyDescent="0.25">
      <c r="A37" s="160">
        <f t="shared" si="2"/>
        <v>2038</v>
      </c>
      <c r="B37" s="205">
        <f>INDEX('Economic Assumptions'!$B$12:$CC$60,$K37,$B$4+B$6)+'Economic Assumptions'!B$9*'Selected Economics'!$N37</f>
        <v>206.78985169890191</v>
      </c>
      <c r="C37" s="205">
        <f>INDEX('Economic Assumptions'!$B$12:$CC$60,$K37,$B$4+C$6)+'Economic Assumptions'!C$9*'Selected Economics'!$N37</f>
        <v>191.92956277880074</v>
      </c>
      <c r="D37" s="205">
        <f>INDEX('Economic Assumptions'!$B$12:$CC$60,$K37,$B$4+D$6)+'Economic Assumptions'!D$9*'Selected Economics'!$N37</f>
        <v>3.610556131482392</v>
      </c>
      <c r="E37" s="286">
        <f>INDEX('Economic Assumptions'!$B$12:$CC$60,$K37,$B$4+E$6)</f>
        <v>1</v>
      </c>
      <c r="F37" s="259">
        <f>INDEX('Economic Assumptions'!$B$12:$CC$60,$K37,$B$4+F$6)</f>
        <v>2.5000000000000001E-2</v>
      </c>
      <c r="G37" s="259">
        <f>INDEX('Economic Assumptions'!$B$12:$CC$60,$K37,$B$4+G$6)</f>
        <v>2.5000000000000001E-2</v>
      </c>
      <c r="H37" s="93"/>
      <c r="I37" s="287">
        <f t="shared" si="1"/>
        <v>1.9002927007802053</v>
      </c>
      <c r="J37" s="93"/>
      <c r="K37" s="160">
        <f t="shared" si="3"/>
        <v>27</v>
      </c>
      <c r="L37" s="93"/>
      <c r="M37" s="93">
        <f>'Economic Assumptions'!A38</f>
        <v>2038</v>
      </c>
      <c r="N37" s="285">
        <f>IF(M37&lt;=$B$5,1,(1+INDEX('Economic Assumptions'!$B$12:$CC$60,M37-$M$11,$B$4+F$6))*N36)</f>
        <v>1.9002927007802053</v>
      </c>
      <c r="O37" s="93"/>
      <c r="P37" s="93"/>
      <c r="Q37" s="93"/>
      <c r="R37" s="93"/>
      <c r="S37" s="93"/>
      <c r="T37" s="93"/>
      <c r="U37" s="93"/>
      <c r="V37" s="93"/>
      <c r="W37" s="93"/>
      <c r="X37" s="93"/>
      <c r="Y37" s="93"/>
      <c r="Z37" s="93"/>
      <c r="AA37" s="93"/>
      <c r="AB37" s="93"/>
      <c r="AC37" s="93"/>
      <c r="AD37" s="93"/>
      <c r="AE37" s="93"/>
      <c r="AF37" s="93"/>
      <c r="AG37" s="93"/>
      <c r="AH37" s="93"/>
      <c r="AI37" s="93"/>
    </row>
    <row r="38" spans="1:35" ht="15" x14ac:dyDescent="0.25">
      <c r="A38" s="160">
        <f t="shared" si="2"/>
        <v>2039</v>
      </c>
      <c r="B38" s="205">
        <f>INDEX('Economic Assumptions'!$B$12:$CC$60,$K38,$B$4+B$6)+'Economic Assumptions'!B$9*'Selected Economics'!$N38</f>
        <v>211.95959799137444</v>
      </c>
      <c r="C38" s="205">
        <f>INDEX('Economic Assumptions'!$B$12:$CC$60,$K38,$B$4+C$6)+'Economic Assumptions'!C$9*'Selected Economics'!$N38</f>
        <v>196.72780184827076</v>
      </c>
      <c r="D38" s="205">
        <f>INDEX('Economic Assumptions'!$B$12:$CC$60,$K38,$B$4+D$6)+'Economic Assumptions'!D$9*'Selected Economics'!$N38</f>
        <v>3.7008200347694511</v>
      </c>
      <c r="E38" s="286">
        <f>INDEX('Economic Assumptions'!$B$12:$CC$60,$K38,$B$4+E$6)</f>
        <v>1</v>
      </c>
      <c r="F38" s="259">
        <f>INDEX('Economic Assumptions'!$B$12:$CC$60,$K38,$B$4+F$6)</f>
        <v>2.5000000000000001E-2</v>
      </c>
      <c r="G38" s="259">
        <f>INDEX('Economic Assumptions'!$B$12:$CC$60,$K38,$B$4+G$6)</f>
        <v>2.5000000000000001E-2</v>
      </c>
      <c r="H38" s="93"/>
      <c r="I38" s="287">
        <f t="shared" si="1"/>
        <v>1.9478000182997102</v>
      </c>
      <c r="J38" s="93"/>
      <c r="K38" s="160">
        <f t="shared" si="3"/>
        <v>28</v>
      </c>
      <c r="L38" s="93"/>
      <c r="M38" s="93">
        <f>'Economic Assumptions'!A39</f>
        <v>2039</v>
      </c>
      <c r="N38" s="285">
        <f>IF(M38&lt;=$B$5,1,(1+INDEX('Economic Assumptions'!$B$12:$CC$60,M38-$M$11,$B$4+F$6))*N37)</f>
        <v>1.9478000182997102</v>
      </c>
      <c r="O38" s="93"/>
      <c r="P38" s="93"/>
      <c r="Q38" s="93"/>
      <c r="R38" s="93"/>
      <c r="S38" s="93"/>
      <c r="T38" s="93"/>
      <c r="U38" s="93"/>
      <c r="V38" s="93"/>
      <c r="W38" s="93"/>
      <c r="X38" s="93"/>
      <c r="Y38" s="93"/>
      <c r="Z38" s="93"/>
      <c r="AA38" s="93"/>
      <c r="AB38" s="93"/>
      <c r="AC38" s="93"/>
      <c r="AD38" s="93"/>
      <c r="AE38" s="93"/>
      <c r="AF38" s="93"/>
      <c r="AG38" s="93"/>
      <c r="AH38" s="93"/>
      <c r="AI38" s="93"/>
    </row>
    <row r="39" spans="1:35" ht="15" x14ac:dyDescent="0.25">
      <c r="A39" s="160">
        <f t="shared" si="2"/>
        <v>2040</v>
      </c>
      <c r="B39" s="205">
        <f>INDEX('Economic Assumptions'!$B$12:$CC$60,$K39,$B$4+B$6)+'Economic Assumptions'!B$9*'Selected Economics'!$N39</f>
        <v>217.25858794115877</v>
      </c>
      <c r="C39" s="205">
        <f>INDEX('Economic Assumptions'!$B$12:$CC$60,$K39,$B$4+C$6)+'Economic Assumptions'!C$9*'Selected Economics'!$N39</f>
        <v>201.64599689447749</v>
      </c>
      <c r="D39" s="205">
        <f>INDEX('Economic Assumptions'!$B$12:$CC$60,$K39,$B$4+D$6)+'Economic Assumptions'!D$9*'Selected Economics'!$N39</f>
        <v>3.7933405356386869</v>
      </c>
      <c r="E39" s="286">
        <f>INDEX('Economic Assumptions'!$B$12:$CC$60,$K39,$B$4+E$6)</f>
        <v>1</v>
      </c>
      <c r="F39" s="259">
        <f>INDEX('Economic Assumptions'!$B$12:$CC$60,$K39,$B$4+F$6)</f>
        <v>2.5000000000000001E-2</v>
      </c>
      <c r="G39" s="259">
        <f>INDEX('Economic Assumptions'!$B$12:$CC$60,$K39,$B$4+G$6)</f>
        <v>2.5000000000000001E-2</v>
      </c>
      <c r="H39" s="93"/>
      <c r="I39" s="287">
        <f t="shared" si="1"/>
        <v>1.9964950187572028</v>
      </c>
      <c r="J39" s="93"/>
      <c r="K39" s="160">
        <f t="shared" si="3"/>
        <v>29</v>
      </c>
      <c r="L39" s="93"/>
      <c r="M39" s="93">
        <f>'Economic Assumptions'!A40</f>
        <v>2040</v>
      </c>
      <c r="N39" s="285">
        <f>IF(M39&lt;=$B$5,1,(1+INDEX('Economic Assumptions'!$B$12:$CC$60,M39-$M$11,$B$4+F$6))*N38)</f>
        <v>1.9964950187572028</v>
      </c>
      <c r="O39" s="93"/>
      <c r="P39" s="93"/>
      <c r="Q39" s="93"/>
      <c r="R39" s="93"/>
      <c r="S39" s="93"/>
      <c r="T39" s="93"/>
      <c r="U39" s="93"/>
      <c r="V39" s="93"/>
      <c r="W39" s="93"/>
      <c r="X39" s="93"/>
      <c r="Y39" s="93"/>
      <c r="Z39" s="93"/>
      <c r="AA39" s="93"/>
      <c r="AB39" s="93"/>
      <c r="AC39" s="93"/>
      <c r="AD39" s="93"/>
      <c r="AE39" s="93"/>
      <c r="AF39" s="93"/>
      <c r="AG39" s="93"/>
      <c r="AH39" s="93"/>
      <c r="AI39" s="93"/>
    </row>
    <row r="40" spans="1:35" x14ac:dyDescent="0.3">
      <c r="A40" s="160">
        <f t="shared" si="2"/>
        <v>2041</v>
      </c>
      <c r="B40" s="205">
        <f>INDEX('Economic Assumptions'!$B$12:$CC$60,$K40,$B$4+B$6)+'Economic Assumptions'!B$9*'Selected Economics'!$N40</f>
        <v>222.69005263968771</v>
      </c>
      <c r="C40" s="205">
        <f>INDEX('Economic Assumptions'!$B$12:$CC$60,$K40,$B$4+C$6)+'Economic Assumptions'!C$9*'Selected Economics'!$N40</f>
        <v>206.6871468168394</v>
      </c>
      <c r="D40" s="205">
        <f>INDEX('Economic Assumptions'!$B$12:$CC$60,$K40,$B$4+D$6)+'Economic Assumptions'!D$9*'Selected Economics'!$N40</f>
        <v>3.8881740490296539</v>
      </c>
      <c r="E40" s="286">
        <f>INDEX('Economic Assumptions'!$B$12:$CC$60,$K40,$B$4+E$6)</f>
        <v>1</v>
      </c>
      <c r="F40" s="259">
        <f>INDEX('Economic Assumptions'!$B$12:$CC$60,$K40,$B$4+F$6)</f>
        <v>2.5000000000000001E-2</v>
      </c>
      <c r="G40" s="259">
        <f>INDEX('Economic Assumptions'!$B$12:$CC$60,$K40,$B$4+G$6)</f>
        <v>2.5000000000000001E-2</v>
      </c>
      <c r="H40" s="93"/>
      <c r="I40" s="287">
        <f t="shared" si="1"/>
        <v>2.0464073942261325</v>
      </c>
      <c r="J40" s="93"/>
      <c r="K40" s="160">
        <f t="shared" si="3"/>
        <v>30</v>
      </c>
      <c r="L40" s="93"/>
      <c r="M40" s="93">
        <f>'Economic Assumptions'!A41</f>
        <v>2041</v>
      </c>
      <c r="N40" s="285">
        <f>IF(M40&lt;=$B$5,1,(1+INDEX('Economic Assumptions'!$B$12:$CC$60,M40-$M$11,$B$4+F$6))*N39)</f>
        <v>2.0464073942261325</v>
      </c>
      <c r="O40" s="93"/>
      <c r="P40" s="93"/>
      <c r="Q40" s="93"/>
      <c r="R40" s="93"/>
      <c r="S40" s="93"/>
      <c r="T40" s="93"/>
      <c r="U40" s="93"/>
      <c r="V40" s="93"/>
      <c r="W40" s="93"/>
      <c r="X40" s="93"/>
      <c r="Y40" s="93"/>
      <c r="Z40" s="93"/>
      <c r="AA40" s="93"/>
      <c r="AB40" s="93"/>
      <c r="AC40" s="93"/>
      <c r="AD40" s="93"/>
      <c r="AE40" s="93"/>
      <c r="AF40" s="93"/>
      <c r="AG40" s="93"/>
      <c r="AH40" s="93"/>
      <c r="AI40" s="93"/>
    </row>
    <row r="41" spans="1:35" x14ac:dyDescent="0.3">
      <c r="A41" s="160">
        <f t="shared" si="2"/>
        <v>2042</v>
      </c>
      <c r="B41" s="205">
        <f>INDEX('Economic Assumptions'!$B$12:$CC$60,$K41,$B$4+B$6)+'Economic Assumptions'!B$9*'Selected Economics'!$N41</f>
        <v>228.2573039556799</v>
      </c>
      <c r="C41" s="205">
        <f>INDEX('Economic Assumptions'!$B$12:$CC$60,$K41,$B$4+C$6)+'Economic Assumptions'!C$9*'Selected Economics'!$N41</f>
        <v>211.85432548726038</v>
      </c>
      <c r="D41" s="205">
        <f>INDEX('Economic Assumptions'!$B$12:$CC$60,$K41,$B$4+D$6)+'Economic Assumptions'!D$9*'Selected Economics'!$N41</f>
        <v>3.9853784002553945</v>
      </c>
      <c r="E41" s="286">
        <f>INDEX('Economic Assumptions'!$B$12:$CC$60,$K41,$B$4+E$6)</f>
        <v>1</v>
      </c>
      <c r="F41" s="259">
        <f>INDEX('Economic Assumptions'!$B$12:$CC$60,$K41,$B$4+F$6)</f>
        <v>2.5000000000000001E-2</v>
      </c>
      <c r="G41" s="259">
        <f>INDEX('Economic Assumptions'!$B$12:$CC$60,$K41,$B$4+G$6)</f>
        <v>2.5000000000000001E-2</v>
      </c>
      <c r="H41" s="93"/>
      <c r="I41" s="287">
        <f t="shared" si="1"/>
        <v>2.0975675790817858</v>
      </c>
      <c r="J41" s="93"/>
      <c r="K41" s="160">
        <f t="shared" si="3"/>
        <v>31</v>
      </c>
      <c r="L41" s="93"/>
      <c r="M41" s="93">
        <f>'Economic Assumptions'!A42</f>
        <v>2042</v>
      </c>
      <c r="N41" s="285">
        <f>IF(M41&lt;=$B$5,1,(1+INDEX('Economic Assumptions'!$B$12:$CC$60,M41-$M$11,$B$4+F$6))*N40)</f>
        <v>2.0975675790817858</v>
      </c>
      <c r="O41" s="93"/>
      <c r="P41" s="93"/>
      <c r="Q41" s="93"/>
      <c r="R41" s="93"/>
      <c r="S41" s="93"/>
      <c r="T41" s="93"/>
      <c r="U41" s="93"/>
      <c r="V41" s="93"/>
      <c r="W41" s="93"/>
      <c r="X41" s="93"/>
      <c r="Y41" s="93"/>
      <c r="Z41" s="93"/>
      <c r="AA41" s="93"/>
      <c r="AB41" s="93"/>
      <c r="AC41" s="93"/>
      <c r="AD41" s="93"/>
      <c r="AE41" s="93"/>
      <c r="AF41" s="93"/>
      <c r="AG41" s="93"/>
      <c r="AH41" s="93"/>
      <c r="AI41" s="93"/>
    </row>
    <row r="42" spans="1:35" x14ac:dyDescent="0.3">
      <c r="A42" s="160">
        <f t="shared" si="2"/>
        <v>2043</v>
      </c>
      <c r="B42" s="205">
        <f>INDEX('Economic Assumptions'!$B$12:$CC$60,$K42,$B$4+B$6)+'Economic Assumptions'!B$9*'Selected Economics'!$N42</f>
        <v>233.96373655457188</v>
      </c>
      <c r="C42" s="205">
        <f>INDEX('Economic Assumptions'!$B$12:$CC$60,$K42,$B$4+C$6)+'Economic Assumptions'!C$9*'Selected Economics'!$N42</f>
        <v>217.15068362444185</v>
      </c>
      <c r="D42" s="205">
        <f>INDEX('Economic Assumptions'!$B$12:$CC$60,$K42,$B$4+D$6)+'Economic Assumptions'!D$9*'Selected Economics'!$N42</f>
        <v>4.085012860261779</v>
      </c>
      <c r="E42" s="286">
        <f>INDEX('Economic Assumptions'!$B$12:$CC$60,$K42,$B$4+E$6)</f>
        <v>1</v>
      </c>
      <c r="F42" s="259">
        <f>INDEX('Economic Assumptions'!$B$12:$CC$60,$K42,$B$4+F$6)</f>
        <v>2.5000000000000001E-2</v>
      </c>
      <c r="G42" s="259">
        <f>INDEX('Economic Assumptions'!$B$12:$CC$60,$K42,$B$4+G$6)</f>
        <v>2.5000000000000001E-2</v>
      </c>
      <c r="H42" s="93"/>
      <c r="I42" s="287">
        <f t="shared" si="1"/>
        <v>2.1500067685588302</v>
      </c>
      <c r="J42" s="93"/>
      <c r="K42" s="160">
        <f t="shared" si="3"/>
        <v>32</v>
      </c>
      <c r="L42" s="93"/>
      <c r="M42" s="93">
        <f>'Economic Assumptions'!A43</f>
        <v>2043</v>
      </c>
      <c r="N42" s="285">
        <f>IF(M42&lt;=$B$5,1,(1+INDEX('Economic Assumptions'!$B$12:$CC$60,M42-$M$11,$B$4+F$6))*N41)</f>
        <v>2.1500067685588302</v>
      </c>
      <c r="O42" s="93"/>
      <c r="P42" s="93"/>
      <c r="Q42" s="93"/>
      <c r="R42" s="93"/>
      <c r="S42" s="93"/>
      <c r="T42" s="93"/>
      <c r="U42" s="93"/>
      <c r="V42" s="93"/>
      <c r="W42" s="93"/>
      <c r="X42" s="93"/>
      <c r="Y42" s="93"/>
      <c r="Z42" s="93"/>
      <c r="AA42" s="93"/>
      <c r="AB42" s="93"/>
      <c r="AC42" s="93"/>
      <c r="AD42" s="93"/>
      <c r="AE42" s="93"/>
      <c r="AF42" s="93"/>
      <c r="AG42" s="93"/>
      <c r="AH42" s="93"/>
      <c r="AI42" s="93"/>
    </row>
    <row r="43" spans="1:35" x14ac:dyDescent="0.3">
      <c r="A43" s="160">
        <f t="shared" si="2"/>
        <v>2044</v>
      </c>
      <c r="B43" s="205">
        <f>INDEX('Economic Assumptions'!$B$12:$CC$60,$K43,$B$4+B$6)+'Economic Assumptions'!B$9*'Selected Economics'!$N43</f>
        <v>239.81282996843615</v>
      </c>
      <c r="C43" s="205">
        <f>INDEX('Economic Assumptions'!$B$12:$CC$60,$K43,$B$4+C$6)+'Economic Assumptions'!C$9*'Selected Economics'!$N43</f>
        <v>222.57945071505287</v>
      </c>
      <c r="D43" s="205">
        <f>INDEX('Economic Assumptions'!$B$12:$CC$60,$K43,$B$4+D$6)+'Economic Assumptions'!D$9*'Selected Economics'!$N43</f>
        <v>4.1871381817683222</v>
      </c>
      <c r="E43" s="286">
        <f>INDEX('Economic Assumptions'!$B$12:$CC$60,$K43,$B$4+E$6)</f>
        <v>1</v>
      </c>
      <c r="F43" s="259">
        <f>INDEX('Economic Assumptions'!$B$12:$CC$60,$K43,$B$4+F$6)</f>
        <v>2.5000000000000001E-2</v>
      </c>
      <c r="G43" s="259">
        <f>INDEX('Economic Assumptions'!$B$12:$CC$60,$K43,$B$4+G$6)</f>
        <v>2.5000000000000001E-2</v>
      </c>
      <c r="H43" s="93"/>
      <c r="I43" s="287">
        <f t="shared" si="1"/>
        <v>2.2037569377728006</v>
      </c>
      <c r="J43" s="93"/>
      <c r="K43" s="160">
        <f t="shared" si="3"/>
        <v>33</v>
      </c>
      <c r="L43" s="93"/>
      <c r="M43" s="93">
        <f>'Economic Assumptions'!A44</f>
        <v>2044</v>
      </c>
      <c r="N43" s="285">
        <f>IF(M43&lt;=$B$5,1,(1+INDEX('Economic Assumptions'!$B$12:$CC$60,M43-$M$11,$B$4+F$6))*N42)</f>
        <v>2.2037569377728006</v>
      </c>
      <c r="O43" s="93"/>
      <c r="P43" s="93"/>
      <c r="Q43" s="93"/>
      <c r="R43" s="93"/>
      <c r="S43" s="93"/>
      <c r="T43" s="93"/>
      <c r="U43" s="93"/>
      <c r="V43" s="93"/>
      <c r="W43" s="93"/>
      <c r="X43" s="93"/>
      <c r="Y43" s="93"/>
      <c r="Z43" s="93"/>
      <c r="AA43" s="93"/>
      <c r="AB43" s="93"/>
      <c r="AC43" s="93"/>
      <c r="AD43" s="93"/>
      <c r="AE43" s="93"/>
      <c r="AF43" s="93"/>
      <c r="AG43" s="93"/>
      <c r="AH43" s="93"/>
      <c r="AI43" s="93"/>
    </row>
    <row r="44" spans="1:35" x14ac:dyDescent="0.3">
      <c r="A44" s="160">
        <f t="shared" si="2"/>
        <v>2045</v>
      </c>
      <c r="B44" s="205">
        <f>INDEX('Economic Assumptions'!$B$12:$CC$60,$K44,$B$4+B$6)+'Economic Assumptions'!B$9*'Selected Economics'!$N44</f>
        <v>245.80815071764704</v>
      </c>
      <c r="C44" s="205">
        <f>INDEX('Economic Assumptions'!$B$12:$CC$60,$K44,$B$4+C$6)+'Economic Assumptions'!C$9*'Selected Economics'!$N44</f>
        <v>228.1439369829292</v>
      </c>
      <c r="D44" s="205">
        <f>INDEX('Economic Assumptions'!$B$12:$CC$60,$K44,$B$4+D$6)+'Economic Assumptions'!D$9*'Selected Economics'!$N44</f>
        <v>4.2918166363125296</v>
      </c>
      <c r="E44" s="286">
        <f>INDEX('Economic Assumptions'!$B$12:$CC$60,$K44,$B$4+E$6)</f>
        <v>1</v>
      </c>
      <c r="F44" s="259">
        <f>INDEX('Economic Assumptions'!$B$12:$CC$60,$K44,$B$4+F$6)</f>
        <v>2.5000000000000001E-2</v>
      </c>
      <c r="G44" s="259">
        <f>INDEX('Economic Assumptions'!$B$12:$CC$60,$K44,$B$4+G$6)</f>
        <v>2.5000000000000001E-2</v>
      </c>
      <c r="H44" s="93"/>
      <c r="I44" s="287">
        <f t="shared" si="1"/>
        <v>2.2588508612171205</v>
      </c>
      <c r="J44" s="93"/>
      <c r="K44" s="160">
        <f t="shared" si="3"/>
        <v>34</v>
      </c>
      <c r="L44" s="93"/>
      <c r="M44" s="93">
        <f>'Economic Assumptions'!A45</f>
        <v>2045</v>
      </c>
      <c r="N44" s="285">
        <f>IF(M44&lt;=$B$5,1,(1+INDEX('Economic Assumptions'!$B$12:$CC$60,M44-$M$11,$B$4+F$6))*N43)</f>
        <v>2.2588508612171205</v>
      </c>
      <c r="O44" s="93"/>
      <c r="P44" s="93"/>
      <c r="Q44" s="93"/>
      <c r="R44" s="93"/>
      <c r="S44" s="93"/>
      <c r="T44" s="93"/>
      <c r="U44" s="93"/>
      <c r="V44" s="93"/>
      <c r="W44" s="93"/>
      <c r="X44" s="93"/>
      <c r="Y44" s="93"/>
      <c r="Z44" s="93"/>
      <c r="AA44" s="93"/>
      <c r="AB44" s="93"/>
      <c r="AC44" s="93"/>
      <c r="AD44" s="93"/>
      <c r="AE44" s="93"/>
      <c r="AF44" s="93"/>
      <c r="AG44" s="93"/>
      <c r="AH44" s="93"/>
      <c r="AI44" s="93"/>
    </row>
    <row r="45" spans="1:35" x14ac:dyDescent="0.3">
      <c r="A45" s="160">
        <f t="shared" si="2"/>
        <v>2046</v>
      </c>
      <c r="B45" s="205">
        <f>INDEX('Economic Assumptions'!$B$12:$CC$60,$K45,$B$4+B$6)+'Economic Assumptions'!B$9*'Selected Economics'!$N45</f>
        <v>251.95335448558819</v>
      </c>
      <c r="C45" s="205">
        <f>INDEX('Economic Assumptions'!$B$12:$CC$60,$K45,$B$4+C$6)+'Economic Assumptions'!C$9*'Selected Economics'!$N45</f>
        <v>233.84753540750242</v>
      </c>
      <c r="D45" s="205">
        <f>INDEX('Economic Assumptions'!$B$12:$CC$60,$K45,$B$4+D$6)+'Economic Assumptions'!D$9*'Selected Economics'!$N45</f>
        <v>4.3991120522203424</v>
      </c>
      <c r="E45" s="286">
        <f>INDEX('Economic Assumptions'!$B$12:$CC$60,$K45,$B$4+E$6)</f>
        <v>1</v>
      </c>
      <c r="F45" s="259">
        <f>INDEX('Economic Assumptions'!$B$12:$CC$60,$K45,$B$4+F$6)</f>
        <v>2.5000000000000001E-2</v>
      </c>
      <c r="G45" s="259">
        <f>INDEX('Economic Assumptions'!$B$12:$CC$60,$K45,$B$4+G$6)</f>
        <v>2.5000000000000001E-2</v>
      </c>
      <c r="H45" s="93"/>
      <c r="I45" s="287">
        <f t="shared" si="1"/>
        <v>2.3153221327475482</v>
      </c>
      <c r="J45" s="93"/>
      <c r="K45" s="160">
        <f t="shared" si="3"/>
        <v>35</v>
      </c>
      <c r="L45" s="93"/>
      <c r="M45" s="93">
        <f>'Economic Assumptions'!A46</f>
        <v>2046</v>
      </c>
      <c r="N45" s="285">
        <f>IF(M45&lt;=$B$5,1,(1+INDEX('Economic Assumptions'!$B$12:$CC$60,M45-$M$11,$B$4+F$6))*N44)</f>
        <v>2.3153221327475482</v>
      </c>
      <c r="O45" s="93"/>
      <c r="P45" s="93"/>
      <c r="Q45" s="93"/>
      <c r="R45" s="93"/>
      <c r="S45" s="93"/>
      <c r="T45" s="93"/>
      <c r="U45" s="93"/>
      <c r="V45" s="93"/>
      <c r="W45" s="93"/>
      <c r="X45" s="93"/>
      <c r="Y45" s="93"/>
      <c r="Z45" s="93"/>
      <c r="AA45" s="93"/>
      <c r="AB45" s="93"/>
      <c r="AC45" s="93"/>
      <c r="AD45" s="93"/>
      <c r="AE45" s="93"/>
      <c r="AF45" s="93"/>
      <c r="AG45" s="93"/>
      <c r="AH45" s="93"/>
      <c r="AI45" s="93"/>
    </row>
    <row r="46" spans="1:35" x14ac:dyDescent="0.3">
      <c r="A46" s="160">
        <f t="shared" si="2"/>
        <v>2047</v>
      </c>
      <c r="B46" s="205">
        <f>INDEX('Economic Assumptions'!$B$12:$CC$60,$K46,$B$4+B$6)+'Economic Assumptions'!B$9*'Selected Economics'!$N46</f>
        <v>258.25218834772789</v>
      </c>
      <c r="C46" s="205">
        <f>INDEX('Economic Assumptions'!$B$12:$CC$60,$K46,$B$4+C$6)+'Economic Assumptions'!C$9*'Selected Economics'!$N46</f>
        <v>239.69372379268995</v>
      </c>
      <c r="D46" s="205">
        <f>INDEX('Economic Assumptions'!$B$12:$CC$60,$K46,$B$4+D$6)+'Economic Assumptions'!D$9*'Selected Economics'!$N46</f>
        <v>4.5090898535258503</v>
      </c>
      <c r="E46" s="286">
        <f>INDEX('Economic Assumptions'!$B$12:$CC$60,$K46,$B$4+E$6)</f>
        <v>1</v>
      </c>
      <c r="F46" s="259">
        <f>INDEX('Economic Assumptions'!$B$12:$CC$60,$K46,$B$4+F$6)</f>
        <v>2.5000000000000001E-2</v>
      </c>
      <c r="G46" s="259">
        <f>INDEX('Economic Assumptions'!$B$12:$CC$60,$K46,$B$4+G$6)</f>
        <v>2.5000000000000001E-2</v>
      </c>
      <c r="H46" s="93"/>
      <c r="I46" s="287">
        <f t="shared" si="1"/>
        <v>2.3732051860662366</v>
      </c>
      <c r="J46" s="93"/>
      <c r="K46" s="160">
        <f t="shared" si="3"/>
        <v>36</v>
      </c>
      <c r="L46" s="93"/>
      <c r="M46" s="93">
        <f>'Economic Assumptions'!A47</f>
        <v>2047</v>
      </c>
      <c r="N46" s="285">
        <f>IF(M46&lt;=$B$5,1,(1+INDEX('Economic Assumptions'!$B$12:$CC$60,M46-$M$11,$B$4+F$6))*N45)</f>
        <v>2.3732051860662366</v>
      </c>
      <c r="O46" s="93"/>
      <c r="P46" s="93"/>
      <c r="Q46" s="93"/>
      <c r="R46" s="93"/>
      <c r="S46" s="93"/>
      <c r="T46" s="93"/>
      <c r="U46" s="93"/>
      <c r="V46" s="93"/>
      <c r="W46" s="93"/>
      <c r="X46" s="93"/>
      <c r="Y46" s="93"/>
      <c r="Z46" s="93"/>
      <c r="AA46" s="93"/>
      <c r="AB46" s="93"/>
      <c r="AC46" s="93"/>
      <c r="AD46" s="93"/>
      <c r="AE46" s="93"/>
      <c r="AF46" s="93"/>
      <c r="AG46" s="93"/>
      <c r="AH46" s="93"/>
      <c r="AI46" s="93"/>
    </row>
    <row r="47" spans="1:35" x14ac:dyDescent="0.3">
      <c r="A47" s="160">
        <f t="shared" si="2"/>
        <v>2048</v>
      </c>
      <c r="B47" s="205">
        <f>INDEX('Economic Assumptions'!$B$12:$CC$60,$K47,$B$4+B$6)+'Economic Assumptions'!B$9*'Selected Economics'!$N47</f>
        <v>264.70849305642105</v>
      </c>
      <c r="C47" s="205">
        <f>INDEX('Economic Assumptions'!$B$12:$CC$60,$K47,$B$4+C$6)+'Economic Assumptions'!C$9*'Selected Economics'!$N47</f>
        <v>245.6860668875072</v>
      </c>
      <c r="D47" s="205">
        <f>INDEX('Economic Assumptions'!$B$12:$CC$60,$K47,$B$4+D$6)+'Economic Assumptions'!D$9*'Selected Economics'!$N47</f>
        <v>4.6218170998639962</v>
      </c>
      <c r="E47" s="286">
        <f>INDEX('Economic Assumptions'!$B$12:$CC$60,$K47,$B$4+E$6)</f>
        <v>1</v>
      </c>
      <c r="F47" s="259">
        <f>INDEX('Economic Assumptions'!$B$12:$CC$60,$K47,$B$4+F$6)</f>
        <v>2.5000000000000001E-2</v>
      </c>
      <c r="G47" s="259">
        <f>INDEX('Economic Assumptions'!$B$12:$CC$60,$K47,$B$4+G$6)</f>
        <v>2.5000000000000001E-2</v>
      </c>
      <c r="H47" s="93"/>
      <c r="I47" s="287">
        <f t="shared" si="1"/>
        <v>2.4325353157178924</v>
      </c>
      <c r="J47" s="93"/>
      <c r="K47" s="160">
        <f t="shared" si="3"/>
        <v>37</v>
      </c>
      <c r="L47" s="93"/>
      <c r="M47" s="93">
        <f>'Economic Assumptions'!A48</f>
        <v>2048</v>
      </c>
      <c r="N47" s="285">
        <f>IF(M47&lt;=$B$5,1,(1+INDEX('Economic Assumptions'!$B$12:$CC$60,M47-$M$11,$B$4+F$6))*N46)</f>
        <v>2.4325353157178924</v>
      </c>
      <c r="O47" s="93"/>
      <c r="P47" s="93"/>
      <c r="Q47" s="93"/>
      <c r="R47" s="93"/>
      <c r="S47" s="93"/>
      <c r="T47" s="93"/>
      <c r="U47" s="93"/>
      <c r="V47" s="93"/>
      <c r="W47" s="93"/>
      <c r="X47" s="93"/>
      <c r="Y47" s="93"/>
      <c r="Z47" s="93"/>
      <c r="AA47" s="93"/>
      <c r="AB47" s="93"/>
      <c r="AC47" s="93"/>
      <c r="AD47" s="93"/>
      <c r="AE47" s="93"/>
      <c r="AF47" s="93"/>
      <c r="AG47" s="93"/>
      <c r="AH47" s="93"/>
      <c r="AI47" s="93"/>
    </row>
    <row r="48" spans="1:35" x14ac:dyDescent="0.3">
      <c r="A48" s="160">
        <f t="shared" si="2"/>
        <v>2049</v>
      </c>
      <c r="B48" s="205">
        <f>INDEX('Economic Assumptions'!$B$12:$CC$60,$K48,$B$4+B$6)+'Economic Assumptions'!B$9*'Selected Economics'!$N48</f>
        <v>271.32620538283157</v>
      </c>
      <c r="C48" s="205">
        <f>INDEX('Economic Assumptions'!$B$12:$CC$60,$K48,$B$4+C$6)+'Economic Assumptions'!C$9*'Selected Economics'!$N48</f>
        <v>251.82821855969485</v>
      </c>
      <c r="D48" s="205">
        <f>INDEX('Economic Assumptions'!$B$12:$CC$60,$K48,$B$4+D$6)+'Economic Assumptions'!D$9*'Selected Economics'!$N48</f>
        <v>4.7373625273605962</v>
      </c>
      <c r="E48" s="286">
        <f>INDEX('Economic Assumptions'!$B$12:$CC$60,$K48,$B$4+E$6)</f>
        <v>1</v>
      </c>
      <c r="F48" s="259">
        <f>INDEX('Economic Assumptions'!$B$12:$CC$60,$K48,$B$4+F$6)</f>
        <v>2.5000000000000001E-2</v>
      </c>
      <c r="G48" s="259">
        <f>INDEX('Economic Assumptions'!$B$12:$CC$60,$K48,$B$4+G$6)</f>
        <v>2.5000000000000001E-2</v>
      </c>
      <c r="H48" s="93"/>
      <c r="I48" s="287">
        <f t="shared" si="1"/>
        <v>2.4933486986108395</v>
      </c>
      <c r="J48" s="93"/>
      <c r="K48" s="160">
        <f t="shared" si="3"/>
        <v>38</v>
      </c>
      <c r="L48" s="93"/>
      <c r="M48" s="93">
        <f>'Economic Assumptions'!A49</f>
        <v>2049</v>
      </c>
      <c r="N48" s="285">
        <f>IF(M48&lt;=$B$5,1,(1+INDEX('Economic Assumptions'!$B$12:$CC$60,M48-$M$11,$B$4+F$6))*N47)</f>
        <v>2.4933486986108395</v>
      </c>
      <c r="O48" s="93"/>
      <c r="P48" s="93"/>
      <c r="Q48" s="93"/>
      <c r="R48" s="93"/>
      <c r="S48" s="93"/>
      <c r="T48" s="93"/>
      <c r="U48" s="93"/>
      <c r="V48" s="93"/>
      <c r="W48" s="93"/>
      <c r="X48" s="93"/>
      <c r="Y48" s="93"/>
      <c r="Z48" s="93"/>
      <c r="AA48" s="93"/>
      <c r="AB48" s="93"/>
      <c r="AC48" s="93"/>
      <c r="AD48" s="93"/>
      <c r="AE48" s="93"/>
      <c r="AF48" s="93"/>
      <c r="AG48" s="93"/>
      <c r="AH48" s="93"/>
      <c r="AI48" s="93"/>
    </row>
    <row r="49" spans="1:35" x14ac:dyDescent="0.3">
      <c r="A49" s="160">
        <f t="shared" si="2"/>
        <v>2050</v>
      </c>
      <c r="B49" s="205">
        <f>INDEX('Economic Assumptions'!$B$12:$CC$60,$K49,$B$4+B$6)+'Economic Assumptions'!B$9*'Selected Economics'!$N49</f>
        <v>278.10936051740231</v>
      </c>
      <c r="C49" s="205">
        <f>INDEX('Economic Assumptions'!$B$12:$CC$60,$K49,$B$4+C$6)+'Economic Assumptions'!C$9*'Selected Economics'!$N49</f>
        <v>258.12392402368715</v>
      </c>
      <c r="D49" s="205">
        <f>INDEX('Economic Assumptions'!$B$12:$CC$60,$K49,$B$4+D$6)+'Economic Assumptions'!D$9*'Selected Economics'!$N49</f>
        <v>4.8557965905446103</v>
      </c>
      <c r="E49" s="286">
        <f>INDEX('Economic Assumptions'!$B$12:$CC$60,$K49,$B$4+E$6)</f>
        <v>1</v>
      </c>
      <c r="F49" s="259">
        <f>INDEX('Economic Assumptions'!$B$12:$CC$60,$K49,$B$4+F$6)</f>
        <v>2.5000000000000001E-2</v>
      </c>
      <c r="G49" s="259">
        <f>INDEX('Economic Assumptions'!$B$12:$CC$60,$K49,$B$4+G$6)</f>
        <v>2.5000000000000001E-2</v>
      </c>
      <c r="H49" s="93"/>
      <c r="I49" s="287">
        <f t="shared" si="1"/>
        <v>2.5556824160761105</v>
      </c>
      <c r="J49" s="93"/>
      <c r="K49" s="160">
        <f t="shared" si="3"/>
        <v>39</v>
      </c>
      <c r="L49" s="93"/>
      <c r="M49" s="93">
        <f>'Economic Assumptions'!A50</f>
        <v>2050</v>
      </c>
      <c r="N49" s="285">
        <f>IF(M49&lt;=$B$5,1,(1+INDEX('Economic Assumptions'!$B$12:$CC$60,M49-$M$11,$B$4+F$6))*N48)</f>
        <v>2.5556824160761105</v>
      </c>
      <c r="O49" s="93"/>
      <c r="P49" s="93"/>
      <c r="Q49" s="93"/>
      <c r="R49" s="93"/>
      <c r="S49" s="93"/>
      <c r="T49" s="93"/>
      <c r="U49" s="93"/>
      <c r="V49" s="93"/>
      <c r="W49" s="93"/>
      <c r="X49" s="93"/>
      <c r="Y49" s="93"/>
      <c r="Z49" s="93"/>
      <c r="AA49" s="93"/>
      <c r="AB49" s="93"/>
      <c r="AC49" s="93"/>
      <c r="AD49" s="93"/>
      <c r="AE49" s="93"/>
      <c r="AF49" s="93"/>
      <c r="AG49" s="93"/>
      <c r="AH49" s="93"/>
      <c r="AI49" s="93"/>
    </row>
    <row r="50" spans="1:35" x14ac:dyDescent="0.3">
      <c r="A50" s="162">
        <f t="shared" si="2"/>
        <v>2051</v>
      </c>
      <c r="B50" s="207">
        <f>INDEX('Economic Assumptions'!$B$12:$CC$60,$K50,$B$4+B$6)+'Economic Assumptions'!B$9*'Selected Economics'!$N50</f>
        <v>285.06209453033733</v>
      </c>
      <c r="C50" s="207">
        <f>INDEX('Economic Assumptions'!$B$12:$CC$60,$K50,$B$4+C$6)+'Economic Assumptions'!C$9*'Selected Economics'!$N50</f>
        <v>264.57702212427932</v>
      </c>
      <c r="D50" s="207">
        <f>INDEX('Economic Assumptions'!$B$12:$CC$60,$K50,$B$4+D$6)+'Economic Assumptions'!D$9*'Selected Economics'!$N50</f>
        <v>4.977191505308225</v>
      </c>
      <c r="E50" s="288">
        <f>INDEX('Economic Assumptions'!$B$12:$CC$60,$K50,$B$4+E$6)</f>
        <v>1</v>
      </c>
      <c r="F50" s="261">
        <f>INDEX('Economic Assumptions'!$B$12:$CC$60,$K50,$B$4+F$6)</f>
        <v>2.5000000000000001E-2</v>
      </c>
      <c r="G50" s="261">
        <f>INDEX('Economic Assumptions'!$B$12:$CC$60,$K50,$B$4+G$6)</f>
        <v>2.5000000000000001E-2</v>
      </c>
      <c r="H50" s="93"/>
      <c r="I50" s="289">
        <f t="shared" si="1"/>
        <v>2.6195744764780131</v>
      </c>
      <c r="J50" s="93"/>
      <c r="K50" s="162">
        <f t="shared" si="3"/>
        <v>40</v>
      </c>
      <c r="L50" s="93"/>
      <c r="M50" s="93">
        <f>'Economic Assumptions'!A51</f>
        <v>2051</v>
      </c>
      <c r="N50" s="285">
        <f>IF(M50&lt;=$B$5,1,(1+INDEX('Economic Assumptions'!$B$12:$CC$60,M50-$M$11,$B$4+F$6))*N49)</f>
        <v>2.6195744764780131</v>
      </c>
      <c r="O50" s="93"/>
      <c r="P50" s="93"/>
      <c r="Q50" s="93"/>
      <c r="R50" s="93"/>
      <c r="S50" s="93"/>
      <c r="T50" s="93"/>
      <c r="U50" s="93"/>
      <c r="V50" s="93"/>
      <c r="W50" s="93"/>
      <c r="X50" s="93"/>
      <c r="Y50" s="93"/>
      <c r="Z50" s="93"/>
      <c r="AA50" s="93"/>
      <c r="AB50" s="93"/>
      <c r="AC50" s="93"/>
      <c r="AD50" s="93"/>
      <c r="AE50" s="93"/>
      <c r="AF50" s="93"/>
      <c r="AG50" s="93"/>
      <c r="AH50" s="93"/>
      <c r="AI50" s="93"/>
    </row>
    <row r="51" spans="1:35" x14ac:dyDescent="0.3">
      <c r="A51" s="93"/>
      <c r="B51" s="93"/>
      <c r="C51" s="93"/>
      <c r="D51" s="93"/>
      <c r="E51" s="93"/>
      <c r="F51" s="93"/>
      <c r="G51" s="93"/>
      <c r="H51" s="93"/>
      <c r="I51" s="93"/>
      <c r="J51" s="93"/>
      <c r="K51" s="93"/>
      <c r="L51" s="93"/>
      <c r="M51" s="93">
        <f>'Economic Assumptions'!A52</f>
        <v>2052</v>
      </c>
      <c r="N51" s="285">
        <f>IF(M51&lt;=$B$5,1,(1+INDEX('Economic Assumptions'!$B$12:$CC$60,M51-$M$11,$B$4+F$6))*N50)</f>
        <v>2.6850638383899632</v>
      </c>
      <c r="O51" s="93"/>
      <c r="P51" s="93"/>
      <c r="Q51" s="93"/>
      <c r="R51" s="93"/>
      <c r="S51" s="93"/>
      <c r="T51" s="93"/>
      <c r="U51" s="93"/>
      <c r="V51" s="93"/>
      <c r="W51" s="93"/>
      <c r="X51" s="93"/>
      <c r="Y51" s="93"/>
      <c r="Z51" s="93"/>
      <c r="AA51" s="93"/>
      <c r="AB51" s="93"/>
      <c r="AC51" s="93"/>
      <c r="AD51" s="93"/>
      <c r="AE51" s="93"/>
      <c r="AF51" s="93"/>
      <c r="AG51" s="93"/>
      <c r="AH51" s="93"/>
      <c r="AI51" s="93"/>
    </row>
    <row r="52" spans="1:35" x14ac:dyDescent="0.3">
      <c r="A52" s="93"/>
      <c r="B52" s="93"/>
      <c r="C52" s="93"/>
      <c r="D52" s="93"/>
      <c r="E52" s="93"/>
      <c r="F52" s="93"/>
      <c r="G52" s="93"/>
      <c r="H52" s="93"/>
      <c r="I52" s="93"/>
      <c r="J52" s="93"/>
      <c r="K52" s="93"/>
      <c r="L52" s="93"/>
      <c r="M52" s="93">
        <f>'Economic Assumptions'!A53</f>
        <v>2053</v>
      </c>
      <c r="N52" s="285">
        <f>IF(M52&lt;=$B$5,1,(1+INDEX('Economic Assumptions'!$B$12:$CC$60,M52-$M$11,$B$4+F$6))*N51)</f>
        <v>2.7521904343497119</v>
      </c>
      <c r="O52" s="93"/>
      <c r="P52" s="93"/>
      <c r="Q52" s="93"/>
      <c r="R52" s="93"/>
      <c r="S52" s="93"/>
      <c r="T52" s="93"/>
      <c r="U52" s="93"/>
      <c r="V52" s="93"/>
      <c r="W52" s="93"/>
      <c r="X52" s="93"/>
      <c r="Y52" s="93"/>
      <c r="Z52" s="93"/>
      <c r="AA52" s="93"/>
      <c r="AB52" s="93"/>
      <c r="AC52" s="93"/>
      <c r="AD52" s="93"/>
      <c r="AE52" s="93"/>
      <c r="AF52" s="93"/>
      <c r="AG52" s="93"/>
      <c r="AH52" s="93"/>
      <c r="AI52" s="93"/>
    </row>
    <row r="53" spans="1:35" x14ac:dyDescent="0.3">
      <c r="A53" s="93"/>
      <c r="B53" s="93"/>
      <c r="C53" s="93"/>
      <c r="D53" s="93"/>
      <c r="E53" s="93"/>
      <c r="F53" s="93"/>
      <c r="G53" s="93"/>
      <c r="H53" s="93"/>
      <c r="I53" s="93"/>
      <c r="J53" s="93"/>
      <c r="K53" s="93"/>
      <c r="L53" s="93"/>
      <c r="M53" s="93">
        <f>'Economic Assumptions'!A54</f>
        <v>2054</v>
      </c>
      <c r="N53" s="285">
        <f>IF(M53&lt;=$B$5,1,(1+INDEX('Economic Assumptions'!$B$12:$CC$60,M53-$M$11,$B$4+F$6))*N52)</f>
        <v>2.8209951952084547</v>
      </c>
      <c r="O53" s="93"/>
      <c r="P53" s="93"/>
      <c r="Q53" s="93"/>
      <c r="R53" s="93"/>
      <c r="S53" s="93"/>
      <c r="T53" s="93"/>
      <c r="U53" s="93"/>
      <c r="V53" s="93"/>
      <c r="W53" s="93"/>
      <c r="X53" s="93"/>
      <c r="Y53" s="93"/>
      <c r="Z53" s="93"/>
      <c r="AA53" s="93"/>
      <c r="AB53" s="93"/>
      <c r="AC53" s="93"/>
      <c r="AD53" s="93"/>
      <c r="AE53" s="93"/>
      <c r="AF53" s="93"/>
      <c r="AG53" s="93"/>
      <c r="AH53" s="93"/>
      <c r="AI53" s="93"/>
    </row>
    <row r="54" spans="1:35" x14ac:dyDescent="0.3">
      <c r="A54" s="93"/>
      <c r="B54" s="93"/>
      <c r="C54" s="93"/>
      <c r="D54" s="93"/>
      <c r="E54" s="93"/>
      <c r="F54" s="93"/>
      <c r="G54" s="93"/>
      <c r="H54" s="93"/>
      <c r="I54" s="93"/>
      <c r="J54" s="93"/>
      <c r="K54" s="93"/>
      <c r="L54" s="93"/>
      <c r="M54" s="93">
        <f>'Economic Assumptions'!A55</f>
        <v>2055</v>
      </c>
      <c r="N54" s="285">
        <f>IF(M54&lt;=$B$5,1,(1+INDEX('Economic Assumptions'!$B$12:$CC$60,M54-$M$11,$B$4+F$6))*N53)</f>
        <v>2.8915200750886658</v>
      </c>
      <c r="O54" s="93"/>
      <c r="P54" s="93"/>
      <c r="Q54" s="93"/>
      <c r="R54" s="93"/>
      <c r="S54" s="93"/>
      <c r="T54" s="93"/>
      <c r="U54" s="93"/>
      <c r="V54" s="93"/>
      <c r="W54" s="93"/>
      <c r="X54" s="93"/>
      <c r="Y54" s="93"/>
      <c r="Z54" s="93"/>
      <c r="AA54" s="93"/>
      <c r="AB54" s="93"/>
      <c r="AC54" s="93"/>
      <c r="AD54" s="93"/>
      <c r="AE54" s="93"/>
      <c r="AF54" s="93"/>
      <c r="AG54" s="93"/>
      <c r="AH54" s="93"/>
      <c r="AI54" s="93"/>
    </row>
    <row r="55" spans="1:35"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row>
    <row r="56" spans="1:35"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row>
    <row r="57" spans="1:35"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row>
    <row r="58" spans="1:35"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row>
    <row r="59" spans="1:35"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row>
    <row r="60" spans="1:35"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row>
    <row r="61" spans="1:35"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row>
    <row r="62" spans="1:35"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row>
    <row r="63" spans="1:35"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row>
    <row r="64" spans="1:35"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row>
    <row r="65" spans="1:35"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row>
    <row r="66" spans="1:35"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row>
    <row r="67" spans="1:35"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row>
    <row r="68" spans="1:35"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row>
    <row r="69" spans="1:35"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row>
    <row r="70" spans="1:35"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row>
    <row r="71" spans="1:35"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row>
    <row r="72" spans="1:35"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row>
    <row r="73" spans="1:35"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row>
    <row r="74" spans="1:35"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row>
    <row r="75" spans="1:35"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row>
    <row r="76" spans="1:35"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row>
    <row r="77" spans="1:35"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row>
    <row r="78" spans="1:35"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row>
    <row r="79" spans="1:35"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row>
    <row r="80" spans="1:35"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row>
    <row r="81" spans="1:35"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row>
    <row r="82" spans="1:35"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row>
    <row r="83" spans="1:35"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row>
    <row r="84" spans="1:35"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row>
    <row r="85" spans="1:35"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row>
    <row r="86" spans="1:35"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row>
    <row r="87" spans="1:35"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row>
    <row r="88" spans="1:35"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row>
    <row r="89" spans="1:35"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row>
    <row r="90" spans="1:35"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row>
    <row r="91" spans="1:35"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row>
    <row r="92" spans="1:35"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row>
    <row r="93" spans="1:35"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row>
    <row r="94" spans="1:35"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row>
    <row r="95" spans="1:35"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row>
    <row r="96" spans="1:35"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row>
    <row r="97" spans="1:35"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row>
    <row r="98" spans="1:35"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row>
    <row r="99" spans="1:35"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row>
    <row r="100" spans="1:35"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row>
    <row r="101" spans="1:35"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row>
    <row r="102" spans="1:35"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row>
    <row r="103" spans="1:35"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row>
    <row r="104" spans="1:35" x14ac:dyDescent="0.3">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row>
    <row r="105" spans="1:35" x14ac:dyDescent="0.3">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row>
    <row r="106" spans="1:35" x14ac:dyDescent="0.3">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row>
    <row r="107" spans="1:35" x14ac:dyDescent="0.3">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row>
    <row r="108" spans="1:35" x14ac:dyDescent="0.3">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row>
    <row r="109" spans="1:35" x14ac:dyDescent="0.3">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row>
    <row r="110" spans="1:35" x14ac:dyDescent="0.3">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row>
    <row r="111" spans="1:35" x14ac:dyDescent="0.3">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row>
    <row r="112" spans="1:35" x14ac:dyDescent="0.3">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row>
    <row r="113" spans="1:35" x14ac:dyDescent="0.3">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row>
    <row r="114" spans="1:35" x14ac:dyDescent="0.3">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row>
    <row r="115" spans="1:35" x14ac:dyDescent="0.3">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row>
    <row r="116" spans="1:35" x14ac:dyDescent="0.3">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row>
    <row r="117" spans="1:35" x14ac:dyDescent="0.3">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row>
    <row r="118" spans="1:35" x14ac:dyDescent="0.3">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row>
    <row r="119" spans="1:35" x14ac:dyDescent="0.3">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row>
    <row r="120" spans="1:35" x14ac:dyDescent="0.3">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row>
    <row r="121" spans="1:35" x14ac:dyDescent="0.3">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row>
    <row r="122" spans="1:35" x14ac:dyDescent="0.3">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row>
    <row r="123" spans="1:35" x14ac:dyDescent="0.3">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row>
    <row r="124" spans="1:35" x14ac:dyDescent="0.3">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row>
    <row r="125" spans="1:35" x14ac:dyDescent="0.3">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row>
    <row r="126" spans="1:35" x14ac:dyDescent="0.3">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row>
    <row r="127" spans="1:35" x14ac:dyDescent="0.3">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row>
    <row r="128" spans="1:35" x14ac:dyDescent="0.3">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row>
    <row r="129" spans="1:35" x14ac:dyDescent="0.3">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row>
    <row r="130" spans="1:35" x14ac:dyDescent="0.3">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row>
    <row r="131" spans="1:35" x14ac:dyDescent="0.3">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row>
    <row r="132" spans="1:35" x14ac:dyDescent="0.3">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row>
  </sheetData>
  <sheetProtection password="8BC3" sheet="1" objects="1" scenarios="1"/>
  <hyperlinks>
    <hyperlink ref="F1" location="Guide" display="Guide"/>
    <hyperlink ref="F2" location="Input" display="Input"/>
  </hyperlinks>
  <pageMargins left="0.7" right="0.7" top="0.75" bottom="0.75" header="0.3" footer="0.3"/>
  <pageSetup paperSize="9" scale="63" fitToHeight="0" orientation="portrait" r:id="rId1"/>
  <headerFooter>
    <oddFooter>&amp;LNova Scotia Exploration Economics Model&amp;Rwww.indeva.com</oddFooter>
  </headerFooter>
  <colBreaks count="1" manualBreakCount="1">
    <brk id="11"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sheetPr>
  <dimension ref="A1:A2"/>
  <sheetViews>
    <sheetView workbookViewId="0"/>
  </sheetViews>
  <sheetFormatPr defaultRowHeight="14.4" x14ac:dyDescent="0.3"/>
  <cols>
    <col min="1" max="1" width="10.44140625" customWidth="1"/>
  </cols>
  <sheetData>
    <row r="1" spans="1:1" ht="18.75" x14ac:dyDescent="0.25">
      <c r="A1" s="107" t="s">
        <v>769</v>
      </c>
    </row>
    <row r="2" spans="1:1" ht="18.75" x14ac:dyDescent="0.2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sheetPr>
  <dimension ref="A1:A2"/>
  <sheetViews>
    <sheetView workbookViewId="0"/>
  </sheetViews>
  <sheetFormatPr defaultRowHeight="14.4" x14ac:dyDescent="0.3"/>
  <cols>
    <col min="1" max="1" width="10.109375" customWidth="1"/>
  </cols>
  <sheetData>
    <row r="1" spans="1:1" ht="18.75" x14ac:dyDescent="0.25">
      <c r="A1" s="107" t="s">
        <v>769</v>
      </c>
    </row>
    <row r="2" spans="1:1" ht="18.75" x14ac:dyDescent="0.2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sheetPr>
  <dimension ref="A1:A2"/>
  <sheetViews>
    <sheetView workbookViewId="0"/>
  </sheetViews>
  <sheetFormatPr defaultRowHeight="14.4" x14ac:dyDescent="0.3"/>
  <cols>
    <col min="1" max="1" width="10" customWidth="1"/>
  </cols>
  <sheetData>
    <row r="1" spans="1:1" ht="18.75" x14ac:dyDescent="0.25">
      <c r="A1" s="107" t="s">
        <v>769</v>
      </c>
    </row>
    <row r="2" spans="1:1" ht="18.75" x14ac:dyDescent="0.2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sheetPr>
  <dimension ref="A1:A2"/>
  <sheetViews>
    <sheetView workbookViewId="0"/>
  </sheetViews>
  <sheetFormatPr defaultRowHeight="14.4" x14ac:dyDescent="0.3"/>
  <cols>
    <col min="1" max="1" width="9.88671875" customWidth="1"/>
  </cols>
  <sheetData>
    <row r="1" spans="1:1" ht="18.75" x14ac:dyDescent="0.25">
      <c r="A1" s="107" t="s">
        <v>769</v>
      </c>
    </row>
    <row r="2" spans="1:1" ht="18.75" x14ac:dyDescent="0.2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sheetPr>
  <dimension ref="A1:A2"/>
  <sheetViews>
    <sheetView workbookViewId="0"/>
  </sheetViews>
  <sheetFormatPr defaultRowHeight="14.4" x14ac:dyDescent="0.3"/>
  <cols>
    <col min="1" max="1" width="9.5546875" customWidth="1"/>
  </cols>
  <sheetData>
    <row r="1" spans="1:1" ht="18.75" x14ac:dyDescent="0.25">
      <c r="A1" s="107" t="s">
        <v>769</v>
      </c>
    </row>
    <row r="2" spans="1:1" ht="18.75" x14ac:dyDescent="0.2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Z183"/>
  <sheetViews>
    <sheetView showGridLines="0" showRowColHeaders="0" zoomScale="90" zoomScaleNormal="90" workbookViewId="0">
      <pane ySplit="2" topLeftCell="A3" activePane="bottomLeft" state="frozen"/>
      <selection activeCell="D43" sqref="D43"/>
      <selection pane="bottomLeft" activeCell="D17" sqref="D17"/>
    </sheetView>
  </sheetViews>
  <sheetFormatPr defaultRowHeight="14.4" x14ac:dyDescent="0.3"/>
  <cols>
    <col min="1" max="1" width="3.6640625" customWidth="1"/>
    <col min="2" max="2" width="28" customWidth="1"/>
    <col min="3" max="3" width="14.6640625" customWidth="1"/>
    <col min="4" max="4" width="49.88671875" customWidth="1"/>
    <col min="5" max="5" width="16" customWidth="1"/>
  </cols>
  <sheetData>
    <row r="1" spans="1:26" ht="13.5" customHeight="1" x14ac:dyDescent="0.25">
      <c r="A1" s="119"/>
      <c r="B1" s="119"/>
      <c r="C1" s="119"/>
      <c r="D1" s="119"/>
      <c r="E1" s="119"/>
      <c r="F1" s="119"/>
      <c r="G1" s="107" t="s">
        <v>769</v>
      </c>
      <c r="H1" s="119"/>
      <c r="I1" s="119"/>
      <c r="J1" s="119"/>
      <c r="K1" s="119"/>
      <c r="L1" s="119"/>
      <c r="M1" s="119"/>
      <c r="N1" s="119"/>
      <c r="O1" s="119"/>
      <c r="P1" s="119"/>
      <c r="Q1" s="119"/>
      <c r="R1" s="119"/>
      <c r="S1" s="119"/>
      <c r="T1" s="119"/>
      <c r="U1" s="119"/>
      <c r="V1" s="119"/>
      <c r="W1" s="119"/>
      <c r="X1" s="119"/>
      <c r="Y1" s="119"/>
      <c r="Z1" s="119"/>
    </row>
    <row r="2" spans="1:26" ht="13.5" customHeight="1" x14ac:dyDescent="0.25">
      <c r="A2" s="119"/>
      <c r="B2" s="119"/>
      <c r="C2" s="119"/>
      <c r="D2" s="119"/>
      <c r="E2" s="119"/>
      <c r="F2" s="119"/>
      <c r="G2" s="107" t="s">
        <v>143</v>
      </c>
      <c r="H2" s="119"/>
      <c r="I2" s="119"/>
      <c r="J2" s="119"/>
      <c r="K2" s="119"/>
      <c r="L2" s="119"/>
      <c r="M2" s="119"/>
      <c r="N2" s="119"/>
      <c r="O2" s="119"/>
      <c r="P2" s="119"/>
      <c r="Q2" s="119"/>
      <c r="R2" s="119"/>
      <c r="S2" s="119"/>
      <c r="T2" s="119"/>
      <c r="U2" s="119"/>
      <c r="V2" s="119"/>
      <c r="W2" s="119"/>
      <c r="X2" s="119"/>
      <c r="Y2" s="119"/>
      <c r="Z2" s="119"/>
    </row>
    <row r="3" spans="1:26" ht="18" customHeight="1" x14ac:dyDescent="0.25">
      <c r="A3" s="440"/>
      <c r="B3" s="441" t="s">
        <v>900</v>
      </c>
      <c r="C3" s="442"/>
      <c r="D3" s="442"/>
      <c r="E3" s="440"/>
      <c r="F3" s="440"/>
      <c r="G3" s="440"/>
      <c r="H3" s="440"/>
      <c r="I3" s="440"/>
      <c r="J3" s="440"/>
      <c r="K3" s="440"/>
      <c r="L3" s="440"/>
      <c r="M3" s="440"/>
      <c r="N3" s="440"/>
      <c r="O3" s="440"/>
      <c r="P3" s="440"/>
      <c r="Q3" s="440"/>
      <c r="R3" s="440"/>
      <c r="S3" s="440"/>
      <c r="T3" s="440"/>
      <c r="U3" s="440"/>
      <c r="V3" s="440"/>
      <c r="W3" s="440"/>
      <c r="X3" s="440"/>
      <c r="Y3" s="440"/>
      <c r="Z3" s="440"/>
    </row>
    <row r="4" spans="1:26" ht="15" x14ac:dyDescent="0.25">
      <c r="A4" s="440"/>
      <c r="B4" s="440"/>
      <c r="C4" s="440"/>
      <c r="D4" s="440"/>
      <c r="E4" s="440"/>
      <c r="F4" s="440"/>
      <c r="G4" s="440"/>
      <c r="H4" s="440"/>
      <c r="I4" s="440"/>
      <c r="J4" s="440"/>
      <c r="K4" s="440"/>
      <c r="L4" s="440"/>
      <c r="M4" s="440"/>
      <c r="N4" s="440"/>
      <c r="O4" s="440"/>
      <c r="P4" s="440"/>
      <c r="Q4" s="440"/>
      <c r="R4" s="440"/>
      <c r="S4" s="440"/>
      <c r="T4" s="440"/>
      <c r="U4" s="440"/>
      <c r="V4" s="440"/>
      <c r="W4" s="440"/>
      <c r="X4" s="440"/>
      <c r="Y4" s="440"/>
      <c r="Z4" s="440"/>
    </row>
    <row r="5" spans="1:26" ht="15" customHeight="1" x14ac:dyDescent="0.3">
      <c r="A5" s="440"/>
      <c r="B5" s="517" t="s">
        <v>1052</v>
      </c>
      <c r="C5" s="517"/>
      <c r="D5" s="517"/>
      <c r="E5" s="517"/>
      <c r="F5" s="517"/>
      <c r="G5" s="443"/>
      <c r="H5" s="443"/>
      <c r="I5" s="443"/>
      <c r="J5" s="443"/>
      <c r="K5" s="443"/>
      <c r="L5" s="440"/>
      <c r="M5" s="440"/>
      <c r="N5" s="440"/>
      <c r="O5" s="440"/>
      <c r="P5" s="440"/>
      <c r="Q5" s="440"/>
      <c r="R5" s="440"/>
      <c r="S5" s="440"/>
      <c r="T5" s="440"/>
      <c r="U5" s="440"/>
      <c r="V5" s="440"/>
      <c r="W5" s="440"/>
      <c r="X5" s="440"/>
      <c r="Y5" s="440"/>
      <c r="Z5" s="440"/>
    </row>
    <row r="6" spans="1:26" x14ac:dyDescent="0.3">
      <c r="A6" s="440"/>
      <c r="B6" s="517"/>
      <c r="C6" s="517"/>
      <c r="D6" s="517"/>
      <c r="E6" s="517"/>
      <c r="F6" s="517"/>
      <c r="G6" s="443"/>
      <c r="H6" s="443"/>
      <c r="I6" s="443"/>
      <c r="J6" s="443"/>
      <c r="K6" s="443"/>
      <c r="L6" s="440"/>
      <c r="M6" s="440"/>
      <c r="N6" s="440"/>
      <c r="O6" s="440"/>
      <c r="P6" s="440"/>
      <c r="Q6" s="440"/>
      <c r="R6" s="440"/>
      <c r="S6" s="440"/>
      <c r="T6" s="440"/>
      <c r="U6" s="440"/>
      <c r="V6" s="440"/>
      <c r="W6" s="440"/>
      <c r="X6" s="440"/>
      <c r="Y6" s="440"/>
      <c r="Z6" s="440"/>
    </row>
    <row r="7" spans="1:26" x14ac:dyDescent="0.3">
      <c r="A7" s="440"/>
      <c r="B7" s="517"/>
      <c r="C7" s="517"/>
      <c r="D7" s="517"/>
      <c r="E7" s="517"/>
      <c r="F7" s="517"/>
      <c r="G7" s="443"/>
      <c r="H7" s="443"/>
      <c r="I7" s="443"/>
      <c r="J7" s="443"/>
      <c r="K7" s="443"/>
      <c r="L7" s="440"/>
      <c r="M7" s="440"/>
      <c r="N7" s="440"/>
      <c r="O7" s="440"/>
      <c r="P7" s="440"/>
      <c r="Q7" s="440"/>
      <c r="R7" s="440"/>
      <c r="S7" s="440"/>
      <c r="T7" s="440"/>
      <c r="U7" s="440"/>
      <c r="V7" s="440"/>
      <c r="W7" s="440"/>
      <c r="X7" s="440"/>
      <c r="Y7" s="440"/>
      <c r="Z7" s="440"/>
    </row>
    <row r="8" spans="1:26" x14ac:dyDescent="0.3">
      <c r="A8" s="440"/>
      <c r="B8" s="517"/>
      <c r="C8" s="517"/>
      <c r="D8" s="517"/>
      <c r="E8" s="517"/>
      <c r="F8" s="517"/>
      <c r="G8" s="443"/>
      <c r="H8" s="443"/>
      <c r="I8" s="443"/>
      <c r="J8" s="443"/>
      <c r="K8" s="443"/>
      <c r="L8" s="440"/>
      <c r="M8" s="440"/>
      <c r="N8" s="440"/>
      <c r="O8" s="440"/>
      <c r="P8" s="440"/>
      <c r="Q8" s="440"/>
      <c r="R8" s="440"/>
      <c r="S8" s="440"/>
      <c r="T8" s="440"/>
      <c r="U8" s="440"/>
      <c r="V8" s="440"/>
      <c r="W8" s="440"/>
      <c r="X8" s="440"/>
      <c r="Y8" s="440"/>
      <c r="Z8" s="440"/>
    </row>
    <row r="9" spans="1:26" ht="93.75" customHeight="1" x14ac:dyDescent="0.3">
      <c r="A9" s="440"/>
      <c r="B9" s="517"/>
      <c r="C9" s="517"/>
      <c r="D9" s="517"/>
      <c r="E9" s="517"/>
      <c r="F9" s="517"/>
      <c r="G9" s="443"/>
      <c r="H9" s="443"/>
      <c r="I9" s="443"/>
      <c r="J9" s="443"/>
      <c r="K9" s="443"/>
      <c r="L9" s="440"/>
      <c r="M9" s="440"/>
      <c r="N9" s="440"/>
      <c r="O9" s="440"/>
      <c r="P9" s="440"/>
      <c r="Q9" s="440"/>
      <c r="R9" s="440"/>
      <c r="S9" s="440"/>
      <c r="T9" s="440"/>
      <c r="U9" s="440"/>
      <c r="V9" s="440"/>
      <c r="W9" s="440"/>
      <c r="X9" s="440"/>
      <c r="Y9" s="440"/>
      <c r="Z9" s="440"/>
    </row>
    <row r="10" spans="1:26" x14ac:dyDescent="0.3">
      <c r="A10" s="440"/>
      <c r="B10" s="517" t="s">
        <v>910</v>
      </c>
      <c r="C10" s="517"/>
      <c r="D10" s="517"/>
      <c r="E10" s="517"/>
      <c r="F10" s="517"/>
      <c r="G10" s="440"/>
      <c r="H10" s="440"/>
      <c r="I10" s="440"/>
      <c r="J10" s="440"/>
      <c r="K10" s="440"/>
      <c r="L10" s="440"/>
      <c r="M10" s="440"/>
      <c r="N10" s="440"/>
      <c r="O10" s="440"/>
      <c r="P10" s="440"/>
      <c r="Q10" s="440"/>
      <c r="R10" s="440"/>
      <c r="S10" s="440"/>
      <c r="T10" s="440"/>
      <c r="U10" s="440"/>
      <c r="V10" s="440"/>
      <c r="W10" s="440"/>
      <c r="X10" s="440"/>
      <c r="Y10" s="440"/>
      <c r="Z10" s="440"/>
    </row>
    <row r="11" spans="1:26" x14ac:dyDescent="0.3">
      <c r="A11" s="440"/>
      <c r="B11" s="517"/>
      <c r="C11" s="517"/>
      <c r="D11" s="517"/>
      <c r="E11" s="517"/>
      <c r="F11" s="517"/>
      <c r="G11" s="440"/>
      <c r="H11" s="440"/>
      <c r="I11" s="440"/>
      <c r="J11" s="440"/>
      <c r="K11" s="440"/>
      <c r="L11" s="440"/>
      <c r="M11" s="440"/>
      <c r="N11" s="440"/>
      <c r="O11" s="440"/>
      <c r="P11" s="440"/>
      <c r="Q11" s="440"/>
      <c r="R11" s="440"/>
      <c r="S11" s="440"/>
      <c r="T11" s="440"/>
      <c r="U11" s="440"/>
      <c r="V11" s="440"/>
      <c r="W11" s="440"/>
      <c r="X11" s="440"/>
      <c r="Y11" s="440"/>
      <c r="Z11" s="440"/>
    </row>
    <row r="12" spans="1:26" x14ac:dyDescent="0.3">
      <c r="A12" s="440"/>
      <c r="B12" s="517"/>
      <c r="C12" s="517"/>
      <c r="D12" s="517"/>
      <c r="E12" s="517"/>
      <c r="F12" s="517"/>
      <c r="G12" s="440"/>
      <c r="H12" s="440"/>
      <c r="I12" s="440"/>
      <c r="J12" s="440"/>
      <c r="K12" s="440"/>
      <c r="L12" s="440"/>
      <c r="M12" s="440"/>
      <c r="N12" s="440"/>
      <c r="O12" s="440"/>
      <c r="P12" s="440"/>
      <c r="Q12" s="440"/>
      <c r="R12" s="440"/>
      <c r="S12" s="440"/>
      <c r="T12" s="440"/>
      <c r="U12" s="440"/>
      <c r="V12" s="440"/>
      <c r="W12" s="440"/>
      <c r="X12" s="440"/>
      <c r="Y12" s="440"/>
      <c r="Z12" s="440"/>
    </row>
    <row r="13" spans="1:26" x14ac:dyDescent="0.3">
      <c r="A13" s="440"/>
      <c r="B13" s="517"/>
      <c r="C13" s="517"/>
      <c r="D13" s="517"/>
      <c r="E13" s="517"/>
      <c r="F13" s="517"/>
      <c r="G13" s="440"/>
      <c r="H13" s="440"/>
      <c r="I13" s="440"/>
      <c r="J13" s="440"/>
      <c r="K13" s="440"/>
      <c r="L13" s="440"/>
      <c r="M13" s="440"/>
      <c r="N13" s="440"/>
      <c r="O13" s="440"/>
      <c r="P13" s="440"/>
      <c r="Q13" s="440"/>
      <c r="R13" s="440"/>
      <c r="S13" s="440"/>
      <c r="T13" s="440"/>
      <c r="U13" s="440"/>
      <c r="V13" s="440"/>
      <c r="W13" s="440"/>
      <c r="X13" s="440"/>
      <c r="Y13" s="440"/>
      <c r="Z13" s="440"/>
    </row>
    <row r="14" spans="1:26" ht="34.5" customHeight="1" x14ac:dyDescent="0.3">
      <c r="A14" s="440"/>
      <c r="B14" s="517"/>
      <c r="C14" s="517"/>
      <c r="D14" s="517"/>
      <c r="E14" s="517"/>
      <c r="F14" s="517"/>
      <c r="G14" s="440"/>
      <c r="H14" s="440"/>
      <c r="I14" s="440"/>
      <c r="J14" s="440"/>
      <c r="K14" s="440"/>
      <c r="L14" s="440"/>
      <c r="M14" s="440"/>
      <c r="N14" s="440"/>
      <c r="O14" s="440"/>
      <c r="P14" s="440"/>
      <c r="Q14" s="440"/>
      <c r="R14" s="440"/>
      <c r="S14" s="440"/>
      <c r="T14" s="440"/>
      <c r="U14" s="440"/>
      <c r="V14" s="440"/>
      <c r="W14" s="440"/>
      <c r="X14" s="440"/>
      <c r="Y14" s="440"/>
      <c r="Z14" s="440"/>
    </row>
    <row r="15" spans="1:26" ht="62.25" customHeight="1" x14ac:dyDescent="0.25">
      <c r="A15" s="440"/>
      <c r="B15" s="517" t="s">
        <v>911</v>
      </c>
      <c r="C15" s="517"/>
      <c r="D15" s="517"/>
      <c r="E15" s="517"/>
      <c r="F15" s="517"/>
      <c r="G15" s="440"/>
      <c r="H15" s="440"/>
      <c r="I15" s="440"/>
      <c r="J15" s="440"/>
      <c r="K15" s="440"/>
      <c r="L15" s="440"/>
      <c r="M15" s="440"/>
      <c r="N15" s="440"/>
      <c r="O15" s="440"/>
      <c r="P15" s="440"/>
      <c r="Q15" s="440"/>
      <c r="R15" s="440"/>
      <c r="S15" s="440"/>
      <c r="T15" s="440"/>
      <c r="U15" s="440"/>
      <c r="V15" s="440"/>
      <c r="W15" s="440"/>
      <c r="X15" s="440"/>
      <c r="Y15" s="440"/>
      <c r="Z15" s="440"/>
    </row>
    <row r="16" spans="1:26" ht="15.75" x14ac:dyDescent="0.25">
      <c r="A16" s="440"/>
      <c r="B16" s="444" t="s">
        <v>901</v>
      </c>
      <c r="C16" s="445"/>
      <c r="D16" s="445"/>
      <c r="E16" s="440"/>
      <c r="F16" s="446"/>
      <c r="G16" s="440"/>
      <c r="H16" s="440"/>
      <c r="I16" s="440"/>
      <c r="J16" s="440"/>
      <c r="K16" s="440"/>
      <c r="L16" s="440"/>
      <c r="M16" s="440"/>
      <c r="N16" s="440"/>
      <c r="O16" s="440"/>
      <c r="P16" s="440"/>
      <c r="Q16" s="440"/>
      <c r="R16" s="440"/>
      <c r="S16" s="440"/>
      <c r="T16" s="440"/>
      <c r="U16" s="440"/>
      <c r="V16" s="440"/>
      <c r="W16" s="440"/>
      <c r="X16" s="440"/>
      <c r="Y16" s="440"/>
      <c r="Z16" s="440"/>
    </row>
    <row r="17" spans="1:26" ht="15" x14ac:dyDescent="0.25">
      <c r="A17" s="440"/>
      <c r="B17" s="440"/>
      <c r="C17" s="440"/>
      <c r="D17" s="440"/>
      <c r="E17" s="440"/>
      <c r="F17" s="440"/>
      <c r="G17" s="440"/>
      <c r="H17" s="440"/>
      <c r="I17" s="440"/>
      <c r="J17" s="440"/>
      <c r="K17" s="440"/>
      <c r="L17" s="440"/>
      <c r="M17" s="440"/>
      <c r="N17" s="440"/>
      <c r="O17" s="440"/>
      <c r="P17" s="440"/>
      <c r="Q17" s="440"/>
      <c r="R17" s="440"/>
      <c r="S17" s="440"/>
      <c r="T17" s="440"/>
      <c r="U17" s="440"/>
      <c r="V17" s="440"/>
      <c r="W17" s="440"/>
      <c r="X17" s="440"/>
      <c r="Y17" s="440"/>
      <c r="Z17" s="440"/>
    </row>
    <row r="18" spans="1:26" x14ac:dyDescent="0.3">
      <c r="A18" s="440"/>
      <c r="B18" s="442" t="s">
        <v>583</v>
      </c>
      <c r="C18" s="517" t="s">
        <v>912</v>
      </c>
      <c r="D18" s="517"/>
      <c r="E18" s="517"/>
      <c r="F18" s="517"/>
      <c r="G18" s="440"/>
      <c r="H18" s="440"/>
      <c r="I18" s="440"/>
      <c r="J18" s="440"/>
      <c r="K18" s="440"/>
      <c r="L18" s="440"/>
      <c r="M18" s="440"/>
      <c r="N18" s="440"/>
      <c r="O18" s="440"/>
      <c r="P18" s="440"/>
      <c r="Q18" s="440"/>
      <c r="R18" s="440"/>
      <c r="S18" s="440"/>
      <c r="T18" s="440"/>
      <c r="U18" s="440"/>
      <c r="V18" s="440"/>
      <c r="W18" s="440"/>
      <c r="X18" s="440"/>
      <c r="Y18" s="440"/>
      <c r="Z18" s="440"/>
    </row>
    <row r="19" spans="1:26" ht="39" customHeight="1" x14ac:dyDescent="0.3">
      <c r="A19" s="440"/>
      <c r="B19" s="440"/>
      <c r="C19" s="517"/>
      <c r="D19" s="517"/>
      <c r="E19" s="517"/>
      <c r="F19" s="517"/>
      <c r="G19" s="440"/>
      <c r="H19" s="440"/>
      <c r="I19" s="440"/>
      <c r="J19" s="440"/>
      <c r="K19" s="440"/>
      <c r="L19" s="440"/>
      <c r="M19" s="440"/>
      <c r="N19" s="440"/>
      <c r="O19" s="440"/>
      <c r="P19" s="440"/>
      <c r="Q19" s="440"/>
      <c r="R19" s="440"/>
      <c r="S19" s="440"/>
      <c r="T19" s="440"/>
      <c r="U19" s="440"/>
      <c r="V19" s="440"/>
      <c r="W19" s="440"/>
      <c r="X19" s="440"/>
      <c r="Y19" s="440"/>
      <c r="Z19" s="440"/>
    </row>
    <row r="20" spans="1:26" x14ac:dyDescent="0.3">
      <c r="A20" s="440"/>
      <c r="B20" s="442" t="s">
        <v>894</v>
      </c>
      <c r="C20" s="517" t="s">
        <v>913</v>
      </c>
      <c r="D20" s="517"/>
      <c r="E20" s="517"/>
      <c r="F20" s="517"/>
      <c r="G20" s="440"/>
      <c r="H20" s="440"/>
      <c r="I20" s="440"/>
      <c r="J20" s="440"/>
      <c r="K20" s="440"/>
      <c r="L20" s="440"/>
      <c r="M20" s="440"/>
      <c r="N20" s="440"/>
      <c r="O20" s="440"/>
      <c r="P20" s="440"/>
      <c r="Q20" s="440"/>
      <c r="R20" s="440"/>
      <c r="S20" s="440"/>
      <c r="T20" s="440"/>
      <c r="U20" s="440"/>
      <c r="V20" s="440"/>
      <c r="W20" s="440"/>
      <c r="X20" s="440"/>
      <c r="Y20" s="440"/>
      <c r="Z20" s="440"/>
    </row>
    <row r="21" spans="1:26" ht="24.75" customHeight="1" x14ac:dyDescent="0.3">
      <c r="A21" s="440"/>
      <c r="B21" s="440"/>
      <c r="C21" s="517"/>
      <c r="D21" s="517"/>
      <c r="E21" s="517"/>
      <c r="F21" s="517"/>
      <c r="G21" s="440"/>
      <c r="H21" s="440"/>
      <c r="I21" s="440"/>
      <c r="J21" s="440"/>
      <c r="K21" s="440"/>
      <c r="L21" s="440"/>
      <c r="M21" s="440"/>
      <c r="N21" s="440"/>
      <c r="O21" s="440"/>
      <c r="P21" s="440"/>
      <c r="Q21" s="440"/>
      <c r="R21" s="440"/>
      <c r="S21" s="440"/>
      <c r="T21" s="440"/>
      <c r="U21" s="440"/>
      <c r="V21" s="440"/>
      <c r="W21" s="440"/>
      <c r="X21" s="440"/>
      <c r="Y21" s="440"/>
      <c r="Z21" s="440"/>
    </row>
    <row r="22" spans="1:26" x14ac:dyDescent="0.3">
      <c r="A22" s="440"/>
      <c r="B22" s="442" t="s">
        <v>854</v>
      </c>
      <c r="C22" s="517" t="s">
        <v>895</v>
      </c>
      <c r="D22" s="517"/>
      <c r="E22" s="517"/>
      <c r="F22" s="517"/>
      <c r="G22" s="440"/>
      <c r="H22" s="440"/>
      <c r="I22" s="440"/>
      <c r="J22" s="440"/>
      <c r="K22" s="440"/>
      <c r="L22" s="440"/>
      <c r="M22" s="440"/>
      <c r="N22" s="440"/>
      <c r="O22" s="440"/>
      <c r="P22" s="440"/>
      <c r="Q22" s="440"/>
      <c r="R22" s="440"/>
      <c r="S22" s="440"/>
      <c r="T22" s="440"/>
      <c r="U22" s="440"/>
      <c r="V22" s="440"/>
      <c r="W22" s="440"/>
      <c r="X22" s="440"/>
      <c r="Y22" s="440"/>
      <c r="Z22" s="440"/>
    </row>
    <row r="23" spans="1:26" x14ac:dyDescent="0.3">
      <c r="A23" s="440"/>
      <c r="B23" s="440"/>
      <c r="C23" s="517"/>
      <c r="D23" s="517"/>
      <c r="E23" s="517"/>
      <c r="F23" s="517"/>
      <c r="G23" s="440"/>
      <c r="H23" s="440"/>
      <c r="I23" s="440"/>
      <c r="J23" s="440"/>
      <c r="K23" s="440"/>
      <c r="L23" s="440"/>
      <c r="M23" s="440"/>
      <c r="N23" s="440"/>
      <c r="O23" s="440"/>
      <c r="P23" s="440"/>
      <c r="Q23" s="440"/>
      <c r="R23" s="440"/>
      <c r="S23" s="440"/>
      <c r="T23" s="440"/>
      <c r="U23" s="440"/>
      <c r="V23" s="440"/>
      <c r="W23" s="440"/>
      <c r="X23" s="440"/>
      <c r="Y23" s="440"/>
      <c r="Z23" s="440"/>
    </row>
    <row r="24" spans="1:26" ht="22.5" customHeight="1" x14ac:dyDescent="0.3">
      <c r="A24" s="440"/>
      <c r="B24" s="440"/>
      <c r="C24" s="517"/>
      <c r="D24" s="517"/>
      <c r="E24" s="517"/>
      <c r="F24" s="517"/>
      <c r="G24" s="440"/>
      <c r="H24" s="440"/>
      <c r="I24" s="440"/>
      <c r="J24" s="440"/>
      <c r="K24" s="440"/>
      <c r="L24" s="440"/>
      <c r="M24" s="440"/>
      <c r="N24" s="440"/>
      <c r="O24" s="440"/>
      <c r="P24" s="440"/>
      <c r="Q24" s="440"/>
      <c r="R24" s="440"/>
      <c r="S24" s="440"/>
      <c r="T24" s="440"/>
      <c r="U24" s="440"/>
      <c r="V24" s="440"/>
      <c r="W24" s="440"/>
      <c r="X24" s="440"/>
      <c r="Y24" s="440"/>
      <c r="Z24" s="440"/>
    </row>
    <row r="25" spans="1:26" ht="16.5" customHeight="1" x14ac:dyDescent="0.3">
      <c r="A25" s="440"/>
      <c r="B25" s="447" t="s">
        <v>896</v>
      </c>
      <c r="C25" s="517" t="s">
        <v>897</v>
      </c>
      <c r="D25" s="517"/>
      <c r="E25" s="517"/>
      <c r="F25" s="517"/>
      <c r="G25" s="440"/>
      <c r="H25" s="440"/>
      <c r="I25" s="440"/>
      <c r="J25" s="440"/>
      <c r="K25" s="440"/>
      <c r="L25" s="440"/>
      <c r="M25" s="440"/>
      <c r="N25" s="440"/>
      <c r="O25" s="440"/>
      <c r="P25" s="440"/>
      <c r="Q25" s="440"/>
      <c r="R25" s="440"/>
      <c r="S25" s="440"/>
      <c r="T25" s="440"/>
      <c r="U25" s="440"/>
      <c r="V25" s="440"/>
      <c r="W25" s="440"/>
      <c r="X25" s="440"/>
      <c r="Y25" s="440"/>
      <c r="Z25" s="440"/>
    </row>
    <row r="26" spans="1:26" ht="46.5" customHeight="1" x14ac:dyDescent="0.3">
      <c r="A26" s="440"/>
      <c r="B26" s="440"/>
      <c r="C26" s="517"/>
      <c r="D26" s="517"/>
      <c r="E26" s="517"/>
      <c r="F26" s="517"/>
      <c r="G26" s="440"/>
      <c r="H26" s="440"/>
      <c r="I26" s="440"/>
      <c r="J26" s="440"/>
      <c r="K26" s="440"/>
      <c r="L26" s="440"/>
      <c r="M26" s="440"/>
      <c r="N26" s="440"/>
      <c r="O26" s="440"/>
      <c r="P26" s="440"/>
      <c r="Q26" s="440"/>
      <c r="R26" s="440"/>
      <c r="S26" s="440"/>
      <c r="T26" s="440"/>
      <c r="U26" s="440"/>
      <c r="V26" s="440"/>
      <c r="W26" s="440"/>
      <c r="X26" s="440"/>
      <c r="Y26" s="440"/>
      <c r="Z26" s="440"/>
    </row>
    <row r="27" spans="1:26" ht="12" customHeight="1" x14ac:dyDescent="0.3">
      <c r="A27" s="440"/>
      <c r="B27" s="440"/>
      <c r="C27" s="448"/>
      <c r="D27" s="448"/>
      <c r="E27" s="448"/>
      <c r="F27" s="448"/>
      <c r="G27" s="440"/>
      <c r="H27" s="440"/>
      <c r="I27" s="440"/>
      <c r="J27" s="440"/>
      <c r="K27" s="440"/>
      <c r="L27" s="440"/>
      <c r="M27" s="440"/>
      <c r="N27" s="440"/>
      <c r="O27" s="440"/>
      <c r="P27" s="440"/>
      <c r="Q27" s="440"/>
      <c r="R27" s="440"/>
      <c r="S27" s="440"/>
      <c r="T27" s="440"/>
      <c r="U27" s="440"/>
      <c r="V27" s="440"/>
      <c r="W27" s="440"/>
      <c r="X27" s="440"/>
      <c r="Y27" s="440"/>
      <c r="Z27" s="440"/>
    </row>
    <row r="28" spans="1:26" x14ac:dyDescent="0.3">
      <c r="A28" s="440"/>
      <c r="B28" s="441" t="s">
        <v>902</v>
      </c>
      <c r="C28" s="442"/>
      <c r="D28" s="442"/>
      <c r="E28" s="440"/>
      <c r="F28" s="440"/>
      <c r="G28" s="440"/>
      <c r="H28" s="440"/>
      <c r="I28" s="440"/>
      <c r="J28" s="440"/>
      <c r="K28" s="440"/>
      <c r="L28" s="440"/>
      <c r="M28" s="440"/>
      <c r="N28" s="440"/>
      <c r="O28" s="440"/>
      <c r="P28" s="440"/>
      <c r="Q28" s="440"/>
      <c r="R28" s="440"/>
      <c r="S28" s="440"/>
      <c r="T28" s="440"/>
      <c r="U28" s="440"/>
      <c r="V28" s="440"/>
      <c r="W28" s="440"/>
      <c r="X28" s="440"/>
      <c r="Y28" s="440"/>
      <c r="Z28" s="440"/>
    </row>
    <row r="29" spans="1:26" x14ac:dyDescent="0.3">
      <c r="A29" s="440"/>
      <c r="B29" s="440"/>
      <c r="C29" s="440"/>
      <c r="D29" s="440"/>
      <c r="E29" s="440"/>
      <c r="F29" s="440"/>
      <c r="G29" s="440"/>
      <c r="H29" s="440"/>
      <c r="I29" s="440"/>
      <c r="J29" s="440"/>
      <c r="K29" s="440"/>
      <c r="L29" s="440"/>
      <c r="M29" s="440"/>
      <c r="N29" s="440"/>
      <c r="O29" s="440"/>
      <c r="P29" s="440"/>
      <c r="Q29" s="440"/>
      <c r="R29" s="440"/>
      <c r="S29" s="440"/>
      <c r="T29" s="440"/>
      <c r="U29" s="440"/>
      <c r="V29" s="440"/>
      <c r="W29" s="440"/>
      <c r="X29" s="440"/>
      <c r="Y29" s="440"/>
      <c r="Z29" s="440"/>
    </row>
    <row r="30" spans="1:26" x14ac:dyDescent="0.3">
      <c r="A30" s="440"/>
      <c r="B30" s="442" t="s">
        <v>852</v>
      </c>
      <c r="C30" s="517" t="s">
        <v>1051</v>
      </c>
      <c r="D30" s="517"/>
      <c r="E30" s="517"/>
      <c r="F30" s="517"/>
      <c r="G30" s="440"/>
      <c r="H30" s="440"/>
      <c r="I30" s="440"/>
      <c r="J30" s="440"/>
      <c r="K30" s="440"/>
      <c r="L30" s="440"/>
      <c r="M30" s="440"/>
      <c r="N30" s="440"/>
      <c r="O30" s="440"/>
      <c r="P30" s="440"/>
      <c r="Q30" s="440"/>
      <c r="R30" s="440"/>
      <c r="S30" s="440"/>
      <c r="T30" s="440"/>
      <c r="U30" s="440"/>
      <c r="V30" s="440"/>
      <c r="W30" s="440"/>
      <c r="X30" s="440"/>
      <c r="Y30" s="440"/>
      <c r="Z30" s="440"/>
    </row>
    <row r="31" spans="1:26" x14ac:dyDescent="0.3">
      <c r="A31" s="440"/>
      <c r="B31" s="440"/>
      <c r="C31" s="517"/>
      <c r="D31" s="517"/>
      <c r="E31" s="517"/>
      <c r="F31" s="517"/>
      <c r="G31" s="440"/>
      <c r="H31" s="440"/>
      <c r="I31" s="440"/>
      <c r="J31" s="440"/>
      <c r="K31" s="440"/>
      <c r="L31" s="440"/>
      <c r="M31" s="440"/>
      <c r="N31" s="440"/>
      <c r="O31" s="440"/>
      <c r="P31" s="440"/>
      <c r="Q31" s="440"/>
      <c r="R31" s="440"/>
      <c r="S31" s="440"/>
      <c r="T31" s="440"/>
      <c r="U31" s="440"/>
      <c r="V31" s="440"/>
      <c r="W31" s="440"/>
      <c r="X31" s="440"/>
      <c r="Y31" s="440"/>
      <c r="Z31" s="440"/>
    </row>
    <row r="32" spans="1:26" x14ac:dyDescent="0.3">
      <c r="A32" s="440"/>
      <c r="B32" s="440"/>
      <c r="C32" s="517"/>
      <c r="D32" s="517"/>
      <c r="E32" s="517"/>
      <c r="F32" s="517"/>
      <c r="G32" s="440"/>
      <c r="H32" s="440"/>
      <c r="I32" s="440"/>
      <c r="J32" s="440"/>
      <c r="K32" s="440"/>
      <c r="L32" s="440"/>
      <c r="M32" s="440"/>
      <c r="N32" s="440"/>
      <c r="O32" s="440"/>
      <c r="P32" s="440"/>
      <c r="Q32" s="440"/>
      <c r="R32" s="440"/>
      <c r="S32" s="440"/>
      <c r="T32" s="440"/>
      <c r="U32" s="440"/>
      <c r="V32" s="440"/>
      <c r="W32" s="440"/>
      <c r="X32" s="440"/>
      <c r="Y32" s="440"/>
      <c r="Z32" s="440"/>
    </row>
    <row r="33" spans="1:26" x14ac:dyDescent="0.3">
      <c r="A33" s="440"/>
      <c r="B33" s="440"/>
      <c r="C33" s="517"/>
      <c r="D33" s="517"/>
      <c r="E33" s="517"/>
      <c r="F33" s="517"/>
      <c r="G33" s="440"/>
      <c r="H33" s="440"/>
      <c r="I33" s="440"/>
      <c r="J33" s="440"/>
      <c r="K33" s="440"/>
      <c r="L33" s="440"/>
      <c r="M33" s="440"/>
      <c r="N33" s="440"/>
      <c r="O33" s="440"/>
      <c r="P33" s="440"/>
      <c r="Q33" s="440"/>
      <c r="R33" s="440"/>
      <c r="S33" s="440"/>
      <c r="T33" s="440"/>
      <c r="U33" s="440"/>
      <c r="V33" s="440"/>
      <c r="W33" s="440"/>
      <c r="X33" s="440"/>
      <c r="Y33" s="440"/>
      <c r="Z33" s="440"/>
    </row>
    <row r="34" spans="1:26" ht="91.5" customHeight="1" x14ac:dyDescent="0.3">
      <c r="A34" s="440"/>
      <c r="B34" s="440"/>
      <c r="C34" s="517"/>
      <c r="D34" s="517"/>
      <c r="E34" s="517"/>
      <c r="F34" s="517"/>
      <c r="G34" s="440"/>
      <c r="H34" s="440"/>
      <c r="I34" s="440"/>
      <c r="J34" s="440"/>
      <c r="K34" s="440"/>
      <c r="L34" s="440"/>
      <c r="M34" s="440"/>
      <c r="N34" s="440"/>
      <c r="O34" s="440"/>
      <c r="P34" s="440"/>
      <c r="Q34" s="440"/>
      <c r="R34" s="440"/>
      <c r="S34" s="440"/>
      <c r="T34" s="440"/>
      <c r="U34" s="440"/>
      <c r="V34" s="440"/>
      <c r="W34" s="440"/>
      <c r="X34" s="440"/>
      <c r="Y34" s="440"/>
      <c r="Z34" s="440"/>
    </row>
    <row r="35" spans="1:26" ht="13.5" customHeight="1" x14ac:dyDescent="0.3">
      <c r="A35" s="440"/>
      <c r="B35" s="442" t="s">
        <v>854</v>
      </c>
      <c r="C35" s="517" t="s">
        <v>914</v>
      </c>
      <c r="D35" s="517"/>
      <c r="E35" s="517"/>
      <c r="F35" s="517"/>
      <c r="G35" s="440"/>
      <c r="H35" s="440"/>
      <c r="I35" s="440"/>
      <c r="J35" s="440"/>
      <c r="K35" s="440"/>
      <c r="L35" s="440"/>
      <c r="M35" s="440"/>
      <c r="N35" s="440"/>
      <c r="O35" s="440"/>
      <c r="P35" s="440"/>
      <c r="Q35" s="440"/>
      <c r="R35" s="440"/>
      <c r="S35" s="440"/>
      <c r="T35" s="440"/>
      <c r="U35" s="440"/>
      <c r="V35" s="440"/>
      <c r="W35" s="440"/>
      <c r="X35" s="440"/>
      <c r="Y35" s="440"/>
      <c r="Z35" s="440"/>
    </row>
    <row r="36" spans="1:26" ht="79.5" customHeight="1" x14ac:dyDescent="0.3">
      <c r="A36" s="440"/>
      <c r="B36" s="440"/>
      <c r="C36" s="517"/>
      <c r="D36" s="517"/>
      <c r="E36" s="517"/>
      <c r="F36" s="517"/>
      <c r="G36" s="440"/>
      <c r="H36" s="440"/>
      <c r="I36" s="440"/>
      <c r="J36" s="440"/>
      <c r="K36" s="440"/>
      <c r="L36" s="440"/>
      <c r="M36" s="440"/>
      <c r="N36" s="440"/>
      <c r="O36" s="440"/>
      <c r="P36" s="440"/>
      <c r="Q36" s="440"/>
      <c r="R36" s="440"/>
      <c r="S36" s="440"/>
      <c r="T36" s="440"/>
      <c r="U36" s="440"/>
      <c r="V36" s="440"/>
      <c r="W36" s="440"/>
      <c r="X36" s="440"/>
      <c r="Y36" s="440"/>
      <c r="Z36" s="440"/>
    </row>
    <row r="37" spans="1:26" ht="13.5" customHeight="1" x14ac:dyDescent="0.3">
      <c r="A37" s="440"/>
      <c r="B37" s="440"/>
      <c r="C37" s="517"/>
      <c r="D37" s="517"/>
      <c r="E37" s="517"/>
      <c r="F37" s="517"/>
      <c r="G37" s="440"/>
      <c r="H37" s="440"/>
      <c r="I37" s="440"/>
      <c r="J37" s="440"/>
      <c r="K37" s="440"/>
      <c r="L37" s="440"/>
      <c r="M37" s="440"/>
      <c r="N37" s="440"/>
      <c r="O37" s="440"/>
      <c r="P37" s="440"/>
      <c r="Q37" s="440"/>
      <c r="R37" s="440"/>
      <c r="S37" s="440"/>
      <c r="T37" s="440"/>
      <c r="U37" s="440"/>
      <c r="V37" s="440"/>
      <c r="W37" s="440"/>
      <c r="X37" s="440"/>
      <c r="Y37" s="440"/>
      <c r="Z37" s="440"/>
    </row>
    <row r="38" spans="1:26" ht="13.5" customHeight="1" x14ac:dyDescent="0.3">
      <c r="A38" s="440"/>
      <c r="B38" s="440"/>
      <c r="C38" s="448"/>
      <c r="D38" s="448"/>
      <c r="E38" s="448"/>
      <c r="F38" s="448"/>
      <c r="G38" s="440"/>
      <c r="H38" s="440"/>
      <c r="I38" s="440"/>
      <c r="J38" s="440"/>
      <c r="K38" s="440"/>
      <c r="L38" s="440"/>
      <c r="M38" s="440"/>
      <c r="N38" s="440"/>
      <c r="O38" s="440"/>
      <c r="P38" s="440"/>
      <c r="Q38" s="440"/>
      <c r="R38" s="440"/>
      <c r="S38" s="440"/>
      <c r="T38" s="440"/>
      <c r="U38" s="440"/>
      <c r="V38" s="440"/>
      <c r="W38" s="440"/>
      <c r="X38" s="440"/>
      <c r="Y38" s="440"/>
      <c r="Z38" s="440"/>
    </row>
    <row r="39" spans="1:26" ht="13.5" customHeight="1" x14ac:dyDescent="0.3">
      <c r="A39" s="440"/>
      <c r="B39" s="441" t="s">
        <v>898</v>
      </c>
      <c r="C39" s="449"/>
      <c r="D39" s="449"/>
      <c r="E39" s="448"/>
      <c r="F39" s="448"/>
      <c r="G39" s="440"/>
      <c r="H39" s="440"/>
      <c r="I39" s="440"/>
      <c r="J39" s="440"/>
      <c r="K39" s="440"/>
      <c r="L39" s="440"/>
      <c r="M39" s="440"/>
      <c r="N39" s="440"/>
      <c r="O39" s="440"/>
      <c r="P39" s="440"/>
      <c r="Q39" s="440"/>
      <c r="R39" s="440"/>
      <c r="S39" s="440"/>
      <c r="T39" s="440"/>
      <c r="U39" s="440"/>
      <c r="V39" s="440"/>
      <c r="W39" s="440"/>
      <c r="X39" s="440"/>
      <c r="Y39" s="440"/>
      <c r="Z39" s="440"/>
    </row>
    <row r="40" spans="1:26" ht="13.5" customHeight="1" x14ac:dyDescent="0.3">
      <c r="A40" s="440"/>
      <c r="B40" s="440"/>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row>
    <row r="41" spans="1:26" x14ac:dyDescent="0.3">
      <c r="A41" s="440"/>
      <c r="B41" s="442" t="s">
        <v>851</v>
      </c>
      <c r="C41" s="517" t="s">
        <v>915</v>
      </c>
      <c r="D41" s="517"/>
      <c r="E41" s="517"/>
      <c r="F41" s="517"/>
      <c r="G41" s="440"/>
      <c r="H41" s="440"/>
      <c r="I41" s="440"/>
      <c r="J41" s="440"/>
      <c r="K41" s="440"/>
      <c r="L41" s="440"/>
      <c r="M41" s="440"/>
      <c r="N41" s="440"/>
      <c r="O41" s="440"/>
      <c r="P41" s="440"/>
      <c r="Q41" s="440"/>
      <c r="R41" s="440"/>
      <c r="S41" s="440"/>
      <c r="T41" s="440"/>
      <c r="U41" s="440"/>
      <c r="V41" s="440"/>
      <c r="W41" s="440"/>
      <c r="X41" s="440"/>
      <c r="Y41" s="440"/>
      <c r="Z41" s="440"/>
    </row>
    <row r="42" spans="1:26" x14ac:dyDescent="0.3">
      <c r="A42" s="440"/>
      <c r="B42" s="440"/>
      <c r="C42" s="517"/>
      <c r="D42" s="517"/>
      <c r="E42" s="517"/>
      <c r="F42" s="517"/>
      <c r="G42" s="440"/>
      <c r="H42" s="440"/>
      <c r="I42" s="440"/>
      <c r="J42" s="440"/>
      <c r="K42" s="440"/>
      <c r="L42" s="440"/>
      <c r="M42" s="440"/>
      <c r="N42" s="440"/>
      <c r="O42" s="440"/>
      <c r="P42" s="440"/>
      <c r="Q42" s="440"/>
      <c r="R42" s="440"/>
      <c r="S42" s="440"/>
      <c r="T42" s="440"/>
      <c r="U42" s="440"/>
      <c r="V42" s="440"/>
      <c r="W42" s="440"/>
      <c r="X42" s="440"/>
      <c r="Y42" s="440"/>
      <c r="Z42" s="440"/>
    </row>
    <row r="43" spans="1:26" x14ac:dyDescent="0.3">
      <c r="A43" s="440"/>
      <c r="B43" s="440"/>
      <c r="C43" s="517"/>
      <c r="D43" s="517"/>
      <c r="E43" s="517"/>
      <c r="F43" s="517"/>
      <c r="G43" s="440"/>
      <c r="H43" s="440"/>
      <c r="I43" s="440"/>
      <c r="J43" s="440"/>
      <c r="K43" s="440"/>
      <c r="L43" s="440"/>
      <c r="M43" s="440"/>
      <c r="N43" s="440"/>
      <c r="O43" s="440"/>
      <c r="P43" s="440"/>
      <c r="Q43" s="440"/>
      <c r="R43" s="440"/>
      <c r="S43" s="440"/>
      <c r="T43" s="440"/>
      <c r="U43" s="440"/>
      <c r="V43" s="440"/>
      <c r="W43" s="440"/>
      <c r="X43" s="440"/>
      <c r="Y43" s="440"/>
      <c r="Z43" s="440"/>
    </row>
    <row r="44" spans="1:26" x14ac:dyDescent="0.3">
      <c r="A44" s="440"/>
      <c r="B44" s="440"/>
      <c r="C44" s="517"/>
      <c r="D44" s="517"/>
      <c r="E44" s="517"/>
      <c r="F44" s="517"/>
      <c r="G44" s="440"/>
      <c r="H44" s="440"/>
      <c r="I44" s="440"/>
      <c r="J44" s="440"/>
      <c r="K44" s="440"/>
      <c r="L44" s="440"/>
      <c r="M44" s="440"/>
      <c r="N44" s="440"/>
      <c r="O44" s="440"/>
      <c r="P44" s="440"/>
      <c r="Q44" s="440"/>
      <c r="R44" s="440"/>
      <c r="S44" s="440"/>
      <c r="T44" s="440"/>
      <c r="U44" s="440"/>
      <c r="V44" s="440"/>
      <c r="W44" s="440"/>
      <c r="X44" s="440"/>
      <c r="Y44" s="440"/>
      <c r="Z44" s="440"/>
    </row>
    <row r="45" spans="1:26" ht="7.5" customHeight="1" x14ac:dyDescent="0.3">
      <c r="A45" s="440"/>
      <c r="B45" s="440"/>
      <c r="C45" s="517"/>
      <c r="D45" s="517"/>
      <c r="E45" s="517"/>
      <c r="F45" s="517"/>
      <c r="G45" s="440"/>
      <c r="H45" s="440"/>
      <c r="I45" s="440"/>
      <c r="J45" s="440"/>
      <c r="K45" s="440"/>
      <c r="L45" s="440"/>
      <c r="M45" s="440"/>
      <c r="N45" s="440"/>
      <c r="O45" s="440"/>
      <c r="P45" s="440"/>
      <c r="Q45" s="440"/>
      <c r="R45" s="440"/>
      <c r="S45" s="440"/>
      <c r="T45" s="440"/>
      <c r="U45" s="440"/>
      <c r="V45" s="440"/>
      <c r="W45" s="440"/>
      <c r="X45" s="440"/>
      <c r="Y45" s="440"/>
      <c r="Z45" s="440"/>
    </row>
    <row r="46" spans="1:26" x14ac:dyDescent="0.3">
      <c r="A46" s="440"/>
      <c r="B46" s="442" t="s">
        <v>899</v>
      </c>
      <c r="C46" s="517" t="s">
        <v>903</v>
      </c>
      <c r="D46" s="517"/>
      <c r="E46" s="517"/>
      <c r="F46" s="517"/>
      <c r="G46" s="440"/>
      <c r="H46" s="440"/>
      <c r="I46" s="440"/>
      <c r="J46" s="440"/>
      <c r="K46" s="440"/>
      <c r="L46" s="440"/>
      <c r="M46" s="440"/>
      <c r="N46" s="440"/>
      <c r="O46" s="440"/>
      <c r="P46" s="440"/>
      <c r="Q46" s="440"/>
      <c r="R46" s="440"/>
      <c r="S46" s="440"/>
      <c r="T46" s="440"/>
      <c r="U46" s="440"/>
      <c r="V46" s="440"/>
      <c r="W46" s="440"/>
      <c r="X46" s="440"/>
      <c r="Y46" s="440"/>
      <c r="Z46" s="440"/>
    </row>
    <row r="47" spans="1:26" x14ac:dyDescent="0.3">
      <c r="A47" s="440"/>
      <c r="B47" s="440"/>
      <c r="C47" s="517"/>
      <c r="D47" s="517"/>
      <c r="E47" s="517"/>
      <c r="F47" s="517"/>
      <c r="G47" s="440"/>
      <c r="H47" s="440"/>
      <c r="I47" s="440"/>
      <c r="J47" s="440"/>
      <c r="K47" s="440"/>
      <c r="L47" s="440"/>
      <c r="M47" s="440"/>
      <c r="N47" s="440"/>
      <c r="O47" s="440"/>
      <c r="P47" s="440"/>
      <c r="Q47" s="440"/>
      <c r="R47" s="440"/>
      <c r="S47" s="440"/>
      <c r="T47" s="440"/>
      <c r="U47" s="440"/>
      <c r="V47" s="440"/>
      <c r="W47" s="440"/>
      <c r="X47" s="440"/>
      <c r="Y47" s="440"/>
      <c r="Z47" s="440"/>
    </row>
    <row r="48" spans="1:26" x14ac:dyDescent="0.3">
      <c r="A48" s="440"/>
      <c r="B48" s="440"/>
      <c r="C48" s="517"/>
      <c r="D48" s="517"/>
      <c r="E48" s="517"/>
      <c r="F48" s="517"/>
      <c r="G48" s="440"/>
      <c r="H48" s="440"/>
      <c r="I48" s="440"/>
      <c r="J48" s="440"/>
      <c r="K48" s="440"/>
      <c r="L48" s="440"/>
      <c r="M48" s="440"/>
      <c r="N48" s="440"/>
      <c r="O48" s="440"/>
      <c r="P48" s="440"/>
      <c r="Q48" s="440"/>
      <c r="R48" s="440"/>
      <c r="S48" s="440"/>
      <c r="T48" s="440"/>
      <c r="U48" s="440"/>
      <c r="V48" s="440"/>
      <c r="W48" s="440"/>
      <c r="X48" s="440"/>
      <c r="Y48" s="440"/>
      <c r="Z48" s="440"/>
    </row>
    <row r="49" spans="1:26" x14ac:dyDescent="0.3">
      <c r="A49" s="440"/>
      <c r="B49" s="440"/>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row>
    <row r="50" spans="1:26" x14ac:dyDescent="0.3">
      <c r="A50" s="440"/>
      <c r="B50" s="440"/>
      <c r="C50" s="440"/>
      <c r="D50" s="440"/>
      <c r="E50" s="440"/>
      <c r="F50" s="440"/>
      <c r="G50" s="440"/>
      <c r="H50" s="440"/>
      <c r="I50" s="440"/>
      <c r="J50" s="440"/>
      <c r="K50" s="440"/>
      <c r="L50" s="440"/>
      <c r="M50" s="440"/>
      <c r="N50" s="440"/>
      <c r="O50" s="440"/>
      <c r="P50" s="440"/>
      <c r="Q50" s="440"/>
      <c r="R50" s="440"/>
      <c r="S50" s="440"/>
      <c r="T50" s="440"/>
      <c r="U50" s="440"/>
      <c r="V50" s="440"/>
      <c r="W50" s="440"/>
      <c r="X50" s="440"/>
      <c r="Y50" s="440"/>
      <c r="Z50" s="440"/>
    </row>
    <row r="51" spans="1:26" x14ac:dyDescent="0.3">
      <c r="A51" s="440"/>
      <c r="B51" s="440"/>
      <c r="C51" s="440"/>
      <c r="D51" s="440"/>
      <c r="E51" s="440"/>
      <c r="F51" s="440"/>
      <c r="G51" s="440"/>
      <c r="H51" s="440"/>
      <c r="I51" s="440"/>
      <c r="J51" s="440"/>
      <c r="K51" s="440"/>
      <c r="L51" s="440"/>
      <c r="M51" s="440"/>
      <c r="N51" s="440"/>
      <c r="O51" s="440"/>
      <c r="P51" s="440"/>
      <c r="Q51" s="440"/>
      <c r="R51" s="440"/>
      <c r="S51" s="440"/>
      <c r="T51" s="440"/>
      <c r="U51" s="440"/>
      <c r="V51" s="440"/>
      <c r="W51" s="440"/>
      <c r="X51" s="440"/>
      <c r="Y51" s="440"/>
      <c r="Z51" s="440"/>
    </row>
    <row r="52" spans="1:26" x14ac:dyDescent="0.3">
      <c r="A52" s="440"/>
      <c r="B52" s="440"/>
      <c r="C52" s="440"/>
      <c r="D52" s="440"/>
      <c r="E52" s="440"/>
      <c r="F52" s="440"/>
      <c r="G52" s="440"/>
      <c r="H52" s="440"/>
      <c r="I52" s="440"/>
      <c r="J52" s="440"/>
      <c r="K52" s="440"/>
      <c r="L52" s="440"/>
      <c r="M52" s="440"/>
      <c r="N52" s="440"/>
      <c r="O52" s="440"/>
      <c r="P52" s="440"/>
      <c r="Q52" s="440"/>
      <c r="R52" s="440"/>
      <c r="S52" s="440"/>
      <c r="T52" s="440"/>
      <c r="U52" s="440"/>
      <c r="V52" s="440"/>
      <c r="W52" s="440"/>
      <c r="X52" s="440"/>
      <c r="Y52" s="440"/>
      <c r="Z52" s="440"/>
    </row>
    <row r="53" spans="1:26" x14ac:dyDescent="0.3">
      <c r="A53" s="440"/>
      <c r="B53" s="441" t="s">
        <v>917</v>
      </c>
      <c r="C53" s="442"/>
      <c r="D53" s="442"/>
      <c r="E53" s="440"/>
      <c r="F53" s="440"/>
      <c r="G53" s="440"/>
      <c r="H53" s="440"/>
      <c r="I53" s="440"/>
      <c r="J53" s="440"/>
      <c r="K53" s="440"/>
      <c r="L53" s="440"/>
      <c r="M53" s="440"/>
      <c r="N53" s="440"/>
      <c r="O53" s="440"/>
      <c r="P53" s="440"/>
      <c r="Q53" s="440"/>
      <c r="R53" s="440"/>
      <c r="S53" s="440"/>
      <c r="T53" s="440"/>
      <c r="U53" s="440"/>
      <c r="V53" s="440"/>
      <c r="W53" s="440"/>
      <c r="X53" s="440"/>
      <c r="Y53" s="440"/>
      <c r="Z53" s="440"/>
    </row>
    <row r="54" spans="1:26" x14ac:dyDescent="0.3">
      <c r="A54" s="440"/>
      <c r="B54" s="440"/>
      <c r="C54" s="440"/>
      <c r="D54" s="440"/>
      <c r="E54" s="440"/>
      <c r="F54" s="440"/>
      <c r="G54" s="440"/>
      <c r="H54" s="440"/>
      <c r="I54" s="440"/>
      <c r="J54" s="440"/>
      <c r="K54" s="440"/>
      <c r="L54" s="440"/>
      <c r="M54" s="440"/>
      <c r="N54" s="440"/>
      <c r="O54" s="440"/>
      <c r="P54" s="440"/>
      <c r="Q54" s="440"/>
      <c r="R54" s="440"/>
      <c r="S54" s="440"/>
      <c r="T54" s="440"/>
      <c r="U54" s="440"/>
      <c r="V54" s="440"/>
      <c r="W54" s="440"/>
      <c r="X54" s="440"/>
      <c r="Y54" s="440"/>
      <c r="Z54" s="440"/>
    </row>
    <row r="55" spans="1:26" ht="15" customHeight="1" x14ac:dyDescent="0.3">
      <c r="A55" s="440"/>
      <c r="B55" s="442" t="s">
        <v>851</v>
      </c>
      <c r="C55" s="517" t="s">
        <v>916</v>
      </c>
      <c r="D55" s="517"/>
      <c r="E55" s="517"/>
      <c r="F55" s="517"/>
      <c r="G55" s="440"/>
      <c r="H55" s="440"/>
      <c r="I55" s="440"/>
      <c r="J55" s="440"/>
      <c r="K55" s="440"/>
      <c r="L55" s="440"/>
      <c r="M55" s="440"/>
      <c r="N55" s="440"/>
      <c r="O55" s="440"/>
      <c r="P55" s="440"/>
      <c r="Q55" s="440"/>
      <c r="R55" s="440"/>
      <c r="S55" s="440"/>
      <c r="T55" s="440"/>
      <c r="U55" s="440"/>
      <c r="V55" s="440"/>
      <c r="W55" s="440"/>
      <c r="X55" s="440"/>
      <c r="Y55" s="440"/>
      <c r="Z55" s="440"/>
    </row>
    <row r="56" spans="1:26" x14ac:dyDescent="0.3">
      <c r="A56" s="440"/>
      <c r="B56" s="440"/>
      <c r="C56" s="517"/>
      <c r="D56" s="517"/>
      <c r="E56" s="517"/>
      <c r="F56" s="517"/>
      <c r="G56" s="440"/>
      <c r="H56" s="440"/>
      <c r="I56" s="440"/>
      <c r="J56" s="440"/>
      <c r="K56" s="440"/>
      <c r="L56" s="440"/>
      <c r="M56" s="440"/>
      <c r="N56" s="440"/>
      <c r="O56" s="440"/>
      <c r="P56" s="440"/>
      <c r="Q56" s="440"/>
      <c r="R56" s="440"/>
      <c r="S56" s="440"/>
      <c r="T56" s="440"/>
      <c r="U56" s="440"/>
      <c r="V56" s="440"/>
      <c r="W56" s="440"/>
      <c r="X56" s="440"/>
      <c r="Y56" s="440"/>
      <c r="Z56" s="440"/>
    </row>
    <row r="57" spans="1:26" x14ac:dyDescent="0.3">
      <c r="A57" s="440"/>
      <c r="B57" s="440"/>
      <c r="C57" s="517"/>
      <c r="D57" s="517"/>
      <c r="E57" s="517"/>
      <c r="F57" s="517"/>
      <c r="G57" s="440"/>
      <c r="H57" s="440"/>
      <c r="I57" s="440"/>
      <c r="J57" s="440"/>
      <c r="K57" s="440"/>
      <c r="L57" s="440"/>
      <c r="M57" s="440"/>
      <c r="N57" s="440"/>
      <c r="O57" s="440"/>
      <c r="P57" s="440"/>
      <c r="Q57" s="440"/>
      <c r="R57" s="440"/>
      <c r="S57" s="440"/>
      <c r="T57" s="440"/>
      <c r="U57" s="440"/>
      <c r="V57" s="440"/>
      <c r="W57" s="440"/>
      <c r="X57" s="440"/>
      <c r="Y57" s="440"/>
      <c r="Z57" s="440"/>
    </row>
    <row r="58" spans="1:26" x14ac:dyDescent="0.3">
      <c r="A58" s="440"/>
      <c r="B58" s="440"/>
      <c r="C58" s="517"/>
      <c r="D58" s="517"/>
      <c r="E58" s="517"/>
      <c r="F58" s="517"/>
      <c r="G58" s="440"/>
      <c r="H58" s="440"/>
      <c r="I58" s="440"/>
      <c r="J58" s="440"/>
      <c r="K58" s="440"/>
      <c r="L58" s="440"/>
      <c r="M58" s="440"/>
      <c r="N58" s="440"/>
      <c r="O58" s="440"/>
      <c r="P58" s="440"/>
      <c r="Q58" s="440"/>
      <c r="R58" s="440"/>
      <c r="S58" s="440"/>
      <c r="T58" s="440"/>
      <c r="U58" s="440"/>
      <c r="V58" s="440"/>
      <c r="W58" s="440"/>
      <c r="X58" s="440"/>
      <c r="Y58" s="440"/>
      <c r="Z58" s="440"/>
    </row>
    <row r="59" spans="1:26" x14ac:dyDescent="0.3">
      <c r="A59" s="440"/>
      <c r="B59" s="440"/>
      <c r="C59" s="517"/>
      <c r="D59" s="517"/>
      <c r="E59" s="517"/>
      <c r="F59" s="517"/>
      <c r="G59" s="440"/>
      <c r="H59" s="440"/>
      <c r="I59" s="440"/>
      <c r="J59" s="440"/>
      <c r="K59" s="440"/>
      <c r="L59" s="440"/>
      <c r="M59" s="440"/>
      <c r="N59" s="440"/>
      <c r="O59" s="440"/>
      <c r="P59" s="440"/>
      <c r="Q59" s="440"/>
      <c r="R59" s="440"/>
      <c r="S59" s="440"/>
      <c r="T59" s="440"/>
      <c r="U59" s="440"/>
      <c r="V59" s="440"/>
      <c r="W59" s="440"/>
      <c r="X59" s="440"/>
      <c r="Y59" s="440"/>
      <c r="Z59" s="440"/>
    </row>
    <row r="60" spans="1:26" x14ac:dyDescent="0.3">
      <c r="A60" s="440"/>
      <c r="B60" s="440"/>
      <c r="C60" s="517"/>
      <c r="D60" s="517"/>
      <c r="E60" s="517"/>
      <c r="F60" s="517"/>
      <c r="G60" s="440"/>
      <c r="H60" s="440"/>
      <c r="I60" s="440"/>
      <c r="J60" s="440"/>
      <c r="K60" s="440"/>
      <c r="L60" s="440"/>
      <c r="M60" s="440"/>
      <c r="N60" s="440"/>
      <c r="O60" s="440"/>
      <c r="P60" s="440"/>
      <c r="Q60" s="440"/>
      <c r="R60" s="440"/>
      <c r="S60" s="440"/>
      <c r="T60" s="440"/>
      <c r="U60" s="440"/>
      <c r="V60" s="440"/>
      <c r="W60" s="440"/>
      <c r="X60" s="440"/>
      <c r="Y60" s="440"/>
      <c r="Z60" s="440"/>
    </row>
    <row r="61" spans="1:26" x14ac:dyDescent="0.3">
      <c r="A61" s="440"/>
      <c r="B61" s="440"/>
      <c r="C61" s="517"/>
      <c r="D61" s="517"/>
      <c r="E61" s="517"/>
      <c r="F61" s="517"/>
      <c r="G61" s="440"/>
      <c r="H61" s="440"/>
      <c r="I61" s="440"/>
      <c r="J61" s="440"/>
      <c r="K61" s="440"/>
      <c r="L61" s="440"/>
      <c r="M61" s="440"/>
      <c r="N61" s="440"/>
      <c r="O61" s="440"/>
      <c r="P61" s="440"/>
      <c r="Q61" s="440"/>
      <c r="R61" s="440"/>
      <c r="S61" s="440"/>
      <c r="T61" s="440"/>
      <c r="U61" s="440"/>
      <c r="V61" s="440"/>
      <c r="W61" s="440"/>
      <c r="X61" s="440"/>
      <c r="Y61" s="440"/>
      <c r="Z61" s="440"/>
    </row>
    <row r="62" spans="1:26" x14ac:dyDescent="0.3">
      <c r="A62" s="440"/>
      <c r="B62" s="440"/>
      <c r="C62" s="440"/>
      <c r="D62" s="440"/>
      <c r="E62" s="440"/>
      <c r="F62" s="440"/>
      <c r="G62" s="440"/>
      <c r="H62" s="440"/>
      <c r="I62" s="440"/>
      <c r="J62" s="440"/>
      <c r="K62" s="440"/>
      <c r="L62" s="440"/>
      <c r="M62" s="440"/>
      <c r="N62" s="440"/>
      <c r="O62" s="440"/>
      <c r="P62" s="440"/>
      <c r="Q62" s="440"/>
      <c r="R62" s="440"/>
      <c r="S62" s="440"/>
      <c r="T62" s="440"/>
      <c r="U62" s="440"/>
      <c r="V62" s="440"/>
      <c r="W62" s="440"/>
      <c r="X62" s="440"/>
      <c r="Y62" s="440"/>
      <c r="Z62" s="440"/>
    </row>
    <row r="63" spans="1:26" x14ac:dyDescent="0.3">
      <c r="A63" s="440"/>
      <c r="B63" s="440"/>
      <c r="C63" s="440"/>
      <c r="D63" s="440"/>
      <c r="E63" s="440"/>
      <c r="F63" s="440"/>
      <c r="G63" s="440"/>
      <c r="H63" s="440"/>
      <c r="I63" s="440"/>
      <c r="J63" s="440"/>
      <c r="K63" s="440"/>
      <c r="L63" s="440"/>
      <c r="M63" s="440"/>
      <c r="N63" s="440"/>
      <c r="O63" s="440"/>
      <c r="P63" s="440"/>
      <c r="Q63" s="440"/>
      <c r="R63" s="440"/>
      <c r="S63" s="440"/>
      <c r="T63" s="440"/>
      <c r="U63" s="440"/>
      <c r="V63" s="440"/>
      <c r="W63" s="440"/>
      <c r="X63" s="440"/>
      <c r="Y63" s="440"/>
      <c r="Z63" s="440"/>
    </row>
    <row r="64" spans="1:26" x14ac:dyDescent="0.3">
      <c r="A64" s="440"/>
      <c r="B64" s="440"/>
      <c r="C64" s="440"/>
      <c r="D64" s="440"/>
      <c r="E64" s="440"/>
      <c r="F64" s="440"/>
      <c r="G64" s="440"/>
      <c r="H64" s="440"/>
      <c r="I64" s="440"/>
      <c r="J64" s="440"/>
      <c r="K64" s="440"/>
      <c r="L64" s="440"/>
      <c r="M64" s="440"/>
      <c r="N64" s="440"/>
      <c r="O64" s="440"/>
      <c r="P64" s="440"/>
      <c r="Q64" s="440"/>
      <c r="R64" s="440"/>
      <c r="S64" s="440"/>
      <c r="T64" s="440"/>
      <c r="U64" s="440"/>
      <c r="V64" s="440"/>
      <c r="W64" s="440"/>
      <c r="X64" s="440"/>
      <c r="Y64" s="440"/>
      <c r="Z64" s="440"/>
    </row>
    <row r="65" spans="1:26" x14ac:dyDescent="0.3">
      <c r="A65" s="440"/>
      <c r="B65" s="440"/>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row>
    <row r="66" spans="1:26" x14ac:dyDescent="0.3">
      <c r="A66" s="440"/>
      <c r="B66" s="440"/>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row>
    <row r="67" spans="1:26" x14ac:dyDescent="0.3">
      <c r="A67" s="440"/>
      <c r="B67" s="440"/>
      <c r="C67" s="440"/>
      <c r="D67" s="440"/>
      <c r="E67" s="440"/>
      <c r="F67" s="440"/>
      <c r="G67" s="440"/>
      <c r="H67" s="440"/>
      <c r="I67" s="440"/>
      <c r="J67" s="440"/>
      <c r="K67" s="440"/>
      <c r="L67" s="440"/>
      <c r="M67" s="440"/>
      <c r="N67" s="440"/>
      <c r="O67" s="440"/>
      <c r="P67" s="440"/>
      <c r="Q67" s="440"/>
      <c r="R67" s="440"/>
      <c r="S67" s="440"/>
      <c r="T67" s="440"/>
      <c r="U67" s="440"/>
      <c r="V67" s="440"/>
      <c r="W67" s="440"/>
      <c r="X67" s="440"/>
      <c r="Y67" s="440"/>
      <c r="Z67" s="440"/>
    </row>
    <row r="68" spans="1:26" x14ac:dyDescent="0.3">
      <c r="A68" s="440"/>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row>
    <row r="69" spans="1:26" x14ac:dyDescent="0.3">
      <c r="A69" s="440"/>
      <c r="B69" s="440"/>
      <c r="C69" s="440"/>
      <c r="D69" s="440"/>
      <c r="E69" s="440"/>
      <c r="F69" s="440"/>
      <c r="G69" s="440"/>
      <c r="H69" s="440"/>
      <c r="I69" s="440"/>
      <c r="J69" s="440"/>
      <c r="K69" s="440"/>
      <c r="L69" s="440"/>
      <c r="M69" s="440"/>
      <c r="N69" s="440"/>
      <c r="O69" s="440"/>
      <c r="P69" s="440"/>
      <c r="Q69" s="440"/>
      <c r="R69" s="440"/>
      <c r="S69" s="440"/>
      <c r="T69" s="440"/>
      <c r="U69" s="440"/>
      <c r="V69" s="440"/>
      <c r="W69" s="440"/>
      <c r="X69" s="440"/>
      <c r="Y69" s="440"/>
      <c r="Z69" s="440"/>
    </row>
    <row r="70" spans="1:26" x14ac:dyDescent="0.3">
      <c r="A70" s="440"/>
      <c r="B70" s="440"/>
      <c r="C70" s="440"/>
      <c r="D70" s="440"/>
      <c r="E70" s="440"/>
      <c r="F70" s="440"/>
      <c r="G70" s="440"/>
      <c r="H70" s="440"/>
      <c r="I70" s="440"/>
      <c r="J70" s="440"/>
      <c r="K70" s="440"/>
      <c r="L70" s="440"/>
      <c r="M70" s="440"/>
      <c r="N70" s="440"/>
      <c r="O70" s="440"/>
      <c r="P70" s="440"/>
      <c r="Q70" s="440"/>
      <c r="R70" s="440"/>
      <c r="S70" s="440"/>
      <c r="T70" s="440"/>
      <c r="U70" s="440"/>
      <c r="V70" s="440"/>
      <c r="W70" s="440"/>
      <c r="X70" s="440"/>
      <c r="Y70" s="440"/>
      <c r="Z70" s="440"/>
    </row>
    <row r="71" spans="1:26" x14ac:dyDescent="0.3">
      <c r="A71" s="440"/>
      <c r="B71" s="440"/>
      <c r="C71" s="440"/>
      <c r="D71" s="440"/>
      <c r="E71" s="440"/>
      <c r="F71" s="440"/>
      <c r="G71" s="440"/>
      <c r="H71" s="440"/>
      <c r="I71" s="440"/>
      <c r="J71" s="440"/>
      <c r="K71" s="440"/>
      <c r="L71" s="440"/>
      <c r="M71" s="440"/>
      <c r="N71" s="440"/>
      <c r="O71" s="440"/>
      <c r="P71" s="440"/>
      <c r="Q71" s="440"/>
      <c r="R71" s="440"/>
      <c r="S71" s="440"/>
      <c r="T71" s="440"/>
      <c r="U71" s="440"/>
      <c r="V71" s="440"/>
      <c r="W71" s="440"/>
      <c r="X71" s="440"/>
      <c r="Y71" s="440"/>
      <c r="Z71" s="440"/>
    </row>
    <row r="72" spans="1:26" x14ac:dyDescent="0.3">
      <c r="A72" s="440"/>
      <c r="B72" s="440"/>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row>
    <row r="73" spans="1:26" x14ac:dyDescent="0.3">
      <c r="A73" s="440"/>
      <c r="B73" s="440"/>
      <c r="C73" s="440"/>
      <c r="D73" s="440"/>
      <c r="E73" s="440"/>
      <c r="F73" s="440"/>
      <c r="G73" s="440"/>
      <c r="H73" s="440"/>
      <c r="I73" s="440"/>
      <c r="J73" s="440"/>
      <c r="K73" s="440"/>
      <c r="L73" s="440"/>
      <c r="M73" s="440"/>
      <c r="N73" s="440"/>
      <c r="O73" s="440"/>
      <c r="P73" s="440"/>
      <c r="Q73" s="440"/>
      <c r="R73" s="440"/>
      <c r="S73" s="440"/>
      <c r="T73" s="440"/>
      <c r="U73" s="440"/>
      <c r="V73" s="440"/>
      <c r="W73" s="440"/>
      <c r="X73" s="440"/>
      <c r="Y73" s="440"/>
      <c r="Z73" s="440"/>
    </row>
    <row r="74" spans="1:26" x14ac:dyDescent="0.3">
      <c r="A74" s="440"/>
      <c r="B74" s="440"/>
      <c r="C74" s="440"/>
      <c r="D74" s="440"/>
      <c r="E74" s="440"/>
      <c r="F74" s="440"/>
      <c r="G74" s="440"/>
      <c r="H74" s="440"/>
      <c r="I74" s="440"/>
      <c r="J74" s="440"/>
      <c r="K74" s="440"/>
      <c r="L74" s="440"/>
      <c r="M74" s="440"/>
      <c r="N74" s="440"/>
      <c r="O74" s="440"/>
      <c r="P74" s="440"/>
      <c r="Q74" s="440"/>
      <c r="R74" s="440"/>
      <c r="S74" s="440"/>
      <c r="T74" s="440"/>
      <c r="U74" s="440"/>
      <c r="V74" s="440"/>
      <c r="W74" s="440"/>
      <c r="X74" s="440"/>
      <c r="Y74" s="440"/>
      <c r="Z74" s="440"/>
    </row>
    <row r="75" spans="1:26" x14ac:dyDescent="0.3">
      <c r="A75" s="440"/>
      <c r="B75" s="440"/>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row>
    <row r="76" spans="1:26" x14ac:dyDescent="0.3">
      <c r="A76" s="440"/>
      <c r="B76" s="440"/>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row>
    <row r="77" spans="1:26" x14ac:dyDescent="0.3">
      <c r="A77" s="440"/>
      <c r="B77" s="440"/>
      <c r="C77" s="440"/>
      <c r="D77" s="440"/>
      <c r="E77" s="440"/>
      <c r="F77" s="440"/>
      <c r="G77" s="440"/>
      <c r="H77" s="440"/>
      <c r="I77" s="440"/>
      <c r="J77" s="440"/>
      <c r="K77" s="440"/>
      <c r="L77" s="440"/>
      <c r="M77" s="440"/>
      <c r="N77" s="440"/>
      <c r="O77" s="440"/>
      <c r="P77" s="440"/>
      <c r="Q77" s="440"/>
      <c r="R77" s="440"/>
      <c r="S77" s="440"/>
      <c r="T77" s="440"/>
      <c r="U77" s="440"/>
      <c r="V77" s="440"/>
      <c r="W77" s="440"/>
      <c r="X77" s="440"/>
      <c r="Y77" s="440"/>
      <c r="Z77" s="440"/>
    </row>
    <row r="78" spans="1:26" x14ac:dyDescent="0.3">
      <c r="A78" s="440"/>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row>
    <row r="79" spans="1:26" x14ac:dyDescent="0.3">
      <c r="A79" s="440"/>
      <c r="B79" s="440"/>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row>
    <row r="80" spans="1:26" x14ac:dyDescent="0.3">
      <c r="A80" s="440"/>
      <c r="B80" s="440"/>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row>
    <row r="81" spans="1:26" x14ac:dyDescent="0.3">
      <c r="A81" s="440"/>
      <c r="B81" s="440"/>
      <c r="C81" s="440"/>
      <c r="D81" s="440"/>
      <c r="E81" s="440"/>
      <c r="F81" s="440"/>
      <c r="G81" s="440"/>
      <c r="H81" s="440"/>
      <c r="I81" s="440"/>
      <c r="J81" s="440"/>
      <c r="K81" s="440"/>
      <c r="L81" s="440"/>
      <c r="M81" s="440"/>
      <c r="N81" s="440"/>
      <c r="O81" s="440"/>
      <c r="P81" s="440"/>
      <c r="Q81" s="440"/>
      <c r="R81" s="440"/>
      <c r="S81" s="440"/>
      <c r="T81" s="440"/>
      <c r="U81" s="440"/>
      <c r="V81" s="440"/>
      <c r="W81" s="440"/>
      <c r="X81" s="440"/>
      <c r="Y81" s="440"/>
      <c r="Z81" s="440"/>
    </row>
    <row r="82" spans="1:26" x14ac:dyDescent="0.3">
      <c r="A82" s="440"/>
      <c r="B82" s="440"/>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row>
    <row r="83" spans="1:26" x14ac:dyDescent="0.3">
      <c r="A83" s="440"/>
      <c r="B83" s="440"/>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row>
    <row r="84" spans="1:26" x14ac:dyDescent="0.3">
      <c r="A84" s="440"/>
      <c r="B84" s="440"/>
      <c r="C84" s="440"/>
      <c r="D84" s="440"/>
      <c r="E84" s="440"/>
      <c r="F84" s="440"/>
      <c r="G84" s="440"/>
      <c r="H84" s="440"/>
      <c r="I84" s="440"/>
      <c r="J84" s="440"/>
      <c r="K84" s="440"/>
      <c r="L84" s="440"/>
      <c r="M84" s="440"/>
      <c r="N84" s="440"/>
      <c r="O84" s="440"/>
      <c r="P84" s="440"/>
      <c r="Q84" s="440"/>
      <c r="R84" s="440"/>
      <c r="S84" s="440"/>
      <c r="T84" s="440"/>
      <c r="U84" s="440"/>
      <c r="V84" s="440"/>
      <c r="W84" s="440"/>
      <c r="X84" s="440"/>
      <c r="Y84" s="440"/>
      <c r="Z84" s="440"/>
    </row>
    <row r="85" spans="1:26" x14ac:dyDescent="0.3">
      <c r="A85" s="440"/>
      <c r="B85" s="440"/>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row>
    <row r="86" spans="1:26" x14ac:dyDescent="0.3">
      <c r="A86" s="440"/>
      <c r="B86" s="440"/>
      <c r="C86" s="440"/>
      <c r="D86" s="440"/>
      <c r="E86" s="440"/>
      <c r="F86" s="440"/>
      <c r="G86" s="440"/>
      <c r="H86" s="440"/>
      <c r="I86" s="440"/>
      <c r="J86" s="440"/>
      <c r="K86" s="440"/>
      <c r="L86" s="440"/>
      <c r="M86" s="440"/>
      <c r="N86" s="440"/>
      <c r="O86" s="440"/>
      <c r="P86" s="440"/>
      <c r="Q86" s="440"/>
      <c r="R86" s="440"/>
      <c r="S86" s="440"/>
      <c r="T86" s="440"/>
      <c r="U86" s="440"/>
      <c r="V86" s="440"/>
      <c r="W86" s="440"/>
      <c r="X86" s="440"/>
      <c r="Y86" s="440"/>
      <c r="Z86" s="440"/>
    </row>
    <row r="87" spans="1:26" x14ac:dyDescent="0.3">
      <c r="A87" s="440"/>
      <c r="B87" s="440"/>
      <c r="C87" s="440"/>
      <c r="D87" s="440"/>
      <c r="E87" s="440"/>
      <c r="F87" s="440"/>
      <c r="G87" s="440"/>
      <c r="H87" s="440"/>
      <c r="I87" s="440"/>
      <c r="J87" s="440"/>
      <c r="K87" s="440"/>
      <c r="L87" s="440"/>
      <c r="M87" s="440"/>
      <c r="N87" s="440"/>
      <c r="O87" s="440"/>
      <c r="P87" s="440"/>
      <c r="Q87" s="440"/>
      <c r="R87" s="440"/>
      <c r="S87" s="440"/>
      <c r="T87" s="440"/>
      <c r="U87" s="440"/>
      <c r="V87" s="440"/>
      <c r="W87" s="440"/>
      <c r="X87" s="440"/>
      <c r="Y87" s="440"/>
      <c r="Z87" s="440"/>
    </row>
    <row r="88" spans="1:26" x14ac:dyDescent="0.3">
      <c r="A88" s="440"/>
      <c r="B88" s="440"/>
      <c r="C88" s="440"/>
      <c r="D88" s="440"/>
      <c r="E88" s="440"/>
      <c r="F88" s="440"/>
      <c r="G88" s="440"/>
      <c r="H88" s="440"/>
      <c r="I88" s="440"/>
      <c r="J88" s="440"/>
      <c r="K88" s="440"/>
      <c r="L88" s="440"/>
      <c r="M88" s="440"/>
      <c r="N88" s="440"/>
      <c r="O88" s="440"/>
      <c r="P88" s="440"/>
      <c r="Q88" s="440"/>
      <c r="R88" s="440"/>
      <c r="S88" s="440"/>
      <c r="T88" s="440"/>
      <c r="U88" s="440"/>
      <c r="V88" s="440"/>
      <c r="W88" s="440"/>
      <c r="X88" s="440"/>
      <c r="Y88" s="440"/>
      <c r="Z88" s="440"/>
    </row>
    <row r="89" spans="1:26" x14ac:dyDescent="0.3">
      <c r="A89" s="440"/>
      <c r="B89" s="440"/>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row>
    <row r="90" spans="1:26" x14ac:dyDescent="0.3">
      <c r="A90" s="440"/>
      <c r="B90" s="440"/>
      <c r="C90" s="440"/>
      <c r="D90" s="440"/>
      <c r="E90" s="440"/>
      <c r="F90" s="440"/>
      <c r="G90" s="440"/>
      <c r="H90" s="440"/>
      <c r="I90" s="440"/>
      <c r="J90" s="440"/>
      <c r="K90" s="440"/>
      <c r="L90" s="440"/>
      <c r="M90" s="440"/>
      <c r="N90" s="440"/>
      <c r="O90" s="440"/>
      <c r="P90" s="440"/>
      <c r="Q90" s="440"/>
      <c r="R90" s="440"/>
      <c r="S90" s="440"/>
      <c r="T90" s="440"/>
      <c r="U90" s="440"/>
      <c r="V90" s="440"/>
      <c r="W90" s="440"/>
      <c r="X90" s="440"/>
      <c r="Y90" s="440"/>
      <c r="Z90" s="440"/>
    </row>
    <row r="91" spans="1:26" x14ac:dyDescent="0.3">
      <c r="A91" s="440"/>
      <c r="B91" s="440"/>
      <c r="C91" s="440"/>
      <c r="D91" s="440"/>
      <c r="E91" s="440"/>
      <c r="F91" s="440"/>
      <c r="G91" s="440"/>
      <c r="H91" s="440"/>
      <c r="I91" s="440"/>
      <c r="J91" s="440"/>
      <c r="K91" s="440"/>
      <c r="L91" s="440"/>
      <c r="M91" s="440"/>
      <c r="N91" s="440"/>
      <c r="O91" s="440"/>
      <c r="P91" s="440"/>
      <c r="Q91" s="440"/>
      <c r="R91" s="440"/>
      <c r="S91" s="440"/>
      <c r="T91" s="440"/>
      <c r="U91" s="440"/>
      <c r="V91" s="440"/>
      <c r="W91" s="440"/>
      <c r="X91" s="440"/>
      <c r="Y91" s="440"/>
      <c r="Z91" s="440"/>
    </row>
    <row r="92" spans="1:26" x14ac:dyDescent="0.3">
      <c r="A92" s="440"/>
      <c r="B92" s="440"/>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row>
    <row r="93" spans="1:26" x14ac:dyDescent="0.3">
      <c r="A93" s="440"/>
      <c r="B93" s="440"/>
      <c r="C93" s="440"/>
      <c r="D93" s="440"/>
      <c r="E93" s="440"/>
      <c r="F93" s="440"/>
      <c r="G93" s="440"/>
      <c r="H93" s="440"/>
      <c r="I93" s="440"/>
      <c r="J93" s="440"/>
      <c r="K93" s="440"/>
      <c r="L93" s="440"/>
      <c r="M93" s="440"/>
      <c r="N93" s="440"/>
      <c r="O93" s="440"/>
      <c r="P93" s="440"/>
      <c r="Q93" s="440"/>
      <c r="R93" s="440"/>
      <c r="S93" s="440"/>
      <c r="T93" s="440"/>
      <c r="U93" s="440"/>
      <c r="V93" s="440"/>
      <c r="W93" s="440"/>
      <c r="X93" s="440"/>
      <c r="Y93" s="440"/>
      <c r="Z93" s="440"/>
    </row>
    <row r="94" spans="1:26" x14ac:dyDescent="0.3">
      <c r="A94" s="440"/>
      <c r="B94" s="440"/>
      <c r="C94" s="440"/>
      <c r="D94" s="440"/>
      <c r="E94" s="440"/>
      <c r="F94" s="440"/>
      <c r="G94" s="440"/>
      <c r="H94" s="440"/>
      <c r="I94" s="440"/>
      <c r="J94" s="440"/>
      <c r="K94" s="440"/>
      <c r="L94" s="440"/>
      <c r="M94" s="440"/>
      <c r="N94" s="440"/>
      <c r="O94" s="440"/>
      <c r="P94" s="440"/>
      <c r="Q94" s="440"/>
      <c r="R94" s="440"/>
      <c r="S94" s="440"/>
      <c r="T94" s="440"/>
      <c r="U94" s="440"/>
      <c r="V94" s="440"/>
      <c r="W94" s="440"/>
      <c r="X94" s="440"/>
      <c r="Y94" s="440"/>
      <c r="Z94" s="440"/>
    </row>
    <row r="95" spans="1:26" x14ac:dyDescent="0.3">
      <c r="A95" s="440"/>
      <c r="B95" s="440"/>
      <c r="C95" s="440"/>
      <c r="D95" s="440"/>
      <c r="E95" s="440"/>
      <c r="F95" s="440"/>
      <c r="G95" s="440"/>
      <c r="H95" s="440"/>
      <c r="I95" s="440"/>
      <c r="J95" s="440"/>
      <c r="K95" s="440"/>
      <c r="L95" s="440"/>
      <c r="M95" s="440"/>
      <c r="N95" s="440"/>
      <c r="O95" s="440"/>
      <c r="P95" s="440"/>
      <c r="Q95" s="440"/>
      <c r="R95" s="440"/>
      <c r="S95" s="440"/>
      <c r="T95" s="440"/>
      <c r="U95" s="440"/>
      <c r="V95" s="440"/>
      <c r="W95" s="440"/>
      <c r="X95" s="440"/>
      <c r="Y95" s="440"/>
      <c r="Z95" s="440"/>
    </row>
    <row r="96" spans="1:26" x14ac:dyDescent="0.3">
      <c r="A96" s="440"/>
      <c r="B96" s="440"/>
      <c r="C96" s="440"/>
      <c r="D96" s="440"/>
      <c r="E96" s="440"/>
      <c r="F96" s="440"/>
      <c r="G96" s="440"/>
      <c r="H96" s="440"/>
      <c r="I96" s="440"/>
      <c r="J96" s="440"/>
      <c r="K96" s="440"/>
      <c r="L96" s="440"/>
      <c r="M96" s="440"/>
      <c r="N96" s="440"/>
      <c r="O96" s="440"/>
      <c r="P96" s="440"/>
      <c r="Q96" s="440"/>
      <c r="R96" s="440"/>
      <c r="S96" s="440"/>
      <c r="T96" s="440"/>
      <c r="U96" s="440"/>
      <c r="V96" s="440"/>
      <c r="W96" s="440"/>
      <c r="X96" s="440"/>
      <c r="Y96" s="440"/>
      <c r="Z96" s="440"/>
    </row>
    <row r="97" spans="1:26" x14ac:dyDescent="0.3">
      <c r="A97" s="440"/>
      <c r="B97" s="440"/>
      <c r="C97" s="440"/>
      <c r="D97" s="440"/>
      <c r="E97" s="440"/>
      <c r="F97" s="440"/>
      <c r="G97" s="440"/>
      <c r="H97" s="440"/>
      <c r="I97" s="440"/>
      <c r="J97" s="440"/>
      <c r="K97" s="440"/>
      <c r="L97" s="440"/>
      <c r="M97" s="440"/>
      <c r="N97" s="440"/>
      <c r="O97" s="440"/>
      <c r="P97" s="440"/>
      <c r="Q97" s="440"/>
      <c r="R97" s="440"/>
      <c r="S97" s="440"/>
      <c r="T97" s="440"/>
      <c r="U97" s="440"/>
      <c r="V97" s="440"/>
      <c r="W97" s="440"/>
      <c r="X97" s="440"/>
      <c r="Y97" s="440"/>
      <c r="Z97" s="440"/>
    </row>
    <row r="98" spans="1:26" x14ac:dyDescent="0.3">
      <c r="A98" s="440"/>
      <c r="B98" s="440"/>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440"/>
    </row>
    <row r="99" spans="1:26" x14ac:dyDescent="0.3">
      <c r="A99" s="440"/>
      <c r="B99" s="440"/>
      <c r="C99" s="440"/>
      <c r="D99" s="440"/>
      <c r="E99" s="440"/>
      <c r="F99" s="440"/>
      <c r="G99" s="440"/>
      <c r="H99" s="440"/>
      <c r="I99" s="440"/>
      <c r="J99" s="440"/>
      <c r="K99" s="440"/>
      <c r="L99" s="440"/>
      <c r="M99" s="440"/>
      <c r="N99" s="440"/>
      <c r="O99" s="440"/>
      <c r="P99" s="440"/>
      <c r="Q99" s="440"/>
      <c r="R99" s="440"/>
      <c r="S99" s="440"/>
      <c r="T99" s="440"/>
      <c r="U99" s="440"/>
      <c r="V99" s="440"/>
      <c r="W99" s="440"/>
      <c r="X99" s="440"/>
      <c r="Y99" s="440"/>
      <c r="Z99" s="440"/>
    </row>
    <row r="100" spans="1:26" x14ac:dyDescent="0.3">
      <c r="A100" s="440"/>
      <c r="B100" s="440"/>
      <c r="C100" s="440"/>
      <c r="D100" s="440"/>
      <c r="E100" s="440"/>
      <c r="F100" s="440"/>
      <c r="G100" s="440"/>
      <c r="H100" s="440"/>
      <c r="I100" s="440"/>
      <c r="J100" s="440"/>
      <c r="K100" s="440"/>
      <c r="L100" s="440"/>
      <c r="M100" s="440"/>
      <c r="N100" s="440"/>
      <c r="O100" s="440"/>
      <c r="P100" s="440"/>
      <c r="Q100" s="440"/>
      <c r="R100" s="440"/>
      <c r="S100" s="440"/>
      <c r="T100" s="440"/>
      <c r="U100" s="440"/>
      <c r="V100" s="440"/>
      <c r="W100" s="440"/>
      <c r="X100" s="440"/>
      <c r="Y100" s="440"/>
      <c r="Z100" s="440"/>
    </row>
    <row r="101" spans="1:26" x14ac:dyDescent="0.3">
      <c r="A101" s="440"/>
      <c r="B101" s="440"/>
      <c r="C101" s="440"/>
      <c r="D101" s="440"/>
      <c r="E101" s="440"/>
      <c r="F101" s="440"/>
      <c r="G101" s="440"/>
      <c r="H101" s="440"/>
      <c r="I101" s="440"/>
      <c r="J101" s="440"/>
      <c r="K101" s="440"/>
      <c r="L101" s="440"/>
      <c r="M101" s="440"/>
      <c r="N101" s="440"/>
      <c r="O101" s="440"/>
      <c r="P101" s="440"/>
      <c r="Q101" s="440"/>
      <c r="R101" s="440"/>
      <c r="S101" s="440"/>
      <c r="T101" s="440"/>
      <c r="U101" s="440"/>
      <c r="V101" s="440"/>
      <c r="W101" s="440"/>
      <c r="X101" s="440"/>
      <c r="Y101" s="440"/>
      <c r="Z101" s="440"/>
    </row>
    <row r="102" spans="1:26" x14ac:dyDescent="0.3">
      <c r="A102" s="440"/>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row>
    <row r="103" spans="1:26" x14ac:dyDescent="0.3">
      <c r="A103" s="440"/>
      <c r="B103" s="440"/>
      <c r="C103" s="440"/>
      <c r="D103" s="440"/>
      <c r="E103" s="440"/>
      <c r="F103" s="440"/>
      <c r="G103" s="440"/>
      <c r="H103" s="440"/>
      <c r="I103" s="440"/>
      <c r="J103" s="440"/>
      <c r="K103" s="440"/>
      <c r="L103" s="440"/>
      <c r="M103" s="440"/>
      <c r="N103" s="440"/>
      <c r="O103" s="440"/>
      <c r="P103" s="440"/>
      <c r="Q103" s="440"/>
      <c r="R103" s="440"/>
      <c r="S103" s="440"/>
      <c r="T103" s="440"/>
      <c r="U103" s="440"/>
      <c r="V103" s="440"/>
      <c r="W103" s="440"/>
      <c r="X103" s="440"/>
      <c r="Y103" s="440"/>
      <c r="Z103" s="440"/>
    </row>
    <row r="104" spans="1:26" x14ac:dyDescent="0.3">
      <c r="A104" s="440"/>
      <c r="B104" s="440"/>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row>
    <row r="105" spans="1:26" x14ac:dyDescent="0.3">
      <c r="A105" s="440"/>
      <c r="B105" s="440"/>
      <c r="C105" s="440"/>
      <c r="D105" s="440"/>
      <c r="E105" s="440"/>
      <c r="F105" s="440"/>
      <c r="G105" s="440"/>
      <c r="H105" s="440"/>
      <c r="I105" s="440"/>
      <c r="J105" s="440"/>
      <c r="K105" s="440"/>
      <c r="L105" s="440"/>
      <c r="M105" s="440"/>
      <c r="N105" s="440"/>
      <c r="O105" s="440"/>
      <c r="P105" s="440"/>
      <c r="Q105" s="440"/>
      <c r="R105" s="440"/>
      <c r="S105" s="440"/>
      <c r="T105" s="440"/>
      <c r="U105" s="440"/>
      <c r="V105" s="440"/>
      <c r="W105" s="440"/>
      <c r="X105" s="440"/>
      <c r="Y105" s="440"/>
      <c r="Z105" s="440"/>
    </row>
    <row r="106" spans="1:26" x14ac:dyDescent="0.3">
      <c r="A106" s="440"/>
      <c r="B106" s="440"/>
      <c r="C106" s="440"/>
      <c r="D106" s="440"/>
      <c r="E106" s="440"/>
      <c r="F106" s="440"/>
      <c r="G106" s="440"/>
      <c r="H106" s="440"/>
      <c r="I106" s="440"/>
      <c r="J106" s="440"/>
      <c r="K106" s="440"/>
      <c r="L106" s="440"/>
      <c r="M106" s="440"/>
      <c r="N106" s="440"/>
      <c r="O106" s="440"/>
      <c r="P106" s="440"/>
      <c r="Q106" s="440"/>
      <c r="R106" s="440"/>
      <c r="S106" s="440"/>
      <c r="T106" s="440"/>
      <c r="U106" s="440"/>
      <c r="V106" s="440"/>
      <c r="W106" s="440"/>
      <c r="X106" s="440"/>
      <c r="Y106" s="440"/>
      <c r="Z106" s="440"/>
    </row>
    <row r="107" spans="1:26" x14ac:dyDescent="0.3">
      <c r="A107" s="440"/>
      <c r="B107" s="440"/>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row>
    <row r="108" spans="1:26" x14ac:dyDescent="0.3">
      <c r="A108" s="440"/>
      <c r="B108" s="440"/>
      <c r="C108" s="440"/>
      <c r="D108" s="440"/>
      <c r="E108" s="440"/>
      <c r="F108" s="440"/>
      <c r="G108" s="440"/>
      <c r="H108" s="440"/>
      <c r="I108" s="440"/>
      <c r="J108" s="440"/>
      <c r="K108" s="440"/>
      <c r="L108" s="440"/>
      <c r="M108" s="440"/>
      <c r="N108" s="440"/>
      <c r="O108" s="440"/>
      <c r="P108" s="440"/>
      <c r="Q108" s="440"/>
      <c r="R108" s="440"/>
      <c r="S108" s="440"/>
      <c r="T108" s="440"/>
      <c r="U108" s="440"/>
      <c r="V108" s="440"/>
      <c r="W108" s="440"/>
      <c r="X108" s="440"/>
      <c r="Y108" s="440"/>
      <c r="Z108" s="440"/>
    </row>
    <row r="109" spans="1:26" x14ac:dyDescent="0.3">
      <c r="A109" s="440"/>
      <c r="B109" s="440"/>
      <c r="C109" s="440"/>
      <c r="D109" s="440"/>
      <c r="E109" s="440"/>
      <c r="F109" s="440"/>
      <c r="G109" s="440"/>
      <c r="H109" s="440"/>
      <c r="I109" s="440"/>
      <c r="J109" s="440"/>
      <c r="K109" s="440"/>
      <c r="L109" s="440"/>
      <c r="M109" s="440"/>
      <c r="N109" s="440"/>
      <c r="O109" s="440"/>
      <c r="P109" s="440"/>
      <c r="Q109" s="440"/>
      <c r="R109" s="440"/>
      <c r="S109" s="440"/>
      <c r="T109" s="440"/>
      <c r="U109" s="440"/>
      <c r="V109" s="440"/>
      <c r="W109" s="440"/>
      <c r="X109" s="440"/>
      <c r="Y109" s="440"/>
      <c r="Z109" s="440"/>
    </row>
    <row r="110" spans="1:26" x14ac:dyDescent="0.3">
      <c r="A110" s="440"/>
      <c r="B110" s="440"/>
      <c r="C110" s="440"/>
      <c r="D110" s="440"/>
      <c r="E110" s="440"/>
      <c r="F110" s="440"/>
      <c r="G110" s="440"/>
      <c r="H110" s="440"/>
      <c r="I110" s="440"/>
      <c r="J110" s="440"/>
      <c r="K110" s="440"/>
      <c r="L110" s="440"/>
      <c r="M110" s="440"/>
      <c r="N110" s="440"/>
      <c r="O110" s="440"/>
      <c r="P110" s="440"/>
      <c r="Q110" s="440"/>
      <c r="R110" s="440"/>
      <c r="S110" s="440"/>
      <c r="T110" s="440"/>
      <c r="U110" s="440"/>
      <c r="V110" s="440"/>
      <c r="W110" s="440"/>
      <c r="X110" s="440"/>
      <c r="Y110" s="440"/>
      <c r="Z110" s="440"/>
    </row>
    <row r="111" spans="1:26" x14ac:dyDescent="0.3">
      <c r="A111" s="440"/>
      <c r="B111" s="440"/>
      <c r="C111" s="440"/>
      <c r="D111" s="440"/>
      <c r="E111" s="440"/>
      <c r="F111" s="440"/>
      <c r="G111" s="440"/>
      <c r="H111" s="440"/>
      <c r="I111" s="440"/>
      <c r="J111" s="440"/>
      <c r="K111" s="440"/>
      <c r="L111" s="440"/>
      <c r="M111" s="440"/>
      <c r="N111" s="440"/>
      <c r="O111" s="440"/>
      <c r="P111" s="440"/>
      <c r="Q111" s="440"/>
      <c r="R111" s="440"/>
      <c r="S111" s="440"/>
      <c r="T111" s="440"/>
      <c r="U111" s="440"/>
      <c r="V111" s="440"/>
      <c r="W111" s="440"/>
      <c r="X111" s="440"/>
      <c r="Y111" s="440"/>
      <c r="Z111" s="440"/>
    </row>
    <row r="112" spans="1:26" x14ac:dyDescent="0.3">
      <c r="A112" s="440"/>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row>
    <row r="113" spans="1:26" x14ac:dyDescent="0.3">
      <c r="A113" s="440"/>
      <c r="B113" s="440"/>
      <c r="C113" s="440"/>
      <c r="D113" s="440"/>
      <c r="E113" s="440"/>
      <c r="F113" s="440"/>
      <c r="G113" s="440"/>
      <c r="H113" s="440"/>
      <c r="I113" s="440"/>
      <c r="J113" s="440"/>
      <c r="K113" s="440"/>
      <c r="L113" s="440"/>
      <c r="M113" s="440"/>
      <c r="N113" s="440"/>
      <c r="O113" s="440"/>
      <c r="P113" s="440"/>
      <c r="Q113" s="440"/>
      <c r="R113" s="440"/>
      <c r="S113" s="440"/>
      <c r="T113" s="440"/>
      <c r="U113" s="440"/>
      <c r="V113" s="440"/>
      <c r="W113" s="440"/>
      <c r="X113" s="440"/>
      <c r="Y113" s="440"/>
      <c r="Z113" s="440"/>
    </row>
    <row r="114" spans="1:26" x14ac:dyDescent="0.3">
      <c r="A114" s="440"/>
      <c r="B114" s="440"/>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row>
    <row r="115" spans="1:26" x14ac:dyDescent="0.3">
      <c r="A115" s="440"/>
      <c r="B115" s="440"/>
      <c r="C115" s="440"/>
      <c r="D115" s="440"/>
      <c r="E115" s="440"/>
      <c r="F115" s="440"/>
      <c r="G115" s="440"/>
      <c r="H115" s="440"/>
      <c r="I115" s="440"/>
      <c r="J115" s="440"/>
      <c r="K115" s="440"/>
      <c r="L115" s="440"/>
      <c r="M115" s="440"/>
      <c r="N115" s="440"/>
      <c r="O115" s="440"/>
      <c r="P115" s="440"/>
      <c r="Q115" s="440"/>
      <c r="R115" s="440"/>
      <c r="S115" s="440"/>
      <c r="T115" s="440"/>
      <c r="U115" s="440"/>
      <c r="V115" s="440"/>
      <c r="W115" s="440"/>
      <c r="X115" s="440"/>
      <c r="Y115" s="440"/>
      <c r="Z115" s="440"/>
    </row>
    <row r="116" spans="1:26" x14ac:dyDescent="0.3">
      <c r="A116" s="440"/>
      <c r="B116" s="440"/>
      <c r="C116" s="440"/>
      <c r="D116" s="440"/>
      <c r="E116" s="440"/>
      <c r="F116" s="440"/>
      <c r="G116" s="440"/>
      <c r="H116" s="440"/>
      <c r="I116" s="440"/>
      <c r="J116" s="440"/>
      <c r="K116" s="440"/>
      <c r="L116" s="440"/>
      <c r="M116" s="440"/>
      <c r="N116" s="440"/>
      <c r="O116" s="440"/>
      <c r="P116" s="440"/>
      <c r="Q116" s="440"/>
      <c r="R116" s="440"/>
      <c r="S116" s="440"/>
      <c r="T116" s="440"/>
      <c r="U116" s="440"/>
      <c r="V116" s="440"/>
      <c r="W116" s="440"/>
      <c r="X116" s="440"/>
      <c r="Y116" s="440"/>
      <c r="Z116" s="440"/>
    </row>
    <row r="117" spans="1:26" x14ac:dyDescent="0.3">
      <c r="A117" s="440"/>
      <c r="B117" s="440"/>
      <c r="C117" s="440"/>
      <c r="D117" s="440"/>
      <c r="E117" s="440"/>
      <c r="F117" s="440"/>
      <c r="G117" s="440"/>
      <c r="H117" s="440"/>
      <c r="I117" s="440"/>
      <c r="J117" s="440"/>
      <c r="K117" s="440"/>
      <c r="L117" s="440"/>
      <c r="M117" s="440"/>
      <c r="N117" s="440"/>
      <c r="O117" s="440"/>
      <c r="P117" s="440"/>
      <c r="Q117" s="440"/>
      <c r="R117" s="440"/>
      <c r="S117" s="440"/>
      <c r="T117" s="440"/>
      <c r="U117" s="440"/>
      <c r="V117" s="440"/>
      <c r="W117" s="440"/>
      <c r="X117" s="440"/>
      <c r="Y117" s="440"/>
      <c r="Z117" s="440"/>
    </row>
    <row r="118" spans="1:26" x14ac:dyDescent="0.3">
      <c r="A118" s="440"/>
      <c r="B118" s="440"/>
      <c r="C118" s="440"/>
      <c r="D118" s="440"/>
      <c r="E118" s="440"/>
      <c r="F118" s="440"/>
      <c r="G118" s="440"/>
      <c r="H118" s="440"/>
      <c r="I118" s="440"/>
      <c r="J118" s="440"/>
      <c r="K118" s="440"/>
      <c r="L118" s="440"/>
      <c r="M118" s="440"/>
      <c r="N118" s="440"/>
      <c r="O118" s="440"/>
      <c r="P118" s="440"/>
      <c r="Q118" s="440"/>
      <c r="R118" s="440"/>
      <c r="S118" s="440"/>
      <c r="T118" s="440"/>
      <c r="U118" s="440"/>
      <c r="V118" s="440"/>
      <c r="W118" s="440"/>
      <c r="X118" s="440"/>
      <c r="Y118" s="440"/>
      <c r="Z118" s="440"/>
    </row>
    <row r="119" spans="1:26" x14ac:dyDescent="0.3">
      <c r="A119" s="440"/>
      <c r="B119" s="440"/>
      <c r="C119" s="440"/>
      <c r="D119" s="440"/>
      <c r="E119" s="440"/>
      <c r="F119" s="440"/>
      <c r="G119" s="440"/>
      <c r="H119" s="440"/>
      <c r="I119" s="440"/>
      <c r="J119" s="440"/>
      <c r="K119" s="440"/>
      <c r="L119" s="440"/>
      <c r="M119" s="440"/>
      <c r="N119" s="440"/>
      <c r="O119" s="440"/>
      <c r="P119" s="440"/>
      <c r="Q119" s="440"/>
      <c r="R119" s="440"/>
      <c r="S119" s="440"/>
      <c r="T119" s="440"/>
      <c r="U119" s="440"/>
      <c r="V119" s="440"/>
      <c r="W119" s="440"/>
      <c r="X119" s="440"/>
      <c r="Y119" s="440"/>
      <c r="Z119" s="440"/>
    </row>
    <row r="120" spans="1:26" x14ac:dyDescent="0.3">
      <c r="A120" s="440"/>
      <c r="B120" s="440"/>
      <c r="C120" s="440"/>
      <c r="D120" s="440"/>
      <c r="E120" s="440"/>
      <c r="F120" s="440"/>
      <c r="G120" s="440"/>
      <c r="H120" s="440"/>
      <c r="I120" s="440"/>
      <c r="J120" s="440"/>
      <c r="K120" s="440"/>
      <c r="L120" s="440"/>
      <c r="M120" s="440"/>
      <c r="N120" s="440"/>
      <c r="O120" s="440"/>
      <c r="P120" s="440"/>
      <c r="Q120" s="440"/>
      <c r="R120" s="440"/>
      <c r="S120" s="440"/>
      <c r="T120" s="440"/>
      <c r="U120" s="440"/>
      <c r="V120" s="440"/>
      <c r="W120" s="440"/>
      <c r="X120" s="440"/>
      <c r="Y120" s="440"/>
      <c r="Z120" s="440"/>
    </row>
    <row r="121" spans="1:26" x14ac:dyDescent="0.3">
      <c r="A121" s="440"/>
      <c r="B121" s="440"/>
      <c r="C121" s="440"/>
      <c r="D121" s="440"/>
      <c r="E121" s="440"/>
      <c r="F121" s="440"/>
      <c r="G121" s="440"/>
      <c r="H121" s="440"/>
      <c r="I121" s="440"/>
      <c r="J121" s="440"/>
      <c r="K121" s="440"/>
      <c r="L121" s="440"/>
      <c r="M121" s="440"/>
      <c r="N121" s="440"/>
      <c r="O121" s="440"/>
      <c r="P121" s="440"/>
      <c r="Q121" s="440"/>
      <c r="R121" s="440"/>
      <c r="S121" s="440"/>
      <c r="T121" s="440"/>
      <c r="U121" s="440"/>
      <c r="V121" s="440"/>
      <c r="W121" s="440"/>
      <c r="X121" s="440"/>
      <c r="Y121" s="440"/>
      <c r="Z121" s="440"/>
    </row>
    <row r="122" spans="1:26" x14ac:dyDescent="0.3">
      <c r="A122" s="440"/>
      <c r="B122" s="440"/>
      <c r="C122" s="440"/>
      <c r="D122" s="440"/>
      <c r="E122" s="440"/>
      <c r="F122" s="440"/>
      <c r="G122" s="440"/>
      <c r="H122" s="440"/>
      <c r="I122" s="440"/>
      <c r="J122" s="440"/>
      <c r="K122" s="440"/>
      <c r="L122" s="440"/>
      <c r="M122" s="440"/>
      <c r="N122" s="440"/>
      <c r="O122" s="440"/>
      <c r="P122" s="440"/>
      <c r="Q122" s="440"/>
      <c r="R122" s="440"/>
      <c r="S122" s="440"/>
      <c r="T122" s="440"/>
      <c r="U122" s="440"/>
      <c r="V122" s="440"/>
      <c r="W122" s="440"/>
      <c r="X122" s="440"/>
      <c r="Y122" s="440"/>
      <c r="Z122" s="440"/>
    </row>
    <row r="123" spans="1:26" x14ac:dyDescent="0.3">
      <c r="A123" s="440"/>
      <c r="B123" s="440"/>
      <c r="C123" s="440"/>
      <c r="D123" s="440"/>
      <c r="E123" s="440"/>
      <c r="F123" s="440"/>
      <c r="G123" s="440"/>
      <c r="H123" s="440"/>
      <c r="I123" s="440"/>
      <c r="J123" s="440"/>
      <c r="K123" s="440"/>
      <c r="L123" s="440"/>
      <c r="M123" s="440"/>
      <c r="N123" s="440"/>
      <c r="O123" s="440"/>
      <c r="P123" s="440"/>
      <c r="Q123" s="440"/>
      <c r="R123" s="440"/>
      <c r="S123" s="440"/>
      <c r="T123" s="440"/>
      <c r="U123" s="440"/>
      <c r="V123" s="440"/>
      <c r="W123" s="440"/>
      <c r="X123" s="440"/>
      <c r="Y123" s="440"/>
      <c r="Z123" s="440"/>
    </row>
    <row r="124" spans="1:26" x14ac:dyDescent="0.3">
      <c r="A124" s="440"/>
      <c r="B124" s="440"/>
      <c r="C124" s="440"/>
      <c r="D124" s="440"/>
      <c r="E124" s="440"/>
      <c r="F124" s="440"/>
      <c r="G124" s="440"/>
      <c r="H124" s="440"/>
      <c r="I124" s="440"/>
      <c r="J124" s="440"/>
      <c r="K124" s="440"/>
      <c r="L124" s="440"/>
      <c r="M124" s="440"/>
      <c r="N124" s="440"/>
      <c r="O124" s="440"/>
      <c r="P124" s="440"/>
      <c r="Q124" s="440"/>
      <c r="R124" s="440"/>
      <c r="S124" s="440"/>
      <c r="T124" s="440"/>
      <c r="U124" s="440"/>
      <c r="V124" s="440"/>
      <c r="W124" s="440"/>
      <c r="X124" s="440"/>
      <c r="Y124" s="440"/>
      <c r="Z124" s="440"/>
    </row>
    <row r="125" spans="1:26" x14ac:dyDescent="0.3">
      <c r="A125" s="440"/>
      <c r="B125" s="440"/>
      <c r="C125" s="440"/>
      <c r="D125" s="440"/>
      <c r="E125" s="440"/>
      <c r="F125" s="440"/>
      <c r="G125" s="440"/>
      <c r="H125" s="440"/>
      <c r="I125" s="440"/>
      <c r="J125" s="440"/>
      <c r="K125" s="440"/>
      <c r="L125" s="440"/>
      <c r="M125" s="440"/>
      <c r="N125" s="440"/>
      <c r="O125" s="440"/>
      <c r="P125" s="440"/>
      <c r="Q125" s="440"/>
      <c r="R125" s="440"/>
      <c r="S125" s="440"/>
      <c r="T125" s="440"/>
      <c r="U125" s="440"/>
      <c r="V125" s="440"/>
      <c r="W125" s="440"/>
      <c r="X125" s="440"/>
      <c r="Y125" s="440"/>
      <c r="Z125" s="440"/>
    </row>
    <row r="126" spans="1:26" x14ac:dyDescent="0.3">
      <c r="A126" s="440"/>
      <c r="B126" s="440"/>
      <c r="C126" s="440"/>
      <c r="D126" s="440"/>
      <c r="E126" s="440"/>
      <c r="F126" s="440"/>
      <c r="G126" s="440"/>
      <c r="H126" s="440"/>
      <c r="I126" s="440"/>
      <c r="J126" s="440"/>
      <c r="K126" s="440"/>
      <c r="L126" s="440"/>
      <c r="M126" s="440"/>
      <c r="N126" s="440"/>
      <c r="O126" s="440"/>
      <c r="P126" s="440"/>
      <c r="Q126" s="440"/>
      <c r="R126" s="440"/>
      <c r="S126" s="440"/>
      <c r="T126" s="440"/>
      <c r="U126" s="440"/>
      <c r="V126" s="440"/>
      <c r="W126" s="440"/>
      <c r="X126" s="440"/>
      <c r="Y126" s="440"/>
      <c r="Z126" s="440"/>
    </row>
    <row r="127" spans="1:26" x14ac:dyDescent="0.3">
      <c r="A127" s="440"/>
      <c r="B127" s="440"/>
      <c r="C127" s="440"/>
      <c r="D127" s="440"/>
      <c r="E127" s="440"/>
      <c r="F127" s="440"/>
      <c r="G127" s="440"/>
      <c r="H127" s="440"/>
      <c r="I127" s="440"/>
      <c r="J127" s="440"/>
      <c r="K127" s="440"/>
      <c r="L127" s="440"/>
      <c r="M127" s="440"/>
      <c r="N127" s="440"/>
      <c r="O127" s="440"/>
      <c r="P127" s="440"/>
      <c r="Q127" s="440"/>
      <c r="R127" s="440"/>
      <c r="S127" s="440"/>
      <c r="T127" s="440"/>
      <c r="U127" s="440"/>
      <c r="V127" s="440"/>
      <c r="W127" s="440"/>
      <c r="X127" s="440"/>
      <c r="Y127" s="440"/>
      <c r="Z127" s="440"/>
    </row>
    <row r="128" spans="1:26" x14ac:dyDescent="0.3">
      <c r="A128" s="440"/>
      <c r="B128" s="440"/>
      <c r="C128" s="440"/>
      <c r="D128" s="440"/>
      <c r="E128" s="440"/>
      <c r="F128" s="440"/>
      <c r="G128" s="440"/>
      <c r="H128" s="440"/>
      <c r="I128" s="440"/>
      <c r="J128" s="440"/>
      <c r="K128" s="440"/>
      <c r="L128" s="440"/>
      <c r="M128" s="440"/>
      <c r="N128" s="440"/>
      <c r="O128" s="440"/>
      <c r="P128" s="440"/>
      <c r="Q128" s="440"/>
      <c r="R128" s="440"/>
      <c r="S128" s="440"/>
      <c r="T128" s="440"/>
      <c r="U128" s="440"/>
      <c r="V128" s="440"/>
      <c r="W128" s="440"/>
      <c r="X128" s="440"/>
      <c r="Y128" s="440"/>
      <c r="Z128" s="440"/>
    </row>
    <row r="129" spans="1:26" x14ac:dyDescent="0.3">
      <c r="A129" s="440"/>
      <c r="B129" s="440"/>
      <c r="C129" s="440"/>
      <c r="D129" s="440"/>
      <c r="E129" s="440"/>
      <c r="F129" s="440"/>
      <c r="G129" s="440"/>
      <c r="H129" s="440"/>
      <c r="I129" s="440"/>
      <c r="J129" s="440"/>
      <c r="K129" s="440"/>
      <c r="L129" s="440"/>
      <c r="M129" s="440"/>
      <c r="N129" s="440"/>
      <c r="O129" s="440"/>
      <c r="P129" s="440"/>
      <c r="Q129" s="440"/>
      <c r="R129" s="440"/>
      <c r="S129" s="440"/>
      <c r="T129" s="440"/>
      <c r="U129" s="440"/>
      <c r="V129" s="440"/>
      <c r="W129" s="440"/>
      <c r="X129" s="440"/>
      <c r="Y129" s="440"/>
      <c r="Z129" s="440"/>
    </row>
    <row r="130" spans="1:26" x14ac:dyDescent="0.3">
      <c r="A130" s="440"/>
      <c r="B130" s="440"/>
      <c r="C130" s="440"/>
      <c r="D130" s="440"/>
      <c r="E130" s="440"/>
      <c r="F130" s="440"/>
      <c r="G130" s="440"/>
      <c r="H130" s="440"/>
      <c r="I130" s="440"/>
      <c r="J130" s="440"/>
      <c r="K130" s="440"/>
      <c r="L130" s="440"/>
      <c r="M130" s="440"/>
      <c r="N130" s="440"/>
      <c r="O130" s="440"/>
      <c r="P130" s="440"/>
      <c r="Q130" s="440"/>
      <c r="R130" s="440"/>
      <c r="S130" s="440"/>
      <c r="T130" s="440"/>
      <c r="U130" s="440"/>
      <c r="V130" s="440"/>
      <c r="W130" s="440"/>
      <c r="X130" s="440"/>
      <c r="Y130" s="440"/>
      <c r="Z130" s="440"/>
    </row>
    <row r="131" spans="1:26" x14ac:dyDescent="0.3">
      <c r="A131" s="440"/>
      <c r="B131" s="440"/>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row>
    <row r="132" spans="1:26" x14ac:dyDescent="0.3">
      <c r="A132" s="440"/>
      <c r="B132" s="440"/>
      <c r="C132" s="440"/>
      <c r="D132" s="440"/>
      <c r="E132" s="440"/>
      <c r="F132" s="440"/>
      <c r="G132" s="440"/>
      <c r="H132" s="440"/>
      <c r="I132" s="440"/>
      <c r="J132" s="440"/>
      <c r="K132" s="440"/>
      <c r="L132" s="440"/>
      <c r="M132" s="440"/>
      <c r="N132" s="440"/>
      <c r="O132" s="440"/>
      <c r="P132" s="440"/>
      <c r="Q132" s="440"/>
      <c r="R132" s="440"/>
      <c r="S132" s="440"/>
      <c r="T132" s="440"/>
      <c r="U132" s="440"/>
      <c r="V132" s="440"/>
      <c r="W132" s="440"/>
      <c r="X132" s="440"/>
      <c r="Y132" s="440"/>
      <c r="Z132" s="440"/>
    </row>
    <row r="133" spans="1:26" x14ac:dyDescent="0.3">
      <c r="A133" s="440"/>
      <c r="B133" s="440"/>
      <c r="C133" s="440"/>
      <c r="D133" s="440"/>
      <c r="E133" s="440"/>
      <c r="F133" s="440"/>
      <c r="G133" s="440"/>
      <c r="H133" s="440"/>
      <c r="I133" s="440"/>
      <c r="J133" s="440"/>
      <c r="K133" s="440"/>
      <c r="L133" s="440"/>
      <c r="M133" s="440"/>
      <c r="N133" s="440"/>
      <c r="O133" s="440"/>
      <c r="P133" s="440"/>
      <c r="Q133" s="440"/>
      <c r="R133" s="440"/>
      <c r="S133" s="440"/>
      <c r="T133" s="440"/>
      <c r="U133" s="440"/>
      <c r="V133" s="440"/>
      <c r="W133" s="440"/>
      <c r="X133" s="440"/>
      <c r="Y133" s="440"/>
      <c r="Z133" s="440"/>
    </row>
    <row r="134" spans="1:26" x14ac:dyDescent="0.3">
      <c r="A134" s="440"/>
      <c r="B134" s="440"/>
      <c r="C134" s="440"/>
      <c r="D134" s="440"/>
      <c r="E134" s="440"/>
      <c r="F134" s="440"/>
      <c r="G134" s="440"/>
      <c r="H134" s="440"/>
      <c r="I134" s="440"/>
      <c r="J134" s="440"/>
      <c r="K134" s="440"/>
      <c r="L134" s="440"/>
      <c r="M134" s="440"/>
      <c r="N134" s="440"/>
      <c r="O134" s="440"/>
      <c r="P134" s="440"/>
      <c r="Q134" s="440"/>
      <c r="R134" s="440"/>
      <c r="S134" s="440"/>
      <c r="T134" s="440"/>
      <c r="U134" s="440"/>
      <c r="V134" s="440"/>
      <c r="W134" s="440"/>
      <c r="X134" s="440"/>
      <c r="Y134" s="440"/>
      <c r="Z134" s="440"/>
    </row>
    <row r="135" spans="1:26" x14ac:dyDescent="0.3">
      <c r="A135" s="440"/>
      <c r="B135" s="440"/>
      <c r="C135" s="440"/>
      <c r="D135" s="440"/>
      <c r="E135" s="440"/>
      <c r="F135" s="440"/>
      <c r="G135" s="440"/>
      <c r="H135" s="440"/>
      <c r="I135" s="440"/>
      <c r="J135" s="440"/>
      <c r="K135" s="440"/>
      <c r="L135" s="440"/>
      <c r="M135" s="440"/>
      <c r="N135" s="440"/>
      <c r="O135" s="440"/>
      <c r="P135" s="440"/>
      <c r="Q135" s="440"/>
      <c r="R135" s="440"/>
      <c r="S135" s="440"/>
      <c r="T135" s="440"/>
      <c r="U135" s="440"/>
      <c r="V135" s="440"/>
      <c r="W135" s="440"/>
      <c r="X135" s="440"/>
      <c r="Y135" s="440"/>
      <c r="Z135" s="440"/>
    </row>
    <row r="136" spans="1:26" x14ac:dyDescent="0.3">
      <c r="A136" s="440"/>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row>
    <row r="137" spans="1:26" x14ac:dyDescent="0.3">
      <c r="A137" s="440"/>
      <c r="B137" s="440"/>
      <c r="C137" s="440"/>
      <c r="D137" s="440"/>
      <c r="E137" s="440"/>
      <c r="F137" s="440"/>
      <c r="G137" s="440"/>
      <c r="H137" s="440"/>
      <c r="I137" s="440"/>
      <c r="J137" s="440"/>
      <c r="K137" s="440"/>
      <c r="L137" s="440"/>
      <c r="M137" s="440"/>
      <c r="N137" s="440"/>
      <c r="O137" s="440"/>
      <c r="P137" s="440"/>
      <c r="Q137" s="440"/>
      <c r="R137" s="440"/>
      <c r="S137" s="440"/>
      <c r="T137" s="440"/>
      <c r="U137" s="440"/>
      <c r="V137" s="440"/>
      <c r="W137" s="440"/>
      <c r="X137" s="440"/>
      <c r="Y137" s="440"/>
      <c r="Z137" s="440"/>
    </row>
    <row r="138" spans="1:26" x14ac:dyDescent="0.3">
      <c r="A138" s="440"/>
      <c r="B138" s="440"/>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row>
    <row r="139" spans="1:26" x14ac:dyDescent="0.3">
      <c r="A139" s="440"/>
      <c r="B139" s="440"/>
      <c r="C139" s="440"/>
      <c r="D139" s="440"/>
      <c r="E139" s="440"/>
      <c r="F139" s="440"/>
      <c r="G139" s="440"/>
      <c r="H139" s="440"/>
      <c r="I139" s="440"/>
      <c r="J139" s="440"/>
      <c r="K139" s="440"/>
      <c r="L139" s="440"/>
      <c r="M139" s="440"/>
      <c r="N139" s="440"/>
      <c r="O139" s="440"/>
      <c r="P139" s="440"/>
      <c r="Q139" s="440"/>
      <c r="R139" s="440"/>
      <c r="S139" s="440"/>
      <c r="T139" s="440"/>
      <c r="U139" s="440"/>
      <c r="V139" s="440"/>
      <c r="W139" s="440"/>
      <c r="X139" s="440"/>
      <c r="Y139" s="440"/>
      <c r="Z139" s="440"/>
    </row>
    <row r="140" spans="1:26" x14ac:dyDescent="0.3">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row>
    <row r="141" spans="1:26" x14ac:dyDescent="0.3">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row>
    <row r="142" spans="1:26" x14ac:dyDescent="0.3">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row>
    <row r="143" spans="1:26" x14ac:dyDescent="0.3">
      <c r="A143" s="440"/>
      <c r="B143" s="440"/>
      <c r="C143" s="440"/>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row>
    <row r="144" spans="1:26" x14ac:dyDescent="0.3">
      <c r="A144" s="440"/>
      <c r="B144" s="440"/>
      <c r="C144" s="440"/>
      <c r="D144" s="440"/>
      <c r="E144" s="440"/>
      <c r="F144" s="440"/>
      <c r="G144" s="440"/>
      <c r="H144" s="440"/>
      <c r="I144" s="440"/>
      <c r="J144" s="440"/>
      <c r="K144" s="440"/>
      <c r="L144" s="440"/>
      <c r="M144" s="440"/>
      <c r="N144" s="440"/>
      <c r="O144" s="440"/>
      <c r="P144" s="440"/>
      <c r="Q144" s="440"/>
      <c r="R144" s="440"/>
      <c r="S144" s="440"/>
      <c r="T144" s="440"/>
      <c r="U144" s="440"/>
      <c r="V144" s="440"/>
      <c r="W144" s="440"/>
      <c r="X144" s="440"/>
      <c r="Y144" s="440"/>
      <c r="Z144" s="440"/>
    </row>
    <row r="145" spans="1:26" x14ac:dyDescent="0.3">
      <c r="A145" s="440"/>
      <c r="B145" s="440"/>
      <c r="C145" s="440"/>
      <c r="D145" s="440"/>
      <c r="E145" s="440"/>
      <c r="F145" s="440"/>
      <c r="G145" s="440"/>
      <c r="H145" s="440"/>
      <c r="I145" s="440"/>
      <c r="J145" s="440"/>
      <c r="K145" s="440"/>
      <c r="L145" s="440"/>
      <c r="M145" s="440"/>
      <c r="N145" s="440"/>
      <c r="O145" s="440"/>
      <c r="P145" s="440"/>
      <c r="Q145" s="440"/>
      <c r="R145" s="440"/>
      <c r="S145" s="440"/>
      <c r="T145" s="440"/>
      <c r="U145" s="440"/>
      <c r="V145" s="440"/>
      <c r="W145" s="440"/>
      <c r="X145" s="440"/>
      <c r="Y145" s="440"/>
      <c r="Z145" s="440"/>
    </row>
    <row r="146" spans="1:26" x14ac:dyDescent="0.3">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row>
    <row r="147" spans="1:26" x14ac:dyDescent="0.3">
      <c r="A147" s="440"/>
      <c r="B147" s="440"/>
      <c r="C147" s="440"/>
      <c r="D147" s="440"/>
      <c r="E147" s="440"/>
      <c r="F147" s="440"/>
      <c r="G147" s="440"/>
      <c r="H147" s="440"/>
      <c r="I147" s="440"/>
      <c r="J147" s="440"/>
      <c r="K147" s="440"/>
      <c r="L147" s="440"/>
      <c r="M147" s="440"/>
      <c r="N147" s="440"/>
      <c r="O147" s="440"/>
      <c r="P147" s="440"/>
      <c r="Q147" s="440"/>
      <c r="R147" s="440"/>
      <c r="S147" s="440"/>
      <c r="T147" s="440"/>
      <c r="U147" s="440"/>
      <c r="V147" s="440"/>
      <c r="W147" s="440"/>
      <c r="X147" s="440"/>
      <c r="Y147" s="440"/>
      <c r="Z147" s="440"/>
    </row>
    <row r="148" spans="1:26" x14ac:dyDescent="0.3">
      <c r="A148" s="440"/>
      <c r="B148" s="440"/>
      <c r="C148" s="440"/>
      <c r="D148" s="440"/>
      <c r="E148" s="440"/>
      <c r="F148" s="440"/>
      <c r="G148" s="440"/>
      <c r="H148" s="440"/>
      <c r="I148" s="440"/>
      <c r="J148" s="440"/>
      <c r="K148" s="440"/>
      <c r="L148" s="440"/>
      <c r="M148" s="440"/>
      <c r="N148" s="440"/>
      <c r="O148" s="440"/>
      <c r="P148" s="440"/>
      <c r="Q148" s="440"/>
      <c r="R148" s="440"/>
      <c r="S148" s="440"/>
      <c r="T148" s="440"/>
      <c r="U148" s="440"/>
      <c r="V148" s="440"/>
      <c r="W148" s="440"/>
      <c r="X148" s="440"/>
      <c r="Y148" s="440"/>
      <c r="Z148" s="440"/>
    </row>
    <row r="149" spans="1:26" x14ac:dyDescent="0.3">
      <c r="A149" s="440"/>
      <c r="B149" s="440"/>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c r="Z149" s="440"/>
    </row>
    <row r="150" spans="1:26" x14ac:dyDescent="0.3">
      <c r="A150" s="440"/>
      <c r="B150" s="440"/>
      <c r="C150" s="440"/>
      <c r="D150" s="440"/>
      <c r="E150" s="440"/>
      <c r="F150" s="440"/>
      <c r="G150" s="440"/>
      <c r="H150" s="440"/>
      <c r="I150" s="440"/>
      <c r="J150" s="440"/>
      <c r="K150" s="440"/>
      <c r="L150" s="440"/>
      <c r="M150" s="440"/>
      <c r="N150" s="440"/>
      <c r="O150" s="440"/>
      <c r="P150" s="440"/>
      <c r="Q150" s="440"/>
      <c r="R150" s="440"/>
      <c r="S150" s="440"/>
      <c r="T150" s="440"/>
      <c r="U150" s="440"/>
      <c r="V150" s="440"/>
      <c r="W150" s="440"/>
      <c r="X150" s="440"/>
      <c r="Y150" s="440"/>
      <c r="Z150" s="440"/>
    </row>
    <row r="151" spans="1:26" x14ac:dyDescent="0.3">
      <c r="A151" s="440"/>
      <c r="B151" s="440"/>
      <c r="C151" s="440"/>
      <c r="D151" s="440"/>
      <c r="E151" s="440"/>
      <c r="F151" s="440"/>
      <c r="G151" s="440"/>
      <c r="H151" s="440"/>
      <c r="I151" s="440"/>
      <c r="J151" s="440"/>
      <c r="K151" s="440"/>
      <c r="L151" s="440"/>
      <c r="M151" s="440"/>
      <c r="N151" s="440"/>
      <c r="O151" s="440"/>
      <c r="P151" s="440"/>
      <c r="Q151" s="440"/>
      <c r="R151" s="440"/>
      <c r="S151" s="440"/>
      <c r="T151" s="440"/>
      <c r="U151" s="440"/>
      <c r="V151" s="440"/>
      <c r="W151" s="440"/>
      <c r="X151" s="440"/>
      <c r="Y151" s="440"/>
      <c r="Z151" s="440"/>
    </row>
    <row r="152" spans="1:26" x14ac:dyDescent="0.3">
      <c r="A152" s="440"/>
      <c r="B152" s="440"/>
      <c r="C152" s="440"/>
      <c r="D152" s="440"/>
      <c r="E152" s="440"/>
      <c r="F152" s="440"/>
      <c r="G152" s="440"/>
      <c r="H152" s="440"/>
      <c r="I152" s="440"/>
      <c r="J152" s="440"/>
      <c r="K152" s="440"/>
      <c r="L152" s="440"/>
      <c r="M152" s="440"/>
      <c r="N152" s="440"/>
      <c r="O152" s="440"/>
      <c r="P152" s="440"/>
      <c r="Q152" s="440"/>
      <c r="R152" s="440"/>
      <c r="S152" s="440"/>
      <c r="T152" s="440"/>
      <c r="U152" s="440"/>
      <c r="V152" s="440"/>
      <c r="W152" s="440"/>
      <c r="X152" s="440"/>
      <c r="Y152" s="440"/>
      <c r="Z152" s="440"/>
    </row>
    <row r="153" spans="1:26" x14ac:dyDescent="0.3">
      <c r="A153" s="440"/>
      <c r="B153" s="440"/>
      <c r="C153" s="440"/>
      <c r="D153" s="440"/>
      <c r="E153" s="440"/>
      <c r="F153" s="440"/>
      <c r="G153" s="440"/>
      <c r="H153" s="440"/>
      <c r="I153" s="440"/>
      <c r="J153" s="440"/>
      <c r="K153" s="440"/>
      <c r="L153" s="440"/>
      <c r="M153" s="440"/>
      <c r="N153" s="440"/>
      <c r="O153" s="440"/>
      <c r="P153" s="440"/>
      <c r="Q153" s="440"/>
      <c r="R153" s="440"/>
      <c r="S153" s="440"/>
      <c r="T153" s="440"/>
      <c r="U153" s="440"/>
      <c r="V153" s="440"/>
      <c r="W153" s="440"/>
      <c r="X153" s="440"/>
      <c r="Y153" s="440"/>
      <c r="Z153" s="440"/>
    </row>
    <row r="154" spans="1:26" x14ac:dyDescent="0.3">
      <c r="A154" s="440"/>
      <c r="B154" s="440"/>
      <c r="C154" s="440"/>
      <c r="D154" s="440"/>
      <c r="E154" s="440"/>
      <c r="F154" s="440"/>
      <c r="G154" s="440"/>
      <c r="H154" s="440"/>
      <c r="I154" s="440"/>
      <c r="J154" s="440"/>
      <c r="K154" s="440"/>
      <c r="L154" s="440"/>
      <c r="M154" s="440"/>
      <c r="N154" s="440"/>
      <c r="O154" s="440"/>
      <c r="P154" s="440"/>
      <c r="Q154" s="440"/>
      <c r="R154" s="440"/>
      <c r="S154" s="440"/>
      <c r="T154" s="440"/>
      <c r="U154" s="440"/>
      <c r="V154" s="440"/>
      <c r="W154" s="440"/>
      <c r="X154" s="440"/>
      <c r="Y154" s="440"/>
      <c r="Z154" s="440"/>
    </row>
    <row r="155" spans="1:26" x14ac:dyDescent="0.3">
      <c r="A155" s="440"/>
      <c r="B155" s="440"/>
      <c r="C155" s="440"/>
      <c r="D155" s="440"/>
      <c r="E155" s="440"/>
      <c r="F155" s="440"/>
      <c r="G155" s="440"/>
      <c r="H155" s="440"/>
      <c r="I155" s="440"/>
      <c r="J155" s="440"/>
      <c r="K155" s="440"/>
      <c r="L155" s="440"/>
      <c r="M155" s="440"/>
      <c r="N155" s="440"/>
      <c r="O155" s="440"/>
      <c r="P155" s="440"/>
      <c r="Q155" s="440"/>
      <c r="R155" s="440"/>
      <c r="S155" s="440"/>
      <c r="T155" s="440"/>
      <c r="U155" s="440"/>
      <c r="V155" s="440"/>
      <c r="W155" s="440"/>
      <c r="X155" s="440"/>
      <c r="Y155" s="440"/>
      <c r="Z155" s="440"/>
    </row>
    <row r="156" spans="1:26" x14ac:dyDescent="0.3">
      <c r="A156" s="440"/>
      <c r="B156" s="440"/>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c r="Z156" s="440"/>
    </row>
    <row r="157" spans="1:26" x14ac:dyDescent="0.3">
      <c r="A157" s="440"/>
      <c r="B157" s="440"/>
      <c r="C157" s="440"/>
      <c r="D157" s="440"/>
      <c r="E157" s="440"/>
      <c r="F157" s="440"/>
      <c r="G157" s="440"/>
      <c r="H157" s="440"/>
      <c r="I157" s="440"/>
      <c r="J157" s="440"/>
      <c r="K157" s="440"/>
      <c r="L157" s="440"/>
      <c r="M157" s="440"/>
      <c r="N157" s="440"/>
      <c r="O157" s="440"/>
      <c r="P157" s="440"/>
      <c r="Q157" s="440"/>
      <c r="R157" s="440"/>
      <c r="S157" s="440"/>
      <c r="T157" s="440"/>
      <c r="U157" s="440"/>
      <c r="V157" s="440"/>
      <c r="W157" s="440"/>
      <c r="X157" s="440"/>
      <c r="Y157" s="440"/>
      <c r="Z157" s="440"/>
    </row>
    <row r="158" spans="1:26" x14ac:dyDescent="0.3">
      <c r="A158" s="440"/>
      <c r="B158" s="440"/>
      <c r="C158" s="440"/>
      <c r="D158" s="440"/>
      <c r="E158" s="440"/>
      <c r="F158" s="440"/>
      <c r="G158" s="440"/>
      <c r="H158" s="440"/>
      <c r="I158" s="440"/>
      <c r="J158" s="440"/>
      <c r="K158" s="440"/>
      <c r="L158" s="440"/>
      <c r="M158" s="440"/>
      <c r="N158" s="440"/>
      <c r="O158" s="440"/>
      <c r="P158" s="440"/>
      <c r="Q158" s="440"/>
      <c r="R158" s="440"/>
      <c r="S158" s="440"/>
      <c r="T158" s="440"/>
      <c r="U158" s="440"/>
      <c r="V158" s="440"/>
      <c r="W158" s="440"/>
      <c r="X158" s="440"/>
      <c r="Y158" s="440"/>
      <c r="Z158" s="440"/>
    </row>
    <row r="159" spans="1:26" x14ac:dyDescent="0.3">
      <c r="A159" s="440"/>
      <c r="B159" s="440"/>
      <c r="C159" s="440"/>
      <c r="D159" s="440"/>
      <c r="E159" s="440"/>
      <c r="F159" s="440"/>
      <c r="G159" s="440"/>
      <c r="H159" s="440"/>
      <c r="I159" s="440"/>
      <c r="J159" s="440"/>
      <c r="K159" s="440"/>
      <c r="L159" s="440"/>
      <c r="M159" s="440"/>
      <c r="N159" s="440"/>
      <c r="O159" s="440"/>
      <c r="P159" s="440"/>
      <c r="Q159" s="440"/>
      <c r="R159" s="440"/>
      <c r="S159" s="440"/>
      <c r="T159" s="440"/>
      <c r="U159" s="440"/>
      <c r="V159" s="440"/>
      <c r="W159" s="440"/>
      <c r="X159" s="440"/>
      <c r="Y159" s="440"/>
      <c r="Z159" s="440"/>
    </row>
    <row r="160" spans="1:26" x14ac:dyDescent="0.3">
      <c r="A160" s="440"/>
      <c r="B160" s="440"/>
      <c r="C160" s="440"/>
      <c r="D160" s="440"/>
      <c r="E160" s="440"/>
      <c r="F160" s="440"/>
      <c r="G160" s="440"/>
      <c r="H160" s="440"/>
      <c r="I160" s="440"/>
      <c r="J160" s="440"/>
      <c r="K160" s="440"/>
      <c r="L160" s="440"/>
      <c r="M160" s="440"/>
      <c r="N160" s="440"/>
      <c r="O160" s="440"/>
      <c r="P160" s="440"/>
      <c r="Q160" s="440"/>
      <c r="R160" s="440"/>
      <c r="S160" s="440"/>
      <c r="T160" s="440"/>
      <c r="U160" s="440"/>
      <c r="V160" s="440"/>
      <c r="W160" s="440"/>
      <c r="X160" s="440"/>
      <c r="Y160" s="440"/>
      <c r="Z160" s="440"/>
    </row>
    <row r="161" spans="1:26" x14ac:dyDescent="0.3">
      <c r="A161" s="440"/>
      <c r="B161" s="440"/>
      <c r="C161" s="440"/>
      <c r="D161" s="440"/>
      <c r="E161" s="440"/>
      <c r="F161" s="440"/>
      <c r="G161" s="440"/>
      <c r="H161" s="440"/>
      <c r="I161" s="440"/>
      <c r="J161" s="440"/>
      <c r="K161" s="440"/>
      <c r="L161" s="440"/>
      <c r="M161" s="440"/>
      <c r="N161" s="440"/>
      <c r="O161" s="440"/>
      <c r="P161" s="440"/>
      <c r="Q161" s="440"/>
      <c r="R161" s="440"/>
      <c r="S161" s="440"/>
      <c r="T161" s="440"/>
      <c r="U161" s="440"/>
      <c r="V161" s="440"/>
      <c r="W161" s="440"/>
      <c r="X161" s="440"/>
      <c r="Y161" s="440"/>
      <c r="Z161" s="440"/>
    </row>
    <row r="162" spans="1:26" x14ac:dyDescent="0.3">
      <c r="A162" s="440"/>
      <c r="B162" s="440"/>
      <c r="C162" s="440"/>
      <c r="D162" s="440"/>
      <c r="E162" s="440"/>
      <c r="F162" s="440"/>
      <c r="G162" s="440"/>
      <c r="H162" s="440"/>
      <c r="I162" s="440"/>
      <c r="J162" s="440"/>
      <c r="K162" s="440"/>
      <c r="L162" s="440"/>
      <c r="M162" s="440"/>
      <c r="N162" s="440"/>
      <c r="O162" s="440"/>
      <c r="P162" s="440"/>
      <c r="Q162" s="440"/>
      <c r="R162" s="440"/>
      <c r="S162" s="440"/>
      <c r="T162" s="440"/>
      <c r="U162" s="440"/>
      <c r="V162" s="440"/>
      <c r="W162" s="440"/>
      <c r="X162" s="440"/>
      <c r="Y162" s="440"/>
      <c r="Z162" s="440"/>
    </row>
    <row r="163" spans="1:26" x14ac:dyDescent="0.3">
      <c r="A163" s="440"/>
      <c r="B163" s="440"/>
      <c r="C163" s="440"/>
      <c r="D163" s="440"/>
      <c r="E163" s="440"/>
      <c r="F163" s="440"/>
      <c r="G163" s="440"/>
      <c r="H163" s="440"/>
      <c r="I163" s="440"/>
      <c r="J163" s="440"/>
      <c r="K163" s="440"/>
      <c r="L163" s="440"/>
      <c r="M163" s="440"/>
      <c r="N163" s="440"/>
      <c r="O163" s="440"/>
      <c r="P163" s="440"/>
      <c r="Q163" s="440"/>
      <c r="R163" s="440"/>
      <c r="S163" s="440"/>
      <c r="T163" s="440"/>
      <c r="U163" s="440"/>
      <c r="V163" s="440"/>
      <c r="W163" s="440"/>
      <c r="X163" s="440"/>
      <c r="Y163" s="440"/>
      <c r="Z163" s="440"/>
    </row>
    <row r="164" spans="1:26" x14ac:dyDescent="0.3">
      <c r="A164" s="440"/>
      <c r="B164" s="440"/>
      <c r="C164" s="440"/>
      <c r="D164" s="440"/>
      <c r="E164" s="440"/>
      <c r="F164" s="440"/>
      <c r="G164" s="440"/>
      <c r="H164" s="440"/>
      <c r="I164" s="440"/>
      <c r="J164" s="440"/>
      <c r="K164" s="440"/>
      <c r="L164" s="440"/>
      <c r="M164" s="440"/>
      <c r="N164" s="440"/>
      <c r="O164" s="440"/>
      <c r="P164" s="440"/>
      <c r="Q164" s="440"/>
      <c r="R164" s="440"/>
      <c r="S164" s="440"/>
      <c r="T164" s="440"/>
      <c r="U164" s="440"/>
      <c r="V164" s="440"/>
      <c r="W164" s="440"/>
      <c r="X164" s="440"/>
      <c r="Y164" s="440"/>
      <c r="Z164" s="440"/>
    </row>
    <row r="165" spans="1:26" x14ac:dyDescent="0.3">
      <c r="A165" s="440"/>
      <c r="B165" s="440"/>
      <c r="C165" s="440"/>
      <c r="D165" s="440"/>
      <c r="E165" s="440"/>
      <c r="F165" s="440"/>
      <c r="G165" s="440"/>
      <c r="H165" s="440"/>
      <c r="I165" s="440"/>
      <c r="J165" s="440"/>
      <c r="K165" s="440"/>
      <c r="L165" s="440"/>
      <c r="M165" s="440"/>
      <c r="N165" s="440"/>
      <c r="O165" s="440"/>
      <c r="P165" s="440"/>
      <c r="Q165" s="440"/>
      <c r="R165" s="440"/>
      <c r="S165" s="440"/>
      <c r="T165" s="440"/>
      <c r="U165" s="440"/>
      <c r="V165" s="440"/>
      <c r="W165" s="440"/>
      <c r="X165" s="440"/>
      <c r="Y165" s="440"/>
      <c r="Z165" s="440"/>
    </row>
    <row r="166" spans="1:26" x14ac:dyDescent="0.3">
      <c r="A166" s="440"/>
      <c r="B166" s="440"/>
      <c r="C166" s="440"/>
      <c r="D166" s="440"/>
      <c r="E166" s="440"/>
      <c r="F166" s="440"/>
      <c r="G166" s="440"/>
      <c r="H166" s="440"/>
      <c r="I166" s="440"/>
      <c r="J166" s="440"/>
      <c r="K166" s="440"/>
      <c r="L166" s="440"/>
      <c r="M166" s="440"/>
      <c r="N166" s="440"/>
      <c r="O166" s="440"/>
      <c r="P166" s="440"/>
      <c r="Q166" s="440"/>
      <c r="R166" s="440"/>
      <c r="S166" s="440"/>
      <c r="T166" s="440"/>
      <c r="U166" s="440"/>
      <c r="V166" s="440"/>
      <c r="W166" s="440"/>
      <c r="X166" s="440"/>
      <c r="Y166" s="440"/>
      <c r="Z166" s="440"/>
    </row>
    <row r="167" spans="1:26" x14ac:dyDescent="0.3">
      <c r="A167" s="440"/>
      <c r="B167" s="440"/>
      <c r="C167" s="440"/>
      <c r="D167" s="440"/>
      <c r="E167" s="440"/>
      <c r="F167" s="440"/>
      <c r="G167" s="440"/>
      <c r="H167" s="440"/>
      <c r="I167" s="440"/>
      <c r="J167" s="440"/>
      <c r="K167" s="440"/>
      <c r="L167" s="440"/>
      <c r="M167" s="440"/>
      <c r="N167" s="440"/>
      <c r="O167" s="440"/>
      <c r="P167" s="440"/>
      <c r="Q167" s="440"/>
      <c r="R167" s="440"/>
      <c r="S167" s="440"/>
      <c r="T167" s="440"/>
      <c r="U167" s="440"/>
      <c r="V167" s="440"/>
      <c r="W167" s="440"/>
      <c r="X167" s="440"/>
      <c r="Y167" s="440"/>
      <c r="Z167" s="440"/>
    </row>
    <row r="168" spans="1:26" x14ac:dyDescent="0.3">
      <c r="A168" s="440"/>
      <c r="B168" s="440"/>
      <c r="C168" s="440"/>
      <c r="D168" s="440"/>
      <c r="E168" s="440"/>
      <c r="F168" s="440"/>
      <c r="G168" s="440"/>
      <c r="H168" s="440"/>
      <c r="I168" s="440"/>
      <c r="J168" s="440"/>
      <c r="K168" s="440"/>
      <c r="L168" s="440"/>
      <c r="M168" s="440"/>
      <c r="N168" s="440"/>
      <c r="O168" s="440"/>
      <c r="P168" s="440"/>
      <c r="Q168" s="440"/>
      <c r="R168" s="440"/>
      <c r="S168" s="440"/>
      <c r="T168" s="440"/>
      <c r="U168" s="440"/>
      <c r="V168" s="440"/>
      <c r="W168" s="440"/>
      <c r="X168" s="440"/>
      <c r="Y168" s="440"/>
      <c r="Z168" s="440"/>
    </row>
    <row r="169" spans="1:26" x14ac:dyDescent="0.3">
      <c r="A169" s="440"/>
      <c r="B169" s="440"/>
      <c r="C169" s="440"/>
      <c r="D169" s="440"/>
      <c r="E169" s="440"/>
      <c r="F169" s="440"/>
      <c r="G169" s="440"/>
      <c r="H169" s="440"/>
      <c r="I169" s="440"/>
      <c r="J169" s="440"/>
      <c r="K169" s="440"/>
      <c r="L169" s="440"/>
      <c r="M169" s="440"/>
      <c r="N169" s="440"/>
      <c r="O169" s="440"/>
      <c r="P169" s="440"/>
      <c r="Q169" s="440"/>
      <c r="R169" s="440"/>
      <c r="S169" s="440"/>
      <c r="T169" s="440"/>
      <c r="U169" s="440"/>
      <c r="V169" s="440"/>
      <c r="W169" s="440"/>
      <c r="X169" s="440"/>
      <c r="Y169" s="440"/>
      <c r="Z169" s="440"/>
    </row>
    <row r="170" spans="1:26" x14ac:dyDescent="0.3">
      <c r="A170" s="440"/>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row>
    <row r="171" spans="1:26" x14ac:dyDescent="0.3">
      <c r="A171" s="440"/>
      <c r="B171" s="440"/>
      <c r="C171" s="440"/>
      <c r="D171" s="440"/>
      <c r="E171" s="440"/>
      <c r="F171" s="440"/>
      <c r="G171" s="440"/>
      <c r="H171" s="440"/>
      <c r="I171" s="440"/>
      <c r="J171" s="440"/>
      <c r="K171" s="440"/>
      <c r="L171" s="440"/>
      <c r="M171" s="440"/>
      <c r="N171" s="440"/>
      <c r="O171" s="440"/>
      <c r="P171" s="440"/>
      <c r="Q171" s="440"/>
      <c r="R171" s="440"/>
      <c r="S171" s="440"/>
      <c r="T171" s="440"/>
      <c r="U171" s="440"/>
      <c r="V171" s="440"/>
      <c r="W171" s="440"/>
      <c r="X171" s="440"/>
      <c r="Y171" s="440"/>
      <c r="Z171" s="440"/>
    </row>
    <row r="172" spans="1:26" x14ac:dyDescent="0.3">
      <c r="A172" s="440"/>
      <c r="B172" s="440"/>
      <c r="C172" s="440"/>
      <c r="D172" s="440"/>
      <c r="E172" s="440"/>
      <c r="F172" s="440"/>
      <c r="G172" s="440"/>
      <c r="H172" s="440"/>
      <c r="I172" s="440"/>
      <c r="J172" s="440"/>
      <c r="K172" s="440"/>
      <c r="L172" s="440"/>
      <c r="M172" s="440"/>
      <c r="N172" s="440"/>
      <c r="O172" s="440"/>
      <c r="P172" s="440"/>
      <c r="Q172" s="440"/>
      <c r="R172" s="440"/>
      <c r="S172" s="440"/>
      <c r="T172" s="440"/>
      <c r="U172" s="440"/>
      <c r="V172" s="440"/>
      <c r="W172" s="440"/>
      <c r="X172" s="440"/>
      <c r="Y172" s="440"/>
      <c r="Z172" s="440"/>
    </row>
    <row r="173" spans="1:26" x14ac:dyDescent="0.3">
      <c r="A173" s="440"/>
      <c r="B173" s="440"/>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row>
    <row r="174" spans="1:26" x14ac:dyDescent="0.3">
      <c r="A174" s="440"/>
      <c r="B174" s="440"/>
      <c r="C174" s="440"/>
      <c r="D174" s="440"/>
      <c r="E174" s="440"/>
      <c r="F174" s="440"/>
      <c r="G174" s="440"/>
      <c r="H174" s="440"/>
      <c r="I174" s="440"/>
      <c r="J174" s="440"/>
      <c r="K174" s="440"/>
      <c r="L174" s="440"/>
      <c r="M174" s="440"/>
      <c r="N174" s="440"/>
      <c r="O174" s="440"/>
      <c r="P174" s="440"/>
      <c r="Q174" s="440"/>
      <c r="R174" s="440"/>
      <c r="S174" s="440"/>
      <c r="T174" s="440"/>
      <c r="U174" s="440"/>
      <c r="V174" s="440"/>
      <c r="W174" s="440"/>
      <c r="X174" s="440"/>
      <c r="Y174" s="440"/>
      <c r="Z174" s="440"/>
    </row>
    <row r="175" spans="1:26" x14ac:dyDescent="0.3">
      <c r="A175" s="440"/>
      <c r="B175" s="440"/>
      <c r="C175" s="440"/>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c r="Z175" s="440"/>
    </row>
    <row r="176" spans="1:26" x14ac:dyDescent="0.3">
      <c r="A176" s="440"/>
      <c r="B176" s="440"/>
      <c r="C176" s="440"/>
      <c r="D176" s="440"/>
      <c r="E176" s="440"/>
      <c r="F176" s="440"/>
      <c r="G176" s="440"/>
      <c r="H176" s="440"/>
      <c r="I176" s="440"/>
      <c r="J176" s="440"/>
      <c r="K176" s="440"/>
      <c r="L176" s="440"/>
      <c r="M176" s="440"/>
      <c r="N176" s="440"/>
      <c r="O176" s="440"/>
      <c r="P176" s="440"/>
      <c r="Q176" s="440"/>
      <c r="R176" s="440"/>
      <c r="S176" s="440"/>
      <c r="T176" s="440"/>
      <c r="U176" s="440"/>
      <c r="V176" s="440"/>
      <c r="W176" s="440"/>
      <c r="X176" s="440"/>
      <c r="Y176" s="440"/>
      <c r="Z176" s="440"/>
    </row>
    <row r="177" spans="1:26" x14ac:dyDescent="0.3">
      <c r="A177" s="440"/>
      <c r="B177" s="440"/>
      <c r="C177" s="440"/>
      <c r="D177" s="440"/>
      <c r="E177" s="440"/>
      <c r="F177" s="440"/>
      <c r="G177" s="440"/>
      <c r="H177" s="440"/>
      <c r="I177" s="440"/>
      <c r="J177" s="440"/>
      <c r="K177" s="440"/>
      <c r="L177" s="440"/>
      <c r="M177" s="440"/>
      <c r="N177" s="440"/>
      <c r="O177" s="440"/>
      <c r="P177" s="440"/>
      <c r="Q177" s="440"/>
      <c r="R177" s="440"/>
      <c r="S177" s="440"/>
      <c r="T177" s="440"/>
      <c r="U177" s="440"/>
      <c r="V177" s="440"/>
      <c r="W177" s="440"/>
      <c r="X177" s="440"/>
      <c r="Y177" s="440"/>
      <c r="Z177" s="440"/>
    </row>
    <row r="178" spans="1:26" x14ac:dyDescent="0.3">
      <c r="A178" s="440"/>
      <c r="B178" s="440"/>
      <c r="C178" s="440"/>
      <c r="D178" s="440"/>
      <c r="E178" s="440"/>
      <c r="F178" s="440"/>
      <c r="G178" s="440"/>
      <c r="H178" s="440"/>
      <c r="I178" s="440"/>
      <c r="J178" s="440"/>
      <c r="K178" s="440"/>
      <c r="L178" s="440"/>
      <c r="M178" s="440"/>
      <c r="N178" s="440"/>
      <c r="O178" s="440"/>
      <c r="P178" s="440"/>
      <c r="Q178" s="440"/>
      <c r="R178" s="440"/>
      <c r="S178" s="440"/>
      <c r="T178" s="440"/>
      <c r="U178" s="440"/>
      <c r="V178" s="440"/>
      <c r="W178" s="440"/>
      <c r="X178" s="440"/>
      <c r="Y178" s="440"/>
      <c r="Z178" s="440"/>
    </row>
    <row r="179" spans="1:26" x14ac:dyDescent="0.3">
      <c r="A179" s="440"/>
      <c r="B179" s="440"/>
      <c r="C179" s="440"/>
      <c r="D179" s="440"/>
      <c r="E179" s="440"/>
      <c r="F179" s="440"/>
      <c r="G179" s="440"/>
      <c r="H179" s="440"/>
      <c r="I179" s="440"/>
      <c r="J179" s="440"/>
      <c r="K179" s="440"/>
      <c r="L179" s="440"/>
      <c r="M179" s="440"/>
      <c r="N179" s="440"/>
      <c r="O179" s="440"/>
      <c r="P179" s="440"/>
      <c r="Q179" s="440"/>
      <c r="R179" s="440"/>
      <c r="S179" s="440"/>
      <c r="T179" s="440"/>
      <c r="U179" s="440"/>
      <c r="V179" s="440"/>
      <c r="W179" s="440"/>
      <c r="X179" s="440"/>
      <c r="Y179" s="440"/>
      <c r="Z179" s="440"/>
    </row>
    <row r="180" spans="1:26" x14ac:dyDescent="0.3">
      <c r="A180" s="440"/>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row>
    <row r="181" spans="1:26" x14ac:dyDescent="0.3">
      <c r="A181" s="440"/>
      <c r="B181" s="440"/>
      <c r="C181" s="440"/>
      <c r="D181" s="440"/>
      <c r="E181" s="440"/>
      <c r="F181" s="440"/>
      <c r="G181" s="440"/>
      <c r="H181" s="440"/>
      <c r="I181" s="440"/>
      <c r="J181" s="440"/>
      <c r="K181" s="440"/>
      <c r="L181" s="440"/>
      <c r="M181" s="440"/>
      <c r="N181" s="440"/>
      <c r="O181" s="440"/>
      <c r="P181" s="440"/>
      <c r="Q181" s="440"/>
      <c r="R181" s="440"/>
      <c r="S181" s="440"/>
      <c r="T181" s="440"/>
      <c r="U181" s="440"/>
      <c r="V181" s="440"/>
      <c r="W181" s="440"/>
      <c r="X181" s="440"/>
      <c r="Y181" s="440"/>
      <c r="Z181" s="440"/>
    </row>
    <row r="182" spans="1:26" x14ac:dyDescent="0.3">
      <c r="A182" s="440"/>
      <c r="B182" s="440"/>
      <c r="C182" s="440"/>
      <c r="D182" s="440"/>
      <c r="E182" s="440"/>
      <c r="F182" s="440"/>
      <c r="G182" s="440"/>
      <c r="H182" s="440"/>
      <c r="I182" s="440"/>
      <c r="J182" s="440"/>
      <c r="K182" s="440"/>
      <c r="L182" s="440"/>
      <c r="M182" s="440"/>
      <c r="N182" s="440"/>
      <c r="O182" s="440"/>
      <c r="P182" s="440"/>
      <c r="Q182" s="440"/>
      <c r="R182" s="440"/>
      <c r="S182" s="440"/>
      <c r="T182" s="440"/>
      <c r="U182" s="440"/>
      <c r="V182" s="440"/>
      <c r="W182" s="440"/>
      <c r="X182" s="440"/>
      <c r="Y182" s="440"/>
      <c r="Z182" s="440"/>
    </row>
    <row r="183" spans="1:26" x14ac:dyDescent="0.3">
      <c r="A183" s="440"/>
      <c r="B183" s="440"/>
      <c r="C183" s="440"/>
      <c r="D183" s="440"/>
      <c r="E183" s="440"/>
      <c r="F183" s="440"/>
      <c r="G183" s="440"/>
      <c r="H183" s="440"/>
      <c r="I183" s="440"/>
      <c r="J183" s="440"/>
      <c r="K183" s="440"/>
      <c r="L183" s="440"/>
      <c r="M183" s="440"/>
      <c r="N183" s="440"/>
      <c r="O183" s="440"/>
      <c r="P183" s="440"/>
      <c r="Q183" s="440"/>
      <c r="R183" s="440"/>
      <c r="S183" s="440"/>
      <c r="T183" s="440"/>
      <c r="U183" s="440"/>
      <c r="V183" s="440"/>
      <c r="W183" s="440"/>
      <c r="X183" s="440"/>
      <c r="Y183" s="440"/>
      <c r="Z183" s="440"/>
    </row>
  </sheetData>
  <sheetProtection password="8BC3" sheet="1" objects="1" scenarios="1"/>
  <mergeCells count="12">
    <mergeCell ref="C22:F24"/>
    <mergeCell ref="B5:F9"/>
    <mergeCell ref="B10:F14"/>
    <mergeCell ref="B15:F15"/>
    <mergeCell ref="C18:F19"/>
    <mergeCell ref="C20:F21"/>
    <mergeCell ref="C55:F61"/>
    <mergeCell ref="C30:F34"/>
    <mergeCell ref="C35:F37"/>
    <mergeCell ref="C41:F45"/>
    <mergeCell ref="C25:F26"/>
    <mergeCell ref="C46:F48"/>
  </mergeCells>
  <hyperlinks>
    <hyperlink ref="G1" location="Guide" display="Guide"/>
    <hyperlink ref="G2" location="Input" display="Input"/>
  </hyperlinks>
  <pageMargins left="0.7" right="0.7" top="0.75" bottom="0.75" header="0.3" footer="0.3"/>
  <pageSetup paperSize="9" scale="44" orientation="portrait" horizontalDpi="300" r:id="rId1"/>
  <headerFooter>
    <oddFooter>&amp;LNova Scotia Exploration Economics Model&amp;Rwww.indeva.com</oddFooter>
  </headerFooter>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pageSetUpPr fitToPage="1"/>
  </sheetPr>
  <dimension ref="A1:W38"/>
  <sheetViews>
    <sheetView showGridLines="0" showRowColHeaders="0" zoomScale="80" zoomScaleNormal="80" workbookViewId="0">
      <selection activeCell="F23" sqref="F23"/>
    </sheetView>
  </sheetViews>
  <sheetFormatPr defaultRowHeight="14.4" x14ac:dyDescent="0.3"/>
  <cols>
    <col min="2" max="2" width="13.88671875" customWidth="1"/>
    <col min="3" max="3" width="18.33203125" customWidth="1"/>
    <col min="4" max="4" width="18.6640625" customWidth="1"/>
    <col min="6" max="6" width="17.5546875" customWidth="1"/>
    <col min="7" max="7" width="12.33203125" customWidth="1"/>
    <col min="8" max="8" width="13" customWidth="1"/>
    <col min="9" max="9" width="12.109375" customWidth="1"/>
    <col min="10" max="10" width="10.6640625" customWidth="1"/>
  </cols>
  <sheetData>
    <row r="1" spans="1:23" ht="15" x14ac:dyDescent="0.25">
      <c r="A1" s="93"/>
      <c r="B1" s="93"/>
      <c r="C1" s="93"/>
      <c r="D1" s="93"/>
      <c r="E1" s="93"/>
      <c r="F1" s="93"/>
      <c r="G1" s="93"/>
      <c r="H1" s="93"/>
      <c r="I1" s="93"/>
      <c r="J1" s="93"/>
      <c r="K1" s="93"/>
      <c r="L1" s="93"/>
      <c r="M1" s="93"/>
      <c r="N1" s="93"/>
      <c r="O1" s="93"/>
      <c r="P1" s="93"/>
      <c r="Q1" s="93"/>
      <c r="R1" s="93"/>
      <c r="S1" s="93"/>
      <c r="T1" s="93"/>
      <c r="U1" s="93"/>
      <c r="V1" s="93"/>
      <c r="W1" s="93"/>
    </row>
    <row r="2" spans="1:23" x14ac:dyDescent="0.3">
      <c r="A2" s="93"/>
      <c r="B2" s="518" t="s">
        <v>927</v>
      </c>
      <c r="C2" s="519"/>
      <c r="D2" s="519"/>
      <c r="E2" s="519"/>
      <c r="F2" s="519"/>
      <c r="G2" s="519"/>
      <c r="H2" s="519"/>
      <c r="I2" s="519"/>
      <c r="J2" s="519"/>
      <c r="K2" s="519"/>
      <c r="L2" s="519"/>
      <c r="M2" s="519"/>
      <c r="N2" s="519"/>
      <c r="O2" s="519"/>
      <c r="P2" s="519"/>
      <c r="Q2" s="519"/>
      <c r="R2" s="520"/>
      <c r="S2" s="93"/>
      <c r="T2" s="93"/>
      <c r="U2" s="93"/>
      <c r="V2" s="93"/>
      <c r="W2" s="93"/>
    </row>
    <row r="3" spans="1:23" x14ac:dyDescent="0.3">
      <c r="A3" s="93"/>
      <c r="B3" s="521"/>
      <c r="C3" s="522"/>
      <c r="D3" s="522"/>
      <c r="E3" s="522"/>
      <c r="F3" s="522"/>
      <c r="G3" s="522"/>
      <c r="H3" s="522"/>
      <c r="I3" s="522"/>
      <c r="J3" s="522"/>
      <c r="K3" s="522"/>
      <c r="L3" s="522"/>
      <c r="M3" s="522"/>
      <c r="N3" s="522"/>
      <c r="O3" s="522"/>
      <c r="P3" s="522"/>
      <c r="Q3" s="522"/>
      <c r="R3" s="523"/>
      <c r="S3" s="93"/>
      <c r="T3" s="93"/>
      <c r="U3" s="93"/>
      <c r="V3" s="93"/>
      <c r="W3" s="93"/>
    </row>
    <row r="4" spans="1:23" ht="15" x14ac:dyDescent="0.25">
      <c r="A4" s="93"/>
      <c r="B4" s="93"/>
      <c r="C4" s="93"/>
      <c r="D4" s="93"/>
      <c r="E4" s="93"/>
      <c r="F4" s="93"/>
      <c r="G4" s="93"/>
      <c r="H4" s="93"/>
      <c r="I4" s="93"/>
      <c r="J4" s="93"/>
      <c r="K4" s="93"/>
      <c r="L4" s="93"/>
      <c r="M4" s="93"/>
      <c r="N4" s="93"/>
      <c r="O4" s="93"/>
      <c r="P4" s="93"/>
      <c r="Q4" s="93"/>
      <c r="R4" s="93"/>
      <c r="S4" s="93"/>
      <c r="T4" s="93"/>
      <c r="U4" s="93"/>
      <c r="V4" s="93"/>
      <c r="W4" s="93"/>
    </row>
    <row r="5" spans="1:23" ht="45" x14ac:dyDescent="0.25">
      <c r="A5" s="93"/>
      <c r="B5" s="436" t="s">
        <v>928</v>
      </c>
      <c r="C5" s="436" t="s">
        <v>929</v>
      </c>
      <c r="D5" s="436" t="s">
        <v>930</v>
      </c>
      <c r="E5" s="436" t="s">
        <v>373</v>
      </c>
      <c r="F5" s="437" t="s">
        <v>931</v>
      </c>
      <c r="G5" s="437" t="s">
        <v>932</v>
      </c>
      <c r="H5" s="437" t="s">
        <v>933</v>
      </c>
      <c r="I5" s="437" t="s">
        <v>934</v>
      </c>
      <c r="J5" s="437" t="s">
        <v>935</v>
      </c>
      <c r="K5" s="437" t="s">
        <v>936</v>
      </c>
      <c r="L5" s="437" t="s">
        <v>937</v>
      </c>
      <c r="M5" s="437" t="s">
        <v>938</v>
      </c>
      <c r="N5" s="437" t="s">
        <v>939</v>
      </c>
      <c r="O5" s="437" t="s">
        <v>940</v>
      </c>
      <c r="P5" s="437" t="s">
        <v>941</v>
      </c>
      <c r="Q5" s="437" t="s">
        <v>942</v>
      </c>
      <c r="R5" s="437" t="s">
        <v>943</v>
      </c>
      <c r="S5" s="93"/>
      <c r="T5" s="93"/>
      <c r="U5" s="93"/>
      <c r="V5" s="93"/>
      <c r="W5" s="93"/>
    </row>
    <row r="6" spans="1:23" ht="15" x14ac:dyDescent="0.25">
      <c r="A6" s="93"/>
      <c r="B6" s="158" t="s">
        <v>925</v>
      </c>
      <c r="C6" s="158" t="s">
        <v>944</v>
      </c>
      <c r="D6" s="158" t="s">
        <v>945</v>
      </c>
      <c r="E6" s="158" t="s">
        <v>946</v>
      </c>
      <c r="F6" s="158" t="s">
        <v>947</v>
      </c>
      <c r="G6" s="158" t="s">
        <v>948</v>
      </c>
      <c r="H6" s="158" t="s">
        <v>949</v>
      </c>
      <c r="I6" s="158" t="s">
        <v>950</v>
      </c>
      <c r="J6" s="438">
        <v>36761</v>
      </c>
      <c r="K6" s="158">
        <v>42</v>
      </c>
      <c r="L6" s="158">
        <v>3823</v>
      </c>
      <c r="M6" s="158">
        <v>85</v>
      </c>
      <c r="N6" s="158">
        <v>3</v>
      </c>
      <c r="O6" s="158">
        <v>56</v>
      </c>
      <c r="P6" s="158">
        <v>26</v>
      </c>
      <c r="Q6" s="158">
        <v>5</v>
      </c>
      <c r="R6" s="158">
        <v>68</v>
      </c>
      <c r="S6" s="93"/>
      <c r="T6" s="93"/>
      <c r="U6" s="93"/>
      <c r="V6" s="93"/>
      <c r="W6" s="93"/>
    </row>
    <row r="7" spans="1:23" ht="15" x14ac:dyDescent="0.25">
      <c r="A7" s="93"/>
      <c r="B7" s="160" t="s">
        <v>925</v>
      </c>
      <c r="C7" s="160" t="s">
        <v>944</v>
      </c>
      <c r="D7" s="160" t="s">
        <v>945</v>
      </c>
      <c r="E7" s="160" t="s">
        <v>951</v>
      </c>
      <c r="F7" s="160" t="s">
        <v>947</v>
      </c>
      <c r="G7" s="160" t="s">
        <v>952</v>
      </c>
      <c r="H7" s="160" t="s">
        <v>953</v>
      </c>
      <c r="I7" s="160" t="s">
        <v>954</v>
      </c>
      <c r="J7" s="439">
        <v>36719</v>
      </c>
      <c r="K7" s="160">
        <v>44</v>
      </c>
      <c r="L7" s="160">
        <v>4598</v>
      </c>
      <c r="M7" s="160">
        <v>81</v>
      </c>
      <c r="N7" s="160">
        <v>0</v>
      </c>
      <c r="O7" s="160">
        <v>78</v>
      </c>
      <c r="P7" s="160">
        <v>3</v>
      </c>
      <c r="Q7" s="160">
        <v>4</v>
      </c>
      <c r="R7" s="160">
        <v>58</v>
      </c>
      <c r="S7" s="93"/>
      <c r="T7" s="93"/>
      <c r="U7" s="93"/>
      <c r="V7" s="93"/>
      <c r="W7" s="93"/>
    </row>
    <row r="8" spans="1:23" ht="15" x14ac:dyDescent="0.25">
      <c r="A8" s="93"/>
      <c r="B8" s="160" t="s">
        <v>925</v>
      </c>
      <c r="C8" s="160" t="s">
        <v>944</v>
      </c>
      <c r="D8" s="160" t="s">
        <v>955</v>
      </c>
      <c r="E8" s="160"/>
      <c r="F8" s="160" t="s">
        <v>947</v>
      </c>
      <c r="G8" s="160" t="s">
        <v>956</v>
      </c>
      <c r="H8" s="160" t="s">
        <v>957</v>
      </c>
      <c r="I8" s="160" t="s">
        <v>958</v>
      </c>
      <c r="J8" s="439">
        <v>37073</v>
      </c>
      <c r="K8" s="160">
        <v>47</v>
      </c>
      <c r="L8" s="160">
        <v>3823</v>
      </c>
      <c r="M8" s="160">
        <v>67</v>
      </c>
      <c r="N8" s="160">
        <v>5</v>
      </c>
      <c r="O8" s="160">
        <v>51</v>
      </c>
      <c r="P8" s="160">
        <v>11</v>
      </c>
      <c r="Q8" s="160">
        <v>4</v>
      </c>
      <c r="R8" s="160">
        <v>74</v>
      </c>
      <c r="S8" s="93"/>
      <c r="T8" s="93"/>
      <c r="U8" s="93"/>
      <c r="V8" s="93"/>
      <c r="W8" s="93"/>
    </row>
    <row r="9" spans="1:23" ht="15" x14ac:dyDescent="0.25">
      <c r="A9" s="93"/>
      <c r="B9" s="160" t="s">
        <v>925</v>
      </c>
      <c r="C9" s="160" t="s">
        <v>944</v>
      </c>
      <c r="D9" s="160" t="s">
        <v>959</v>
      </c>
      <c r="E9" s="160" t="s">
        <v>960</v>
      </c>
      <c r="F9" s="160" t="s">
        <v>961</v>
      </c>
      <c r="G9" s="160" t="s">
        <v>956</v>
      </c>
      <c r="H9" s="160" t="s">
        <v>962</v>
      </c>
      <c r="I9" s="160" t="s">
        <v>963</v>
      </c>
      <c r="J9" s="439">
        <v>37239</v>
      </c>
      <c r="K9" s="160">
        <v>38</v>
      </c>
      <c r="L9" s="160">
        <v>4443</v>
      </c>
      <c r="M9" s="160">
        <v>65</v>
      </c>
      <c r="N9" s="160">
        <v>3</v>
      </c>
      <c r="O9" s="160">
        <v>54</v>
      </c>
      <c r="P9" s="160">
        <v>9</v>
      </c>
      <c r="Q9" s="160">
        <v>5</v>
      </c>
      <c r="R9" s="160">
        <v>82</v>
      </c>
      <c r="S9" s="93"/>
      <c r="T9" s="93"/>
      <c r="U9" s="93"/>
      <c r="V9" s="93"/>
      <c r="W9" s="93"/>
    </row>
    <row r="10" spans="1:23" ht="15" x14ac:dyDescent="0.25">
      <c r="A10" s="93"/>
      <c r="B10" s="160" t="s">
        <v>925</v>
      </c>
      <c r="C10" s="160" t="s">
        <v>944</v>
      </c>
      <c r="D10" s="160" t="s">
        <v>964</v>
      </c>
      <c r="E10" s="160" t="s">
        <v>965</v>
      </c>
      <c r="F10" s="160" t="s">
        <v>966</v>
      </c>
      <c r="G10" s="160" t="s">
        <v>956</v>
      </c>
      <c r="H10" s="160" t="s">
        <v>967</v>
      </c>
      <c r="I10" s="160" t="s">
        <v>968</v>
      </c>
      <c r="J10" s="439">
        <v>37443</v>
      </c>
      <c r="K10" s="160">
        <v>48</v>
      </c>
      <c r="L10" s="160">
        <v>4552</v>
      </c>
      <c r="M10" s="160">
        <v>53</v>
      </c>
      <c r="N10" s="160">
        <v>5</v>
      </c>
      <c r="O10" s="160">
        <v>46</v>
      </c>
      <c r="P10" s="160">
        <v>2</v>
      </c>
      <c r="Q10" s="160">
        <v>5</v>
      </c>
      <c r="R10" s="160">
        <v>97</v>
      </c>
      <c r="S10" s="93"/>
      <c r="T10" s="93"/>
      <c r="U10" s="93"/>
      <c r="V10" s="93"/>
      <c r="W10" s="93"/>
    </row>
    <row r="11" spans="1:23" ht="15" x14ac:dyDescent="0.25">
      <c r="A11" s="93"/>
      <c r="B11" s="160" t="s">
        <v>925</v>
      </c>
      <c r="C11" s="160" t="s">
        <v>944</v>
      </c>
      <c r="D11" s="160" t="s">
        <v>969</v>
      </c>
      <c r="E11" s="160" t="s">
        <v>970</v>
      </c>
      <c r="F11" s="160" t="s">
        <v>971</v>
      </c>
      <c r="G11" s="160" t="s">
        <v>956</v>
      </c>
      <c r="H11" s="160" t="s">
        <v>972</v>
      </c>
      <c r="I11" s="160" t="s">
        <v>973</v>
      </c>
      <c r="J11" s="439">
        <v>37762</v>
      </c>
      <c r="K11" s="160">
        <v>43</v>
      </c>
      <c r="L11" s="160">
        <v>3677</v>
      </c>
      <c r="M11" s="160">
        <v>80</v>
      </c>
      <c r="N11" s="160">
        <v>3</v>
      </c>
      <c r="O11" s="160">
        <v>50</v>
      </c>
      <c r="P11" s="160">
        <v>28</v>
      </c>
      <c r="Q11" s="160">
        <v>4</v>
      </c>
      <c r="R11" s="160">
        <v>73</v>
      </c>
      <c r="S11" s="93"/>
      <c r="T11" s="93"/>
      <c r="U11" s="93"/>
      <c r="V11" s="93"/>
      <c r="W11" s="93"/>
    </row>
    <row r="12" spans="1:23" ht="15" x14ac:dyDescent="0.25">
      <c r="A12" s="93"/>
      <c r="B12" s="160" t="s">
        <v>925</v>
      </c>
      <c r="C12" s="160" t="s">
        <v>944</v>
      </c>
      <c r="D12" s="160" t="s">
        <v>974</v>
      </c>
      <c r="E12" s="160" t="s">
        <v>975</v>
      </c>
      <c r="F12" s="160" t="s">
        <v>971</v>
      </c>
      <c r="G12" s="160" t="s">
        <v>956</v>
      </c>
      <c r="H12" s="160" t="s">
        <v>976</v>
      </c>
      <c r="I12" s="160" t="s">
        <v>977</v>
      </c>
      <c r="J12" s="439">
        <v>37861</v>
      </c>
      <c r="K12" s="160">
        <v>43</v>
      </c>
      <c r="L12" s="160">
        <v>3625</v>
      </c>
      <c r="M12" s="160">
        <v>61</v>
      </c>
      <c r="N12" s="160">
        <v>2</v>
      </c>
      <c r="O12" s="160">
        <v>43</v>
      </c>
      <c r="P12" s="160">
        <v>16</v>
      </c>
      <c r="Q12" s="160">
        <v>4</v>
      </c>
      <c r="R12" s="160">
        <v>83</v>
      </c>
      <c r="S12" s="93"/>
      <c r="T12" s="93"/>
      <c r="U12" s="93"/>
      <c r="V12" s="93"/>
      <c r="W12" s="93"/>
    </row>
    <row r="13" spans="1:23" ht="15" x14ac:dyDescent="0.25">
      <c r="A13" s="93"/>
      <c r="B13" s="160" t="s">
        <v>925</v>
      </c>
      <c r="C13" s="160" t="s">
        <v>944</v>
      </c>
      <c r="D13" s="160" t="s">
        <v>978</v>
      </c>
      <c r="E13" s="160" t="s">
        <v>979</v>
      </c>
      <c r="F13" s="160" t="s">
        <v>980</v>
      </c>
      <c r="G13" s="160" t="s">
        <v>981</v>
      </c>
      <c r="H13" s="160" t="s">
        <v>982</v>
      </c>
      <c r="I13" s="160" t="s">
        <v>983</v>
      </c>
      <c r="J13" s="439">
        <v>38674</v>
      </c>
      <c r="K13" s="160">
        <v>30</v>
      </c>
      <c r="L13" s="160">
        <v>3700</v>
      </c>
      <c r="M13" s="160">
        <v>82</v>
      </c>
      <c r="N13" s="160">
        <v>3</v>
      </c>
      <c r="O13" s="160">
        <v>66</v>
      </c>
      <c r="P13" s="160">
        <v>13</v>
      </c>
      <c r="Q13" s="160">
        <v>4</v>
      </c>
      <c r="R13" s="160">
        <v>56</v>
      </c>
      <c r="S13" s="93"/>
      <c r="T13" s="93"/>
      <c r="U13" s="93"/>
      <c r="V13" s="93"/>
      <c r="W13" s="93"/>
    </row>
    <row r="14" spans="1:23" ht="15" x14ac:dyDescent="0.25">
      <c r="A14" s="93"/>
      <c r="B14" s="160" t="s">
        <v>925</v>
      </c>
      <c r="C14" s="160" t="s">
        <v>984</v>
      </c>
      <c r="D14" s="160" t="s">
        <v>985</v>
      </c>
      <c r="E14" s="160" t="s">
        <v>986</v>
      </c>
      <c r="F14" s="160" t="s">
        <v>987</v>
      </c>
      <c r="G14" s="160" t="s">
        <v>988</v>
      </c>
      <c r="H14" s="160" t="s">
        <v>989</v>
      </c>
      <c r="I14" s="160" t="s">
        <v>990</v>
      </c>
      <c r="J14" s="439">
        <v>36740</v>
      </c>
      <c r="K14" s="160">
        <v>51</v>
      </c>
      <c r="L14" s="160">
        <v>4600</v>
      </c>
      <c r="M14" s="160">
        <v>94</v>
      </c>
      <c r="N14" s="160">
        <v>3</v>
      </c>
      <c r="O14" s="160">
        <v>73</v>
      </c>
      <c r="P14" s="160">
        <v>18</v>
      </c>
      <c r="Q14" s="160">
        <v>4</v>
      </c>
      <c r="R14" s="160">
        <v>63</v>
      </c>
      <c r="S14" s="93"/>
      <c r="T14" s="93"/>
      <c r="U14" s="93"/>
      <c r="V14" s="93"/>
      <c r="W14" s="93"/>
    </row>
    <row r="15" spans="1:23" ht="15" x14ac:dyDescent="0.25">
      <c r="A15" s="93"/>
      <c r="B15" s="160" t="s">
        <v>925</v>
      </c>
      <c r="C15" s="160" t="s">
        <v>984</v>
      </c>
      <c r="D15" s="160" t="s">
        <v>991</v>
      </c>
      <c r="E15" s="160" t="s">
        <v>992</v>
      </c>
      <c r="F15" s="160" t="s">
        <v>987</v>
      </c>
      <c r="G15" s="160" t="s">
        <v>988</v>
      </c>
      <c r="H15" s="160" t="s">
        <v>993</v>
      </c>
      <c r="I15" s="160" t="s">
        <v>994</v>
      </c>
      <c r="J15" s="439">
        <v>36835</v>
      </c>
      <c r="K15" s="160">
        <v>17</v>
      </c>
      <c r="L15" s="160">
        <v>4708</v>
      </c>
      <c r="M15" s="160">
        <v>94</v>
      </c>
      <c r="N15" s="160">
        <v>3</v>
      </c>
      <c r="O15" s="160">
        <v>62</v>
      </c>
      <c r="P15" s="160">
        <v>29</v>
      </c>
      <c r="Q15" s="160">
        <v>4</v>
      </c>
      <c r="R15" s="160">
        <v>76</v>
      </c>
      <c r="S15" s="93"/>
      <c r="T15" s="93"/>
      <c r="U15" s="93"/>
      <c r="V15" s="93"/>
      <c r="W15" s="93"/>
    </row>
    <row r="16" spans="1:23" ht="15" x14ac:dyDescent="0.25">
      <c r="A16" s="93"/>
      <c r="B16" s="160" t="s">
        <v>925</v>
      </c>
      <c r="C16" s="160" t="s">
        <v>984</v>
      </c>
      <c r="D16" s="160" t="s">
        <v>995</v>
      </c>
      <c r="E16" s="160" t="s">
        <v>996</v>
      </c>
      <c r="F16" s="160" t="s">
        <v>947</v>
      </c>
      <c r="G16" s="160" t="s">
        <v>956</v>
      </c>
      <c r="H16" s="160" t="s">
        <v>997</v>
      </c>
      <c r="I16" s="160" t="s">
        <v>998</v>
      </c>
      <c r="J16" s="439">
        <v>37137</v>
      </c>
      <c r="K16" s="160">
        <v>47</v>
      </c>
      <c r="L16" s="160">
        <v>5058</v>
      </c>
      <c r="M16" s="160">
        <v>102</v>
      </c>
      <c r="N16" s="160">
        <v>1</v>
      </c>
      <c r="O16" s="160">
        <v>82</v>
      </c>
      <c r="P16" s="160">
        <v>19</v>
      </c>
      <c r="Q16" s="160">
        <v>5</v>
      </c>
      <c r="R16" s="160">
        <v>61</v>
      </c>
      <c r="S16" s="93"/>
      <c r="T16" s="93"/>
      <c r="U16" s="93"/>
      <c r="V16" s="93"/>
      <c r="W16" s="93"/>
    </row>
    <row r="17" spans="1:23" ht="15" x14ac:dyDescent="0.25">
      <c r="A17" s="93"/>
      <c r="B17" s="160" t="s">
        <v>925</v>
      </c>
      <c r="C17" s="160" t="s">
        <v>984</v>
      </c>
      <c r="D17" s="160" t="s">
        <v>999</v>
      </c>
      <c r="E17" s="160" t="s">
        <v>1000</v>
      </c>
      <c r="F17" s="160" t="s">
        <v>1001</v>
      </c>
      <c r="G17" s="160" t="s">
        <v>956</v>
      </c>
      <c r="H17" s="160" t="s">
        <v>1002</v>
      </c>
      <c r="I17" s="160" t="s">
        <v>1003</v>
      </c>
      <c r="J17" s="439">
        <v>37944</v>
      </c>
      <c r="K17" s="160">
        <v>56</v>
      </c>
      <c r="L17" s="160">
        <v>5408</v>
      </c>
      <c r="M17" s="160">
        <v>128</v>
      </c>
      <c r="N17" s="160">
        <v>2</v>
      </c>
      <c r="O17" s="160">
        <v>93</v>
      </c>
      <c r="P17" s="160">
        <v>33</v>
      </c>
      <c r="Q17" s="160">
        <v>5</v>
      </c>
      <c r="R17" s="160">
        <v>57</v>
      </c>
      <c r="S17" s="93"/>
      <c r="T17" s="93"/>
      <c r="U17" s="93"/>
      <c r="V17" s="93"/>
      <c r="W17" s="93"/>
    </row>
    <row r="18" spans="1:23" ht="15" x14ac:dyDescent="0.25">
      <c r="A18" s="93"/>
      <c r="B18" s="160" t="s">
        <v>925</v>
      </c>
      <c r="C18" s="160" t="s">
        <v>984</v>
      </c>
      <c r="D18" s="160" t="s">
        <v>1004</v>
      </c>
      <c r="E18" s="160" t="s">
        <v>1005</v>
      </c>
      <c r="F18" s="160" t="s">
        <v>1006</v>
      </c>
      <c r="G18" s="160" t="s">
        <v>956</v>
      </c>
      <c r="H18" s="160" t="s">
        <v>1007</v>
      </c>
      <c r="I18" s="160" t="s">
        <v>1008</v>
      </c>
      <c r="J18" s="439">
        <v>38122</v>
      </c>
      <c r="K18" s="160">
        <v>57</v>
      </c>
      <c r="L18" s="160">
        <v>3945</v>
      </c>
      <c r="M18" s="160">
        <v>98</v>
      </c>
      <c r="N18" s="160">
        <v>4</v>
      </c>
      <c r="O18" s="160">
        <v>82</v>
      </c>
      <c r="P18" s="160">
        <v>12</v>
      </c>
      <c r="Q18" s="160">
        <v>5</v>
      </c>
      <c r="R18" s="160">
        <v>47</v>
      </c>
      <c r="S18" s="93"/>
      <c r="T18" s="93"/>
      <c r="U18" s="93"/>
      <c r="V18" s="93"/>
      <c r="W18" s="93"/>
    </row>
    <row r="19" spans="1:23" ht="15" x14ac:dyDescent="0.25">
      <c r="A19" s="93"/>
      <c r="B19" s="160" t="s">
        <v>925</v>
      </c>
      <c r="C19" s="160" t="s">
        <v>1009</v>
      </c>
      <c r="D19" s="160" t="s">
        <v>1010</v>
      </c>
      <c r="E19" s="160" t="s">
        <v>1011</v>
      </c>
      <c r="F19" s="160" t="s">
        <v>1012</v>
      </c>
      <c r="G19" s="160" t="s">
        <v>988</v>
      </c>
      <c r="H19" s="160" t="s">
        <v>1013</v>
      </c>
      <c r="I19" s="160" t="s">
        <v>1014</v>
      </c>
      <c r="J19" s="439">
        <v>37212</v>
      </c>
      <c r="K19" s="160">
        <v>60</v>
      </c>
      <c r="L19" s="160">
        <v>5019</v>
      </c>
      <c r="M19" s="160">
        <v>180</v>
      </c>
      <c r="N19" s="160">
        <v>3</v>
      </c>
      <c r="O19" s="160">
        <v>153</v>
      </c>
      <c r="P19" s="160">
        <v>23</v>
      </c>
      <c r="Q19" s="160">
        <v>6</v>
      </c>
      <c r="R19" s="160">
        <v>32</v>
      </c>
      <c r="S19" s="93"/>
      <c r="T19" s="93"/>
      <c r="U19" s="93"/>
      <c r="V19" s="93"/>
      <c r="W19" s="93"/>
    </row>
    <row r="20" spans="1:23" ht="15" x14ac:dyDescent="0.25">
      <c r="A20" s="93"/>
      <c r="B20" s="160" t="s">
        <v>926</v>
      </c>
      <c r="C20" s="160" t="s">
        <v>1015</v>
      </c>
      <c r="D20" s="160" t="s">
        <v>1016</v>
      </c>
      <c r="E20" s="160" t="s">
        <v>1017</v>
      </c>
      <c r="F20" s="160" t="s">
        <v>1018</v>
      </c>
      <c r="G20" s="160" t="s">
        <v>1019</v>
      </c>
      <c r="H20" s="160" t="s">
        <v>1020</v>
      </c>
      <c r="I20" s="160" t="s">
        <v>1021</v>
      </c>
      <c r="J20" s="439">
        <v>37251</v>
      </c>
      <c r="K20" s="160">
        <v>1737</v>
      </c>
      <c r="L20" s="160">
        <v>3496</v>
      </c>
      <c r="M20" s="160">
        <v>132</v>
      </c>
      <c r="N20" s="160">
        <v>12</v>
      </c>
      <c r="O20" s="160">
        <v>89</v>
      </c>
      <c r="P20" s="160">
        <v>43</v>
      </c>
      <c r="Q20" s="160">
        <v>3</v>
      </c>
      <c r="R20" s="160">
        <v>20</v>
      </c>
      <c r="S20" s="93"/>
      <c r="T20" s="93"/>
      <c r="U20" s="93"/>
      <c r="V20" s="93"/>
      <c r="W20" s="93"/>
    </row>
    <row r="21" spans="1:23" ht="15" x14ac:dyDescent="0.25">
      <c r="A21" s="93"/>
      <c r="B21" s="160" t="s">
        <v>926</v>
      </c>
      <c r="C21" s="160" t="s">
        <v>1015</v>
      </c>
      <c r="D21" s="160" t="s">
        <v>1022</v>
      </c>
      <c r="E21" s="160" t="s">
        <v>1023</v>
      </c>
      <c r="F21" s="160" t="s">
        <v>971</v>
      </c>
      <c r="G21" s="160" t="s">
        <v>1024</v>
      </c>
      <c r="H21" s="160" t="s">
        <v>1025</v>
      </c>
      <c r="I21" s="160" t="s">
        <v>1026</v>
      </c>
      <c r="J21" s="439">
        <v>37576</v>
      </c>
      <c r="K21" s="160">
        <v>1675</v>
      </c>
      <c r="L21" s="160">
        <v>3600</v>
      </c>
      <c r="M21" s="160">
        <v>74</v>
      </c>
      <c r="N21" s="160">
        <v>14</v>
      </c>
      <c r="O21" s="160">
        <v>45</v>
      </c>
      <c r="P21" s="160">
        <v>15</v>
      </c>
      <c r="Q21" s="160">
        <v>3</v>
      </c>
      <c r="R21" s="160">
        <v>43</v>
      </c>
      <c r="S21" s="93"/>
      <c r="T21" s="93"/>
      <c r="U21" s="93"/>
      <c r="V21" s="93"/>
      <c r="W21" s="93"/>
    </row>
    <row r="22" spans="1:23" ht="15" x14ac:dyDescent="0.25">
      <c r="A22" s="93"/>
      <c r="B22" s="160" t="s">
        <v>926</v>
      </c>
      <c r="C22" s="160" t="s">
        <v>1015</v>
      </c>
      <c r="D22" s="160" t="s">
        <v>1027</v>
      </c>
      <c r="E22" s="160" t="s">
        <v>1028</v>
      </c>
      <c r="F22" s="160" t="s">
        <v>1029</v>
      </c>
      <c r="G22" s="160" t="s">
        <v>1024</v>
      </c>
      <c r="H22" s="160" t="s">
        <v>1030</v>
      </c>
      <c r="I22" s="160" t="s">
        <v>1031</v>
      </c>
      <c r="J22" s="439">
        <v>37808</v>
      </c>
      <c r="K22" s="160">
        <v>1803</v>
      </c>
      <c r="L22" s="160">
        <v>4750</v>
      </c>
      <c r="M22" s="160">
        <v>67</v>
      </c>
      <c r="N22" s="160">
        <v>4</v>
      </c>
      <c r="O22" s="160">
        <v>52</v>
      </c>
      <c r="P22" s="160">
        <v>11</v>
      </c>
      <c r="Q22" s="160">
        <v>5</v>
      </c>
      <c r="R22" s="160">
        <v>57</v>
      </c>
      <c r="S22" s="93"/>
      <c r="T22" s="93"/>
      <c r="U22" s="93"/>
      <c r="V22" s="93"/>
      <c r="W22" s="93"/>
    </row>
    <row r="23" spans="1:23" ht="15" x14ac:dyDescent="0.25">
      <c r="A23" s="93"/>
      <c r="B23" s="160" t="s">
        <v>926</v>
      </c>
      <c r="C23" s="160" t="s">
        <v>1032</v>
      </c>
      <c r="D23" s="160" t="s">
        <v>1033</v>
      </c>
      <c r="E23" s="160" t="s">
        <v>1034</v>
      </c>
      <c r="F23" s="160" t="s">
        <v>1035</v>
      </c>
      <c r="G23" s="160" t="s">
        <v>1036</v>
      </c>
      <c r="H23" s="160" t="s">
        <v>1037</v>
      </c>
      <c r="I23" s="160" t="s">
        <v>1038</v>
      </c>
      <c r="J23" s="439">
        <v>37398</v>
      </c>
      <c r="K23" s="160">
        <v>977</v>
      </c>
      <c r="L23" s="160">
        <v>6070</v>
      </c>
      <c r="M23" s="160">
        <v>93</v>
      </c>
      <c r="N23" s="160">
        <v>0</v>
      </c>
      <c r="O23" s="160">
        <v>80</v>
      </c>
      <c r="P23" s="160">
        <v>13</v>
      </c>
      <c r="Q23" s="160">
        <v>6</v>
      </c>
      <c r="R23" s="160">
        <v>64</v>
      </c>
      <c r="S23" s="93"/>
      <c r="T23" s="93"/>
      <c r="U23" s="93"/>
      <c r="V23" s="93"/>
      <c r="W23" s="93"/>
    </row>
    <row r="24" spans="1:23" ht="15" x14ac:dyDescent="0.25">
      <c r="A24" s="93"/>
      <c r="B24" s="160" t="s">
        <v>926</v>
      </c>
      <c r="C24" s="160" t="s">
        <v>1032</v>
      </c>
      <c r="D24" s="160" t="s">
        <v>1016</v>
      </c>
      <c r="E24" s="160" t="s">
        <v>1039</v>
      </c>
      <c r="F24" s="160" t="s">
        <v>1018</v>
      </c>
      <c r="G24" s="160" t="s">
        <v>1019</v>
      </c>
      <c r="H24" s="160" t="s">
        <v>1040</v>
      </c>
      <c r="I24" s="160" t="s">
        <v>1041</v>
      </c>
      <c r="J24" s="439">
        <v>37363</v>
      </c>
      <c r="K24" s="160">
        <v>1711</v>
      </c>
      <c r="L24" s="160">
        <v>6182</v>
      </c>
      <c r="M24" s="160">
        <v>133</v>
      </c>
      <c r="N24" s="160">
        <v>0</v>
      </c>
      <c r="O24" s="160">
        <v>114</v>
      </c>
      <c r="P24" s="160">
        <v>19</v>
      </c>
      <c r="Q24" s="160">
        <v>7</v>
      </c>
      <c r="R24" s="160">
        <v>39</v>
      </c>
      <c r="S24" s="93"/>
      <c r="T24" s="93"/>
      <c r="U24" s="93"/>
      <c r="V24" s="93"/>
      <c r="W24" s="93"/>
    </row>
    <row r="25" spans="1:23" ht="15" x14ac:dyDescent="0.25">
      <c r="A25" s="93"/>
      <c r="B25" s="160" t="s">
        <v>926</v>
      </c>
      <c r="C25" s="160" t="s">
        <v>1032</v>
      </c>
      <c r="D25" s="160" t="s">
        <v>1042</v>
      </c>
      <c r="E25" s="160" t="s">
        <v>1043</v>
      </c>
      <c r="F25" s="160" t="s">
        <v>971</v>
      </c>
      <c r="G25" s="160" t="s">
        <v>1024</v>
      </c>
      <c r="H25" s="160" t="s">
        <v>1044</v>
      </c>
      <c r="I25" s="160" t="s">
        <v>1045</v>
      </c>
      <c r="J25" s="439">
        <v>37921</v>
      </c>
      <c r="K25" s="160">
        <v>1690</v>
      </c>
      <c r="L25" s="160">
        <v>6520</v>
      </c>
      <c r="M25" s="160">
        <v>204</v>
      </c>
      <c r="N25" s="160">
        <v>0</v>
      </c>
      <c r="O25" s="160">
        <v>195</v>
      </c>
      <c r="P25" s="160">
        <v>19</v>
      </c>
      <c r="Q25" s="160">
        <v>8</v>
      </c>
      <c r="R25" s="160">
        <v>25</v>
      </c>
      <c r="S25" s="93"/>
      <c r="T25" s="93"/>
      <c r="U25" s="93"/>
      <c r="V25" s="93"/>
      <c r="W25" s="93"/>
    </row>
    <row r="26" spans="1:23" ht="15" x14ac:dyDescent="0.25">
      <c r="A26" s="93"/>
      <c r="B26" s="162" t="s">
        <v>926</v>
      </c>
      <c r="C26" s="162" t="s">
        <v>1032</v>
      </c>
      <c r="D26" s="162" t="s">
        <v>1046</v>
      </c>
      <c r="E26" s="162" t="s">
        <v>1047</v>
      </c>
      <c r="F26" s="162" t="s">
        <v>1018</v>
      </c>
      <c r="G26" s="162" t="s">
        <v>1048</v>
      </c>
      <c r="H26" s="162" t="s">
        <v>1049</v>
      </c>
      <c r="I26" s="162" t="s">
        <v>1050</v>
      </c>
      <c r="J26" s="214">
        <v>38156</v>
      </c>
      <c r="K26" s="162">
        <v>2092</v>
      </c>
      <c r="L26" s="162">
        <v>6676</v>
      </c>
      <c r="M26" s="162">
        <v>95.7</v>
      </c>
      <c r="N26" s="162">
        <v>12</v>
      </c>
      <c r="O26" s="162">
        <v>63</v>
      </c>
      <c r="P26" s="162">
        <v>19</v>
      </c>
      <c r="Q26" s="162">
        <v>7</v>
      </c>
      <c r="R26" s="162">
        <v>73</v>
      </c>
      <c r="S26" s="93"/>
      <c r="T26" s="93"/>
      <c r="U26" s="93"/>
      <c r="V26" s="93"/>
      <c r="W26" s="93"/>
    </row>
    <row r="27" spans="1:23" x14ac:dyDescent="0.3">
      <c r="A27" s="93"/>
      <c r="B27" s="93"/>
      <c r="C27" s="93"/>
      <c r="D27" s="93"/>
      <c r="E27" s="93"/>
      <c r="F27" s="93"/>
      <c r="G27" s="93"/>
      <c r="H27" s="93"/>
      <c r="I27" s="93"/>
      <c r="J27" s="93"/>
      <c r="K27" s="93"/>
      <c r="L27" s="93"/>
      <c r="M27" s="93"/>
      <c r="N27" s="93"/>
      <c r="O27" s="93"/>
      <c r="P27" s="93"/>
      <c r="Q27" s="93"/>
      <c r="R27" s="93"/>
      <c r="S27" s="93"/>
      <c r="T27" s="93"/>
      <c r="U27" s="93"/>
      <c r="V27" s="93"/>
      <c r="W27" s="93"/>
    </row>
    <row r="28" spans="1:23" x14ac:dyDescent="0.3">
      <c r="A28" s="93"/>
      <c r="B28" s="93"/>
      <c r="C28" s="93"/>
      <c r="D28" s="93"/>
      <c r="E28" s="93"/>
      <c r="F28" s="93"/>
      <c r="G28" s="93"/>
      <c r="H28" s="93"/>
      <c r="I28" s="93"/>
      <c r="J28" s="93"/>
      <c r="K28" s="93"/>
      <c r="L28" s="93"/>
      <c r="M28" s="93"/>
      <c r="N28" s="93"/>
      <c r="O28" s="93"/>
      <c r="P28" s="93"/>
      <c r="Q28" s="93"/>
      <c r="R28" s="93"/>
      <c r="S28" s="93"/>
      <c r="T28" s="93"/>
      <c r="U28" s="93"/>
      <c r="V28" s="93"/>
      <c r="W28" s="93"/>
    </row>
    <row r="29" spans="1:23" x14ac:dyDescent="0.3">
      <c r="A29" s="93"/>
      <c r="B29" s="93"/>
      <c r="C29" s="93"/>
      <c r="D29" s="93"/>
      <c r="E29" s="93"/>
      <c r="F29" s="93"/>
      <c r="G29" s="93"/>
      <c r="H29" s="93"/>
      <c r="I29" s="93"/>
      <c r="J29" s="93"/>
      <c r="K29" s="93"/>
      <c r="L29" s="93"/>
      <c r="M29" s="93"/>
      <c r="N29" s="93"/>
      <c r="O29" s="93"/>
      <c r="P29" s="93"/>
      <c r="Q29" s="93"/>
      <c r="R29" s="93"/>
      <c r="S29" s="93"/>
      <c r="T29" s="93"/>
      <c r="U29" s="93"/>
      <c r="V29" s="93"/>
      <c r="W29" s="93"/>
    </row>
    <row r="30" spans="1:23" x14ac:dyDescent="0.3">
      <c r="A30" s="93"/>
      <c r="B30" s="93"/>
      <c r="C30" s="93"/>
      <c r="D30" s="93"/>
      <c r="E30" s="93"/>
      <c r="F30" s="93"/>
      <c r="G30" s="93"/>
      <c r="H30" s="93"/>
      <c r="I30" s="93"/>
      <c r="J30" s="93"/>
      <c r="K30" s="93"/>
      <c r="L30" s="93"/>
      <c r="M30" s="93"/>
      <c r="N30" s="93"/>
      <c r="O30" s="93"/>
      <c r="P30" s="93"/>
      <c r="Q30" s="93"/>
      <c r="R30" s="93"/>
      <c r="S30" s="93"/>
      <c r="T30" s="93"/>
      <c r="U30" s="93"/>
      <c r="V30" s="93"/>
      <c r="W30" s="93"/>
    </row>
    <row r="31" spans="1:23" x14ac:dyDescent="0.3">
      <c r="A31" s="93"/>
      <c r="B31" s="93"/>
      <c r="C31" s="93"/>
      <c r="D31" s="93"/>
      <c r="E31" s="93"/>
      <c r="F31" s="93"/>
      <c r="G31" s="93"/>
      <c r="H31" s="93"/>
      <c r="I31" s="93"/>
      <c r="J31" s="93"/>
      <c r="K31" s="93"/>
      <c r="L31" s="93"/>
      <c r="M31" s="93"/>
      <c r="N31" s="93"/>
      <c r="O31" s="93"/>
      <c r="P31" s="93"/>
      <c r="Q31" s="93"/>
      <c r="R31" s="93"/>
      <c r="S31" s="93"/>
      <c r="T31" s="93"/>
      <c r="U31" s="93"/>
      <c r="V31" s="93"/>
      <c r="W31" s="93"/>
    </row>
    <row r="32" spans="1:23" x14ac:dyDescent="0.3">
      <c r="A32" s="93"/>
      <c r="B32" s="93"/>
      <c r="C32" s="93"/>
      <c r="D32" s="93"/>
      <c r="E32" s="93"/>
      <c r="F32" s="93"/>
      <c r="G32" s="93"/>
      <c r="H32" s="93"/>
      <c r="I32" s="93"/>
      <c r="J32" s="93"/>
      <c r="K32" s="93"/>
      <c r="L32" s="93"/>
      <c r="M32" s="93"/>
      <c r="N32" s="93"/>
      <c r="O32" s="93"/>
      <c r="P32" s="93"/>
      <c r="Q32" s="93"/>
      <c r="R32" s="93"/>
      <c r="S32" s="93"/>
      <c r="T32" s="93"/>
      <c r="U32" s="93"/>
      <c r="V32" s="93"/>
      <c r="W32" s="93"/>
    </row>
    <row r="33" spans="1:23" x14ac:dyDescent="0.3">
      <c r="A33" s="93"/>
      <c r="B33" s="93"/>
      <c r="C33" s="93"/>
      <c r="D33" s="93"/>
      <c r="E33" s="93"/>
      <c r="F33" s="93"/>
      <c r="G33" s="93"/>
      <c r="H33" s="93"/>
      <c r="I33" s="93"/>
      <c r="J33" s="93"/>
      <c r="K33" s="93"/>
      <c r="L33" s="93"/>
      <c r="M33" s="93"/>
      <c r="N33" s="93"/>
      <c r="O33" s="93"/>
      <c r="P33" s="93"/>
      <c r="Q33" s="93"/>
      <c r="R33" s="93"/>
      <c r="S33" s="93"/>
      <c r="T33" s="93"/>
      <c r="U33" s="93"/>
      <c r="V33" s="93"/>
      <c r="W33" s="93"/>
    </row>
    <row r="34" spans="1:23" x14ac:dyDescent="0.3">
      <c r="A34" s="93"/>
      <c r="B34" s="93"/>
      <c r="C34" s="93"/>
      <c r="D34" s="93"/>
      <c r="E34" s="93"/>
      <c r="F34" s="93"/>
      <c r="G34" s="93"/>
      <c r="H34" s="93"/>
      <c r="I34" s="93"/>
      <c r="J34" s="93"/>
      <c r="K34" s="93"/>
      <c r="L34" s="93"/>
      <c r="M34" s="93"/>
      <c r="N34" s="93"/>
      <c r="O34" s="93"/>
      <c r="P34" s="93"/>
      <c r="Q34" s="93"/>
      <c r="R34" s="93"/>
      <c r="S34" s="93"/>
      <c r="T34" s="93"/>
      <c r="U34" s="93"/>
      <c r="V34" s="93"/>
      <c r="W34" s="93"/>
    </row>
    <row r="35" spans="1:23" x14ac:dyDescent="0.3">
      <c r="A35" s="93"/>
      <c r="B35" s="93"/>
      <c r="C35" s="93"/>
      <c r="D35" s="93"/>
      <c r="E35" s="93"/>
      <c r="F35" s="93"/>
      <c r="G35" s="93"/>
      <c r="H35" s="93"/>
      <c r="I35" s="93"/>
      <c r="J35" s="93"/>
      <c r="K35" s="93"/>
      <c r="L35" s="93"/>
      <c r="M35" s="93"/>
      <c r="N35" s="93"/>
      <c r="O35" s="93"/>
      <c r="P35" s="93"/>
      <c r="Q35" s="93"/>
      <c r="R35" s="93"/>
      <c r="S35" s="93"/>
      <c r="T35" s="93"/>
      <c r="U35" s="93"/>
      <c r="V35" s="93"/>
      <c r="W35" s="93"/>
    </row>
    <row r="36" spans="1:23" x14ac:dyDescent="0.3">
      <c r="A36" s="93"/>
      <c r="B36" s="93"/>
      <c r="C36" s="93"/>
      <c r="D36" s="93"/>
      <c r="E36" s="93"/>
      <c r="F36" s="93"/>
      <c r="G36" s="93"/>
      <c r="H36" s="93"/>
      <c r="I36" s="93"/>
      <c r="J36" s="93"/>
      <c r="K36" s="93"/>
      <c r="L36" s="93"/>
      <c r="M36" s="93"/>
      <c r="N36" s="93"/>
      <c r="O36" s="93"/>
      <c r="P36" s="93"/>
      <c r="Q36" s="93"/>
      <c r="R36" s="93"/>
      <c r="S36" s="93"/>
      <c r="T36" s="93"/>
      <c r="U36" s="93"/>
      <c r="V36" s="93"/>
      <c r="W36" s="93"/>
    </row>
    <row r="37" spans="1:23" x14ac:dyDescent="0.3">
      <c r="A37" s="93"/>
      <c r="B37" s="93"/>
      <c r="C37" s="93"/>
      <c r="D37" s="93"/>
      <c r="E37" s="93"/>
      <c r="F37" s="93"/>
      <c r="G37" s="93"/>
      <c r="H37" s="93"/>
      <c r="I37" s="93"/>
      <c r="J37" s="93"/>
      <c r="K37" s="93"/>
      <c r="L37" s="93"/>
      <c r="M37" s="93"/>
      <c r="N37" s="93"/>
      <c r="O37" s="93"/>
      <c r="P37" s="93"/>
      <c r="Q37" s="93"/>
      <c r="R37" s="93"/>
      <c r="S37" s="93"/>
      <c r="T37" s="93"/>
      <c r="U37" s="93"/>
      <c r="V37" s="93"/>
      <c r="W37" s="93"/>
    </row>
    <row r="38" spans="1:23" x14ac:dyDescent="0.3">
      <c r="A38" s="93"/>
      <c r="B38" s="93"/>
      <c r="C38" s="93"/>
      <c r="D38" s="93"/>
      <c r="E38" s="93"/>
      <c r="F38" s="93"/>
      <c r="G38" s="93"/>
      <c r="H38" s="93"/>
      <c r="I38" s="93"/>
      <c r="J38" s="93"/>
      <c r="K38" s="93"/>
      <c r="L38" s="93"/>
      <c r="M38" s="93"/>
      <c r="N38" s="93"/>
      <c r="O38" s="93"/>
      <c r="P38" s="93"/>
      <c r="Q38" s="93"/>
      <c r="R38" s="93"/>
      <c r="S38" s="93"/>
      <c r="T38" s="93"/>
      <c r="U38" s="93"/>
      <c r="V38" s="93"/>
      <c r="W38" s="93"/>
    </row>
  </sheetData>
  <sheetProtection password="8BC3" sheet="1" objects="1" scenarios="1"/>
  <mergeCells count="1">
    <mergeCell ref="B2:R3"/>
  </mergeCells>
  <pageMargins left="0.7" right="0.7" top="0.75" bottom="0.75" header="0.3" footer="0.3"/>
  <pageSetup paperSize="9" scale="60" orientation="landscape" r:id="rId1"/>
  <headerFooter>
    <oddFooter>&amp;LNova Scotia Exploration Economics Model&amp;Rwww.indeva.com</oddFooter>
  </headerFooter>
  <colBreaks count="1" manualBreakCount="1">
    <brk id="1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3"/>
  <sheetViews>
    <sheetView showGridLines="0" showRowColHeaders="0" workbookViewId="0">
      <selection activeCell="F4" sqref="F4"/>
    </sheetView>
  </sheetViews>
  <sheetFormatPr defaultRowHeight="14.4" x14ac:dyDescent="0.3"/>
  <cols>
    <col min="1" max="1" width="15.88671875" customWidth="1"/>
    <col min="2" max="2" width="50.5546875" customWidth="1"/>
    <col min="3" max="3" width="87" customWidth="1"/>
    <col min="4" max="4" width="15.88671875" customWidth="1"/>
  </cols>
  <sheetData>
    <row r="1" spans="1:4" ht="26.25" customHeight="1" x14ac:dyDescent="0.25">
      <c r="A1" s="450" t="s">
        <v>777</v>
      </c>
      <c r="B1" s="450" t="s">
        <v>1073</v>
      </c>
      <c r="C1" s="452" t="s">
        <v>1074</v>
      </c>
      <c r="D1" s="452" t="s">
        <v>775</v>
      </c>
    </row>
    <row r="2" spans="1:4" ht="61.5" customHeight="1" x14ac:dyDescent="0.25">
      <c r="A2" s="453">
        <v>1</v>
      </c>
      <c r="B2" s="499" t="s">
        <v>1075</v>
      </c>
      <c r="C2" s="500" t="s">
        <v>1086</v>
      </c>
      <c r="D2" s="501" t="s">
        <v>143</v>
      </c>
    </row>
    <row r="3" spans="1:4" ht="61.5" customHeight="1" x14ac:dyDescent="0.25">
      <c r="A3" s="453">
        <v>2</v>
      </c>
      <c r="B3" s="499" t="s">
        <v>1076</v>
      </c>
      <c r="C3" s="500" t="s">
        <v>1087</v>
      </c>
      <c r="D3" s="501" t="s">
        <v>772</v>
      </c>
    </row>
    <row r="4" spans="1:4" ht="67.5" customHeight="1" x14ac:dyDescent="0.25">
      <c r="A4" s="453">
        <v>3</v>
      </c>
      <c r="B4" s="499" t="s">
        <v>1077</v>
      </c>
      <c r="C4" s="500" t="s">
        <v>1088</v>
      </c>
      <c r="D4" s="501" t="s">
        <v>41</v>
      </c>
    </row>
    <row r="5" spans="1:4" ht="61.5" customHeight="1" x14ac:dyDescent="0.25">
      <c r="A5" s="453">
        <v>4</v>
      </c>
      <c r="B5" s="499" t="s">
        <v>1078</v>
      </c>
      <c r="C5" s="500" t="s">
        <v>1079</v>
      </c>
      <c r="D5" s="501" t="s">
        <v>782</v>
      </c>
    </row>
    <row r="6" spans="1:4" ht="61.5" customHeight="1" x14ac:dyDescent="0.25">
      <c r="A6" s="453">
        <v>5</v>
      </c>
      <c r="B6" s="499" t="s">
        <v>1080</v>
      </c>
      <c r="C6" s="500" t="s">
        <v>1081</v>
      </c>
      <c r="D6" s="501" t="s">
        <v>296</v>
      </c>
    </row>
    <row r="7" spans="1:4" ht="61.5" customHeight="1" x14ac:dyDescent="0.3">
      <c r="A7" s="453">
        <v>6</v>
      </c>
      <c r="B7" s="499" t="s">
        <v>1082</v>
      </c>
      <c r="C7" s="500" t="s">
        <v>1083</v>
      </c>
      <c r="D7" s="501" t="s">
        <v>41</v>
      </c>
    </row>
    <row r="8" spans="1:4" ht="61.5" customHeight="1" x14ac:dyDescent="0.3">
      <c r="A8" s="453">
        <v>7</v>
      </c>
      <c r="B8" s="499" t="s">
        <v>1084</v>
      </c>
      <c r="C8" s="500" t="s">
        <v>1085</v>
      </c>
      <c r="D8" s="501" t="s">
        <v>41</v>
      </c>
    </row>
    <row r="9" spans="1:4" ht="61.5" customHeight="1" x14ac:dyDescent="0.3">
      <c r="A9" s="453">
        <v>8</v>
      </c>
      <c r="B9" s="499"/>
      <c r="C9" s="500"/>
      <c r="D9" s="501"/>
    </row>
    <row r="10" spans="1:4" ht="61.5" customHeight="1" x14ac:dyDescent="0.3">
      <c r="A10" s="453">
        <v>9</v>
      </c>
      <c r="B10" s="499"/>
      <c r="C10" s="500"/>
      <c r="D10" s="501"/>
    </row>
    <row r="11" spans="1:4" ht="61.5" customHeight="1" x14ac:dyDescent="0.3">
      <c r="A11" s="453">
        <v>10</v>
      </c>
      <c r="B11" s="499"/>
      <c r="C11" s="500"/>
      <c r="D11" s="501"/>
    </row>
    <row r="12" spans="1:4" ht="61.5" customHeight="1" x14ac:dyDescent="0.3">
      <c r="A12" s="453">
        <v>11</v>
      </c>
      <c r="B12" s="499"/>
      <c r="C12" s="500"/>
      <c r="D12" s="501"/>
    </row>
    <row r="13" spans="1:4" ht="61.5" customHeight="1" x14ac:dyDescent="0.3">
      <c r="A13" s="453">
        <v>12</v>
      </c>
      <c r="B13" s="499"/>
      <c r="C13" s="500"/>
      <c r="D13" s="501"/>
    </row>
    <row r="14" spans="1:4" ht="61.5" customHeight="1" x14ac:dyDescent="0.3">
      <c r="A14" s="453">
        <v>13</v>
      </c>
      <c r="B14" s="499"/>
      <c r="C14" s="500"/>
      <c r="D14" s="501"/>
    </row>
    <row r="15" spans="1:4" ht="61.5" customHeight="1" x14ac:dyDescent="0.3">
      <c r="A15" s="453">
        <v>14</v>
      </c>
      <c r="B15" s="499"/>
      <c r="C15" s="500"/>
      <c r="D15" s="501"/>
    </row>
    <row r="16" spans="1:4" ht="61.5" customHeight="1" x14ac:dyDescent="0.3">
      <c r="A16" s="453">
        <v>15</v>
      </c>
      <c r="B16" s="499"/>
      <c r="C16" s="500"/>
      <c r="D16" s="501"/>
    </row>
    <row r="17" spans="1:4" ht="61.5" customHeight="1" x14ac:dyDescent="0.3">
      <c r="A17" s="453">
        <v>16</v>
      </c>
      <c r="B17" s="499"/>
      <c r="C17" s="500"/>
      <c r="D17" s="501"/>
    </row>
    <row r="18" spans="1:4" ht="61.5" customHeight="1" x14ac:dyDescent="0.3">
      <c r="A18" s="453">
        <v>17</v>
      </c>
      <c r="B18" s="499"/>
      <c r="C18" s="500"/>
      <c r="D18" s="501"/>
    </row>
    <row r="19" spans="1:4" ht="61.5" customHeight="1" x14ac:dyDescent="0.3">
      <c r="A19" s="453">
        <v>18</v>
      </c>
      <c r="B19" s="499"/>
      <c r="C19" s="500"/>
      <c r="D19" s="501"/>
    </row>
    <row r="20" spans="1:4" ht="61.5" customHeight="1" x14ac:dyDescent="0.3">
      <c r="A20" s="453">
        <v>19</v>
      </c>
      <c r="B20" s="499"/>
      <c r="C20" s="500"/>
      <c r="D20" s="501"/>
    </row>
    <row r="21" spans="1:4" ht="61.5" customHeight="1" x14ac:dyDescent="0.3">
      <c r="A21" s="453">
        <v>20</v>
      </c>
      <c r="B21" s="499"/>
      <c r="C21" s="500"/>
      <c r="D21" s="501"/>
    </row>
    <row r="22" spans="1:4" ht="61.5" customHeight="1" x14ac:dyDescent="0.3"/>
    <row r="23" spans="1:4" ht="61.5" customHeight="1" x14ac:dyDescent="0.3"/>
  </sheetData>
  <sheetProtection password="8BC3" sheet="1" objects="1" scenarios="1"/>
  <hyperlinks>
    <hyperlink ref="D2" location="Input" display="Input"/>
    <hyperlink ref="D3" location="Economics" display="Economics"/>
    <hyperlink ref="D4" location="Costs" display="Costs"/>
    <hyperlink ref="D5" location="Schedule" display="Schedule"/>
    <hyperlink ref="D6" location="Override" display="Override"/>
    <hyperlink ref="D7" location="Costs" display="Costs"/>
    <hyperlink ref="D8" location="Costs" display="Costs"/>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AE83"/>
  <sheetViews>
    <sheetView showGridLines="0" showRowColHeaders="0" zoomScale="70" zoomScaleNormal="70" zoomScaleSheetLayoutView="70" workbookViewId="0">
      <pane xSplit="2" ySplit="1" topLeftCell="C2" activePane="bottomRight" state="frozen"/>
      <selection activeCell="D43" sqref="D43"/>
      <selection pane="topRight" activeCell="D43" sqref="D43"/>
      <selection pane="bottomLeft" activeCell="D43" sqref="D43"/>
      <selection pane="bottomRight" activeCell="C24" sqref="C24"/>
    </sheetView>
  </sheetViews>
  <sheetFormatPr defaultRowHeight="14.4" x14ac:dyDescent="0.3"/>
  <cols>
    <col min="1" max="1" width="30.109375" customWidth="1"/>
    <col min="2" max="2" width="30.5546875" customWidth="1"/>
    <col min="3" max="3" width="13" customWidth="1"/>
    <col min="7" max="7" width="10.44140625" customWidth="1"/>
    <col min="8" max="8" width="14.6640625" customWidth="1"/>
  </cols>
  <sheetData>
    <row r="1" spans="1:31" ht="23.25" x14ac:dyDescent="0.35">
      <c r="A1" s="11" t="str">
        <f>B8&amp;" Inputs"</f>
        <v>Prospect X Inputs</v>
      </c>
      <c r="B1" s="106" t="s">
        <v>769</v>
      </c>
      <c r="C1" s="93"/>
      <c r="D1" s="417" t="str">
        <f>B8&amp;" Decision Flow"</f>
        <v>Prospect X Decision Flow</v>
      </c>
      <c r="E1" s="93"/>
      <c r="F1" s="93"/>
      <c r="G1" s="93"/>
      <c r="H1" s="164" t="str">
        <f ca="1">"Note: NPV and Costs in $m discounted to "&amp;IF(B4=Lists!A54,"date of each stage decision",FIXED(DAY(H13),0)&amp;"-"&amp;INDEX(monthtable,MONTH(H13),1)&amp;"-"&amp;RIGHT(FIXED(YEAR(H13),0),2))</f>
        <v>Note: NPV and Costs in $m discounted to 1-Sep-12</v>
      </c>
      <c r="I1" s="93"/>
      <c r="J1" s="93"/>
      <c r="K1" s="93"/>
      <c r="L1" s="93"/>
      <c r="M1" s="93"/>
      <c r="N1" s="93"/>
      <c r="O1" s="93"/>
      <c r="P1" s="93"/>
      <c r="Q1" s="93"/>
      <c r="R1" s="93"/>
      <c r="S1" s="93"/>
      <c r="T1" s="93"/>
      <c r="U1" s="93"/>
      <c r="V1" s="93"/>
      <c r="W1" s="93"/>
      <c r="X1" s="93"/>
      <c r="Y1" s="93"/>
      <c r="Z1" s="93"/>
      <c r="AA1" s="93"/>
      <c r="AB1" s="93"/>
      <c r="AC1" s="93"/>
      <c r="AD1" s="93"/>
      <c r="AE1" s="93"/>
    </row>
    <row r="2" spans="1:31" ht="18.75" x14ac:dyDescent="0.3">
      <c r="A2" s="535" t="s">
        <v>1</v>
      </c>
      <c r="B2" s="535"/>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row>
    <row r="3" spans="1:31" ht="15.75" x14ac:dyDescent="0.25">
      <c r="A3" s="102" t="s">
        <v>64</v>
      </c>
      <c r="B3" s="103">
        <v>0.1</v>
      </c>
      <c r="C3" s="93"/>
      <c r="D3" s="528" t="str">
        <f>IF(Input!F73=0,"Complete",CashFlow!F9)</f>
        <v>Complete</v>
      </c>
      <c r="E3" s="529"/>
      <c r="F3" s="168"/>
      <c r="G3" s="530">
        <f>IF(Input!I73=0,"Complete",CashFlow!F10)</f>
        <v>41091</v>
      </c>
      <c r="H3" s="531"/>
      <c r="I3" s="418"/>
      <c r="J3" s="530">
        <f>IF(Input!L73=0,"Complete",CashFlow!F11)</f>
        <v>41370.454545454544</v>
      </c>
      <c r="K3" s="531"/>
      <c r="L3" s="418"/>
      <c r="M3" s="530">
        <f>IF(Input!O73=0,"Complete",CashFlow!F12)</f>
        <v>41938</v>
      </c>
      <c r="N3" s="531"/>
      <c r="O3" s="418"/>
      <c r="P3" s="532">
        <f>CashFlow!F13</f>
        <v>42598</v>
      </c>
      <c r="Q3" s="532"/>
      <c r="R3" s="93"/>
      <c r="S3" s="93"/>
      <c r="T3" s="93"/>
      <c r="U3" s="93"/>
      <c r="V3" s="93"/>
      <c r="W3" s="93"/>
      <c r="X3" s="93"/>
      <c r="Y3" s="93"/>
      <c r="Z3" s="93"/>
      <c r="AA3" s="93"/>
      <c r="AB3" s="93"/>
      <c r="AC3" s="93"/>
      <c r="AD3" s="93"/>
      <c r="AE3" s="93"/>
    </row>
    <row r="4" spans="1:31" ht="15.6" x14ac:dyDescent="0.3">
      <c r="A4" s="102" t="s">
        <v>65</v>
      </c>
      <c r="B4" s="18" t="s">
        <v>592</v>
      </c>
      <c r="C4" s="93"/>
      <c r="D4" s="533" t="s">
        <v>67</v>
      </c>
      <c r="E4" s="534"/>
      <c r="F4" s="524" t="str">
        <f>IF(Input!F73=0,"",Input!B19)</f>
        <v/>
      </c>
      <c r="G4" s="533" t="s">
        <v>68</v>
      </c>
      <c r="H4" s="534"/>
      <c r="I4" s="524">
        <f>IF(Input!I73=0,"",Input!B20)</f>
        <v>0.35</v>
      </c>
      <c r="J4" s="533" t="s">
        <v>69</v>
      </c>
      <c r="K4" s="534"/>
      <c r="L4" s="524">
        <f>IF(Input!L73=0,"",Input!B21)</f>
        <v>0.75</v>
      </c>
      <c r="M4" s="533" t="s">
        <v>70</v>
      </c>
      <c r="N4" s="534"/>
      <c r="O4" s="524">
        <f>IF(Input!O73=0,"",Input!B22)</f>
        <v>1</v>
      </c>
      <c r="P4" s="525" t="s">
        <v>71</v>
      </c>
      <c r="Q4" s="525"/>
      <c r="R4" s="93"/>
      <c r="S4" s="93"/>
      <c r="T4" s="93"/>
      <c r="U4" s="93"/>
      <c r="V4" s="93"/>
      <c r="W4" s="93"/>
      <c r="X4" s="93"/>
      <c r="Y4" s="93"/>
      <c r="Z4" s="93"/>
      <c r="AA4" s="93"/>
      <c r="AB4" s="93"/>
      <c r="AC4" s="93"/>
      <c r="AD4" s="93"/>
      <c r="AE4" s="93"/>
    </row>
    <row r="5" spans="1:31" ht="15.6" x14ac:dyDescent="0.3">
      <c r="A5" s="105" t="s">
        <v>72</v>
      </c>
      <c r="B5" s="18" t="s">
        <v>1055</v>
      </c>
      <c r="C5" s="93"/>
      <c r="D5" s="419" t="s">
        <v>6</v>
      </c>
      <c r="E5" s="420" t="s">
        <v>42</v>
      </c>
      <c r="F5" s="524"/>
      <c r="G5" s="419" t="s">
        <v>6</v>
      </c>
      <c r="H5" s="420" t="s">
        <v>42</v>
      </c>
      <c r="I5" s="524"/>
      <c r="J5" s="419" t="s">
        <v>6</v>
      </c>
      <c r="K5" s="420" t="s">
        <v>42</v>
      </c>
      <c r="L5" s="524"/>
      <c r="M5" s="419" t="s">
        <v>6</v>
      </c>
      <c r="N5" s="420" t="s">
        <v>42</v>
      </c>
      <c r="O5" s="524"/>
      <c r="P5" s="419" t="s">
        <v>6</v>
      </c>
      <c r="Q5" s="420" t="s">
        <v>42</v>
      </c>
      <c r="R5" s="93"/>
      <c r="S5" s="93"/>
      <c r="T5" s="93"/>
      <c r="U5" s="93"/>
      <c r="V5" s="93"/>
      <c r="W5" s="93"/>
      <c r="X5" s="93"/>
      <c r="Y5" s="93"/>
      <c r="Z5" s="93"/>
      <c r="AA5" s="93"/>
      <c r="AB5" s="93"/>
      <c r="AC5" s="93"/>
      <c r="AD5" s="93"/>
      <c r="AE5" s="93"/>
    </row>
    <row r="6" spans="1:31" ht="15.75" x14ac:dyDescent="0.25">
      <c r="A6" s="105" t="s">
        <v>73</v>
      </c>
      <c r="B6" s="104" t="s">
        <v>1057</v>
      </c>
      <c r="C6" s="93"/>
      <c r="D6" s="421" t="e">
        <f ca="1">-E6+F4*G6/G71</f>
        <v>#VALUE!</v>
      </c>
      <c r="E6" s="422">
        <f ca="1">-CashFlow!H9*Input!D71</f>
        <v>0</v>
      </c>
      <c r="F6" s="423"/>
      <c r="G6" s="421">
        <f ca="1">-H6+I4*J6/Input!J71</f>
        <v>880.9403596476136</v>
      </c>
      <c r="H6" s="422">
        <f ca="1">-CashFlow!H10*Input!G72</f>
        <v>44.199613646467391</v>
      </c>
      <c r="I6" s="423"/>
      <c r="J6" s="421">
        <f ca="1">-K6+L4*M6/Input!M71</f>
        <v>2643.2570665545172</v>
      </c>
      <c r="K6" s="422">
        <f ca="1">-CashFlow!H11*Input!J72*Exploration!AB17</f>
        <v>172.32713999578658</v>
      </c>
      <c r="L6" s="423"/>
      <c r="M6" s="421">
        <f ca="1">-N6+O4*P6/Input!P71</f>
        <v>3754.1122754004055</v>
      </c>
      <c r="N6" s="422">
        <f ca="1">-CashFlow!H12*Input!M72</f>
        <v>9.1044607587734934</v>
      </c>
      <c r="O6" s="423"/>
      <c r="P6" s="421">
        <f ca="1">SUM(CashFlow!H8,CashFlow!H13:H19)*Input!P72</f>
        <v>3763.2167361591792</v>
      </c>
      <c r="Q6" s="422">
        <f ca="1">(-CashFlow!H14-CashFlow!H13)*Input!P72</f>
        <v>3173.6310905685004</v>
      </c>
      <c r="R6" s="93"/>
      <c r="S6" s="93"/>
      <c r="T6" s="93"/>
      <c r="U6" s="93"/>
      <c r="V6" s="93"/>
      <c r="W6" s="93"/>
      <c r="X6" s="93"/>
      <c r="Y6" s="93"/>
      <c r="Z6" s="93"/>
      <c r="AA6" s="93"/>
      <c r="AB6" s="93"/>
      <c r="AC6" s="93"/>
      <c r="AD6" s="93"/>
      <c r="AE6" s="93"/>
    </row>
    <row r="7" spans="1:31" ht="18.75" x14ac:dyDescent="0.3">
      <c r="A7" s="526" t="s">
        <v>74</v>
      </c>
      <c r="B7" s="527"/>
      <c r="C7" s="93"/>
      <c r="D7" s="424"/>
      <c r="E7" s="425"/>
      <c r="F7" s="426"/>
      <c r="G7" s="425"/>
      <c r="H7" s="425"/>
      <c r="I7" s="426"/>
      <c r="J7" s="425"/>
      <c r="K7" s="425"/>
      <c r="L7" s="426"/>
      <c r="M7" s="425"/>
      <c r="N7" s="425"/>
      <c r="O7" s="426"/>
      <c r="P7" s="425"/>
      <c r="Q7" s="425"/>
      <c r="R7" s="93"/>
      <c r="S7" s="93"/>
      <c r="T7" s="93"/>
      <c r="U7" s="93"/>
      <c r="V7" s="93"/>
      <c r="W7" s="93"/>
      <c r="X7" s="93"/>
      <c r="Y7" s="93"/>
      <c r="Z7" s="93"/>
      <c r="AA7" s="93"/>
      <c r="AB7" s="93"/>
      <c r="AC7" s="93"/>
      <c r="AD7" s="93"/>
      <c r="AE7" s="93"/>
    </row>
    <row r="8" spans="1:31" ht="18.75" x14ac:dyDescent="0.3">
      <c r="A8" s="102" t="s">
        <v>75</v>
      </c>
      <c r="B8" s="104" t="s">
        <v>76</v>
      </c>
      <c r="C8" s="93"/>
      <c r="D8" s="143" t="str">
        <f>B8&amp;" Summary Evaluation Parameters"</f>
        <v>Prospect X Summary Evaluation Parameters</v>
      </c>
      <c r="E8" s="425"/>
      <c r="F8" s="425"/>
      <c r="G8" s="425"/>
      <c r="H8" s="425"/>
      <c r="I8" s="425"/>
      <c r="J8" s="143" t="str">
        <f>B8&amp;" Value Waterfall Chart ($M)"</f>
        <v>Prospect X Value Waterfall Chart ($M)</v>
      </c>
      <c r="K8" s="425"/>
      <c r="L8" s="425"/>
      <c r="M8" s="425"/>
      <c r="N8" s="425"/>
      <c r="O8" s="425"/>
      <c r="P8" s="425"/>
      <c r="Q8" s="425"/>
      <c r="R8" s="93"/>
      <c r="S8" s="93"/>
      <c r="T8" s="93"/>
      <c r="U8" s="93"/>
      <c r="V8" s="93"/>
      <c r="W8" s="93"/>
      <c r="X8" s="93"/>
      <c r="Y8" s="93"/>
      <c r="Z8" s="93"/>
      <c r="AA8" s="93"/>
      <c r="AB8" s="93"/>
      <c r="AC8" s="93"/>
      <c r="AD8" s="93"/>
      <c r="AE8" s="93"/>
    </row>
    <row r="9" spans="1:31" ht="18.75" x14ac:dyDescent="0.3">
      <c r="A9" s="102" t="s">
        <v>77</v>
      </c>
      <c r="B9" s="104" t="s">
        <v>86</v>
      </c>
      <c r="C9" s="93"/>
      <c r="D9" s="424"/>
      <c r="E9" s="425"/>
      <c r="F9" s="425"/>
      <c r="G9" s="425"/>
      <c r="H9" s="425"/>
      <c r="I9" s="425"/>
      <c r="J9" s="425"/>
      <c r="K9" s="425"/>
      <c r="L9" s="425"/>
      <c r="M9" s="425"/>
      <c r="N9" s="425"/>
      <c r="O9" s="425"/>
      <c r="P9" s="425"/>
      <c r="Q9" s="425"/>
      <c r="R9" s="168"/>
      <c r="S9" s="93"/>
      <c r="T9" s="93"/>
      <c r="U9" s="93"/>
      <c r="V9" s="93"/>
      <c r="W9" s="93"/>
      <c r="X9" s="93"/>
      <c r="Y9" s="93"/>
      <c r="Z9" s="93"/>
      <c r="AA9" s="93"/>
      <c r="AB9" s="93"/>
      <c r="AC9" s="93"/>
      <c r="AD9" s="93"/>
      <c r="AE9" s="93"/>
    </row>
    <row r="10" spans="1:31" ht="15.75" x14ac:dyDescent="0.25">
      <c r="A10" s="102" t="s">
        <v>79</v>
      </c>
      <c r="B10" s="109">
        <v>41091</v>
      </c>
      <c r="C10" s="93"/>
      <c r="D10" s="314" t="s">
        <v>773</v>
      </c>
      <c r="E10" s="312"/>
      <c r="F10" s="312"/>
      <c r="G10" s="312"/>
      <c r="H10" s="317">
        <f>Exploration!C9</f>
        <v>0.26249999999999996</v>
      </c>
      <c r="I10" s="93"/>
      <c r="J10" s="425"/>
      <c r="K10" s="425"/>
      <c r="L10" s="425"/>
      <c r="M10" s="425"/>
      <c r="N10" s="425"/>
      <c r="O10" s="425"/>
      <c r="P10" s="425"/>
      <c r="Q10" s="425"/>
      <c r="R10" s="425"/>
      <c r="S10" s="425"/>
      <c r="T10" s="134"/>
      <c r="U10" s="93"/>
      <c r="V10" s="93"/>
      <c r="W10" s="93"/>
      <c r="X10" s="93"/>
      <c r="Y10" s="93"/>
      <c r="Z10" s="93"/>
      <c r="AA10" s="93"/>
      <c r="AB10" s="93"/>
      <c r="AC10" s="93"/>
      <c r="AD10" s="93"/>
      <c r="AE10" s="93"/>
    </row>
    <row r="11" spans="1:31" ht="15.75" x14ac:dyDescent="0.25">
      <c r="A11" s="102" t="s">
        <v>645</v>
      </c>
      <c r="B11" s="18" t="s">
        <v>647</v>
      </c>
      <c r="C11" s="93"/>
      <c r="D11" s="314" t="s">
        <v>81</v>
      </c>
      <c r="E11" s="312"/>
      <c r="F11" s="312"/>
      <c r="G11" s="312"/>
      <c r="H11" s="427">
        <f>prod_year</f>
        <v>43408</v>
      </c>
      <c r="I11" s="425"/>
      <c r="J11" s="425"/>
      <c r="K11" s="425"/>
      <c r="L11" s="425"/>
      <c r="M11" s="425"/>
      <c r="N11" s="425"/>
      <c r="O11" s="425"/>
      <c r="P11" s="425"/>
      <c r="Q11" s="425"/>
      <c r="R11" s="425"/>
      <c r="S11" s="425"/>
      <c r="T11" s="93"/>
      <c r="U11" s="93"/>
      <c r="V11" s="93"/>
      <c r="W11" s="93"/>
      <c r="X11" s="93"/>
      <c r="Y11" s="93"/>
      <c r="Z11" s="93"/>
      <c r="AA11" s="93"/>
      <c r="AB11" s="93"/>
      <c r="AC11" s="93"/>
      <c r="AD11" s="93"/>
      <c r="AE11" s="93"/>
    </row>
    <row r="12" spans="1:31" ht="15.75" x14ac:dyDescent="0.25">
      <c r="A12" s="102" t="str">
        <f>"Mean Reserves ("&amp;IF(B11="Gas","bcf","mmbbl")&amp;")"</f>
        <v>Mean Reserves (mmbbl)</v>
      </c>
      <c r="B12" s="18">
        <v>300</v>
      </c>
      <c r="C12" s="94" t="b">
        <f>OR(AND(B11="Oil",B12&gt;600),AND(B11="Gas",B12&gt;4000))</f>
        <v>0</v>
      </c>
      <c r="D12" s="314" t="s">
        <v>83</v>
      </c>
      <c r="E12" s="312"/>
      <c r="F12" s="312"/>
      <c r="G12" s="312"/>
      <c r="H12" s="428">
        <f>CashFlow!F19</f>
        <v>52291</v>
      </c>
      <c r="I12" s="425"/>
      <c r="J12" s="425"/>
      <c r="K12" s="425"/>
      <c r="L12" s="425"/>
      <c r="M12" s="425"/>
      <c r="N12" s="425"/>
      <c r="O12" s="425"/>
      <c r="P12" s="425"/>
      <c r="Q12" s="425"/>
      <c r="R12" s="425"/>
      <c r="S12" s="425"/>
      <c r="T12" s="93"/>
      <c r="U12" s="93"/>
      <c r="V12" s="93"/>
      <c r="W12" s="93"/>
      <c r="X12" s="93"/>
      <c r="Y12" s="93"/>
      <c r="Z12" s="93"/>
      <c r="AA12" s="93"/>
      <c r="AB12" s="93"/>
      <c r="AC12" s="93"/>
      <c r="AD12" s="93"/>
      <c r="AE12" s="93"/>
    </row>
    <row r="13" spans="1:31" ht="15.75" x14ac:dyDescent="0.25">
      <c r="A13" s="102" t="s">
        <v>100</v>
      </c>
      <c r="B13" s="104">
        <v>2000</v>
      </c>
      <c r="C13" s="94">
        <v>15</v>
      </c>
      <c r="D13" s="314" t="s">
        <v>5</v>
      </c>
      <c r="E13" s="312"/>
      <c r="F13" s="312"/>
      <c r="G13" s="312"/>
      <c r="H13" s="428">
        <f ca="1">IF(B4=Lists!A55,DATE(YEAR(NOW()),MONTH(NOW()),1),IF(B4=Lists!A56,DATE(YEAR(NOW()),1,1),B10))</f>
        <v>41153</v>
      </c>
      <c r="I13" s="425"/>
      <c r="J13" s="425"/>
      <c r="K13" s="425"/>
      <c r="L13" s="425"/>
      <c r="M13" s="425"/>
      <c r="N13" s="425"/>
      <c r="O13" s="425"/>
      <c r="P13" s="425"/>
      <c r="Q13" s="425"/>
      <c r="R13" s="425"/>
      <c r="S13" s="425"/>
      <c r="T13" s="93"/>
      <c r="U13" s="93"/>
      <c r="V13" s="93"/>
      <c r="W13" s="93"/>
      <c r="X13" s="93"/>
      <c r="Y13" s="93"/>
      <c r="Z13" s="93"/>
      <c r="AA13" s="93"/>
      <c r="AB13" s="93"/>
      <c r="AC13" s="93"/>
      <c r="AD13" s="93"/>
      <c r="AE13" s="93"/>
    </row>
    <row r="14" spans="1:31" ht="18.75" customHeight="1" x14ac:dyDescent="0.3">
      <c r="A14" s="102" t="s">
        <v>80</v>
      </c>
      <c r="B14" s="104" t="s">
        <v>851</v>
      </c>
      <c r="C14" s="94" t="b">
        <f>OR(ISNA(MATCH(Input!B14,Devellist,0)),B14="")</f>
        <v>0</v>
      </c>
      <c r="D14" s="429" t="s">
        <v>774</v>
      </c>
      <c r="E14" s="312"/>
      <c r="F14" s="312"/>
      <c r="G14" s="312"/>
      <c r="H14" s="430"/>
      <c r="I14" s="425"/>
      <c r="J14" s="425"/>
      <c r="K14" s="425"/>
      <c r="L14" s="425"/>
      <c r="M14" s="425"/>
      <c r="N14" s="425"/>
      <c r="O14" s="425"/>
      <c r="P14" s="425"/>
      <c r="Q14" s="425"/>
      <c r="R14" s="425"/>
      <c r="S14" s="425"/>
      <c r="T14" s="93"/>
      <c r="U14" s="93"/>
      <c r="V14" s="93"/>
      <c r="W14" s="93"/>
      <c r="X14" s="93"/>
      <c r="Y14" s="93"/>
      <c r="Z14" s="93"/>
      <c r="AA14" s="93"/>
      <c r="AB14" s="93"/>
      <c r="AC14" s="93"/>
      <c r="AD14" s="93"/>
      <c r="AE14" s="93"/>
    </row>
    <row r="15" spans="1:31" ht="18" customHeight="1" x14ac:dyDescent="0.25">
      <c r="A15" s="102" t="s">
        <v>858</v>
      </c>
      <c r="B15" s="104" t="s">
        <v>855</v>
      </c>
      <c r="C15" s="94" t="b">
        <f>IF(OR(B14=Subsea,B14=Lists!O38),FALSE,OR(ISNA(MATCH(B15,Lists!A22:A25,0)),B15=""))</f>
        <v>0</v>
      </c>
      <c r="D15" s="314" t="str">
        <f>CashFlow!E6</f>
        <v>Associated Gas Revenue</v>
      </c>
      <c r="E15" s="312"/>
      <c r="F15" s="312"/>
      <c r="G15" s="312"/>
      <c r="H15" s="431">
        <f ca="1">CashFlow!K6</f>
        <v>214.41345707506042</v>
      </c>
      <c r="I15" s="425"/>
      <c r="J15" s="425"/>
      <c r="K15" s="425"/>
      <c r="L15" s="425"/>
      <c r="M15" s="425"/>
      <c r="N15" s="425"/>
      <c r="O15" s="425"/>
      <c r="P15" s="425"/>
      <c r="Q15" s="425"/>
      <c r="R15" s="425"/>
      <c r="S15" s="425"/>
      <c r="T15" s="93"/>
      <c r="U15" s="93"/>
      <c r="V15" s="93"/>
      <c r="W15" s="93"/>
      <c r="X15" s="93"/>
      <c r="Y15" s="93"/>
      <c r="Z15" s="93"/>
      <c r="AA15" s="93"/>
      <c r="AB15" s="93"/>
      <c r="AC15" s="93"/>
      <c r="AD15" s="93"/>
      <c r="AE15" s="93"/>
    </row>
    <row r="16" spans="1:31" ht="15.75" x14ac:dyDescent="0.25">
      <c r="A16" s="102" t="s">
        <v>849</v>
      </c>
      <c r="B16" s="104">
        <v>250</v>
      </c>
      <c r="C16" s="94" t="b">
        <f>OR(B14=Subsea,B14=Lists!O38)</f>
        <v>0</v>
      </c>
      <c r="D16" s="314" t="str">
        <f>CashFlow!E7</f>
        <v>Oil Revenue</v>
      </c>
      <c r="E16" s="312"/>
      <c r="F16" s="312"/>
      <c r="G16" s="312"/>
      <c r="H16" s="431">
        <f ca="1">CashFlow!K7</f>
        <v>3436.3002194110809</v>
      </c>
      <c r="I16" s="425"/>
      <c r="J16" s="425"/>
      <c r="K16" s="425"/>
      <c r="L16" s="425"/>
      <c r="M16" s="425"/>
      <c r="N16" s="425"/>
      <c r="O16" s="425"/>
      <c r="P16" s="425"/>
      <c r="Q16" s="425"/>
      <c r="R16" s="425"/>
      <c r="S16" s="425"/>
      <c r="T16" s="93"/>
      <c r="U16" s="93"/>
      <c r="V16" s="93"/>
      <c r="W16" s="93"/>
      <c r="X16" s="93"/>
      <c r="Y16" s="93"/>
      <c r="Z16" s="93"/>
      <c r="AA16" s="93"/>
      <c r="AB16" s="93"/>
      <c r="AC16" s="93"/>
      <c r="AD16" s="93"/>
      <c r="AE16" s="93"/>
    </row>
    <row r="17" spans="1:31" ht="18" customHeight="1" x14ac:dyDescent="0.25">
      <c r="A17" s="102" t="s">
        <v>859</v>
      </c>
      <c r="B17" s="118">
        <v>0.3</v>
      </c>
      <c r="C17" s="94"/>
      <c r="D17" s="314" t="str">
        <f>CashFlow!E8</f>
        <v>Total Revenue</v>
      </c>
      <c r="E17" s="312"/>
      <c r="F17" s="312"/>
      <c r="G17" s="312"/>
      <c r="H17" s="431">
        <f ca="1">H16+H15</f>
        <v>3650.7136764861411</v>
      </c>
      <c r="I17" s="425"/>
      <c r="J17" s="425"/>
      <c r="K17" s="425"/>
      <c r="L17" s="425"/>
      <c r="M17" s="425"/>
      <c r="N17" s="425"/>
      <c r="O17" s="425"/>
      <c r="P17" s="425"/>
      <c r="Q17" s="425"/>
      <c r="R17" s="425"/>
      <c r="S17" s="425"/>
      <c r="T17" s="93"/>
      <c r="U17" s="93"/>
      <c r="V17" s="93"/>
      <c r="W17" s="93"/>
      <c r="X17" s="93"/>
      <c r="Y17" s="93"/>
      <c r="Z17" s="93"/>
      <c r="AA17" s="93"/>
      <c r="AB17" s="93"/>
      <c r="AC17" s="93"/>
      <c r="AD17" s="93"/>
      <c r="AE17" s="93"/>
    </row>
    <row r="18" spans="1:31" ht="18.75" x14ac:dyDescent="0.3">
      <c r="A18" s="536" t="s">
        <v>840</v>
      </c>
      <c r="B18" s="537"/>
      <c r="C18" s="94"/>
      <c r="D18" s="314" t="str">
        <f>CashFlow!E9</f>
        <v>Seismic</v>
      </c>
      <c r="E18" s="312"/>
      <c r="F18" s="312"/>
      <c r="G18" s="312"/>
      <c r="H18" s="431">
        <f ca="1">CashFlow!K9</f>
        <v>0</v>
      </c>
      <c r="I18" s="425"/>
      <c r="J18" s="425"/>
      <c r="K18" s="425"/>
      <c r="L18" s="425"/>
      <c r="M18" s="425"/>
      <c r="N18" s="425"/>
      <c r="O18" s="425"/>
      <c r="P18" s="425"/>
      <c r="Q18" s="425"/>
      <c r="R18" s="425"/>
      <c r="S18" s="425"/>
      <c r="T18" s="93"/>
      <c r="U18" s="93"/>
      <c r="V18" s="93"/>
      <c r="W18" s="93"/>
      <c r="X18" s="93"/>
      <c r="Y18" s="93"/>
      <c r="Z18" s="93"/>
      <c r="AA18" s="93"/>
      <c r="AB18" s="93"/>
      <c r="AC18" s="93"/>
      <c r="AD18" s="93"/>
      <c r="AE18" s="93"/>
    </row>
    <row r="19" spans="1:31" ht="15.75" x14ac:dyDescent="0.25">
      <c r="A19" s="102" t="s">
        <v>78</v>
      </c>
      <c r="B19" s="103">
        <v>1</v>
      </c>
      <c r="C19" s="94"/>
      <c r="D19" s="314" t="str">
        <f>CashFlow!E10</f>
        <v>Wildcat</v>
      </c>
      <c r="E19" s="312"/>
      <c r="F19" s="312"/>
      <c r="G19" s="312"/>
      <c r="H19" s="431">
        <f ca="1">CashFlow!K10</f>
        <v>-44.199613646467391</v>
      </c>
      <c r="I19" s="93"/>
      <c r="J19" s="425"/>
      <c r="K19" s="425"/>
      <c r="L19" s="425"/>
      <c r="M19" s="425"/>
      <c r="N19" s="425"/>
      <c r="O19" s="425"/>
      <c r="P19" s="425"/>
      <c r="Q19" s="425"/>
      <c r="R19" s="425"/>
      <c r="S19" s="425"/>
      <c r="T19" s="93"/>
      <c r="U19" s="93"/>
      <c r="V19" s="93"/>
      <c r="W19" s="93"/>
      <c r="X19" s="93"/>
      <c r="Y19" s="93"/>
      <c r="Z19" s="93"/>
      <c r="AA19" s="93"/>
      <c r="AB19" s="93"/>
      <c r="AC19" s="93"/>
      <c r="AD19" s="93"/>
      <c r="AE19" s="93"/>
    </row>
    <row r="20" spans="1:31" ht="15.75" x14ac:dyDescent="0.25">
      <c r="A20" s="102" t="s">
        <v>86</v>
      </c>
      <c r="B20" s="103">
        <v>0.35</v>
      </c>
      <c r="C20" s="94"/>
      <c r="D20" s="314" t="str">
        <f>CashFlow!E11</f>
        <v>Appraisal</v>
      </c>
      <c r="E20" s="312"/>
      <c r="F20" s="312"/>
      <c r="G20" s="312"/>
      <c r="H20" s="431">
        <f ca="1">CashFlow!K11</f>
        <v>-60.314498998525302</v>
      </c>
      <c r="I20" s="93"/>
      <c r="J20" s="425"/>
      <c r="K20" s="425"/>
      <c r="L20" s="425"/>
      <c r="M20" s="425"/>
      <c r="N20" s="425"/>
      <c r="O20" s="425"/>
      <c r="P20" s="425"/>
      <c r="Q20" s="425"/>
      <c r="R20" s="425"/>
      <c r="S20" s="425"/>
      <c r="T20" s="93"/>
      <c r="U20" s="93"/>
      <c r="V20" s="93"/>
      <c r="W20" s="93"/>
      <c r="X20" s="93"/>
      <c r="Y20" s="93"/>
      <c r="Z20" s="93"/>
      <c r="AA20" s="93"/>
      <c r="AB20" s="93"/>
      <c r="AC20" s="93"/>
      <c r="AD20" s="93"/>
      <c r="AE20" s="93"/>
    </row>
    <row r="21" spans="1:31" ht="15.75" x14ac:dyDescent="0.25">
      <c r="A21" s="102" t="s">
        <v>87</v>
      </c>
      <c r="B21" s="103">
        <v>0.75</v>
      </c>
      <c r="C21" s="94"/>
      <c r="D21" s="314" t="str">
        <f>CashFlow!E12</f>
        <v>Development Planning</v>
      </c>
      <c r="E21" s="312"/>
      <c r="F21" s="312"/>
      <c r="G21" s="312"/>
      <c r="H21" s="431">
        <f ca="1">CashFlow!K12</f>
        <v>-2.3899209491780415</v>
      </c>
      <c r="I21" s="93"/>
      <c r="J21" s="425"/>
      <c r="K21" s="425"/>
      <c r="L21" s="425"/>
      <c r="M21" s="425"/>
      <c r="N21" s="425"/>
      <c r="O21" s="425"/>
      <c r="P21" s="425"/>
      <c r="Q21" s="425"/>
      <c r="R21" s="425"/>
      <c r="S21" s="425"/>
      <c r="T21" s="93"/>
      <c r="U21" s="93"/>
      <c r="V21" s="93"/>
      <c r="W21" s="93"/>
      <c r="X21" s="93"/>
      <c r="Y21" s="93"/>
      <c r="Z21" s="93"/>
      <c r="AA21" s="93"/>
      <c r="AB21" s="93"/>
      <c r="AC21" s="93"/>
      <c r="AD21" s="93"/>
      <c r="AE21" s="93"/>
    </row>
    <row r="22" spans="1:31" ht="15.75" x14ac:dyDescent="0.25">
      <c r="A22" s="102" t="s">
        <v>88</v>
      </c>
      <c r="B22" s="103">
        <v>1</v>
      </c>
      <c r="C22" s="94"/>
      <c r="D22" s="314" t="str">
        <f>CashFlow!E13</f>
        <v>Facilities &amp; Pipelines</v>
      </c>
      <c r="E22" s="312"/>
      <c r="F22" s="312"/>
      <c r="G22" s="312"/>
      <c r="H22" s="431">
        <f ca="1">CashFlow!K13</f>
        <v>-594.27507135007113</v>
      </c>
      <c r="I22" s="93"/>
      <c r="J22" s="425"/>
      <c r="K22" s="425"/>
      <c r="L22" s="425"/>
      <c r="M22" s="425"/>
      <c r="N22" s="425"/>
      <c r="O22" s="425"/>
      <c r="P22" s="425"/>
      <c r="Q22" s="425"/>
      <c r="R22" s="425"/>
      <c r="S22" s="425"/>
      <c r="T22" s="93"/>
      <c r="U22" s="93"/>
      <c r="V22" s="93"/>
      <c r="W22" s="93"/>
      <c r="X22" s="93"/>
      <c r="Y22" s="93"/>
      <c r="Z22" s="93"/>
      <c r="AA22" s="93"/>
      <c r="AB22" s="93"/>
      <c r="AC22" s="93"/>
      <c r="AD22" s="93"/>
      <c r="AE22" s="93"/>
    </row>
    <row r="23" spans="1:31" ht="18.75" x14ac:dyDescent="0.3">
      <c r="A23" s="526" t="s">
        <v>89</v>
      </c>
      <c r="B23" s="527"/>
      <c r="C23" s="94"/>
      <c r="D23" s="314" t="str">
        <f>CashFlow!E14</f>
        <v>Development Drilling</v>
      </c>
      <c r="E23" s="312"/>
      <c r="F23" s="312"/>
      <c r="G23" s="312"/>
      <c r="H23" s="431">
        <f ca="1">CashFlow!K14</f>
        <v>-238.8030899241601</v>
      </c>
      <c r="I23" s="425"/>
      <c r="J23" s="425"/>
      <c r="K23" s="425"/>
      <c r="L23" s="425"/>
      <c r="M23" s="425"/>
      <c r="N23" s="425"/>
      <c r="O23" s="425"/>
      <c r="P23" s="425"/>
      <c r="Q23" s="425"/>
      <c r="R23" s="425"/>
      <c r="S23" s="425"/>
      <c r="T23" s="93"/>
      <c r="U23" s="93"/>
      <c r="V23" s="93"/>
      <c r="W23" s="93"/>
      <c r="X23" s="93"/>
      <c r="Y23" s="93"/>
      <c r="Z23" s="93"/>
      <c r="AA23" s="93"/>
      <c r="AB23" s="93"/>
      <c r="AC23" s="93"/>
      <c r="AD23" s="93"/>
      <c r="AE23" s="93"/>
    </row>
    <row r="24" spans="1:31" ht="15.75" x14ac:dyDescent="0.25">
      <c r="A24" s="102" t="s">
        <v>90</v>
      </c>
      <c r="B24" s="18">
        <v>4500</v>
      </c>
      <c r="C24" s="94" t="b">
        <f>B24&lt;B13</f>
        <v>0</v>
      </c>
      <c r="D24" s="314" t="str">
        <f>CashFlow!E15</f>
        <v>Operations</v>
      </c>
      <c r="E24" s="312"/>
      <c r="F24" s="312"/>
      <c r="G24" s="312"/>
      <c r="H24" s="431">
        <f ca="1">CashFlow!K15</f>
        <v>-454.80117265676682</v>
      </c>
      <c r="I24" s="425"/>
      <c r="J24" s="425"/>
      <c r="K24" s="425"/>
      <c r="L24" s="425"/>
      <c r="M24" s="425"/>
      <c r="N24" s="425"/>
      <c r="O24" s="425"/>
      <c r="P24" s="425"/>
      <c r="Q24" s="425"/>
      <c r="R24" s="425"/>
      <c r="S24" s="425"/>
      <c r="T24" s="93"/>
      <c r="U24" s="93"/>
      <c r="V24" s="93"/>
      <c r="W24" s="93"/>
      <c r="X24" s="93"/>
      <c r="Y24" s="93"/>
      <c r="Z24" s="93"/>
      <c r="AA24" s="93"/>
      <c r="AB24" s="93"/>
      <c r="AC24" s="93"/>
      <c r="AD24" s="93"/>
      <c r="AE24" s="93"/>
    </row>
    <row r="25" spans="1:31" ht="15.75" x14ac:dyDescent="0.25">
      <c r="A25" s="102" t="s">
        <v>91</v>
      </c>
      <c r="B25" s="104" t="s">
        <v>92</v>
      </c>
      <c r="C25" s="94"/>
      <c r="D25" s="314" t="str">
        <f>CashFlow!E16</f>
        <v>Royalty</v>
      </c>
      <c r="E25" s="312"/>
      <c r="F25" s="312"/>
      <c r="G25" s="312"/>
      <c r="H25" s="431">
        <f ca="1">CashFlow!K16</f>
        <v>-736.11609547995715</v>
      </c>
      <c r="I25" s="93"/>
      <c r="J25" s="425"/>
      <c r="K25" s="425"/>
      <c r="L25" s="425"/>
      <c r="M25" s="425"/>
      <c r="N25" s="425"/>
      <c r="O25" s="425"/>
      <c r="P25" s="425"/>
      <c r="Q25" s="425"/>
      <c r="R25" s="425"/>
      <c r="S25" s="425"/>
      <c r="T25" s="93"/>
      <c r="U25" s="93"/>
      <c r="V25" s="93"/>
      <c r="W25" s="93"/>
      <c r="X25" s="93"/>
      <c r="Y25" s="93"/>
      <c r="Z25" s="93"/>
      <c r="AA25" s="93"/>
      <c r="AB25" s="93"/>
      <c r="AC25" s="93"/>
      <c r="AD25" s="93"/>
      <c r="AE25" s="93"/>
    </row>
    <row r="26" spans="1:31" ht="15.75" x14ac:dyDescent="0.25">
      <c r="A26" s="102" t="s">
        <v>93</v>
      </c>
      <c r="B26" s="104" t="s">
        <v>92</v>
      </c>
      <c r="C26" s="94"/>
      <c r="D26" s="314" t="str">
        <f>CashFlow!E17</f>
        <v>Provincial Income Tax</v>
      </c>
      <c r="E26" s="312"/>
      <c r="F26" s="312"/>
      <c r="G26" s="312"/>
      <c r="H26" s="431">
        <f ca="1">CashFlow!K17</f>
        <v>-283.94543719149959</v>
      </c>
      <c r="I26" s="93"/>
      <c r="J26" s="425"/>
      <c r="K26" s="425"/>
      <c r="L26" s="425"/>
      <c r="M26" s="425"/>
      <c r="N26" s="425"/>
      <c r="O26" s="425"/>
      <c r="P26" s="425"/>
      <c r="Q26" s="425"/>
      <c r="R26" s="425"/>
      <c r="S26" s="425"/>
      <c r="T26" s="93"/>
      <c r="U26" s="93"/>
      <c r="V26" s="93"/>
      <c r="W26" s="93"/>
      <c r="X26" s="93"/>
      <c r="Y26" s="93"/>
      <c r="Z26" s="93"/>
      <c r="AA26" s="93"/>
      <c r="AB26" s="93"/>
      <c r="AC26" s="93"/>
      <c r="AD26" s="93"/>
      <c r="AE26" s="93"/>
    </row>
    <row r="27" spans="1:31" ht="15.75" x14ac:dyDescent="0.25">
      <c r="A27" s="102" t="s">
        <v>94</v>
      </c>
      <c r="B27" s="104" t="s">
        <v>95</v>
      </c>
      <c r="C27" s="94"/>
      <c r="D27" s="314" t="str">
        <f>CashFlow!E18</f>
        <v>Federal Income Tax</v>
      </c>
      <c r="E27" s="312"/>
      <c r="F27" s="312"/>
      <c r="G27" s="312"/>
      <c r="H27" s="431">
        <f ca="1">CashFlow!K18</f>
        <v>-349.92450667283555</v>
      </c>
      <c r="I27" s="93"/>
      <c r="J27" s="93"/>
      <c r="K27" s="93"/>
      <c r="L27" s="93"/>
      <c r="M27" s="93"/>
      <c r="N27" s="93"/>
      <c r="O27" s="93"/>
      <c r="P27" s="93"/>
      <c r="Q27" s="93"/>
      <c r="R27" s="93"/>
      <c r="S27" s="93"/>
      <c r="T27" s="93"/>
      <c r="U27" s="93"/>
      <c r="V27" s="93"/>
      <c r="W27" s="93"/>
      <c r="X27" s="93"/>
      <c r="Y27" s="93"/>
      <c r="Z27" s="93"/>
      <c r="AA27" s="93"/>
      <c r="AB27" s="93"/>
      <c r="AC27" s="93"/>
      <c r="AD27" s="93"/>
      <c r="AE27" s="93"/>
    </row>
    <row r="28" spans="1:31" ht="15.75" x14ac:dyDescent="0.25">
      <c r="A28" s="102" t="s">
        <v>96</v>
      </c>
      <c r="B28" s="104">
        <v>1040</v>
      </c>
      <c r="C28" s="94" t="b">
        <f>IF(B11="Gas",IF(B29&gt;100,"TRUE","FALSE""),""FALSE"))</f>
        <v>0</v>
      </c>
      <c r="D28" s="314" t="str">
        <f>CashFlow!E19</f>
        <v>Abandonment</v>
      </c>
      <c r="E28" s="312"/>
      <c r="F28" s="312"/>
      <c r="G28" s="312"/>
      <c r="H28" s="431">
        <f ca="1">CashFlow!K19</f>
        <v>-5.0039099690662274</v>
      </c>
      <c r="I28" s="93"/>
      <c r="J28" s="93"/>
      <c r="K28" s="93"/>
      <c r="L28" s="93"/>
      <c r="M28" s="93"/>
      <c r="N28" s="93"/>
      <c r="O28" s="93"/>
      <c r="P28" s="93"/>
      <c r="Q28" s="93"/>
      <c r="R28" s="93"/>
      <c r="S28" s="93"/>
      <c r="T28" s="93"/>
      <c r="U28" s="93"/>
      <c r="V28" s="93"/>
      <c r="W28" s="93"/>
      <c r="X28" s="93"/>
      <c r="Y28" s="93"/>
      <c r="Z28" s="93"/>
      <c r="AA28" s="93"/>
      <c r="AB28" s="93"/>
      <c r="AC28" s="93"/>
      <c r="AD28" s="93"/>
      <c r="AE28" s="93"/>
    </row>
    <row r="29" spans="1:31" ht="15.75" x14ac:dyDescent="0.25">
      <c r="A29" s="102" t="str">
        <f>IF(B11="Gas","Liquid Yield (bbl/mcf)","GOR (scf/bbl)")</f>
        <v>GOR (scf/bbl)</v>
      </c>
      <c r="B29" s="104">
        <v>3333.3</v>
      </c>
      <c r="C29" s="94">
        <f>IF(B11="Gas",100,100000)</f>
        <v>100000</v>
      </c>
      <c r="D29" s="314" t="s">
        <v>101</v>
      </c>
      <c r="E29" s="312"/>
      <c r="F29" s="312"/>
      <c r="G29" s="312"/>
      <c r="H29" s="431">
        <f ca="1">SUM(H18:H28)</f>
        <v>-2769.7733168385271</v>
      </c>
      <c r="I29" s="93"/>
      <c r="J29" s="93"/>
      <c r="K29" s="93"/>
      <c r="L29" s="93"/>
      <c r="M29" s="93"/>
      <c r="N29" s="93"/>
      <c r="O29" s="93"/>
      <c r="P29" s="93"/>
      <c r="Q29" s="93"/>
      <c r="R29" s="93"/>
      <c r="S29" s="93"/>
      <c r="T29" s="93"/>
      <c r="U29" s="93"/>
      <c r="V29" s="93"/>
      <c r="W29" s="93"/>
      <c r="X29" s="93"/>
      <c r="Y29" s="93"/>
      <c r="Z29" s="93"/>
      <c r="AA29" s="93"/>
      <c r="AB29" s="93"/>
      <c r="AC29" s="93"/>
      <c r="AD29" s="93"/>
      <c r="AE29" s="93"/>
    </row>
    <row r="30" spans="1:31" ht="18.75" x14ac:dyDescent="0.3">
      <c r="A30" s="102" t="s">
        <v>98</v>
      </c>
      <c r="B30" s="104" t="s">
        <v>99</v>
      </c>
      <c r="C30" s="94"/>
      <c r="D30" s="429" t="str">
        <f>"NPV @ "&amp;FIXED(Input!B3*100,1)&amp;" % ($M)"</f>
        <v>NPV @ 10.0 % ($M)</v>
      </c>
      <c r="E30" s="432"/>
      <c r="F30" s="432"/>
      <c r="G30" s="432"/>
      <c r="H30" s="433">
        <f ca="1">IF(C37=FALSE, "Invalid Entry",IF(noteco=Lists!A84,Lists!A84,'Risked Cash Flow'!P8))</f>
        <v>880.9403596476144</v>
      </c>
      <c r="I30" s="93"/>
      <c r="J30" s="93"/>
      <c r="K30" s="93"/>
      <c r="L30" s="93"/>
      <c r="M30" s="93"/>
      <c r="N30" s="93"/>
      <c r="O30" s="93"/>
      <c r="P30" s="93"/>
      <c r="Q30" s="93"/>
      <c r="R30" s="93"/>
      <c r="S30" s="93"/>
      <c r="T30" s="93"/>
      <c r="U30" s="93"/>
      <c r="V30" s="93"/>
      <c r="W30" s="93"/>
      <c r="X30" s="93"/>
      <c r="Y30" s="93"/>
      <c r="Z30" s="93"/>
      <c r="AA30" s="93"/>
      <c r="AB30" s="93"/>
      <c r="AC30" s="93"/>
      <c r="AD30" s="93"/>
      <c r="AE30" s="93"/>
    </row>
    <row r="31" spans="1:31" ht="15.6" x14ac:dyDescent="0.3">
      <c r="A31" s="102" t="s">
        <v>656</v>
      </c>
      <c r="B31" s="104" t="s">
        <v>107</v>
      </c>
      <c r="C31" s="94"/>
      <c r="D31" s="314" t="s">
        <v>105</v>
      </c>
      <c r="E31" s="312"/>
      <c r="F31" s="312"/>
      <c r="G31" s="312"/>
      <c r="H31" s="434">
        <f ca="1">IF(H30=Lists!A84,"",'Risked Cash Flow'!AJ4)</f>
        <v>0.28277983803255258</v>
      </c>
      <c r="I31" s="93"/>
      <c r="J31" s="93"/>
      <c r="K31" s="93"/>
      <c r="L31" s="93"/>
      <c r="M31" s="93"/>
      <c r="N31" s="93"/>
      <c r="O31" s="93"/>
      <c r="P31" s="93"/>
      <c r="Q31" s="93"/>
      <c r="R31" s="93"/>
      <c r="S31" s="93"/>
      <c r="T31" s="93"/>
      <c r="U31" s="93"/>
      <c r="V31" s="93"/>
      <c r="W31" s="93"/>
      <c r="X31" s="93"/>
      <c r="Y31" s="93"/>
      <c r="Z31" s="93"/>
      <c r="AA31" s="93"/>
      <c r="AB31" s="93"/>
      <c r="AC31" s="93"/>
      <c r="AD31" s="93"/>
      <c r="AE31" s="93"/>
    </row>
    <row r="32" spans="1:31" ht="18" x14ac:dyDescent="0.35">
      <c r="A32" s="526" t="s">
        <v>102</v>
      </c>
      <c r="B32" s="527"/>
      <c r="C32" s="94"/>
      <c r="D32" s="314" t="s">
        <v>108</v>
      </c>
      <c r="E32" s="312"/>
      <c r="F32" s="312"/>
      <c r="G32" s="312"/>
      <c r="H32" s="435">
        <f ca="1">IF($H$30=Lists!A84,"",H30/'Risked Cash Flow'!AD8)</f>
        <v>0.93718834724411604</v>
      </c>
      <c r="I32" s="93"/>
      <c r="J32" s="93"/>
      <c r="K32" s="93"/>
      <c r="L32" s="93"/>
      <c r="M32" s="93"/>
      <c r="N32" s="93"/>
      <c r="O32" s="93"/>
      <c r="P32" s="93"/>
      <c r="Q32" s="93"/>
      <c r="R32" s="93"/>
      <c r="S32" s="93"/>
      <c r="T32" s="93"/>
      <c r="U32" s="93"/>
      <c r="V32" s="93"/>
      <c r="W32" s="93"/>
      <c r="X32" s="93"/>
      <c r="Y32" s="93"/>
      <c r="Z32" s="93"/>
      <c r="AA32" s="93"/>
      <c r="AB32" s="93"/>
      <c r="AC32" s="93"/>
      <c r="AD32" s="93"/>
      <c r="AE32" s="93"/>
    </row>
    <row r="33" spans="1:31" ht="15.6" x14ac:dyDescent="0.3">
      <c r="A33" s="102" t="s">
        <v>103</v>
      </c>
      <c r="B33" s="104" t="s">
        <v>104</v>
      </c>
      <c r="C33" s="94"/>
      <c r="D33" s="314" t="s">
        <v>768</v>
      </c>
      <c r="E33" s="312"/>
      <c r="F33" s="312"/>
      <c r="G33" s="312"/>
      <c r="H33" s="435">
        <f ca="1">IF('Risked Cash Flow'!AC8=0,"NA",IF(H30=Lists!A84,"",H30/'Risked Cash Flow'!AC8))</f>
        <v>19.930951584641797</v>
      </c>
      <c r="I33" s="93"/>
      <c r="J33" s="93"/>
      <c r="K33" s="93"/>
      <c r="L33" s="93"/>
      <c r="M33" s="93"/>
      <c r="N33" s="93"/>
      <c r="O33" s="93"/>
      <c r="P33" s="93"/>
      <c r="Q33" s="93"/>
      <c r="R33" s="93"/>
      <c r="S33" s="93"/>
      <c r="T33" s="93"/>
      <c r="U33" s="93"/>
      <c r="V33" s="93"/>
      <c r="W33" s="93"/>
      <c r="X33" s="93"/>
      <c r="Y33" s="93"/>
      <c r="Z33" s="93"/>
      <c r="AA33" s="93"/>
      <c r="AB33" s="93"/>
      <c r="AC33" s="93"/>
      <c r="AD33" s="93"/>
      <c r="AE33" s="93"/>
    </row>
    <row r="34" spans="1:31" ht="15.6" x14ac:dyDescent="0.3">
      <c r="A34" s="102" t="s">
        <v>106</v>
      </c>
      <c r="B34" s="104" t="s">
        <v>104</v>
      </c>
      <c r="C34" s="94"/>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row>
    <row r="35" spans="1:31" ht="15.6" x14ac:dyDescent="0.3">
      <c r="A35" s="102" t="s">
        <v>109</v>
      </c>
      <c r="B35" s="104" t="s">
        <v>107</v>
      </c>
      <c r="C35" s="94"/>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row>
    <row r="36" spans="1:31" x14ac:dyDescent="0.3">
      <c r="A36" s="1"/>
      <c r="B36" s="1"/>
      <c r="C36" s="94"/>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row>
    <row r="37" spans="1:31" x14ac:dyDescent="0.3">
      <c r="A37" s="1"/>
      <c r="B37" s="1"/>
      <c r="C37" s="94" t="b">
        <f>AND(C12=FALSE,C15=FALSE,C14=FALSE,C24=FALSE)</f>
        <v>1</v>
      </c>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row>
    <row r="38" spans="1:31" x14ac:dyDescent="0.3">
      <c r="A38" s="1"/>
      <c r="B38" s="1"/>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row>
    <row r="39" spans="1:31" x14ac:dyDescent="0.3">
      <c r="A39" s="1"/>
      <c r="B39" s="1"/>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row>
    <row r="40" spans="1:31" x14ac:dyDescent="0.3">
      <c r="A40" s="1"/>
      <c r="B40" s="1"/>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row>
    <row r="41" spans="1:31" x14ac:dyDescent="0.3">
      <c r="A41" s="1"/>
      <c r="B41" s="1"/>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row>
    <row r="42" spans="1:31" x14ac:dyDescent="0.3">
      <c r="A42" s="1"/>
      <c r="B42" s="1"/>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row>
    <row r="43" spans="1:31" x14ac:dyDescent="0.3">
      <c r="A43" s="1"/>
      <c r="B43" s="1"/>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row>
    <row r="44" spans="1:31" x14ac:dyDescent="0.3">
      <c r="A44" s="1"/>
      <c r="B44" s="1"/>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row>
    <row r="45" spans="1:31" x14ac:dyDescent="0.3">
      <c r="A45" s="1"/>
      <c r="B45" s="1"/>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row>
    <row r="46" spans="1:31" x14ac:dyDescent="0.3">
      <c r="A46" s="1"/>
      <c r="B46" s="1"/>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row>
    <row r="47" spans="1:31" x14ac:dyDescent="0.3">
      <c r="A47" s="1"/>
      <c r="B47" s="1"/>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row>
    <row r="48" spans="1:31" x14ac:dyDescent="0.3">
      <c r="A48" s="1"/>
      <c r="B48" s="1"/>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row>
    <row r="49" spans="1:31" x14ac:dyDescent="0.3">
      <c r="A49" s="1"/>
      <c r="B49" s="1"/>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row>
    <row r="50" spans="1:31" x14ac:dyDescent="0.3">
      <c r="A50" s="1"/>
      <c r="B50" s="1"/>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row>
    <row r="51" spans="1:31" x14ac:dyDescent="0.3">
      <c r="A51" s="1"/>
      <c r="B51" s="1"/>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row>
    <row r="52" spans="1:31" x14ac:dyDescent="0.3">
      <c r="A52" s="1"/>
      <c r="B52" s="1"/>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row>
    <row r="53" spans="1:31" x14ac:dyDescent="0.3">
      <c r="A53" s="1"/>
      <c r="B53" s="1"/>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row>
    <row r="54" spans="1:31" x14ac:dyDescent="0.3">
      <c r="A54" s="1"/>
      <c r="B54" s="1"/>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row>
    <row r="55" spans="1:31" x14ac:dyDescent="0.3">
      <c r="A55" s="1"/>
      <c r="B55" s="1"/>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row>
    <row r="56" spans="1:31" x14ac:dyDescent="0.3">
      <c r="A56" s="1"/>
      <c r="B56" s="1"/>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row>
    <row r="57" spans="1:31" x14ac:dyDescent="0.3">
      <c r="A57" s="1"/>
      <c r="B57" s="1"/>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row>
    <row r="58" spans="1:31" x14ac:dyDescent="0.3">
      <c r="A58" s="1"/>
      <c r="B58" s="1"/>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row>
    <row r="59" spans="1:31" x14ac:dyDescent="0.3">
      <c r="A59" s="1"/>
      <c r="B59" s="1"/>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row>
    <row r="60" spans="1:31" x14ac:dyDescent="0.3">
      <c r="A60" s="1"/>
      <c r="B60" s="1"/>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row>
    <row r="61" spans="1:31" x14ac:dyDescent="0.3">
      <c r="A61" s="1"/>
      <c r="B61" s="1"/>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row>
    <row r="62" spans="1:31" x14ac:dyDescent="0.3">
      <c r="A62" s="1"/>
      <c r="B62" s="1"/>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row>
    <row r="63" spans="1:31" x14ac:dyDescent="0.3">
      <c r="A63" s="1"/>
      <c r="B63" s="1"/>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row>
    <row r="64" spans="1:31" x14ac:dyDescent="0.3">
      <c r="A64" s="1"/>
      <c r="B64" s="1"/>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row>
    <row r="65" spans="1:31" x14ac:dyDescent="0.3">
      <c r="A65" s="1"/>
      <c r="B65" s="1"/>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row>
    <row r="66" spans="1:31" x14ac:dyDescent="0.3">
      <c r="A66" s="1"/>
      <c r="B66" s="1"/>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row>
    <row r="67" spans="1:31" x14ac:dyDescent="0.3">
      <c r="A67" s="1"/>
      <c r="B67" s="1"/>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row>
    <row r="68" spans="1:31" x14ac:dyDescent="0.3">
      <c r="A68" s="1"/>
      <c r="B68" s="1"/>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row>
    <row r="69" spans="1:31" x14ac:dyDescent="0.3">
      <c r="A69" s="1"/>
      <c r="B69" s="1"/>
      <c r="C69" s="93"/>
      <c r="D69" s="93"/>
      <c r="E69" s="93"/>
      <c r="F69" s="93"/>
      <c r="G69" s="93"/>
      <c r="H69" s="93"/>
      <c r="I69" s="93"/>
      <c r="J69" s="93"/>
      <c r="K69" s="93"/>
      <c r="L69" s="93"/>
      <c r="M69" s="93"/>
      <c r="N69" s="93"/>
      <c r="O69" s="93"/>
      <c r="P69" s="93"/>
      <c r="Q69" s="93"/>
      <c r="R69" s="93"/>
      <c r="S69" s="93"/>
      <c r="T69" s="125"/>
      <c r="U69" s="125"/>
      <c r="V69" s="125"/>
      <c r="W69" s="125"/>
      <c r="X69" s="125"/>
      <c r="Y69" s="125"/>
      <c r="Z69" s="125"/>
      <c r="AA69" s="125"/>
      <c r="AB69" s="125"/>
      <c r="AC69" s="125"/>
      <c r="AD69" s="125"/>
      <c r="AE69" s="125"/>
    </row>
    <row r="70" spans="1:31" x14ac:dyDescent="0.3">
      <c r="A70" s="1"/>
      <c r="B70" s="1"/>
      <c r="C70" s="93"/>
      <c r="D70" s="93"/>
      <c r="E70" s="93"/>
      <c r="F70" s="93"/>
      <c r="G70" s="93"/>
      <c r="H70" s="93"/>
      <c r="I70" s="93"/>
      <c r="J70" s="93"/>
      <c r="K70" s="93"/>
      <c r="L70" s="93"/>
      <c r="M70" s="93"/>
      <c r="N70" s="93"/>
      <c r="O70" s="93"/>
      <c r="P70" s="93"/>
      <c r="Q70" s="93"/>
      <c r="R70" s="93"/>
      <c r="S70" s="93"/>
      <c r="T70" s="125"/>
      <c r="U70" s="125"/>
      <c r="V70" s="125"/>
      <c r="W70" s="125"/>
      <c r="X70" s="125"/>
      <c r="Y70" s="125"/>
      <c r="Z70" s="125"/>
      <c r="AA70" s="125"/>
      <c r="AB70" s="125"/>
      <c r="AC70" s="125"/>
      <c r="AD70" s="125"/>
      <c r="AE70" s="125"/>
    </row>
    <row r="71" spans="1:31" x14ac:dyDescent="0.3">
      <c r="A71" s="1"/>
      <c r="B71" s="1"/>
      <c r="C71" s="128"/>
      <c r="D71" s="129">
        <f>IF(OR($B$4=Lists!$A$55,$B$4=Lists!$A$56,F73=0),1,(1+Input!$B$3)^((Input!D3-Input!$H$13)/365))</f>
        <v>1</v>
      </c>
      <c r="E71" s="128"/>
      <c r="F71" s="128"/>
      <c r="G71" s="129">
        <f>IF(OR($B$4=Lists!$A$55,$B$4=Lists!$A$56,F73=0),1,(1+Input!$B$3)^((Input!G3-Input!D3)/365))</f>
        <v>1</v>
      </c>
      <c r="H71" s="128"/>
      <c r="I71" s="128"/>
      <c r="J71" s="129">
        <f>IF(OR($B$4=Lists!$A$55,$B$4=Lists!$A$56,I73=0),1,(1+Input!$B$3)^((Input!J3-Input!G3)/365))</f>
        <v>1</v>
      </c>
      <c r="K71" s="128"/>
      <c r="L71" s="128"/>
      <c r="M71" s="129">
        <f>IF(OR($B$4=Lists!$A$55,$B$4=Lists!$A$56,L73=0),1,(1+Input!$B$3)^((Input!M3-Input!J3)/365))</f>
        <v>1</v>
      </c>
      <c r="N71" s="128"/>
      <c r="O71" s="128"/>
      <c r="P71" s="129">
        <f>IF(OR($B$4=Lists!$A$55,$B$4=Lists!$A$56,O73=0),1,(1+Input!$B$3)^((Input!P3-Input!M3)/365))</f>
        <v>1</v>
      </c>
      <c r="Q71" s="128"/>
      <c r="R71" s="128"/>
      <c r="S71" s="128"/>
      <c r="T71" s="125"/>
      <c r="U71" s="125"/>
      <c r="V71" s="125"/>
      <c r="W71" s="125"/>
      <c r="X71" s="125"/>
      <c r="Y71" s="125"/>
      <c r="Z71" s="125"/>
      <c r="AA71" s="125"/>
      <c r="AB71" s="125"/>
      <c r="AC71" s="125"/>
      <c r="AD71" s="125"/>
      <c r="AE71" s="125"/>
    </row>
    <row r="72" spans="1:31" x14ac:dyDescent="0.3">
      <c r="A72" s="1"/>
      <c r="B72" s="1"/>
      <c r="C72" s="128"/>
      <c r="D72" s="129">
        <f>D71</f>
        <v>1</v>
      </c>
      <c r="E72" s="128"/>
      <c r="F72" s="128"/>
      <c r="G72" s="130">
        <f>G71*D72</f>
        <v>1</v>
      </c>
      <c r="H72" s="130"/>
      <c r="I72" s="128"/>
      <c r="J72" s="130">
        <f>J71*G72</f>
        <v>1</v>
      </c>
      <c r="K72" s="130"/>
      <c r="L72" s="130"/>
      <c r="M72" s="130">
        <f>M71*J72</f>
        <v>1</v>
      </c>
      <c r="N72" s="130"/>
      <c r="O72" s="130"/>
      <c r="P72" s="130">
        <f>P71*M72</f>
        <v>1</v>
      </c>
      <c r="Q72" s="128"/>
      <c r="R72" s="128"/>
      <c r="S72" s="128"/>
      <c r="T72" s="125"/>
      <c r="U72" s="125"/>
      <c r="V72" s="125"/>
      <c r="W72" s="125"/>
      <c r="X72" s="125"/>
      <c r="Y72" s="125"/>
      <c r="Z72" s="125"/>
      <c r="AA72" s="125"/>
      <c r="AB72" s="125"/>
      <c r="AC72" s="125"/>
      <c r="AD72" s="125"/>
      <c r="AE72" s="125"/>
    </row>
    <row r="73" spans="1:31" x14ac:dyDescent="0.3">
      <c r="A73" s="1"/>
      <c r="B73" s="1"/>
      <c r="C73" s="128"/>
      <c r="D73" s="128"/>
      <c r="E73" s="128"/>
      <c r="F73" s="130">
        <f>Exploration!C5</f>
        <v>0</v>
      </c>
      <c r="G73" s="128"/>
      <c r="H73" s="128"/>
      <c r="I73" s="130">
        <f>Exploration!C6</f>
        <v>1</v>
      </c>
      <c r="J73" s="128"/>
      <c r="K73" s="128"/>
      <c r="L73" s="130">
        <f>Exploration!C7</f>
        <v>0.35</v>
      </c>
      <c r="M73" s="128"/>
      <c r="N73" s="128"/>
      <c r="O73" s="130">
        <f>Exploration!C8</f>
        <v>0.26249999999999996</v>
      </c>
      <c r="P73" s="128"/>
      <c r="Q73" s="128"/>
      <c r="R73" s="128"/>
      <c r="S73" s="128"/>
      <c r="T73" s="125"/>
      <c r="U73" s="125"/>
      <c r="V73" s="125"/>
      <c r="W73" s="125"/>
      <c r="X73" s="125"/>
      <c r="Y73" s="125"/>
      <c r="Z73" s="125"/>
      <c r="AA73" s="125"/>
      <c r="AB73" s="125"/>
      <c r="AC73" s="125"/>
      <c r="AD73" s="125"/>
      <c r="AE73" s="125"/>
    </row>
    <row r="74" spans="1:31" x14ac:dyDescent="0.3">
      <c r="A74" s="1"/>
      <c r="B74" s="1"/>
      <c r="C74" s="128"/>
      <c r="D74" s="128"/>
      <c r="E74" s="131">
        <f ca="1">H15</f>
        <v>214.41345707506042</v>
      </c>
      <c r="F74" s="131">
        <f ca="1">H16</f>
        <v>3436.3002194110809</v>
      </c>
      <c r="G74" s="128">
        <f t="array" ref="G74:Q74" ca="1">TRANSPOSE(H18:H28)</f>
        <v>0</v>
      </c>
      <c r="H74" s="128">
        <f ca="1"/>
        <v>-44.199613646467391</v>
      </c>
      <c r="I74" s="128">
        <f ca="1"/>
        <v>-60.314498998525302</v>
      </c>
      <c r="J74" s="128">
        <f ca="1"/>
        <v>-2.3899209491780415</v>
      </c>
      <c r="K74" s="128">
        <f ca="1"/>
        <v>-594.27507135007113</v>
      </c>
      <c r="L74" s="128">
        <f ca="1"/>
        <v>-238.8030899241601</v>
      </c>
      <c r="M74" s="128">
        <f ca="1"/>
        <v>-454.80117265676682</v>
      </c>
      <c r="N74" s="128">
        <f ca="1"/>
        <v>-736.11609547995715</v>
      </c>
      <c r="O74" s="128">
        <f ca="1"/>
        <v>-283.94543719149959</v>
      </c>
      <c r="P74" s="128">
        <f ca="1"/>
        <v>-349.92450667283555</v>
      </c>
      <c r="Q74" s="128">
        <f ca="1"/>
        <v>-5.0039099690662274</v>
      </c>
      <c r="R74" s="131">
        <f ca="1">H30</f>
        <v>880.9403596476144</v>
      </c>
      <c r="S74" s="128"/>
      <c r="T74" s="125"/>
      <c r="U74" s="125"/>
      <c r="V74" s="125"/>
      <c r="W74" s="125"/>
      <c r="X74" s="125"/>
      <c r="Y74" s="125"/>
      <c r="Z74" s="125"/>
      <c r="AA74" s="125"/>
      <c r="AB74" s="125"/>
      <c r="AC74" s="125"/>
      <c r="AD74" s="125"/>
      <c r="AE74" s="125"/>
    </row>
    <row r="75" spans="1:31" x14ac:dyDescent="0.3">
      <c r="C75" s="128"/>
      <c r="D75" s="128"/>
      <c r="E75" s="131">
        <f ca="1">D75+E74</f>
        <v>214.41345707506042</v>
      </c>
      <c r="F75" s="131">
        <f t="shared" ref="F75:Q75" ca="1" si="0">E75+F74</f>
        <v>3650.7136764861411</v>
      </c>
      <c r="G75" s="131">
        <f t="shared" ca="1" si="0"/>
        <v>3650.7136764861411</v>
      </c>
      <c r="H75" s="131">
        <f t="shared" ca="1" si="0"/>
        <v>3606.5140628396739</v>
      </c>
      <c r="I75" s="131">
        <f t="shared" ca="1" si="0"/>
        <v>3546.1995638411486</v>
      </c>
      <c r="J75" s="131">
        <f t="shared" ca="1" si="0"/>
        <v>3543.8096428919707</v>
      </c>
      <c r="K75" s="131">
        <f t="shared" ca="1" si="0"/>
        <v>2949.5345715418998</v>
      </c>
      <c r="L75" s="131">
        <f t="shared" ca="1" si="0"/>
        <v>2710.7314816177395</v>
      </c>
      <c r="M75" s="131">
        <f t="shared" ca="1" si="0"/>
        <v>2255.9303089609725</v>
      </c>
      <c r="N75" s="131">
        <f t="shared" ca="1" si="0"/>
        <v>1519.8142134810155</v>
      </c>
      <c r="O75" s="131">
        <f t="shared" ca="1" si="0"/>
        <v>1235.8687762895158</v>
      </c>
      <c r="P75" s="131">
        <f t="shared" ca="1" si="0"/>
        <v>885.94426961668023</v>
      </c>
      <c r="Q75" s="131">
        <f t="shared" ca="1" si="0"/>
        <v>880.94035964761406</v>
      </c>
      <c r="R75" s="128"/>
      <c r="S75" s="131"/>
      <c r="T75" s="125"/>
      <c r="U75" s="125"/>
      <c r="V75" s="125"/>
      <c r="W75" s="125"/>
      <c r="X75" s="125"/>
      <c r="Y75" s="125"/>
      <c r="Z75" s="125"/>
      <c r="AA75" s="125"/>
      <c r="AB75" s="125"/>
      <c r="AC75" s="125"/>
      <c r="AD75" s="125"/>
      <c r="AE75" s="125"/>
    </row>
    <row r="76" spans="1:31" ht="15.6" x14ac:dyDescent="0.3">
      <c r="C76" s="128"/>
      <c r="D76" s="128"/>
      <c r="E76" s="132" t="s">
        <v>129</v>
      </c>
      <c r="F76" s="132" t="s">
        <v>130</v>
      </c>
      <c r="G76" s="132" t="s">
        <v>78</v>
      </c>
      <c r="H76" s="132" t="s">
        <v>86</v>
      </c>
      <c r="I76" s="132" t="s">
        <v>87</v>
      </c>
      <c r="J76" s="132" t="s">
        <v>88</v>
      </c>
      <c r="K76" s="132" t="s">
        <v>132</v>
      </c>
      <c r="L76" s="132" t="s">
        <v>133</v>
      </c>
      <c r="M76" s="132" t="s">
        <v>134</v>
      </c>
      <c r="N76" s="132" t="s">
        <v>38</v>
      </c>
      <c r="O76" s="132" t="s">
        <v>135</v>
      </c>
      <c r="P76" s="132" t="s">
        <v>136</v>
      </c>
      <c r="Q76" s="132" t="s">
        <v>19</v>
      </c>
      <c r="R76" s="132" t="s">
        <v>6</v>
      </c>
      <c r="S76" s="128"/>
      <c r="T76" s="125"/>
      <c r="U76" s="125"/>
      <c r="V76" s="125"/>
      <c r="W76" s="125"/>
      <c r="X76" s="125"/>
      <c r="Y76" s="125"/>
      <c r="Z76" s="125"/>
      <c r="AA76" s="125"/>
      <c r="AB76" s="125"/>
      <c r="AC76" s="125"/>
      <c r="AD76" s="125"/>
      <c r="AE76" s="125"/>
    </row>
    <row r="77" spans="1:31" ht="15.6" x14ac:dyDescent="0.3">
      <c r="C77" s="128"/>
      <c r="D77" s="128" t="s">
        <v>640</v>
      </c>
      <c r="E77" s="133">
        <f ca="1">E75-E74</f>
        <v>0</v>
      </c>
      <c r="F77" s="133">
        <f ca="1">F75-F74</f>
        <v>214.41345707506025</v>
      </c>
      <c r="G77" s="133">
        <f ca="1">IF(G75&gt;0,G75,IF(F77&gt;0,0,F75))</f>
        <v>3650.7136764861411</v>
      </c>
      <c r="H77" s="133">
        <f t="shared" ref="H77:Q77" ca="1" si="1">IF(H75&gt;0,H75,IF(G77&gt;0,0,G75))</f>
        <v>3606.5140628396739</v>
      </c>
      <c r="I77" s="133">
        <f t="shared" ca="1" si="1"/>
        <v>3546.1995638411486</v>
      </c>
      <c r="J77" s="133">
        <f t="shared" ca="1" si="1"/>
        <v>3543.8096428919707</v>
      </c>
      <c r="K77" s="133">
        <f t="shared" ca="1" si="1"/>
        <v>2949.5345715418998</v>
      </c>
      <c r="L77" s="133">
        <f t="shared" ca="1" si="1"/>
        <v>2710.7314816177395</v>
      </c>
      <c r="M77" s="133">
        <f t="shared" ca="1" si="1"/>
        <v>2255.9303089609725</v>
      </c>
      <c r="N77" s="133">
        <f t="shared" ca="1" si="1"/>
        <v>1519.8142134810155</v>
      </c>
      <c r="O77" s="133">
        <f t="shared" ca="1" si="1"/>
        <v>1235.8687762895158</v>
      </c>
      <c r="P77" s="133">
        <f t="shared" ca="1" si="1"/>
        <v>885.94426961668023</v>
      </c>
      <c r="Q77" s="133">
        <f t="shared" ca="1" si="1"/>
        <v>880.94035964761406</v>
      </c>
      <c r="R77" s="132"/>
      <c r="S77" s="128"/>
      <c r="T77" s="125"/>
      <c r="U77" s="125"/>
      <c r="V77" s="125"/>
      <c r="W77" s="125"/>
      <c r="X77" s="125"/>
      <c r="Y77" s="125"/>
      <c r="Z77" s="125"/>
      <c r="AA77" s="125"/>
      <c r="AB77" s="125"/>
      <c r="AC77" s="125"/>
      <c r="AD77" s="125"/>
      <c r="AE77" s="125"/>
    </row>
    <row r="78" spans="1:31" x14ac:dyDescent="0.3">
      <c r="C78" s="128"/>
      <c r="D78" s="128" t="s">
        <v>15</v>
      </c>
      <c r="E78" s="128">
        <f ca="1">E74</f>
        <v>214.41345707506042</v>
      </c>
      <c r="F78" s="128">
        <f ca="1">F74</f>
        <v>3436.3002194110809</v>
      </c>
      <c r="G78" s="128"/>
      <c r="H78" s="128"/>
      <c r="I78" s="128"/>
      <c r="J78" s="128"/>
      <c r="K78" s="128"/>
      <c r="L78" s="128"/>
      <c r="M78" s="128"/>
      <c r="N78" s="128"/>
      <c r="O78" s="128"/>
      <c r="P78" s="128"/>
      <c r="Q78" s="128"/>
      <c r="R78" s="128"/>
      <c r="S78" s="128"/>
      <c r="T78" s="125"/>
      <c r="U78" s="125"/>
      <c r="V78" s="125"/>
      <c r="W78" s="125"/>
      <c r="X78" s="125"/>
      <c r="Y78" s="125"/>
      <c r="Z78" s="125"/>
      <c r="AA78" s="125"/>
      <c r="AB78" s="125"/>
      <c r="AC78" s="125"/>
      <c r="AD78" s="125"/>
      <c r="AE78" s="125"/>
    </row>
    <row r="79" spans="1:31" x14ac:dyDescent="0.3">
      <c r="C79" s="128"/>
      <c r="D79" s="128" t="s">
        <v>654</v>
      </c>
      <c r="E79" s="128"/>
      <c r="F79" s="128"/>
      <c r="G79" s="128">
        <f ca="1">IF(G77&lt;0,0,IF(G77=0,F77,-G74))</f>
        <v>0</v>
      </c>
      <c r="H79" s="128">
        <f t="shared" ref="H79:Q79" ca="1" si="2">IF(H77&lt;0,0,IF(H77=0,G77,-H74))</f>
        <v>44.199613646467391</v>
      </c>
      <c r="I79" s="128">
        <f t="shared" ca="1" si="2"/>
        <v>60.314498998525302</v>
      </c>
      <c r="J79" s="128">
        <f t="shared" ca="1" si="2"/>
        <v>2.3899209491780415</v>
      </c>
      <c r="K79" s="128">
        <f t="shared" ca="1" si="2"/>
        <v>594.27507135007113</v>
      </c>
      <c r="L79" s="128">
        <f t="shared" ca="1" si="2"/>
        <v>238.8030899241601</v>
      </c>
      <c r="M79" s="128">
        <f t="shared" ca="1" si="2"/>
        <v>454.80117265676682</v>
      </c>
      <c r="N79" s="128">
        <f t="shared" ca="1" si="2"/>
        <v>736.11609547995715</v>
      </c>
      <c r="O79" s="128">
        <f t="shared" ca="1" si="2"/>
        <v>283.94543719149959</v>
      </c>
      <c r="P79" s="128">
        <f t="shared" ca="1" si="2"/>
        <v>349.92450667283555</v>
      </c>
      <c r="Q79" s="128">
        <f t="shared" ca="1" si="2"/>
        <v>5.0039099690662274</v>
      </c>
      <c r="R79" s="128"/>
      <c r="S79" s="128"/>
      <c r="T79" s="125"/>
      <c r="U79" s="125"/>
      <c r="V79" s="125"/>
      <c r="W79" s="125"/>
      <c r="X79" s="125"/>
      <c r="Y79" s="125"/>
      <c r="Z79" s="125"/>
      <c r="AA79" s="125"/>
      <c r="AB79" s="125"/>
      <c r="AC79" s="125"/>
      <c r="AD79" s="125"/>
      <c r="AE79" s="125"/>
    </row>
    <row r="80" spans="1:31" x14ac:dyDescent="0.3">
      <c r="C80" s="128"/>
      <c r="D80" s="128" t="s">
        <v>653</v>
      </c>
      <c r="E80" s="128"/>
      <c r="F80" s="128"/>
      <c r="G80" s="128">
        <f ca="1">IF(G77&lt;0,G74,IF(G77=0,G74+G79,0))</f>
        <v>0</v>
      </c>
      <c r="H80" s="128">
        <f t="shared" ref="H80:Q80" ca="1" si="3">IF(H77&lt;0,H74,IF(H77=0,H74+H79,0))</f>
        <v>0</v>
      </c>
      <c r="I80" s="128">
        <f t="shared" ca="1" si="3"/>
        <v>0</v>
      </c>
      <c r="J80" s="128">
        <f t="shared" ca="1" si="3"/>
        <v>0</v>
      </c>
      <c r="K80" s="128">
        <f t="shared" ca="1" si="3"/>
        <v>0</v>
      </c>
      <c r="L80" s="128">
        <f t="shared" ca="1" si="3"/>
        <v>0</v>
      </c>
      <c r="M80" s="128">
        <f t="shared" ca="1" si="3"/>
        <v>0</v>
      </c>
      <c r="N80" s="128">
        <f t="shared" ca="1" si="3"/>
        <v>0</v>
      </c>
      <c r="O80" s="128">
        <f t="shared" ca="1" si="3"/>
        <v>0</v>
      </c>
      <c r="P80" s="128">
        <f t="shared" ca="1" si="3"/>
        <v>0</v>
      </c>
      <c r="Q80" s="128">
        <f t="shared" ca="1" si="3"/>
        <v>0</v>
      </c>
      <c r="R80" s="128"/>
      <c r="S80" s="128"/>
      <c r="T80" s="125"/>
      <c r="U80" s="125"/>
      <c r="V80" s="125"/>
      <c r="W80" s="125"/>
      <c r="X80" s="125"/>
      <c r="Y80" s="125"/>
      <c r="Z80" s="125"/>
      <c r="AA80" s="125"/>
      <c r="AB80" s="125"/>
      <c r="AC80" s="125"/>
      <c r="AD80" s="125"/>
      <c r="AE80" s="125"/>
    </row>
    <row r="81" spans="3:31" x14ac:dyDescent="0.3">
      <c r="C81" s="128"/>
      <c r="D81" s="128" t="s">
        <v>651</v>
      </c>
      <c r="E81" s="128"/>
      <c r="F81" s="128"/>
      <c r="G81" s="128"/>
      <c r="H81" s="128"/>
      <c r="I81" s="128"/>
      <c r="J81" s="128"/>
      <c r="K81" s="128"/>
      <c r="L81" s="128"/>
      <c r="M81" s="128"/>
      <c r="N81" s="128"/>
      <c r="O81" s="128"/>
      <c r="P81" s="128"/>
      <c r="Q81" s="128"/>
      <c r="R81" s="128">
        <f ca="1">IF(R74&gt;0,R74,0)</f>
        <v>880.9403596476144</v>
      </c>
      <c r="S81" s="128"/>
      <c r="T81" s="125"/>
      <c r="U81" s="125"/>
      <c r="V81" s="125"/>
      <c r="W81" s="125"/>
      <c r="X81" s="125"/>
      <c r="Y81" s="125"/>
      <c r="Z81" s="125"/>
      <c r="AA81" s="125"/>
      <c r="AB81" s="125"/>
      <c r="AC81" s="125"/>
      <c r="AD81" s="125"/>
      <c r="AE81" s="125"/>
    </row>
    <row r="82" spans="3:31" x14ac:dyDescent="0.3">
      <c r="C82" s="128"/>
      <c r="D82" s="128" t="s">
        <v>652</v>
      </c>
      <c r="E82" s="128"/>
      <c r="F82" s="128"/>
      <c r="G82" s="128"/>
      <c r="H82" s="128"/>
      <c r="I82" s="128"/>
      <c r="J82" s="128"/>
      <c r="K82" s="128"/>
      <c r="L82" s="128"/>
      <c r="M82" s="128"/>
      <c r="N82" s="128"/>
      <c r="O82" s="128"/>
      <c r="P82" s="128"/>
      <c r="Q82" s="128"/>
      <c r="R82" s="128">
        <f ca="1">IF(R74&lt;0,R74,0)</f>
        <v>0</v>
      </c>
      <c r="S82" s="128"/>
      <c r="T82" s="125"/>
      <c r="U82" s="125"/>
      <c r="V82" s="125"/>
      <c r="W82" s="125"/>
      <c r="X82" s="125"/>
      <c r="Y82" s="125"/>
      <c r="Z82" s="125"/>
      <c r="AA82" s="125"/>
      <c r="AB82" s="125"/>
      <c r="AC82" s="125"/>
      <c r="AD82" s="125"/>
      <c r="AE82" s="125"/>
    </row>
    <row r="83" spans="3:31" x14ac:dyDescent="0.3">
      <c r="C83" s="128"/>
      <c r="D83" s="128"/>
      <c r="E83" s="128"/>
      <c r="F83" s="128"/>
      <c r="G83" s="128"/>
      <c r="H83" s="128"/>
      <c r="I83" s="128"/>
      <c r="J83" s="128"/>
      <c r="K83" s="128"/>
      <c r="L83" s="128"/>
      <c r="M83" s="128"/>
      <c r="N83" s="128"/>
      <c r="O83" s="128"/>
      <c r="P83" s="128"/>
      <c r="Q83" s="128"/>
      <c r="R83" s="128"/>
      <c r="S83" s="128"/>
      <c r="T83" s="125"/>
      <c r="U83" s="125"/>
      <c r="V83" s="125"/>
      <c r="W83" s="125"/>
      <c r="X83" s="125"/>
      <c r="Y83" s="125"/>
      <c r="Z83" s="125"/>
      <c r="AA83" s="125"/>
      <c r="AB83" s="125"/>
      <c r="AC83" s="125"/>
      <c r="AD83" s="125"/>
      <c r="AE83" s="125"/>
    </row>
  </sheetData>
  <mergeCells count="19">
    <mergeCell ref="A2:B2"/>
    <mergeCell ref="A18:B18"/>
    <mergeCell ref="A23:B23"/>
    <mergeCell ref="A32:B32"/>
    <mergeCell ref="L4:L5"/>
    <mergeCell ref="G4:H4"/>
    <mergeCell ref="I4:I5"/>
    <mergeCell ref="J4:K4"/>
    <mergeCell ref="O4:O5"/>
    <mergeCell ref="P4:Q4"/>
    <mergeCell ref="A7:B7"/>
    <mergeCell ref="D3:E3"/>
    <mergeCell ref="G3:H3"/>
    <mergeCell ref="J3:K3"/>
    <mergeCell ref="M3:N3"/>
    <mergeCell ref="P3:Q3"/>
    <mergeCell ref="D4:E4"/>
    <mergeCell ref="F4:F5"/>
    <mergeCell ref="M4:N4"/>
  </mergeCells>
  <conditionalFormatting sqref="D3:E6">
    <cfRule type="expression" dxfId="31" priority="50" stopIfTrue="1">
      <formula>$F$73=0</formula>
    </cfRule>
  </conditionalFormatting>
  <conditionalFormatting sqref="G3:H6">
    <cfRule type="expression" dxfId="30" priority="49" stopIfTrue="1">
      <formula>$I$73=0</formula>
    </cfRule>
  </conditionalFormatting>
  <conditionalFormatting sqref="J3:K6">
    <cfRule type="expression" dxfId="29" priority="48" stopIfTrue="1">
      <formula>$L$73=0</formula>
    </cfRule>
  </conditionalFormatting>
  <conditionalFormatting sqref="M3:N6">
    <cfRule type="expression" dxfId="28" priority="47" stopIfTrue="1">
      <formula>$O$73=0</formula>
    </cfRule>
  </conditionalFormatting>
  <conditionalFormatting sqref="R13:R14 R10:R11">
    <cfRule type="cellIs" dxfId="27" priority="31" stopIfTrue="1" operator="greaterThan">
      <formula>0</formula>
    </cfRule>
    <cfRule type="cellIs" dxfId="26" priority="32" stopIfTrue="1" operator="lessThan">
      <formula>0</formula>
    </cfRule>
    <cfRule type="containsText" dxfId="25" priority="33" stopIfTrue="1" operator="containsText" text="Uneconomic">
      <formula>NOT(ISERROR(SEARCH("Uneconomic",R10)))</formula>
    </cfRule>
  </conditionalFormatting>
  <conditionalFormatting sqref="H30">
    <cfRule type="containsText" dxfId="24" priority="30" stopIfTrue="1" operator="containsText" text="Uneconomic">
      <formula>NOT(ISERROR(SEARCH("Uneconomic",H30)))</formula>
    </cfRule>
  </conditionalFormatting>
  <conditionalFormatting sqref="B12">
    <cfRule type="expression" dxfId="23" priority="19" stopIfTrue="1">
      <formula>$C$12</formula>
    </cfRule>
  </conditionalFormatting>
  <conditionalFormatting sqref="B14">
    <cfRule type="expression" dxfId="22" priority="18" stopIfTrue="1">
      <formula>$C$14</formula>
    </cfRule>
  </conditionalFormatting>
  <conditionalFormatting sqref="D30:H30">
    <cfRule type="expression" dxfId="21" priority="16" stopIfTrue="1">
      <formula>$C$37=FALSE</formula>
    </cfRule>
  </conditionalFormatting>
  <conditionalFormatting sqref="J3:K4">
    <cfRule type="expression" dxfId="20" priority="15" stopIfTrue="1">
      <formula>$J$3=$B$10</formula>
    </cfRule>
  </conditionalFormatting>
  <conditionalFormatting sqref="M3:N4">
    <cfRule type="expression" dxfId="19" priority="14" stopIfTrue="1">
      <formula>$B$10=$M$3</formula>
    </cfRule>
  </conditionalFormatting>
  <conditionalFormatting sqref="P3:Q4">
    <cfRule type="expression" dxfId="18" priority="13" stopIfTrue="1">
      <formula>$B$10=$P$3</formula>
    </cfRule>
  </conditionalFormatting>
  <conditionalFormatting sqref="G3:H4">
    <cfRule type="expression" dxfId="17" priority="12" stopIfTrue="1">
      <formula>$B$10=$G$3</formula>
    </cfRule>
  </conditionalFormatting>
  <conditionalFormatting sqref="D3:E4">
    <cfRule type="expression" dxfId="16" priority="11" stopIfTrue="1">
      <formula>$D$3=$B$10</formula>
    </cfRule>
  </conditionalFormatting>
  <conditionalFormatting sqref="B29">
    <cfRule type="expression" dxfId="15" priority="10" stopIfTrue="1">
      <formula>$C$28</formula>
    </cfRule>
  </conditionalFormatting>
  <conditionalFormatting sqref="B15">
    <cfRule type="expression" dxfId="14" priority="2" stopIfTrue="1">
      <formula>$C$16</formula>
    </cfRule>
    <cfRule type="expression" dxfId="13" priority="52" stopIfTrue="1">
      <formula>$C$15</formula>
    </cfRule>
  </conditionalFormatting>
  <conditionalFormatting sqref="B16:B17">
    <cfRule type="expression" dxfId="12" priority="5" stopIfTrue="1">
      <formula>$B$15="Re-inject"</formula>
    </cfRule>
  </conditionalFormatting>
  <conditionalFormatting sqref="B24">
    <cfRule type="expression" dxfId="11" priority="1">
      <formula>$C$24</formula>
    </cfRule>
  </conditionalFormatting>
  <dataValidations xWindow="669" yWindow="552" count="32">
    <dataValidation type="list" allowBlank="1" showInputMessage="1" showErrorMessage="1" prompt="Select whether costs for Federal and Provincial Taxes are flow-through - i.e. get immediate relief" sqref="B35">
      <formula1>YesNo</formula1>
    </dataValidation>
    <dataValidation type="list" allowBlank="1" showInputMessage="1" showErrorMessage="1" promptTitle="Reservoir Pressure" prompt="Select whether reservoir is normally pressured, overpressured or geopressured (see Drill History for typical wells of class).  The well time and well tangible costs are adjusted according to the settings in the tables in Sched &amp; Prod Assumptions.  " sqref="B27">
      <formula1>pressure</formula1>
    </dataValidation>
    <dataValidation type="list" allowBlank="1" showInputMessage="1" showErrorMessage="1" prompt="Select The Reservoir Complexity: the complexity affects the required number of wells and is defined as a multiplier in Page Sched &amp; Prod Assumptions" sqref="B25">
      <formula1>Rescomp</formula1>
    </dataValidation>
    <dataValidation type="list" allowBlank="1" showInputMessage="1" showErrorMessage="1" promptTitle="Areal Extent Factor" prompt="Enter the areal extent factor.  This factor influences the deviation and therefore measured depth of wells and length of subsea flowlines.  It can be adjusted in the Page Sched &amp; Prod Assumptions" sqref="B26">
      <formula1>Aerial_Extent</formula1>
    </dataValidation>
    <dataValidation type="decimal" allowBlank="1" showInputMessage="1" showErrorMessage="1" promptTitle="Associated Gas or Liquids" prompt="For Gas the liquids are exported in the wet gas stream, the maximum allowed Condensate Gas Ratio is 100 BBL/MCF.  For Oil gas is used for fuel and any excess reinjected into the reservoir, if there is insufficient gas, oil is used for the remainder." sqref="B29">
      <formula1>0</formula1>
      <formula2>C29</formula2>
    </dataValidation>
    <dataValidation type="decimal" allowBlank="1" showInputMessage="1" showErrorMessage="1" promptTitle="Gas Calorific Value" prompt="Enter the Gas calorific value" sqref="B28">
      <formula1>800</formula1>
      <formula2>1200</formula2>
    </dataValidation>
    <dataValidation type="list" allowBlank="1" showInputMessage="1" showErrorMessage="1" promptTitle="Gas Sweet or Sour" prompt="Enter whether the gas is Sweet (low H2S) or Sour (high H2S), this affects the costs of materials" sqref="B30">
      <formula1>SweetSour</formula1>
    </dataValidation>
    <dataValidation type="decimal" allowBlank="1" showInputMessage="1" showErrorMessage="1" promptTitle="Mean Reserves" prompt="For Gas Field Must be Less than 4000 BCF_x000a__x000a_For Oil Field Must be Less than 600 MMBBLS" sqref="B12">
      <formula1>0</formula1>
      <formula2>IF($B$11="gas",4000,600)</formula2>
    </dataValidation>
    <dataValidation type="decimal" allowBlank="1" showInputMessage="1" showErrorMessage="1" promptTitle="Water Depth" prompt="Enter the Water Depth - maximum 3500 Metres" sqref="B13">
      <formula1>0</formula1>
      <formula2>3500</formula2>
    </dataValidation>
    <dataValidation type="decimal" allowBlank="1" showInputMessage="1" showErrorMessage="1" prompt="Enter the probability of proceeding to the next stage" sqref="B20:B22">
      <formula1>0</formula1>
      <formula2>1</formula2>
    </dataValidation>
    <dataValidation type="list" allowBlank="1" showInputMessage="1" showErrorMessage="1" promptTitle="Gas Export Type" prompt="Select the Gas Export Method:_x000a_To Shore_x000a_To Infrastructure_x000a_Reinject (Oil Projects OnlY)" sqref="B15">
      <formula1>Infralist</formula1>
    </dataValidation>
    <dataValidation type="decimal" allowBlank="1" showInputMessage="1" showErrorMessage="1" promptTitle="Export Distance" prompt="Applies to Gas only.  If export type, Satellite is distance to mother facility, if Direct Pipeline Tie-in distance to subsea tie-in, If Shore the distance to shore" sqref="B16">
      <formula1>0</formula1>
      <formula2>500</formula2>
    </dataValidation>
    <dataValidation type="list" allowBlank="1" showInputMessage="1" showErrorMessage="1" promptTitle="Main Product" prompt="Select whether Main Product is Oil or Gas" sqref="B11">
      <formula1>Product</formula1>
    </dataValidation>
    <dataValidation type="list" allowBlank="1" showInputMessage="1" showErrorMessage="1" promptTitle="Development Type" prompt="Select the development method" sqref="B14">
      <formula1>Devellist</formula1>
    </dataValidation>
    <dataValidation type="decimal" allowBlank="1" showInputMessage="1" showErrorMessage="1" promptTitle="Discount Rate" prompt="Enter the discount rate to be applied for the evaluation" sqref="B3">
      <formula1>0</formula1>
      <formula2>0.5</formula2>
    </dataValidation>
    <dataValidation type="list" allowBlank="1" showInputMessage="1" showErrorMessage="1" promptTitle="Project Stage" prompt="Enter the Next Proposed Stage of the Project, choices are Seismic, Wildcat, Appraise,Development Planning or Development Start" sqref="B9">
      <formula1>Stagelist</formula1>
    </dataValidation>
    <dataValidation type="date" allowBlank="1" showInputMessage="1" showErrorMessage="1" promptTitle="Project Start Date" prompt="Enter the start date for the current project phase_x000a_" sqref="B10">
      <formula1>39142</formula1>
      <formula2>42005</formula2>
    </dataValidation>
    <dataValidation type="list" allowBlank="1" showInputMessage="1" showErrorMessage="1" promptTitle="Economic Scenario" prompt="Select the Economic Scenario to Use" sqref="B5">
      <formula1>selected_scenario</formula1>
    </dataValidation>
    <dataValidation type="list" allowBlank="1" showInputMessage="1" showErrorMessage="1" promptTitle="Cost Assumptions" prompt="Select the Cost Set from the sheet Cost Assumptions to Use - the unit costs are used whereever costs are nor overridden in sheet Overrides.  Four new Cost Sets can be created in addition to the Nova Scotia Department of Energy Set" sqref="B6">
      <formula1>capcostset</formula1>
    </dataValidation>
    <dataValidation type="list" allowBlank="1" showInputMessage="1" showErrorMessage="1" promptTitle="Discount To " prompt="Decision Date discounts to all NPVs to the date at which each decision is to be made for each stage, it therefore reflects the value as perceived by the decision-maker.  Current Month and Year discount all values to the current month and year respectively" sqref="B4">
      <formula1>Discountto</formula1>
    </dataValidation>
    <dataValidation allowBlank="1" showInputMessage="1" showErrorMessage="1" promptTitle="Discounted Return on Investment" prompt="This is the Ratio of the risked NPV to the total risked discounted exploration and development expenditure" sqref="D32:G32"/>
    <dataValidation allowBlank="1" showInputMessage="1" showErrorMessage="1" promptTitle="Committed DROI" prompt="Committed Discounted Return on Investment.  This is the Risked NPV divided by the committed investment for the current phase, not including the investment for future uncommitted phases." sqref="D33:H33"/>
    <dataValidation type="decimal" allowBlank="1" showInputMessage="1" showErrorMessage="1" promptTitle="Reservoir depth" prompt="Enter the reservoir depth below Mean Sea Level (note vertical well drilling length is Reservoir Depth minus Water Depth)" sqref="B24">
      <formula1>B13+500</formula1>
      <formula2>B13+7000</formula2>
    </dataValidation>
    <dataValidation allowBlank="1" showInputMessage="1" showErrorMessage="1" promptTitle="Project Name" prompt="Enter the name of the project" sqref="B8"/>
    <dataValidation allowBlank="1" showInputMessage="1" showErrorMessage="1" promptTitle="Risked Discounted Values" prompt="This is Revenue or Cost Stream, adjusted for the chance of occurence and discounted at the specified discount rate to the discount date" sqref="D14:H14"/>
    <dataValidation allowBlank="1" showInputMessage="1" showErrorMessage="1" promptTitle="Overall Chance of Success" prompt="The chance of the prospect being developed, calculated as the product of the chances of the remaining project stages" sqref="D10:H10"/>
    <dataValidation type="decimal" allowBlank="1" showInputMessage="1" showErrorMessage="1" promptTitle="Deepwater Pipeline Percent" prompt="If a deepwater development enter the percentage of the pipeline in deepwater - if field is shallow water program defaults to 0% deep water" sqref="B17">
      <formula1>0</formula1>
      <formula2>1</formula2>
    </dataValidation>
    <dataValidation type="list" allowBlank="1" showInputMessage="1" showErrorMessage="1" prompt="Select whether appraisal wells are retained for development (Yes), are plugged and abandoned (No)" sqref="B31">
      <formula1>YesNo</formula1>
    </dataValidation>
    <dataValidation type="list" allowBlank="1" showInputMessage="1" showErrorMessage="1" prompt="Select whether the prospect is considered Small Reserves for Royalty purposes" sqref="B33">
      <formula1>YesNo</formula1>
    </dataValidation>
    <dataValidation type="list" allowBlank="1" showInputMessage="1" showErrorMessage="1" prompt="Select whether the Licence is classified as High Risk and therefore does not pay the highest royalty tier" sqref="B34">
      <formula1>YesNo</formula1>
    </dataValidation>
    <dataValidation type="decimal" allowBlank="1" showInputMessage="1" showErrorMessage="1" prompt="Enter the probability of proceeding to the next stage of prospect evaluation" sqref="B19">
      <formula1>0</formula1>
      <formula2>1</formula2>
    </dataValidation>
    <dataValidation allowBlank="1" showInputMessage="1" showErrorMessage="1" promptTitle="Discounted Return on Investment" prompt="This is the Ratio of the risked NPV to the total field life, risked discounted exploration and development expenditure" sqref="H32"/>
  </dataValidations>
  <hyperlinks>
    <hyperlink ref="A5" location="'Economic Assumptions'!A1" display="Economic Scenario"/>
    <hyperlink ref="A6" location="'Cost Assumptions'!A1" display="Cost Set"/>
    <hyperlink ref="B1" location="Guide" display="Guide"/>
  </hyperlinks>
  <pageMargins left="0.7" right="0.7" top="0.75" bottom="0.75" header="0.3" footer="0.3"/>
  <pageSetup paperSize="9" scale="54" orientation="landscape" r:id="rId1"/>
  <headerFooter>
    <oddFooter>&amp;LNova Scotia Exploration Economics Model&amp;Rwww.indeva.com</oddFooter>
  </headerFooter>
  <colBreaks count="1" manualBreakCount="1">
    <brk id="21" max="36"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C106"/>
  <sheetViews>
    <sheetView showGridLines="0" topLeftCell="A13" zoomScale="75" zoomScaleNormal="75" workbookViewId="0">
      <selection activeCell="A16" sqref="A16:E16"/>
    </sheetView>
  </sheetViews>
  <sheetFormatPr defaultRowHeight="14.4" x14ac:dyDescent="0.3"/>
  <cols>
    <col min="1" max="1" width="21.109375" customWidth="1"/>
    <col min="2" max="2" width="12.44140625" customWidth="1"/>
    <col min="4" max="4" width="6.88671875" customWidth="1"/>
    <col min="26" max="26" width="18.5546875" customWidth="1"/>
    <col min="27" max="27" width="12" customWidth="1"/>
  </cols>
  <sheetData>
    <row r="1" spans="1:29" ht="15" x14ac:dyDescent="0.25">
      <c r="A1" s="46" t="s">
        <v>575</v>
      </c>
      <c r="B1" s="1"/>
      <c r="C1" s="1"/>
      <c r="D1" s="1"/>
      <c r="E1" s="1"/>
      <c r="F1" s="1"/>
      <c r="G1" s="1"/>
      <c r="H1" s="1"/>
      <c r="I1" s="1"/>
      <c r="J1" s="1"/>
      <c r="K1" s="1"/>
      <c r="L1" s="1"/>
      <c r="M1" s="1"/>
      <c r="N1" s="1"/>
      <c r="O1" s="1"/>
      <c r="P1" s="1"/>
      <c r="Q1" s="1"/>
      <c r="R1" s="1"/>
      <c r="S1" s="1"/>
      <c r="T1" s="1"/>
      <c r="U1" s="1"/>
      <c r="V1" s="1"/>
      <c r="W1" s="1"/>
      <c r="X1" s="1"/>
      <c r="Y1" s="1"/>
      <c r="Z1" s="1"/>
      <c r="AA1" s="1"/>
      <c r="AB1" s="1"/>
      <c r="AC1" s="1"/>
    </row>
    <row r="2" spans="1:29" ht="15" x14ac:dyDescent="0.25">
      <c r="A2" s="1" t="s">
        <v>576</v>
      </c>
      <c r="B2" s="1"/>
      <c r="C2" s="1"/>
      <c r="D2" s="1"/>
      <c r="E2" s="1"/>
      <c r="F2" s="1"/>
      <c r="G2" s="1"/>
      <c r="H2" s="1"/>
      <c r="I2" s="1"/>
      <c r="J2" s="1"/>
      <c r="K2" s="1"/>
      <c r="L2" s="1"/>
      <c r="M2" s="1"/>
      <c r="N2" s="1"/>
      <c r="O2" s="1"/>
      <c r="P2" s="1"/>
      <c r="Q2" s="1"/>
      <c r="R2" s="1"/>
      <c r="S2" s="1"/>
      <c r="T2" s="1"/>
      <c r="U2" s="1"/>
      <c r="V2" s="1"/>
      <c r="W2" s="1"/>
      <c r="X2" s="1"/>
      <c r="Y2" s="1"/>
      <c r="Z2" s="1"/>
      <c r="AA2" s="1"/>
      <c r="AB2" s="1"/>
      <c r="AC2" s="1"/>
    </row>
    <row r="3" spans="1:29" ht="15"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ht="1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29" ht="15"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ht="1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row>
    <row r="7" spans="1:29" ht="15" x14ac:dyDescent="0.25">
      <c r="A7" s="63" t="s">
        <v>124</v>
      </c>
      <c r="B7" s="1"/>
      <c r="C7" s="1"/>
      <c r="D7" s="1"/>
      <c r="E7" s="1"/>
      <c r="F7" s="1"/>
      <c r="G7" s="1"/>
      <c r="H7" s="1"/>
      <c r="I7" s="1"/>
      <c r="J7" s="1"/>
      <c r="K7" s="1"/>
      <c r="L7" s="1"/>
      <c r="M7" s="1"/>
      <c r="N7" s="1"/>
      <c r="O7" s="1"/>
      <c r="P7" s="1"/>
      <c r="Q7" s="1"/>
      <c r="R7" s="1"/>
      <c r="S7" s="1"/>
      <c r="T7" s="1"/>
      <c r="U7" s="1"/>
      <c r="V7" s="1"/>
      <c r="W7" s="1"/>
      <c r="X7" s="1"/>
      <c r="Y7" s="1"/>
      <c r="Z7" s="1"/>
      <c r="AA7" s="1"/>
      <c r="AB7" s="1"/>
      <c r="AC7" s="1"/>
    </row>
    <row r="8" spans="1:29" ht="15" x14ac:dyDescent="0.25">
      <c r="A8" s="1" t="s">
        <v>78</v>
      </c>
      <c r="B8" s="1"/>
      <c r="C8" s="1"/>
      <c r="D8" s="1"/>
      <c r="E8" s="1"/>
      <c r="F8" s="1"/>
      <c r="G8" s="1"/>
      <c r="H8" s="1"/>
      <c r="I8" s="1"/>
      <c r="J8" s="1"/>
      <c r="K8" s="1"/>
      <c r="L8" s="1"/>
      <c r="M8" s="1"/>
      <c r="N8" s="1"/>
      <c r="O8" s="1"/>
      <c r="P8" s="1"/>
      <c r="Q8" s="1"/>
      <c r="R8" s="1"/>
      <c r="S8" s="1"/>
      <c r="T8" s="1"/>
      <c r="U8" s="1"/>
      <c r="V8" s="1"/>
      <c r="W8" s="1"/>
      <c r="X8" s="1"/>
      <c r="Y8" s="1"/>
      <c r="Z8" s="1"/>
      <c r="AA8" s="1"/>
      <c r="AB8" s="1"/>
      <c r="AC8" s="1"/>
    </row>
    <row r="9" spans="1:29" ht="15" x14ac:dyDescent="0.25">
      <c r="A9" s="1" t="s">
        <v>86</v>
      </c>
      <c r="B9" s="1"/>
      <c r="C9" s="1"/>
      <c r="D9" s="1"/>
      <c r="E9" s="1"/>
      <c r="F9" s="1"/>
      <c r="G9" s="1"/>
      <c r="H9" s="1"/>
      <c r="I9" s="1"/>
      <c r="J9" s="1"/>
      <c r="K9" s="1"/>
      <c r="L9" s="1"/>
      <c r="M9" s="1"/>
      <c r="N9" s="1"/>
      <c r="O9" s="1"/>
      <c r="P9" s="1"/>
      <c r="Q9" s="1"/>
      <c r="R9" s="1"/>
      <c r="S9" s="1"/>
      <c r="T9" s="1"/>
      <c r="U9" s="1"/>
      <c r="V9" s="1"/>
      <c r="W9" s="1"/>
      <c r="X9" s="1"/>
      <c r="Y9" s="1"/>
      <c r="Z9" s="1"/>
      <c r="AA9" s="1"/>
      <c r="AB9" s="1"/>
      <c r="AC9" s="1"/>
    </row>
    <row r="10" spans="1:29" ht="15" x14ac:dyDescent="0.25">
      <c r="A10" s="1" t="s">
        <v>87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ht="15" x14ac:dyDescent="0.25">
      <c r="A11" s="1" t="s">
        <v>88</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ht="15" x14ac:dyDescent="0.25">
      <c r="A12" s="1" t="s">
        <v>233</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ht="15"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ht="15"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ht="15" x14ac:dyDescent="0.25">
      <c r="A15" s="64" t="s">
        <v>577</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ht="15" x14ac:dyDescent="0.25">
      <c r="A16" s="1" t="str">
        <f>'Cost Assumptions'!C3&amp;" : "&amp;'Cost Assumptions'!C4</f>
        <v>NS Dept of Energy : NS DOE</v>
      </c>
      <c r="B16" s="1" t="str">
        <f>'Cost Assumptions'!E3&amp;" : "&amp;'Cost Assumptions'!E4</f>
        <v>Set1 : Example</v>
      </c>
      <c r="C16" s="1" t="str">
        <f>'Cost Assumptions'!G3&amp;" : "&amp;'Cost Assumptions'!G4</f>
        <v xml:space="preserve">Set2 : </v>
      </c>
      <c r="D16" s="1" t="str">
        <f>'Cost Assumptions'!I3&amp;" : "&amp;'Cost Assumptions'!I4</f>
        <v xml:space="preserve">Set3 : </v>
      </c>
      <c r="E16" s="1" t="str">
        <f>'Cost Assumptions'!K3&amp;" : "&amp;'Cost Assumptions'!K4</f>
        <v xml:space="preserve">Set4 : </v>
      </c>
      <c r="F16" s="1"/>
      <c r="G16" s="1"/>
      <c r="H16" s="1"/>
      <c r="I16" s="1"/>
      <c r="J16" s="1"/>
      <c r="K16" s="1"/>
      <c r="L16" s="1"/>
      <c r="M16" s="1"/>
      <c r="N16" s="1"/>
      <c r="O16" s="1"/>
      <c r="P16" s="1"/>
      <c r="Q16" s="1"/>
      <c r="R16" s="1"/>
      <c r="S16" s="1"/>
      <c r="T16" s="1"/>
      <c r="U16" s="1"/>
      <c r="V16" s="1"/>
      <c r="W16" s="1"/>
      <c r="X16" s="1"/>
      <c r="Y16" s="1"/>
      <c r="Z16" s="1"/>
      <c r="AA16" s="1"/>
      <c r="AB16" s="1"/>
      <c r="AC16" s="1"/>
    </row>
    <row r="17" spans="1:29" ht="1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ht="15" x14ac:dyDescent="0.25">
      <c r="A18" s="64" t="s">
        <v>72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ht="15" x14ac:dyDescent="0.25">
      <c r="A19" s="65" t="str">
        <f>'Economic Assumptions'!B4</f>
        <v>Base</v>
      </c>
      <c r="B19" s="65" t="str">
        <f>'Economic Assumptions'!L4</f>
        <v>Base +1.5% /y</v>
      </c>
      <c r="C19" s="65" t="str">
        <f>'Economic Assumptions'!V4</f>
        <v>Base + 3%/y</v>
      </c>
      <c r="D19" s="65" t="str">
        <f>'Economic Assumptions'!AF4</f>
        <v>Base - 1.5%/y</v>
      </c>
      <c r="E19" s="65" t="str">
        <f>'Economic Assumptions'!AP4</f>
        <v>Flat Real</v>
      </c>
      <c r="F19" s="1"/>
      <c r="G19" s="1"/>
      <c r="H19" s="1"/>
      <c r="I19" s="1"/>
      <c r="J19" s="1"/>
      <c r="K19" s="1"/>
      <c r="L19" s="1"/>
      <c r="M19" s="1"/>
      <c r="N19" s="1"/>
      <c r="O19" s="1"/>
      <c r="P19" s="1"/>
      <c r="Q19" s="1"/>
      <c r="R19" s="1"/>
      <c r="S19" s="1"/>
      <c r="T19" s="1"/>
      <c r="U19" s="1"/>
      <c r="V19" s="1"/>
      <c r="W19" s="1"/>
      <c r="X19" s="1"/>
      <c r="Y19" s="1"/>
      <c r="Z19" s="1"/>
      <c r="AA19" s="1"/>
      <c r="AB19" s="1"/>
      <c r="AC19" s="1"/>
    </row>
    <row r="20" spans="1:29" ht="15" x14ac:dyDescent="0.25">
      <c r="A20" s="1" t="str">
        <f>'Economic Assumptions'!B3&amp;" : "&amp;'Economic Assumptions'!B4</f>
        <v>Scenario 1 : Base</v>
      </c>
      <c r="B20" s="1" t="str">
        <f>'Economic Assumptions'!L3&amp;" : "&amp;'Economic Assumptions'!L4</f>
        <v>Scenario 2 : Base +1.5% /y</v>
      </c>
      <c r="C20" s="1" t="str">
        <f>'Economic Assumptions'!V3&amp;" : "&amp;'Economic Assumptions'!V4</f>
        <v>Scenario 3 : Base + 3%/y</v>
      </c>
      <c r="D20" s="1" t="str">
        <f>'Economic Assumptions'!AF3&amp;" : "&amp;'Economic Assumptions'!AF4</f>
        <v>Scenario 4 : Base - 1.5%/y</v>
      </c>
      <c r="E20" s="1" t="str">
        <f>'Economic Assumptions'!AP3&amp;" : "&amp;'Economic Assumptions'!AP4</f>
        <v>Scenario 5 : Flat Real</v>
      </c>
      <c r="F20" s="1"/>
      <c r="G20" s="1"/>
      <c r="H20" s="1"/>
      <c r="I20" s="1"/>
      <c r="J20" s="1"/>
      <c r="K20" s="1"/>
      <c r="L20" s="1"/>
      <c r="M20" s="1"/>
      <c r="N20" s="1"/>
      <c r="O20" s="49" t="s">
        <v>708</v>
      </c>
      <c r="P20" s="1"/>
      <c r="Q20" s="1"/>
      <c r="R20" s="1"/>
      <c r="S20" s="1"/>
      <c r="T20" s="1"/>
      <c r="U20" s="1"/>
      <c r="V20" s="49" t="s">
        <v>707</v>
      </c>
      <c r="W20" s="1"/>
      <c r="X20" s="1"/>
      <c r="Y20" s="1"/>
      <c r="Z20" s="1"/>
      <c r="AA20" s="1"/>
      <c r="AB20" s="1"/>
      <c r="AC20" s="1"/>
    </row>
    <row r="21" spans="1:29" ht="15" x14ac:dyDescent="0.25">
      <c r="A21" s="64" t="s">
        <v>578</v>
      </c>
      <c r="B21" s="1"/>
      <c r="C21" s="1"/>
      <c r="D21" s="1"/>
      <c r="E21" s="1"/>
      <c r="F21" s="1"/>
      <c r="G21" s="1"/>
      <c r="H21" s="1"/>
      <c r="I21" s="1"/>
      <c r="J21" s="1"/>
      <c r="K21" s="1"/>
      <c r="L21" s="1"/>
      <c r="M21" s="1"/>
      <c r="N21" s="1"/>
      <c r="O21" s="49" t="s">
        <v>340</v>
      </c>
      <c r="P21" s="49"/>
      <c r="Q21" s="49" t="s">
        <v>647</v>
      </c>
      <c r="R21" s="1"/>
      <c r="S21" s="1"/>
      <c r="T21" s="49" t="s">
        <v>698</v>
      </c>
      <c r="U21" s="1"/>
      <c r="V21" s="49" t="s">
        <v>582</v>
      </c>
      <c r="W21" s="49" t="s">
        <v>697</v>
      </c>
      <c r="X21" s="1"/>
      <c r="Y21" s="1"/>
      <c r="Z21" s="1"/>
      <c r="AA21" s="1"/>
      <c r="AB21" s="1"/>
      <c r="AC21" s="1"/>
    </row>
    <row r="22" spans="1:29" ht="15" x14ac:dyDescent="0.25">
      <c r="A22" s="1" t="str">
        <f>IF(Input!$B$11=Lists!$A$60,Lists!Q22,Lists!O22)</f>
        <v>To Infrastructure</v>
      </c>
      <c r="B22" s="1" t="s">
        <v>579</v>
      </c>
      <c r="C22" s="1"/>
      <c r="D22" s="1"/>
      <c r="E22" s="1"/>
      <c r="F22" s="1"/>
      <c r="G22" s="1"/>
      <c r="H22" s="1"/>
      <c r="I22" s="1"/>
      <c r="J22" s="1"/>
      <c r="K22" s="1"/>
      <c r="L22" s="1"/>
      <c r="M22" s="1"/>
      <c r="N22" s="1"/>
      <c r="O22" s="1" t="str">
        <f>IF(OR(Input!$B$14=$O$32,Input!$B$14=Lists!$O$38),Lists!V22,Lists!W22)</f>
        <v>To Infrastructure</v>
      </c>
      <c r="P22" s="1"/>
      <c r="Q22" s="1" t="str">
        <f>Direct_Pipeline_Tie_in</f>
        <v>To Infrastructure</v>
      </c>
      <c r="R22" s="1"/>
      <c r="S22" s="1"/>
      <c r="T22" s="1"/>
      <c r="U22" s="1"/>
      <c r="V22" s="86" t="s">
        <v>671</v>
      </c>
      <c r="W22" s="1" t="str">
        <f>Q33</f>
        <v>To Infrastructure</v>
      </c>
      <c r="X22" s="1"/>
      <c r="Y22" s="1"/>
      <c r="Z22" s="1"/>
      <c r="AA22" s="1"/>
      <c r="AB22" s="1"/>
      <c r="AC22" s="1"/>
    </row>
    <row r="23" spans="1:29" ht="15" x14ac:dyDescent="0.25">
      <c r="A23" s="1" t="str">
        <f>IF(Input!$B$11=Lists!$A$60,Lists!Q23,Lists!O23)</f>
        <v>To Shore</v>
      </c>
      <c r="B23" s="1" t="s">
        <v>580</v>
      </c>
      <c r="C23" s="1"/>
      <c r="D23" s="1"/>
      <c r="E23" s="1"/>
      <c r="F23" s="1"/>
      <c r="G23" s="1"/>
      <c r="H23" s="1"/>
      <c r="I23" s="1"/>
      <c r="J23" s="1"/>
      <c r="K23" s="1"/>
      <c r="L23" s="1"/>
      <c r="M23" s="1"/>
      <c r="N23" s="1"/>
      <c r="O23" s="1" t="str">
        <f>IF(OR(Input!$B$14=$O$32,Input!$B$14=Lists!$O$38),Lists!V23,Lists!W23)</f>
        <v>To Shore</v>
      </c>
      <c r="P23" s="1"/>
      <c r="Q23" s="86" t="str">
        <f>Shore</f>
        <v>To Shore</v>
      </c>
      <c r="R23" s="1"/>
      <c r="S23" s="1"/>
      <c r="T23" s="1"/>
      <c r="U23" s="1"/>
      <c r="V23" s="86" t="s">
        <v>671</v>
      </c>
      <c r="W23" s="1" t="str">
        <f>Q34</f>
        <v>To Shore</v>
      </c>
      <c r="X23" s="1"/>
      <c r="Y23" s="1"/>
      <c r="Z23" s="1"/>
      <c r="AA23" s="1"/>
      <c r="AB23" s="1"/>
      <c r="AC23" s="1"/>
    </row>
    <row r="24" spans="1:29" ht="15" x14ac:dyDescent="0.25">
      <c r="A24" s="1" t="str">
        <f>IF(Input!$B$11=Lists!$A$60,Lists!Q24,Lists!O24)</f>
        <v>Re-inject</v>
      </c>
      <c r="B24" s="1" t="s">
        <v>581</v>
      </c>
      <c r="C24" s="1"/>
      <c r="D24" s="1"/>
      <c r="E24" s="1"/>
      <c r="F24" s="1"/>
      <c r="G24" s="1"/>
      <c r="H24" s="1"/>
      <c r="I24" s="1"/>
      <c r="J24" s="1"/>
      <c r="K24" s="1"/>
      <c r="L24" s="1"/>
      <c r="M24" s="1"/>
      <c r="N24" s="1"/>
      <c r="O24" s="1" t="str">
        <f>IF(OR(Input!$B$14=$O$32,Input!$B$14=Lists!$O$38),Lists!V24,Lists!W24)</f>
        <v/>
      </c>
      <c r="P24" s="1"/>
      <c r="Q24" s="86" t="str">
        <f>Q36</f>
        <v>Re-inject</v>
      </c>
      <c r="R24" s="1"/>
      <c r="S24" s="1"/>
      <c r="T24" s="1"/>
      <c r="U24" s="1"/>
      <c r="V24" s="86" t="s">
        <v>671</v>
      </c>
      <c r="W24" s="86" t="s">
        <v>671</v>
      </c>
      <c r="X24" s="1"/>
      <c r="Y24" s="1"/>
      <c r="Z24" s="1"/>
      <c r="AA24" s="1"/>
      <c r="AB24" s="1"/>
      <c r="AC24" s="1"/>
    </row>
    <row r="25" spans="1:29" ht="15" x14ac:dyDescent="0.25">
      <c r="A25" s="1"/>
      <c r="B25" s="1"/>
      <c r="C25" s="1"/>
      <c r="D25" s="1"/>
      <c r="E25" s="1"/>
      <c r="F25" s="1"/>
      <c r="G25" s="1"/>
      <c r="H25" s="1"/>
      <c r="I25" s="1"/>
      <c r="J25" s="1"/>
      <c r="K25" s="1"/>
      <c r="L25" s="1"/>
      <c r="M25" s="1"/>
      <c r="N25" s="1"/>
      <c r="O25" s="49" t="s">
        <v>709</v>
      </c>
      <c r="P25" s="1"/>
      <c r="Q25" s="1"/>
      <c r="R25" s="1"/>
      <c r="S25" s="1"/>
      <c r="T25" s="1"/>
      <c r="U25" s="1"/>
      <c r="V25" s="1"/>
      <c r="W25" s="1"/>
      <c r="X25" s="1"/>
      <c r="Y25" s="1"/>
      <c r="Z25" s="1"/>
      <c r="AA25" s="1"/>
      <c r="AB25" s="1"/>
      <c r="AC25" s="1"/>
    </row>
    <row r="26" spans="1:29" ht="15" x14ac:dyDescent="0.25">
      <c r="A26" s="64" t="s">
        <v>80</v>
      </c>
      <c r="B26" s="1"/>
      <c r="C26" s="1"/>
      <c r="D26" s="1"/>
      <c r="E26" s="1"/>
      <c r="F26" s="1"/>
      <c r="G26" s="1"/>
      <c r="H26" s="1"/>
      <c r="I26" s="1"/>
      <c r="J26" s="1"/>
      <c r="K26" s="1"/>
      <c r="L26" s="1"/>
      <c r="M26" s="1"/>
      <c r="N26" s="1"/>
      <c r="O26" s="1" t="s">
        <v>340</v>
      </c>
      <c r="P26" s="1"/>
      <c r="Q26" s="1" t="s">
        <v>647</v>
      </c>
      <c r="R26" s="1"/>
      <c r="S26" s="1"/>
      <c r="T26" s="1"/>
      <c r="U26" s="1"/>
      <c r="V26" s="49" t="s">
        <v>706</v>
      </c>
      <c r="W26" s="1"/>
      <c r="X26" s="1"/>
      <c r="Y26" s="1"/>
      <c r="Z26" s="1"/>
      <c r="AA26" s="1" t="s">
        <v>710</v>
      </c>
      <c r="AB26" s="1"/>
      <c r="AC26" s="1"/>
    </row>
    <row r="27" spans="1:29" ht="15" x14ac:dyDescent="0.25">
      <c r="A27" s="1" t="str">
        <f>IF(Input!$B$11=Lists!$A$60,Lists!Q27,Lists!O27)</f>
        <v>FPSO</v>
      </c>
      <c r="B27" s="1"/>
      <c r="C27" s="1"/>
      <c r="D27" s="1"/>
      <c r="E27" s="1"/>
      <c r="F27" s="1"/>
      <c r="G27" s="1"/>
      <c r="H27" s="1"/>
      <c r="I27" s="1"/>
      <c r="J27" s="1"/>
      <c r="K27" s="1"/>
      <c r="L27" s="1"/>
      <c r="M27" s="1"/>
      <c r="N27" s="1"/>
      <c r="O27" s="1" t="str">
        <f>HLOOKUP(Input!$B$13,Lists!$V$27:$X$31,2)</f>
        <v>Semi / SPAR</v>
      </c>
      <c r="P27" s="1"/>
      <c r="Q27" s="1" t="str">
        <f>HLOOKUP(Input!$B$13,$AA$27:$AB$30,2)</f>
        <v>FPSO</v>
      </c>
      <c r="R27" s="1"/>
      <c r="S27" s="1"/>
      <c r="T27" s="49" t="s">
        <v>705</v>
      </c>
      <c r="U27" s="1"/>
      <c r="V27" s="90">
        <v>0</v>
      </c>
      <c r="W27" s="90">
        <v>110</v>
      </c>
      <c r="X27" s="90">
        <v>200</v>
      </c>
      <c r="Y27" s="1"/>
      <c r="Z27" s="49" t="s">
        <v>705</v>
      </c>
      <c r="AA27" s="49">
        <v>0</v>
      </c>
      <c r="AB27" s="49">
        <v>200</v>
      </c>
      <c r="AC27" s="1"/>
    </row>
    <row r="28" spans="1:29" ht="15" x14ac:dyDescent="0.25">
      <c r="A28" s="1" t="str">
        <f>IF(Input!$B$11=Lists!$A$60,Lists!Q28,Lists!O28)</f>
        <v/>
      </c>
      <c r="B28" s="1"/>
      <c r="C28" s="1"/>
      <c r="D28" s="1"/>
      <c r="E28" s="1"/>
      <c r="F28" s="1"/>
      <c r="G28" s="1"/>
      <c r="H28" s="1"/>
      <c r="I28" s="1"/>
      <c r="J28" s="1"/>
      <c r="K28" s="1"/>
      <c r="L28" s="1"/>
      <c r="M28" s="1"/>
      <c r="N28" s="1"/>
      <c r="O28" s="1" t="str">
        <f>HLOOKUP(Input!$B$13,Lists!$V$27:$X$31,3)</f>
        <v>Subsea to Infrastructure</v>
      </c>
      <c r="P28" s="1"/>
      <c r="Q28" s="1" t="str">
        <f>HLOOKUP(Input!$B$13,$AA$27:$AB$30,3)</f>
        <v/>
      </c>
      <c r="R28" s="1"/>
      <c r="S28" s="1"/>
      <c r="T28" s="1"/>
      <c r="U28" s="1"/>
      <c r="V28" s="1" t="str">
        <f>O33</f>
        <v>Fixed Platform</v>
      </c>
      <c r="W28" s="1" t="str">
        <f>O33</f>
        <v>Fixed Platform</v>
      </c>
      <c r="X28" s="1" t="str">
        <f>O36</f>
        <v>Semi / SPAR</v>
      </c>
      <c r="Y28" s="1"/>
      <c r="Z28" s="1"/>
      <c r="AA28" s="1" t="str">
        <f>O35</f>
        <v>FPSO</v>
      </c>
      <c r="AB28" s="1" t="str">
        <f>O35</f>
        <v>FPSO</v>
      </c>
      <c r="AC28" s="1"/>
    </row>
    <row r="29" spans="1:29" ht="15" x14ac:dyDescent="0.25">
      <c r="A29" s="1" t="str">
        <f>IF(Input!$B$11=Lists!$A$60,Lists!Q29,Lists!O29)</f>
        <v/>
      </c>
      <c r="B29" s="1"/>
      <c r="C29" s="1"/>
      <c r="D29" s="1"/>
      <c r="E29" s="1"/>
      <c r="F29" s="1"/>
      <c r="G29" s="1"/>
      <c r="H29" s="1"/>
      <c r="I29" s="1"/>
      <c r="J29" s="1"/>
      <c r="K29" s="1"/>
      <c r="L29" s="1"/>
      <c r="M29" s="1"/>
      <c r="N29" s="1"/>
      <c r="O29" s="1" t="str">
        <f>HLOOKUP(Input!$B$13,Lists!$V$27:$X$31,4)</f>
        <v/>
      </c>
      <c r="P29" s="1"/>
      <c r="Q29" s="1" t="str">
        <f>HLOOKUP(Input!$B$13,$AA$27:$AB$30,4)</f>
        <v/>
      </c>
      <c r="R29" s="1"/>
      <c r="S29" s="1"/>
      <c r="T29" s="1"/>
      <c r="U29" s="1"/>
      <c r="V29" s="1" t="str">
        <f>O34</f>
        <v>Jack-up</v>
      </c>
      <c r="W29" s="1" t="str">
        <f>IF(Input!$B$12&lt;=Lists!W$32,Lists!$O$32,"")</f>
        <v>Subsea to Infrastructure</v>
      </c>
      <c r="X29" s="1" t="str">
        <f>IF(Input!$B$12&lt;=Lists!X$32,Lists!$O$32,"")</f>
        <v>Subsea to Infrastructure</v>
      </c>
      <c r="Y29" s="1"/>
      <c r="Z29" s="1"/>
      <c r="AA29" s="1" t="str">
        <f>IF(Input!$B$12&lt;=Lists!AA31,Lists!$O$37,"")</f>
        <v>Leased FPS0</v>
      </c>
      <c r="AB29" s="1" t="str">
        <f>IF(Input!$B$12&lt;=Lists!AB31,Lists!$O$37,"")</f>
        <v/>
      </c>
      <c r="AC29" s="1"/>
    </row>
    <row r="30" spans="1:29" ht="15" x14ac:dyDescent="0.25">
      <c r="A30" s="1" t="str">
        <f>IF(Input!$B$11=Lists!$A$60,Lists!Q30,Lists!O30)</f>
        <v/>
      </c>
      <c r="B30" s="1"/>
      <c r="C30" s="1"/>
      <c r="D30" s="1"/>
      <c r="E30" s="1"/>
      <c r="F30" s="1"/>
      <c r="G30" s="1"/>
      <c r="H30" s="1"/>
      <c r="I30" s="1"/>
      <c r="J30" s="1"/>
      <c r="K30" s="1"/>
      <c r="L30" s="1"/>
      <c r="M30" s="1"/>
      <c r="N30" s="1"/>
      <c r="O30" s="1" t="str">
        <f>HLOOKUP(Input!$B$13,Lists!$V$27:$X$31,5)</f>
        <v/>
      </c>
      <c r="P30" s="1"/>
      <c r="Q30" s="86" t="s">
        <v>671</v>
      </c>
      <c r="R30" s="1"/>
      <c r="S30" s="1"/>
      <c r="T30" s="1"/>
      <c r="U30" s="1"/>
      <c r="V30" s="1" t="str">
        <f>IF(Input!$B$12&lt;=Lists!V$32,Lists!$O$32,"")</f>
        <v>Subsea to Infrastructure</v>
      </c>
      <c r="W30" s="1" t="str">
        <f>IF(Input!B12&lt;=Lists!W33,Lists!O38,"")</f>
        <v>Minimal Processing Platform</v>
      </c>
      <c r="X30" s="86" t="s">
        <v>671</v>
      </c>
      <c r="Y30" s="1"/>
      <c r="Z30" s="1"/>
      <c r="AA30" s="86" t="s">
        <v>671</v>
      </c>
      <c r="AB30" s="86" t="s">
        <v>671</v>
      </c>
      <c r="AC30" s="1"/>
    </row>
    <row r="31" spans="1:29" ht="15" x14ac:dyDescent="0.25">
      <c r="A31" s="64" t="s">
        <v>584</v>
      </c>
      <c r="B31" s="1"/>
      <c r="C31" s="1"/>
      <c r="D31" s="1"/>
      <c r="E31" s="1"/>
      <c r="F31" s="1"/>
      <c r="G31" s="1"/>
      <c r="H31" s="1"/>
      <c r="I31" s="1"/>
      <c r="J31" s="1"/>
      <c r="K31" s="1"/>
      <c r="L31" s="1"/>
      <c r="M31" s="1"/>
      <c r="N31" s="1"/>
      <c r="O31" s="49" t="s">
        <v>699</v>
      </c>
      <c r="P31" s="1"/>
      <c r="Q31" s="49" t="s">
        <v>736</v>
      </c>
      <c r="R31" s="1"/>
      <c r="S31" s="1"/>
      <c r="T31" s="1"/>
      <c r="U31" s="1"/>
      <c r="V31" s="1" t="str">
        <f>IF(Input!B12&lt;=Lists!V33,Lists!O38,"")</f>
        <v>Minimal Processing Platform</v>
      </c>
      <c r="W31" s="86" t="s">
        <v>671</v>
      </c>
      <c r="X31" s="86" t="s">
        <v>671</v>
      </c>
      <c r="Y31" s="1"/>
      <c r="Z31" s="1" t="s">
        <v>711</v>
      </c>
      <c r="AA31" s="1">
        <v>1000</v>
      </c>
      <c r="AB31" s="1"/>
      <c r="AC31" s="1"/>
    </row>
    <row r="32" spans="1:29" ht="15" x14ac:dyDescent="0.25">
      <c r="A32" s="1" t="s">
        <v>585</v>
      </c>
      <c r="B32" s="1" t="s">
        <v>586</v>
      </c>
      <c r="C32" s="1"/>
      <c r="D32" s="1"/>
      <c r="E32" s="1"/>
      <c r="F32" s="1"/>
      <c r="G32" s="1"/>
      <c r="H32" s="1"/>
      <c r="I32" s="1"/>
      <c r="J32" s="1"/>
      <c r="K32" s="1"/>
      <c r="L32" s="1"/>
      <c r="M32" s="1"/>
      <c r="N32" s="1"/>
      <c r="O32" s="1" t="s">
        <v>854</v>
      </c>
      <c r="P32" s="1"/>
      <c r="Q32" s="1" t="s">
        <v>861</v>
      </c>
      <c r="R32" s="1"/>
      <c r="S32" s="1"/>
      <c r="T32" s="49" t="s">
        <v>704</v>
      </c>
      <c r="U32" s="49"/>
      <c r="V32" s="49">
        <v>500</v>
      </c>
      <c r="W32" s="49">
        <v>500</v>
      </c>
      <c r="X32" s="49">
        <v>1500</v>
      </c>
      <c r="Y32" s="1"/>
      <c r="Z32" s="1"/>
      <c r="AA32" s="1"/>
      <c r="AB32" s="1"/>
      <c r="AC32" s="1"/>
    </row>
    <row r="33" spans="1:29" ht="15" x14ac:dyDescent="0.25">
      <c r="A33" s="1" t="s">
        <v>587</v>
      </c>
      <c r="B33" s="1" t="s">
        <v>588</v>
      </c>
      <c r="C33" s="1"/>
      <c r="D33" s="1"/>
      <c r="E33" s="1"/>
      <c r="F33" s="1"/>
      <c r="G33" s="1"/>
      <c r="H33" s="1"/>
      <c r="I33" s="1"/>
      <c r="J33" s="1"/>
      <c r="K33" s="1"/>
      <c r="L33" s="1"/>
      <c r="M33" s="1"/>
      <c r="N33" s="1"/>
      <c r="O33" s="1" t="s">
        <v>583</v>
      </c>
      <c r="P33" s="1"/>
      <c r="Q33" s="1" t="s">
        <v>855</v>
      </c>
      <c r="R33" s="1"/>
      <c r="S33" s="1"/>
      <c r="T33" s="49" t="s">
        <v>887</v>
      </c>
      <c r="U33" s="1"/>
      <c r="V33" s="49">
        <v>300</v>
      </c>
      <c r="W33" s="49">
        <v>300</v>
      </c>
      <c r="X33" s="49">
        <v>1000</v>
      </c>
      <c r="Y33" s="1"/>
      <c r="Z33" s="1"/>
      <c r="AA33" s="1"/>
      <c r="AB33" s="1"/>
      <c r="AC33" s="1"/>
    </row>
    <row r="34" spans="1:29" ht="15" x14ac:dyDescent="0.25">
      <c r="A34" s="1"/>
      <c r="B34" s="1"/>
      <c r="C34" s="1"/>
      <c r="D34" s="1"/>
      <c r="E34" s="1"/>
      <c r="F34" s="1"/>
      <c r="G34" s="1"/>
      <c r="H34" s="1"/>
      <c r="I34" s="1"/>
      <c r="J34" s="1"/>
      <c r="K34" s="1"/>
      <c r="L34" s="1"/>
      <c r="M34" s="1"/>
      <c r="N34" s="1"/>
      <c r="O34" s="1" t="s">
        <v>695</v>
      </c>
      <c r="P34" s="1"/>
      <c r="Q34" s="1" t="s">
        <v>856</v>
      </c>
      <c r="R34" s="1"/>
      <c r="S34" s="1"/>
      <c r="T34" s="1"/>
      <c r="U34" s="1"/>
      <c r="V34" s="1"/>
      <c r="W34" s="1"/>
      <c r="X34" s="1"/>
      <c r="Y34" s="1"/>
      <c r="Z34" s="1"/>
      <c r="AA34" s="1"/>
      <c r="AB34" s="1"/>
      <c r="AC34" s="1"/>
    </row>
    <row r="35" spans="1:29" ht="15" x14ac:dyDescent="0.25">
      <c r="A35" s="64" t="s">
        <v>589</v>
      </c>
      <c r="B35" s="1"/>
      <c r="C35" s="1"/>
      <c r="D35" s="1"/>
      <c r="E35" s="1"/>
      <c r="F35" s="1"/>
      <c r="G35" s="1"/>
      <c r="H35" s="1"/>
      <c r="I35" s="1"/>
      <c r="J35" s="1"/>
      <c r="K35" s="1"/>
      <c r="L35" s="1"/>
      <c r="M35" s="1"/>
      <c r="N35" s="1"/>
      <c r="O35" s="1" t="s">
        <v>851</v>
      </c>
      <c r="P35" s="1"/>
      <c r="Q35" s="1" t="s">
        <v>696</v>
      </c>
      <c r="R35" s="1"/>
      <c r="S35" s="1"/>
      <c r="T35" s="1"/>
      <c r="U35" s="1"/>
      <c r="V35" s="1"/>
      <c r="W35" s="1"/>
      <c r="X35" s="1"/>
      <c r="Y35" s="1"/>
      <c r="Z35" s="1"/>
      <c r="AA35" s="1"/>
      <c r="AB35" s="1"/>
      <c r="AC35" s="1"/>
    </row>
    <row r="36" spans="1:29" ht="15" x14ac:dyDescent="0.25">
      <c r="A36" s="1" t="s">
        <v>141</v>
      </c>
      <c r="B36" s="1"/>
      <c r="C36" s="1"/>
      <c r="D36" s="1"/>
      <c r="E36" s="1"/>
      <c r="F36" s="1"/>
      <c r="G36" s="1"/>
      <c r="H36" s="1"/>
      <c r="I36" s="1"/>
      <c r="J36" s="1"/>
      <c r="K36" s="1"/>
      <c r="L36" s="1"/>
      <c r="M36" s="1"/>
      <c r="N36" s="1"/>
      <c r="O36" s="1" t="s">
        <v>852</v>
      </c>
      <c r="P36" s="1"/>
      <c r="Q36" s="1" t="s">
        <v>860</v>
      </c>
      <c r="R36" s="1"/>
      <c r="S36" s="1"/>
      <c r="T36" s="1"/>
      <c r="U36" s="1"/>
      <c r="V36" s="1"/>
      <c r="W36" s="1"/>
      <c r="X36" s="1"/>
      <c r="Y36" s="1"/>
      <c r="Z36" s="1"/>
      <c r="AA36" s="1"/>
      <c r="AB36" s="1"/>
      <c r="AC36" s="1"/>
    </row>
    <row r="37" spans="1:29" ht="15" x14ac:dyDescent="0.25">
      <c r="A37" s="1" t="s">
        <v>590</v>
      </c>
      <c r="B37" s="1"/>
      <c r="C37" s="1"/>
      <c r="D37" s="1"/>
      <c r="E37" s="1"/>
      <c r="F37" s="1"/>
      <c r="G37" s="1"/>
      <c r="H37" s="1"/>
      <c r="I37" s="1"/>
      <c r="J37" s="1"/>
      <c r="K37" s="1"/>
      <c r="L37" s="1"/>
      <c r="M37" s="1"/>
      <c r="N37" s="1"/>
      <c r="O37" s="1" t="s">
        <v>853</v>
      </c>
      <c r="P37" s="1"/>
      <c r="Q37" s="1"/>
      <c r="R37" s="1"/>
      <c r="S37" s="1"/>
      <c r="T37" s="1"/>
      <c r="U37" s="1"/>
      <c r="V37" s="1"/>
      <c r="W37" s="1"/>
      <c r="X37" s="1"/>
      <c r="Y37" s="1"/>
      <c r="Z37" s="1"/>
      <c r="AA37" s="1"/>
      <c r="AB37" s="1"/>
      <c r="AC37" s="1"/>
    </row>
    <row r="38" spans="1:29" ht="15" x14ac:dyDescent="0.25">
      <c r="A38" s="1"/>
      <c r="B38" s="1"/>
      <c r="C38" s="1"/>
      <c r="D38" s="1"/>
      <c r="E38" s="1"/>
      <c r="F38" s="1"/>
      <c r="G38" s="1"/>
      <c r="H38" s="1"/>
      <c r="I38" s="1"/>
      <c r="J38" s="1"/>
      <c r="K38" s="1"/>
      <c r="L38" s="1"/>
      <c r="M38" s="1"/>
      <c r="N38" s="1"/>
      <c r="O38" s="1" t="s">
        <v>864</v>
      </c>
      <c r="P38" s="1"/>
      <c r="Q38" s="1"/>
      <c r="R38" s="1"/>
      <c r="S38" s="1"/>
      <c r="T38" s="1"/>
      <c r="U38" s="1"/>
      <c r="V38" s="1"/>
      <c r="W38" s="1"/>
      <c r="X38" s="1"/>
      <c r="Y38" s="1"/>
      <c r="Z38" s="1"/>
      <c r="AA38" s="1"/>
      <c r="AB38" s="1"/>
      <c r="AC38" s="1"/>
    </row>
    <row r="39" spans="1:29" ht="15" x14ac:dyDescent="0.25">
      <c r="A39" s="64" t="s">
        <v>452</v>
      </c>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 x14ac:dyDescent="0.25">
      <c r="A40" s="1" t="s">
        <v>116</v>
      </c>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 x14ac:dyDescent="0.25">
      <c r="A41" s="1" t="s">
        <v>92</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x14ac:dyDescent="0.3">
      <c r="A42" s="1" t="s">
        <v>117</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x14ac:dyDescent="0.3">
      <c r="A44" s="64" t="s">
        <v>91</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x14ac:dyDescent="0.3">
      <c r="A45" s="1" t="s">
        <v>116</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x14ac:dyDescent="0.3">
      <c r="A46" s="1" t="s">
        <v>92</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x14ac:dyDescent="0.3">
      <c r="A47" s="1" t="s">
        <v>117</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x14ac:dyDescent="0.3">
      <c r="A49" s="64" t="s">
        <v>591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x14ac:dyDescent="0.3">
      <c r="A50" s="1" t="s">
        <v>107</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x14ac:dyDescent="0.3">
      <c r="A51" s="1" t="s">
        <v>104</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x14ac:dyDescent="0.3">
      <c r="A53" s="64" t="s">
        <v>65</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x14ac:dyDescent="0.3">
      <c r="A54" s="1" t="s">
        <v>66</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3">
      <c r="A55" s="1" t="s">
        <v>592</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x14ac:dyDescent="0.3">
      <c r="A56" s="1" t="s">
        <v>593</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x14ac:dyDescent="0.3">
      <c r="A58" s="64" t="s">
        <v>646</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x14ac:dyDescent="0.3">
      <c r="A59" s="1" t="s">
        <v>340</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x14ac:dyDescent="0.3">
      <c r="A60" s="1" t="s">
        <v>647</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x14ac:dyDescent="0.3">
      <c r="A62" s="64" t="s">
        <v>594</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x14ac:dyDescent="0.3">
      <c r="A63" s="1" t="s">
        <v>99</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x14ac:dyDescent="0.3">
      <c r="A64" s="1" t="s">
        <v>595</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x14ac:dyDescent="0.3">
      <c r="A66" s="1"/>
      <c r="B66" s="1" t="s">
        <v>596</v>
      </c>
      <c r="C66" s="1" t="s">
        <v>597</v>
      </c>
      <c r="D66" s="1"/>
      <c r="E66" s="1"/>
      <c r="F66" s="1"/>
      <c r="G66" s="1"/>
      <c r="H66" s="1"/>
      <c r="I66" s="1"/>
      <c r="J66" s="1"/>
      <c r="K66" s="1"/>
      <c r="L66" s="1"/>
      <c r="M66" s="1"/>
      <c r="N66" s="1"/>
      <c r="O66" s="49"/>
      <c r="P66" s="1"/>
      <c r="Q66" s="1"/>
      <c r="R66" s="1"/>
      <c r="S66" s="1"/>
      <c r="T66" s="1"/>
      <c r="U66" s="1"/>
      <c r="V66" s="1"/>
      <c r="W66" s="1"/>
      <c r="X66" s="1"/>
      <c r="Y66" s="1"/>
      <c r="Z66" s="1"/>
      <c r="AA66" s="1"/>
      <c r="AB66" s="1"/>
      <c r="AC66" s="1"/>
    </row>
    <row r="67" spans="1:29" x14ac:dyDescent="0.3">
      <c r="A67" s="1" t="s">
        <v>582</v>
      </c>
      <c r="B67" s="1" t="s">
        <v>598</v>
      </c>
      <c r="C67" s="1" t="s">
        <v>599</v>
      </c>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x14ac:dyDescent="0.3">
      <c r="A68" s="1" t="s">
        <v>583</v>
      </c>
      <c r="B68" s="1" t="s">
        <v>600</v>
      </c>
      <c r="C68" s="1" t="s">
        <v>107</v>
      </c>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x14ac:dyDescent="0.3">
      <c r="A69" s="1" t="s">
        <v>601</v>
      </c>
      <c r="B69" s="1" t="s">
        <v>600</v>
      </c>
      <c r="C69" s="1" t="s">
        <v>107</v>
      </c>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x14ac:dyDescent="0.3">
      <c r="A70" s="1" t="s">
        <v>602</v>
      </c>
      <c r="B70" s="1" t="s">
        <v>598</v>
      </c>
      <c r="C70" s="1" t="s">
        <v>107</v>
      </c>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x14ac:dyDescent="0.3">
      <c r="A72" s="64" t="s">
        <v>358</v>
      </c>
      <c r="B72" s="1"/>
      <c r="C72" s="1"/>
      <c r="D72" s="1" t="s">
        <v>603</v>
      </c>
      <c r="E72" s="1"/>
      <c r="F72" s="1"/>
      <c r="G72" s="1"/>
      <c r="H72" s="1"/>
      <c r="I72" s="1"/>
      <c r="J72" s="1"/>
      <c r="K72" s="1"/>
      <c r="L72" s="1"/>
      <c r="M72" s="1"/>
      <c r="N72" s="1"/>
      <c r="O72" s="1"/>
      <c r="P72" s="1"/>
      <c r="Q72" s="1"/>
      <c r="R72" s="1"/>
      <c r="S72" s="1"/>
      <c r="T72" s="1"/>
      <c r="U72" s="1"/>
      <c r="V72" s="1"/>
      <c r="W72" s="1"/>
      <c r="X72" s="1"/>
      <c r="Y72" s="1"/>
      <c r="Z72" s="1"/>
      <c r="AA72" s="1"/>
      <c r="AB72" s="1"/>
      <c r="AC72" s="1"/>
    </row>
    <row r="73" spans="1:29" x14ac:dyDescent="0.3">
      <c r="A73" s="66" t="s">
        <v>551</v>
      </c>
      <c r="B73" s="1"/>
      <c r="C73" s="1"/>
      <c r="D73" s="1"/>
      <c r="E73" s="1" t="s">
        <v>604</v>
      </c>
      <c r="F73" s="1"/>
      <c r="G73" s="1"/>
      <c r="H73" s="1"/>
      <c r="I73" s="1"/>
      <c r="J73" s="1"/>
      <c r="K73" s="1"/>
      <c r="L73" s="1"/>
      <c r="M73" s="1"/>
      <c r="N73" s="1"/>
      <c r="O73" s="1"/>
      <c r="P73" s="1"/>
      <c r="Q73" s="1"/>
      <c r="R73" s="1"/>
      <c r="S73" s="1"/>
      <c r="T73" s="1"/>
      <c r="U73" s="1"/>
      <c r="V73" s="1"/>
      <c r="W73" s="1"/>
      <c r="X73" s="1"/>
      <c r="Y73" s="1"/>
      <c r="Z73" s="1"/>
      <c r="AA73" s="1"/>
      <c r="AB73" s="1"/>
      <c r="AC73" s="1"/>
    </row>
    <row r="74" spans="1:29" x14ac:dyDescent="0.3">
      <c r="A74" s="66" t="s">
        <v>552</v>
      </c>
      <c r="B74" s="1"/>
      <c r="C74" s="1"/>
      <c r="D74" s="1"/>
      <c r="E74" s="1" t="s">
        <v>605</v>
      </c>
      <c r="F74" s="1"/>
      <c r="G74" s="1"/>
      <c r="H74" s="1"/>
      <c r="I74" s="1"/>
      <c r="J74" s="1"/>
      <c r="K74" s="1"/>
      <c r="L74" s="1"/>
      <c r="M74" s="1"/>
      <c r="N74" s="1"/>
      <c r="O74" s="1"/>
      <c r="P74" s="1"/>
      <c r="Q74" s="1"/>
      <c r="R74" s="1"/>
      <c r="S74" s="1"/>
      <c r="T74" s="1"/>
      <c r="U74" s="1"/>
      <c r="V74" s="1"/>
      <c r="W74" s="1"/>
      <c r="X74" s="1"/>
      <c r="Y74" s="1"/>
      <c r="Z74" s="1"/>
      <c r="AA74" s="1"/>
      <c r="AB74" s="1"/>
      <c r="AC74" s="1"/>
    </row>
    <row r="75" spans="1:29" x14ac:dyDescent="0.3">
      <c r="A75" s="67" t="s">
        <v>553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x14ac:dyDescent="0.3">
      <c r="A76" s="67" t="s">
        <v>554</v>
      </c>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x14ac:dyDescent="0.3">
      <c r="A78" s="64" t="s">
        <v>606</v>
      </c>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x14ac:dyDescent="0.3">
      <c r="A79" s="1" t="s">
        <v>607</v>
      </c>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x14ac:dyDescent="0.3">
      <c r="A80" s="1" t="s">
        <v>608</v>
      </c>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x14ac:dyDescent="0.3">
      <c r="A82" s="46" t="s">
        <v>609</v>
      </c>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x14ac:dyDescent="0.3">
      <c r="A83" s="1" t="s">
        <v>609</v>
      </c>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x14ac:dyDescent="0.3">
      <c r="A84" s="1" t="s">
        <v>610</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x14ac:dyDescent="0.3">
      <c r="A86" s="49" t="s">
        <v>611</v>
      </c>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x14ac:dyDescent="0.3">
      <c r="A87" s="1" t="s">
        <v>95</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x14ac:dyDescent="0.3">
      <c r="A88" s="1" t="s">
        <v>922</v>
      </c>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x14ac:dyDescent="0.3">
      <c r="A89" s="1" t="s">
        <v>923</v>
      </c>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x14ac:dyDescent="0.3">
      <c r="A90" s="49" t="s">
        <v>612</v>
      </c>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x14ac:dyDescent="0.3">
      <c r="A91" s="15" t="s">
        <v>613</v>
      </c>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x14ac:dyDescent="0.3">
      <c r="A92" s="15" t="s">
        <v>614</v>
      </c>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x14ac:dyDescent="0.3">
      <c r="A94" s="49" t="s">
        <v>615</v>
      </c>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6" x14ac:dyDescent="0.3">
      <c r="A95" s="14" t="s">
        <v>616</v>
      </c>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6" x14ac:dyDescent="0.3">
      <c r="A96" s="14" t="s">
        <v>617</v>
      </c>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6" x14ac:dyDescent="0.3">
      <c r="A97" s="14" t="s">
        <v>618</v>
      </c>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6" x14ac:dyDescent="0.3">
      <c r="A98" s="14" t="s">
        <v>619</v>
      </c>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6" x14ac:dyDescent="0.3">
      <c r="A99" s="14" t="s">
        <v>620</v>
      </c>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6" x14ac:dyDescent="0.3">
      <c r="A100" s="14" t="s">
        <v>621</v>
      </c>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6" x14ac:dyDescent="0.3">
      <c r="A101" s="14" t="s">
        <v>622</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6" x14ac:dyDescent="0.3">
      <c r="A102" s="14" t="s">
        <v>623</v>
      </c>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x14ac:dyDescent="0.3">
      <c r="A103" s="1" t="s">
        <v>624</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x14ac:dyDescent="0.3">
      <c r="A104" s="1" t="s">
        <v>625</v>
      </c>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x14ac:dyDescent="0.3">
      <c r="A105" s="1" t="s">
        <v>626</v>
      </c>
    </row>
    <row r="106" spans="1:29" x14ac:dyDescent="0.3">
      <c r="A106" s="1" t="s">
        <v>627</v>
      </c>
    </row>
  </sheetData>
  <pageMargins left="0.7" right="0.7" top="0.75" bottom="0.75" header="0.3" footer="0.3"/>
  <pageSetup paperSize="9" orientation="portrait" horizontalDpi="300" verticalDpi="0" copies="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P103"/>
  <sheetViews>
    <sheetView showGridLines="0" showRowColHeaders="0" showZeros="0" topLeftCell="B1" zoomScale="80" zoomScaleNormal="80" zoomScaleSheetLayoutView="70" workbookViewId="0">
      <pane xSplit="11" ySplit="3" topLeftCell="M4" activePane="bottomRight" state="frozen"/>
      <selection activeCell="D43" sqref="D43"/>
      <selection pane="topRight" activeCell="D43" sqref="D43"/>
      <selection pane="bottomLeft" activeCell="D43" sqref="D43"/>
      <selection pane="bottomRight" activeCell="O31" sqref="O31"/>
    </sheetView>
  </sheetViews>
  <sheetFormatPr defaultRowHeight="14.4" x14ac:dyDescent="0.3"/>
  <cols>
    <col min="1" max="1" width="4.109375" hidden="1" customWidth="1"/>
    <col min="2" max="2" width="31.109375" customWidth="1"/>
    <col min="3" max="3" width="29.44140625" customWidth="1"/>
    <col min="4" max="4" width="1.5546875" customWidth="1"/>
    <col min="5" max="5" width="27.5546875" customWidth="1"/>
    <col min="6" max="6" width="11.5546875" customWidth="1"/>
    <col min="7" max="7" width="13.109375" customWidth="1"/>
    <col min="8" max="8" width="11" customWidth="1"/>
    <col min="9" max="9" width="11.6640625" customWidth="1"/>
    <col min="10" max="10" width="12" customWidth="1"/>
    <col min="11" max="11" width="11.109375" customWidth="1"/>
    <col min="12" max="12" width="10.5546875" customWidth="1"/>
    <col min="13" max="20" width="10.33203125" customWidth="1"/>
    <col min="21" max="21" width="9.6640625" customWidth="1"/>
    <col min="22" max="25" width="9.5546875" customWidth="1"/>
    <col min="26" max="52" width="9.6640625" customWidth="1"/>
    <col min="53" max="53" width="8.6640625" customWidth="1"/>
  </cols>
  <sheetData>
    <row r="1" spans="1:68" ht="23.25" x14ac:dyDescent="0.35">
      <c r="B1" s="303" t="str">
        <f>Input!B8&amp;" "&amp;C2&amp;" Cash Flow"</f>
        <v>Prospect X  Cash Flow</v>
      </c>
      <c r="C1" s="22"/>
      <c r="D1" s="22"/>
      <c r="E1" s="144" t="s">
        <v>769</v>
      </c>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row>
    <row r="2" spans="1:68" ht="32.25" customHeight="1" x14ac:dyDescent="0.35">
      <c r="B2" s="542" t="s">
        <v>1</v>
      </c>
      <c r="C2" s="543"/>
      <c r="D2" s="22"/>
      <c r="E2" s="144" t="s">
        <v>143</v>
      </c>
      <c r="F2" s="540" t="s">
        <v>79</v>
      </c>
      <c r="G2" s="538" t="s">
        <v>125</v>
      </c>
      <c r="H2" s="538" t="str">
        <f>"Disc @ "&amp;FIXED(Input!B3*100,1)&amp;"%"</f>
        <v>Disc @ 10.0%</v>
      </c>
      <c r="I2" s="540" t="s">
        <v>126</v>
      </c>
      <c r="J2" s="538" t="s">
        <v>127</v>
      </c>
      <c r="K2" s="538" t="str">
        <f>"Disc @ "&amp;FIXED(Input!B3*100,1)&amp;"%"</f>
        <v>Disc @ 10.0%</v>
      </c>
      <c r="L2" s="304"/>
      <c r="M2" s="305" t="s">
        <v>128</v>
      </c>
      <c r="N2" s="306"/>
      <c r="O2" s="307"/>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row>
    <row r="3" spans="1:68" ht="17.25" customHeight="1" x14ac:dyDescent="0.3">
      <c r="A3" s="15"/>
      <c r="B3" s="308" t="s">
        <v>64</v>
      </c>
      <c r="C3" s="309">
        <f>Input!B3</f>
        <v>0.1</v>
      </c>
      <c r="D3" s="310"/>
      <c r="E3" s="22"/>
      <c r="F3" s="541"/>
      <c r="G3" s="539"/>
      <c r="H3" s="539"/>
      <c r="I3" s="541"/>
      <c r="J3" s="539"/>
      <c r="K3" s="539"/>
      <c r="L3" s="311" t="s">
        <v>63</v>
      </c>
      <c r="M3" s="312">
        <f t="array" ref="M3:AZ3">TRANSPOSE('Success Cash Flow'!A10:A49)</f>
        <v>2012</v>
      </c>
      <c r="N3" s="312">
        <v>2013</v>
      </c>
      <c r="O3" s="312">
        <v>2014</v>
      </c>
      <c r="P3" s="312">
        <v>2015</v>
      </c>
      <c r="Q3" s="312">
        <v>2016</v>
      </c>
      <c r="R3" s="312">
        <v>2017</v>
      </c>
      <c r="S3" s="312">
        <v>2018</v>
      </c>
      <c r="T3" s="312">
        <v>2019</v>
      </c>
      <c r="U3" s="312">
        <v>2020</v>
      </c>
      <c r="V3" s="312">
        <v>2021</v>
      </c>
      <c r="W3" s="312">
        <v>2022</v>
      </c>
      <c r="X3" s="312">
        <v>2023</v>
      </c>
      <c r="Y3" s="312">
        <v>2024</v>
      </c>
      <c r="Z3" s="312">
        <v>2025</v>
      </c>
      <c r="AA3" s="312">
        <v>2026</v>
      </c>
      <c r="AB3" s="312">
        <v>2027</v>
      </c>
      <c r="AC3" s="312">
        <v>2028</v>
      </c>
      <c r="AD3" s="312">
        <v>2029</v>
      </c>
      <c r="AE3" s="312">
        <v>2030</v>
      </c>
      <c r="AF3" s="312">
        <v>2031</v>
      </c>
      <c r="AG3" s="312">
        <v>2032</v>
      </c>
      <c r="AH3" s="312">
        <v>2033</v>
      </c>
      <c r="AI3" s="312">
        <v>2034</v>
      </c>
      <c r="AJ3" s="312">
        <v>2035</v>
      </c>
      <c r="AK3" s="312">
        <v>2036</v>
      </c>
      <c r="AL3" s="312">
        <v>2037</v>
      </c>
      <c r="AM3" s="312">
        <v>2038</v>
      </c>
      <c r="AN3" s="312">
        <v>2039</v>
      </c>
      <c r="AO3" s="312">
        <v>2040</v>
      </c>
      <c r="AP3" s="312">
        <v>2041</v>
      </c>
      <c r="AQ3" s="312">
        <v>2042</v>
      </c>
      <c r="AR3" s="312">
        <v>2043</v>
      </c>
      <c r="AS3" s="312" t="str">
        <v/>
      </c>
      <c r="AT3" s="312" t="str">
        <v/>
      </c>
      <c r="AU3" s="312" t="str">
        <v/>
      </c>
      <c r="AV3" s="312" t="str">
        <v/>
      </c>
      <c r="AW3" s="312" t="str">
        <v/>
      </c>
      <c r="AX3" s="312" t="str">
        <v/>
      </c>
      <c r="AY3" s="312" t="str">
        <v/>
      </c>
      <c r="AZ3" s="312" t="str">
        <v/>
      </c>
      <c r="BA3" s="22"/>
      <c r="BB3" s="22"/>
      <c r="BC3" s="22"/>
      <c r="BD3" s="22"/>
      <c r="BE3" s="22"/>
      <c r="BF3" s="22"/>
      <c r="BG3" s="22"/>
      <c r="BH3" s="22"/>
      <c r="BI3" s="22"/>
      <c r="BJ3" s="22"/>
      <c r="BK3" s="22"/>
      <c r="BL3" s="22"/>
      <c r="BM3" s="22"/>
      <c r="BN3" s="22"/>
      <c r="BO3" s="22"/>
      <c r="BP3" s="22"/>
    </row>
    <row r="4" spans="1:68" ht="15.75" customHeight="1" x14ac:dyDescent="0.25">
      <c r="A4" s="15"/>
      <c r="B4" s="308" t="s">
        <v>65</v>
      </c>
      <c r="C4" s="313">
        <f ca="1">Input!H13</f>
        <v>41153</v>
      </c>
      <c r="D4" s="310"/>
      <c r="E4" s="314" t="str">
        <f>IF(Input!B11="Oil","Associated ","")&amp;"Gas Sales (bcf)"</f>
        <v>Associated Gas Sales (bcf)</v>
      </c>
      <c r="F4" s="315">
        <f>prod_year</f>
        <v>43408</v>
      </c>
      <c r="G4" s="316">
        <f>SUM(M4:AZ4)</f>
        <v>948.99083658811526</v>
      </c>
      <c r="H4" s="316"/>
      <c r="I4" s="317">
        <f>I13</f>
        <v>0.26249999999999996</v>
      </c>
      <c r="J4" s="316">
        <f>I4*G4</f>
        <v>249.11009460438021</v>
      </c>
      <c r="K4" s="318"/>
      <c r="L4" s="319"/>
      <c r="M4" s="320">
        <f t="array" ref="M4:AZ4">TRANSPOSE(Production!AB31:AB70)</f>
        <v>0</v>
      </c>
      <c r="N4" s="320">
        <v>0</v>
      </c>
      <c r="O4" s="320">
        <v>0</v>
      </c>
      <c r="P4" s="320">
        <v>0</v>
      </c>
      <c r="Q4" s="320">
        <v>0</v>
      </c>
      <c r="R4" s="320">
        <v>0</v>
      </c>
      <c r="S4" s="320">
        <v>9.2295618696678048</v>
      </c>
      <c r="T4" s="320">
        <v>94.455959015474221</v>
      </c>
      <c r="U4" s="320">
        <v>95.941134246575345</v>
      </c>
      <c r="V4" s="320">
        <v>95.679000000000002</v>
      </c>
      <c r="W4" s="320">
        <v>95.621204205075202</v>
      </c>
      <c r="X4" s="320">
        <v>87.077161000761478</v>
      </c>
      <c r="Y4" s="320">
        <v>74.202295853387355</v>
      </c>
      <c r="Z4" s="320">
        <v>62.885242472639135</v>
      </c>
      <c r="AA4" s="320">
        <v>53.45245610174328</v>
      </c>
      <c r="AB4" s="320">
        <v>45.434587686481763</v>
      </c>
      <c r="AC4" s="320">
        <v>38.716819413296101</v>
      </c>
      <c r="AD4" s="320">
        <v>32.811876621515097</v>
      </c>
      <c r="AE4" s="320">
        <v>27.890095128287822</v>
      </c>
      <c r="AF4" s="320">
        <v>23.70658085904466</v>
      </c>
      <c r="AG4" s="320">
        <v>20.201424878329469</v>
      </c>
      <c r="AH4" s="320">
        <v>17.120379998438526</v>
      </c>
      <c r="AI4" s="320">
        <v>14.552322998672759</v>
      </c>
      <c r="AJ4" s="320">
        <v>12.369474548871828</v>
      </c>
      <c r="AK4" s="320">
        <v>10.540575731658373</v>
      </c>
      <c r="AL4" s="320">
        <v>8.9329670067922979</v>
      </c>
      <c r="AM4" s="320">
        <v>7.5930219557734819</v>
      </c>
      <c r="AN4" s="320">
        <v>6.4540686624074572</v>
      </c>
      <c r="AO4" s="320">
        <v>5.4997970402577145</v>
      </c>
      <c r="AP4" s="320">
        <v>4.6609888070076799</v>
      </c>
      <c r="AQ4" s="320">
        <v>3.9618404859565151</v>
      </c>
      <c r="AR4" s="320">
        <v>0</v>
      </c>
      <c r="AS4" s="320">
        <v>0</v>
      </c>
      <c r="AT4" s="320">
        <v>0</v>
      </c>
      <c r="AU4" s="320">
        <v>0</v>
      </c>
      <c r="AV4" s="320">
        <v>0</v>
      </c>
      <c r="AW4" s="320">
        <v>0</v>
      </c>
      <c r="AX4" s="320">
        <v>0</v>
      </c>
      <c r="AY4" s="320">
        <v>0</v>
      </c>
      <c r="AZ4" s="320">
        <v>0</v>
      </c>
      <c r="BA4" s="22"/>
      <c r="BB4" s="22"/>
      <c r="BC4" s="22"/>
      <c r="BD4" s="22"/>
      <c r="BE4" s="22"/>
      <c r="BF4" s="22"/>
      <c r="BG4" s="22"/>
      <c r="BH4" s="22"/>
      <c r="BI4" s="22"/>
      <c r="BJ4" s="22"/>
      <c r="BK4" s="22"/>
      <c r="BL4" s="22"/>
      <c r="BM4" s="22"/>
      <c r="BN4" s="22"/>
      <c r="BO4" s="22"/>
      <c r="BP4" s="22"/>
    </row>
    <row r="5" spans="1:68" ht="15.75" x14ac:dyDescent="0.25">
      <c r="A5" s="15"/>
      <c r="B5" s="308" t="s">
        <v>72</v>
      </c>
      <c r="C5" s="321" t="str">
        <f>Input!B5</f>
        <v>Scenario 5 : Flat Real</v>
      </c>
      <c r="D5" s="310"/>
      <c r="E5" s="314" t="str">
        <f>IF(Input!B11="Oil","Oil","Gas Liquids")&amp;" Sales (mbbl)"</f>
        <v>Oil Sales (mbbl)</v>
      </c>
      <c r="F5" s="315">
        <f>F4</f>
        <v>43408</v>
      </c>
      <c r="G5" s="316">
        <f>SUM(M5:AZ5)</f>
        <v>297.55458457596183</v>
      </c>
      <c r="H5" s="316"/>
      <c r="I5" s="317">
        <f>I4</f>
        <v>0.26249999999999996</v>
      </c>
      <c r="J5" s="316">
        <f>I5*G5</f>
        <v>78.108078451189968</v>
      </c>
      <c r="K5" s="322"/>
      <c r="L5" s="319"/>
      <c r="M5" s="320">
        <f t="array" ref="M5:AZ5">TRANSPOSE(Production!AC31:AC70)+TRANSPOSE(Production!AD31:AD70)</f>
        <v>0</v>
      </c>
      <c r="N5" s="320">
        <v>0</v>
      </c>
      <c r="O5" s="320">
        <v>0</v>
      </c>
      <c r="P5" s="320">
        <v>0</v>
      </c>
      <c r="Q5" s="320">
        <v>0</v>
      </c>
      <c r="R5" s="320">
        <v>0</v>
      </c>
      <c r="S5" s="320">
        <v>2.8939146112525647</v>
      </c>
      <c r="T5" s="320">
        <v>29.616517422467069</v>
      </c>
      <c r="U5" s="320">
        <v>30.082191780821915</v>
      </c>
      <c r="V5" s="320">
        <v>29.999999999999996</v>
      </c>
      <c r="W5" s="320">
        <v>29.981878219382054</v>
      </c>
      <c r="X5" s="320">
        <v>27.302906907710614</v>
      </c>
      <c r="Y5" s="320">
        <v>23.266013185773478</v>
      </c>
      <c r="Z5" s="320">
        <v>19.717568893688</v>
      </c>
      <c r="AA5" s="320">
        <v>16.759933559634803</v>
      </c>
      <c r="AB5" s="320">
        <v>14.245943525689574</v>
      </c>
      <c r="AC5" s="320">
        <v>12.139597846955789</v>
      </c>
      <c r="AD5" s="320">
        <v>10.288112319792774</v>
      </c>
      <c r="AE5" s="320">
        <v>8.7448954718238561</v>
      </c>
      <c r="AF5" s="320">
        <v>7.43316115105028</v>
      </c>
      <c r="AG5" s="320">
        <v>6.3341250049633055</v>
      </c>
      <c r="AH5" s="320">
        <v>5.3680682276482381</v>
      </c>
      <c r="AI5" s="320">
        <v>4.5628579935010061</v>
      </c>
      <c r="AJ5" s="320">
        <v>3.8784292944758492</v>
      </c>
      <c r="AK5" s="320">
        <v>3.3049809461820376</v>
      </c>
      <c r="AL5" s="320">
        <v>2.8009177583771665</v>
      </c>
      <c r="AM5" s="320">
        <v>2.3807800946206004</v>
      </c>
      <c r="AN5" s="320">
        <v>2.0236630804275095</v>
      </c>
      <c r="AO5" s="320">
        <v>1.7244527138424464</v>
      </c>
      <c r="AP5" s="320">
        <v>1.4614457112870158</v>
      </c>
      <c r="AQ5" s="320">
        <v>1.2422288545939593</v>
      </c>
      <c r="AR5" s="320">
        <v>0</v>
      </c>
      <c r="AS5" s="320">
        <v>0</v>
      </c>
      <c r="AT5" s="320">
        <v>0</v>
      </c>
      <c r="AU5" s="320">
        <v>0</v>
      </c>
      <c r="AV5" s="320">
        <v>0</v>
      </c>
      <c r="AW5" s="320">
        <v>0</v>
      </c>
      <c r="AX5" s="320">
        <v>0</v>
      </c>
      <c r="AY5" s="320">
        <v>0</v>
      </c>
      <c r="AZ5" s="320">
        <v>0</v>
      </c>
      <c r="BA5" s="22"/>
      <c r="BB5" s="22"/>
      <c r="BC5" s="22"/>
      <c r="BD5" s="22"/>
      <c r="BE5" s="22"/>
      <c r="BF5" s="22"/>
      <c r="BG5" s="22"/>
      <c r="BH5" s="22"/>
      <c r="BI5" s="22"/>
      <c r="BJ5" s="22"/>
      <c r="BK5" s="22"/>
      <c r="BL5" s="22"/>
      <c r="BM5" s="22"/>
      <c r="BN5" s="22"/>
      <c r="BO5" s="22"/>
      <c r="BP5" s="22"/>
    </row>
    <row r="6" spans="1:68" ht="15.75" x14ac:dyDescent="0.25">
      <c r="A6" s="15"/>
      <c r="B6" s="308" t="s">
        <v>73</v>
      </c>
      <c r="C6" s="321" t="str">
        <f>Input!B6</f>
        <v>NS Dept of Energy : NS DOE</v>
      </c>
      <c r="D6" s="310"/>
      <c r="E6" s="314" t="str">
        <f>IF(Input!B11="Oil","Associated ","")&amp;"Gas Revenue"</f>
        <v>Associated Gas Revenue</v>
      </c>
      <c r="F6" s="315"/>
      <c r="G6" s="316">
        <f>SUM(M6:AZ6)</f>
        <v>2594.1468886334851</v>
      </c>
      <c r="H6" s="316">
        <f ca="1">SUMPRODUCT(M6:AZ6,'Risked Cash Flow'!$AO$3:$CB$3)</f>
        <v>816.81316980975407</v>
      </c>
      <c r="I6" s="317">
        <f>I5</f>
        <v>0.26249999999999996</v>
      </c>
      <c r="J6" s="316">
        <f>I6*G6</f>
        <v>680.96355826628974</v>
      </c>
      <c r="K6" s="316">
        <f ca="1">SUMPRODUCT(M6:AZ6,'Risked Cash Flow'!$AO$3:$CB$3)*I6</f>
        <v>214.41345707506042</v>
      </c>
      <c r="L6" s="318"/>
      <c r="M6" s="323">
        <f t="array" ref="M6:AZ6">TRANSPOSE(Revenue!N11:N50)</f>
        <v>0</v>
      </c>
      <c r="N6" s="323">
        <v>0</v>
      </c>
      <c r="O6" s="323">
        <v>0</v>
      </c>
      <c r="P6" s="323">
        <v>0</v>
      </c>
      <c r="Q6" s="323">
        <v>0</v>
      </c>
      <c r="R6" s="323">
        <v>0</v>
      </c>
      <c r="S6" s="323">
        <v>21.150041214807004</v>
      </c>
      <c r="T6" s="323">
        <v>221.86222279358725</v>
      </c>
      <c r="U6" s="323">
        <v>230.98443296987679</v>
      </c>
      <c r="V6" s="323">
        <v>236.11216116080649</v>
      </c>
      <c r="W6" s="323">
        <v>241.86877378631232</v>
      </c>
      <c r="X6" s="323">
        <v>225.76349554906426</v>
      </c>
      <c r="Y6" s="323">
        <v>197.19262473103674</v>
      </c>
      <c r="Z6" s="323">
        <v>171.29549058215329</v>
      </c>
      <c r="AA6" s="323">
        <v>149.24119616970106</v>
      </c>
      <c r="AB6" s="323">
        <v>130.02639216285201</v>
      </c>
      <c r="AC6" s="323">
        <v>113.57126400148078</v>
      </c>
      <c r="AD6" s="323">
        <v>98.656049685954272</v>
      </c>
      <c r="AE6" s="323">
        <v>85.954083288887617</v>
      </c>
      <c r="AF6" s="323">
        <v>74.88749506544336</v>
      </c>
      <c r="AG6" s="323">
        <v>65.410316559693996</v>
      </c>
      <c r="AH6" s="323">
        <v>56.82003715660872</v>
      </c>
      <c r="AI6" s="323">
        <v>49.504457372695377</v>
      </c>
      <c r="AJ6" s="323">
        <v>43.13075848596079</v>
      </c>
      <c r="AK6" s="323">
        <v>37.672465390396567</v>
      </c>
      <c r="AL6" s="323">
        <v>32.72497361039219</v>
      </c>
      <c r="AM6" s="323">
        <v>28.511633258054303</v>
      </c>
      <c r="AN6" s="323">
        <v>24.840760476079801</v>
      </c>
      <c r="AO6" s="323">
        <v>21.697107172619074</v>
      </c>
      <c r="AP6" s="323">
        <v>18.847645151113944</v>
      </c>
      <c r="AQ6" s="323">
        <v>16.421010837907964</v>
      </c>
      <c r="AR6" s="323">
        <v>0</v>
      </c>
      <c r="AS6" s="323">
        <v>0</v>
      </c>
      <c r="AT6" s="323">
        <v>0</v>
      </c>
      <c r="AU6" s="323">
        <v>0</v>
      </c>
      <c r="AV6" s="323">
        <v>0</v>
      </c>
      <c r="AW6" s="323">
        <v>0</v>
      </c>
      <c r="AX6" s="323">
        <v>0</v>
      </c>
      <c r="AY6" s="323">
        <v>0</v>
      </c>
      <c r="AZ6" s="323">
        <v>0</v>
      </c>
      <c r="BA6" s="22"/>
      <c r="BB6" s="22"/>
      <c r="BC6" s="22"/>
      <c r="BD6" s="22"/>
      <c r="BE6" s="22"/>
      <c r="BF6" s="22"/>
      <c r="BG6" s="22"/>
      <c r="BH6" s="22"/>
      <c r="BI6" s="22"/>
      <c r="BJ6" s="22"/>
      <c r="BK6" s="22"/>
      <c r="BL6" s="22"/>
      <c r="BM6" s="22"/>
      <c r="BN6" s="22"/>
      <c r="BO6" s="22"/>
      <c r="BP6" s="22"/>
    </row>
    <row r="7" spans="1:68" ht="18.75" x14ac:dyDescent="0.3">
      <c r="A7" s="15"/>
      <c r="B7" s="542" t="s">
        <v>74</v>
      </c>
      <c r="C7" s="543"/>
      <c r="D7" s="310"/>
      <c r="E7" s="314" t="str">
        <f>IF(Input!B11="Oil","Oil","Gas Liquids")&amp;" Revenue"</f>
        <v>Oil Revenue</v>
      </c>
      <c r="F7" s="315"/>
      <c r="G7" s="316">
        <f>SUM(M7:AZ7)</f>
        <v>41575.130797294943</v>
      </c>
      <c r="H7" s="316">
        <f ca="1">SUMPRODUCT(M7:AZ7,'Risked Cash Flow'!$AO$3:$CB$3)</f>
        <v>13090.667502518405</v>
      </c>
      <c r="I7" s="317">
        <f>I6</f>
        <v>0.26249999999999996</v>
      </c>
      <c r="J7" s="316">
        <f>I7*G7</f>
        <v>10913.471834289921</v>
      </c>
      <c r="K7" s="316">
        <f ca="1">SUMPRODUCT(M7:AZ7,'Risked Cash Flow'!$AO$3:$CB$3)*I7</f>
        <v>3436.3002194110809</v>
      </c>
      <c r="L7" s="319"/>
      <c r="M7" s="320">
        <f t="array" ref="M7:AZ7">TRANSPOSE(Revenue!O11:O50)+TRANSPOSE(Revenue!P11:P50)</f>
        <v>0</v>
      </c>
      <c r="N7" s="320">
        <v>0</v>
      </c>
      <c r="O7" s="320">
        <v>0</v>
      </c>
      <c r="P7" s="320">
        <v>0</v>
      </c>
      <c r="Q7" s="320">
        <v>0</v>
      </c>
      <c r="R7" s="320">
        <v>0</v>
      </c>
      <c r="S7" s="320">
        <v>338.96142648151107</v>
      </c>
      <c r="T7" s="320">
        <v>3555.677965668654</v>
      </c>
      <c r="U7" s="320">
        <v>3701.8751925494471</v>
      </c>
      <c r="V7" s="320">
        <v>3784.0547989414254</v>
      </c>
      <c r="W7" s="320">
        <v>3876.3132303754433</v>
      </c>
      <c r="X7" s="320">
        <v>3618.2017671525077</v>
      </c>
      <c r="Y7" s="320">
        <v>3160.3103129496876</v>
      </c>
      <c r="Z7" s="320">
        <v>2745.2695362563982</v>
      </c>
      <c r="AA7" s="320">
        <v>2391.8160834633868</v>
      </c>
      <c r="AB7" s="320">
        <v>2083.8697627174747</v>
      </c>
      <c r="AC7" s="320">
        <v>1820.1514248728377</v>
      </c>
      <c r="AD7" s="320">
        <v>1581.1125374625913</v>
      </c>
      <c r="AE7" s="320">
        <v>1377.5442982642821</v>
      </c>
      <c r="AF7" s="320">
        <v>1200.1854698627562</v>
      </c>
      <c r="AG7" s="320">
        <v>1048.2993381667222</v>
      </c>
      <c r="AH7" s="320">
        <v>910.62710714024001</v>
      </c>
      <c r="AI7" s="320">
        <v>793.38386709593465</v>
      </c>
      <c r="AJ7" s="320">
        <v>691.23569420733202</v>
      </c>
      <c r="AK7" s="320">
        <v>603.75828482378188</v>
      </c>
      <c r="AL7" s="320">
        <v>524.46723975093494</v>
      </c>
      <c r="AM7" s="320">
        <v>456.94208263300368</v>
      </c>
      <c r="AN7" s="320">
        <v>398.11078949400428</v>
      </c>
      <c r="AO7" s="320">
        <v>347.72898658014719</v>
      </c>
      <c r="AP7" s="320">
        <v>302.06204429361975</v>
      </c>
      <c r="AQ7" s="320">
        <v>263.17155609081527</v>
      </c>
      <c r="AR7" s="320">
        <v>0</v>
      </c>
      <c r="AS7" s="320">
        <v>0</v>
      </c>
      <c r="AT7" s="320">
        <v>0</v>
      </c>
      <c r="AU7" s="320">
        <v>0</v>
      </c>
      <c r="AV7" s="320">
        <v>0</v>
      </c>
      <c r="AW7" s="320">
        <v>0</v>
      </c>
      <c r="AX7" s="320">
        <v>0</v>
      </c>
      <c r="AY7" s="320">
        <v>0</v>
      </c>
      <c r="AZ7" s="320">
        <v>0</v>
      </c>
      <c r="BA7" s="22"/>
      <c r="BB7" s="22"/>
      <c r="BC7" s="22"/>
      <c r="BD7" s="22"/>
      <c r="BE7" s="22"/>
      <c r="BF7" s="22"/>
      <c r="BG7" s="22"/>
      <c r="BH7" s="22"/>
      <c r="BI7" s="22"/>
      <c r="BJ7" s="22"/>
      <c r="BK7" s="22"/>
      <c r="BL7" s="22"/>
      <c r="BM7" s="22"/>
      <c r="BN7" s="22"/>
      <c r="BO7" s="22"/>
      <c r="BP7" s="22"/>
    </row>
    <row r="8" spans="1:68" ht="15.75" x14ac:dyDescent="0.25">
      <c r="A8" s="15"/>
      <c r="B8" s="308" t="s">
        <v>124</v>
      </c>
      <c r="C8" s="313" t="str">
        <f>Input!B9</f>
        <v>Wildcat</v>
      </c>
      <c r="D8" s="310"/>
      <c r="E8" s="314" t="s">
        <v>131</v>
      </c>
      <c r="F8" s="315"/>
      <c r="G8" s="316">
        <f>G7+G6</f>
        <v>44169.277685928428</v>
      </c>
      <c r="H8" s="316">
        <f ca="1">H7+H6</f>
        <v>13907.480672328158</v>
      </c>
      <c r="I8" s="317"/>
      <c r="J8" s="316">
        <f>J7+J6</f>
        <v>11594.435392556212</v>
      </c>
      <c r="K8" s="316">
        <f ca="1">K7+K6</f>
        <v>3650.7136764861411</v>
      </c>
      <c r="L8" s="324"/>
      <c r="M8" s="325">
        <f t="array" ref="M8:AZ8">TRANSPOSE(Revenue!Q11:Q50)</f>
        <v>0</v>
      </c>
      <c r="N8" s="325">
        <v>0</v>
      </c>
      <c r="O8" s="325">
        <v>0</v>
      </c>
      <c r="P8" s="325">
        <v>0</v>
      </c>
      <c r="Q8" s="325">
        <v>0</v>
      </c>
      <c r="R8" s="325">
        <v>0</v>
      </c>
      <c r="S8" s="325">
        <v>360.11146769631807</v>
      </c>
      <c r="T8" s="325">
        <v>3777.5401884622411</v>
      </c>
      <c r="U8" s="325">
        <v>3932.8596255193238</v>
      </c>
      <c r="V8" s="325">
        <v>4020.1669601022318</v>
      </c>
      <c r="W8" s="325">
        <v>4118.1820041617557</v>
      </c>
      <c r="X8" s="325">
        <v>3843.9652627015721</v>
      </c>
      <c r="Y8" s="325">
        <v>3357.5029376807242</v>
      </c>
      <c r="Z8" s="325">
        <v>2916.5650268385516</v>
      </c>
      <c r="AA8" s="325">
        <v>2541.057279633088</v>
      </c>
      <c r="AB8" s="325">
        <v>2213.8961548803268</v>
      </c>
      <c r="AC8" s="325">
        <v>1933.7226888743185</v>
      </c>
      <c r="AD8" s="325">
        <v>1679.7685871485455</v>
      </c>
      <c r="AE8" s="325">
        <v>1463.4983815531698</v>
      </c>
      <c r="AF8" s="325">
        <v>1275.0729649281996</v>
      </c>
      <c r="AG8" s="325">
        <v>1113.7096547264161</v>
      </c>
      <c r="AH8" s="325">
        <v>967.44714429684871</v>
      </c>
      <c r="AI8" s="325">
        <v>842.88832446863</v>
      </c>
      <c r="AJ8" s="325">
        <v>734.36645269329279</v>
      </c>
      <c r="AK8" s="325">
        <v>641.43075021417849</v>
      </c>
      <c r="AL8" s="325">
        <v>557.19221336132716</v>
      </c>
      <c r="AM8" s="325">
        <v>485.45371589105798</v>
      </c>
      <c r="AN8" s="325">
        <v>422.9515499700841</v>
      </c>
      <c r="AO8" s="325">
        <v>369.42609375276629</v>
      </c>
      <c r="AP8" s="325">
        <v>320.90968944473371</v>
      </c>
      <c r="AQ8" s="325">
        <v>279.59256692872322</v>
      </c>
      <c r="AR8" s="325">
        <v>0</v>
      </c>
      <c r="AS8" s="325">
        <v>0</v>
      </c>
      <c r="AT8" s="325">
        <v>0</v>
      </c>
      <c r="AU8" s="325">
        <v>0</v>
      </c>
      <c r="AV8" s="325">
        <v>0</v>
      </c>
      <c r="AW8" s="325">
        <v>0</v>
      </c>
      <c r="AX8" s="325">
        <v>0</v>
      </c>
      <c r="AY8" s="325">
        <v>0</v>
      </c>
      <c r="AZ8" s="325">
        <v>0</v>
      </c>
      <c r="BA8" s="22"/>
      <c r="BB8" s="22"/>
      <c r="BC8" s="22"/>
      <c r="BD8" s="22"/>
      <c r="BE8" s="22"/>
      <c r="BF8" s="22"/>
      <c r="BG8" s="22"/>
      <c r="BH8" s="22"/>
      <c r="BI8" s="22"/>
      <c r="BJ8" s="22"/>
      <c r="BK8" s="22"/>
      <c r="BL8" s="22"/>
      <c r="BM8" s="22"/>
      <c r="BN8" s="22"/>
      <c r="BO8" s="22"/>
      <c r="BP8" s="22"/>
    </row>
    <row r="9" spans="1:68" ht="15.75" x14ac:dyDescent="0.25">
      <c r="A9" s="15"/>
      <c r="B9" s="308" t="s">
        <v>79</v>
      </c>
      <c r="C9" s="313">
        <f>Input!B10</f>
        <v>41091</v>
      </c>
      <c r="D9" s="310"/>
      <c r="E9" s="314" t="s">
        <v>78</v>
      </c>
      <c r="F9" s="315">
        <f>Exploration!H19</f>
        <v>0</v>
      </c>
      <c r="G9" s="316">
        <f t="shared" ref="G9:G19" si="0">SUM(M9:AZ9)</f>
        <v>0</v>
      </c>
      <c r="H9" s="316">
        <f ca="1">SUMPRODUCT(M9:AZ9,'Risked Cash Flow'!$AO$3:$CB$3)</f>
        <v>0</v>
      </c>
      <c r="I9" s="317">
        <f>Exploration!U33</f>
        <v>0</v>
      </c>
      <c r="J9" s="316">
        <f t="shared" ref="J9:J19" si="1">I9*G9</f>
        <v>0</v>
      </c>
      <c r="K9" s="316">
        <f ca="1">SUMPRODUCT(M9:AZ9,'Risked Cash Flow'!$AO$3:$CB$3)*I9</f>
        <v>0</v>
      </c>
      <c r="L9" s="326">
        <f>IF(AND(Overrides!$C$95=Lists!$A$37,F9&lt;$C$9),-Overrides!C97,-Exploration!V19)</f>
        <v>-11</v>
      </c>
      <c r="M9" s="323">
        <f t="array" ref="M9:AZ9">-TRANSPOSE(Exploration!P35:P74)</f>
        <v>0</v>
      </c>
      <c r="N9" s="323">
        <v>0</v>
      </c>
      <c r="O9" s="323">
        <v>0</v>
      </c>
      <c r="P9" s="323">
        <v>0</v>
      </c>
      <c r="Q9" s="323">
        <v>0</v>
      </c>
      <c r="R9" s="323">
        <v>0</v>
      </c>
      <c r="S9" s="323">
        <v>0</v>
      </c>
      <c r="T9" s="323">
        <v>0</v>
      </c>
      <c r="U9" s="323">
        <v>0</v>
      </c>
      <c r="V9" s="323">
        <v>0</v>
      </c>
      <c r="W9" s="323">
        <v>0</v>
      </c>
      <c r="X9" s="323">
        <v>0</v>
      </c>
      <c r="Y9" s="323">
        <v>0</v>
      </c>
      <c r="Z9" s="323">
        <v>0</v>
      </c>
      <c r="AA9" s="323">
        <v>0</v>
      </c>
      <c r="AB9" s="323">
        <v>0</v>
      </c>
      <c r="AC9" s="323">
        <v>0</v>
      </c>
      <c r="AD9" s="323">
        <v>0</v>
      </c>
      <c r="AE9" s="323">
        <v>0</v>
      </c>
      <c r="AF9" s="323">
        <v>0</v>
      </c>
      <c r="AG9" s="323">
        <v>0</v>
      </c>
      <c r="AH9" s="323">
        <v>0</v>
      </c>
      <c r="AI9" s="323">
        <v>0</v>
      </c>
      <c r="AJ9" s="323">
        <v>0</v>
      </c>
      <c r="AK9" s="323">
        <v>0</v>
      </c>
      <c r="AL9" s="323">
        <v>0</v>
      </c>
      <c r="AM9" s="323">
        <v>0</v>
      </c>
      <c r="AN9" s="323">
        <v>0</v>
      </c>
      <c r="AO9" s="323">
        <v>0</v>
      </c>
      <c r="AP9" s="323">
        <v>0</v>
      </c>
      <c r="AQ9" s="323">
        <v>0</v>
      </c>
      <c r="AR9" s="323">
        <v>0</v>
      </c>
      <c r="AS9" s="323">
        <v>0</v>
      </c>
      <c r="AT9" s="323">
        <v>0</v>
      </c>
      <c r="AU9" s="323">
        <v>0</v>
      </c>
      <c r="AV9" s="323">
        <v>0</v>
      </c>
      <c r="AW9" s="323">
        <v>0</v>
      </c>
      <c r="AX9" s="323">
        <v>0</v>
      </c>
      <c r="AY9" s="323">
        <v>0</v>
      </c>
      <c r="AZ9" s="323">
        <v>0</v>
      </c>
      <c r="BA9" s="22"/>
      <c r="BB9" s="22"/>
      <c r="BC9" s="22"/>
      <c r="BD9" s="22"/>
      <c r="BE9" s="22"/>
      <c r="BF9" s="22"/>
      <c r="BG9" s="22"/>
      <c r="BH9" s="22"/>
      <c r="BI9" s="22"/>
      <c r="BJ9" s="22"/>
      <c r="BK9" s="22"/>
      <c r="BL9" s="22"/>
      <c r="BM9" s="22"/>
      <c r="BN9" s="22"/>
      <c r="BO9" s="22"/>
      <c r="BP9" s="22"/>
    </row>
    <row r="10" spans="1:68" ht="15.75" x14ac:dyDescent="0.25">
      <c r="A10" s="15"/>
      <c r="B10" s="308" t="s">
        <v>80</v>
      </c>
      <c r="C10" s="321" t="str">
        <f>Input!B14</f>
        <v>FPSO</v>
      </c>
      <c r="D10" s="23"/>
      <c r="E10" s="314" t="s">
        <v>86</v>
      </c>
      <c r="F10" s="315">
        <f>IF(Exploration!H21&lt;Input!B10,0,Exploration!H21)</f>
        <v>41091</v>
      </c>
      <c r="G10" s="316">
        <f t="shared" si="0"/>
        <v>-67.729090909089635</v>
      </c>
      <c r="H10" s="316">
        <f ca="1">SUMPRODUCT(M10:AZ10,'Risked Cash Flow'!$AO$3:$CB$3)</f>
        <v>-44.199613646467391</v>
      </c>
      <c r="I10" s="317">
        <f>Exploration!V33</f>
        <v>1</v>
      </c>
      <c r="J10" s="316">
        <f t="shared" si="1"/>
        <v>-67.729090909089635</v>
      </c>
      <c r="K10" s="316">
        <f ca="1">SUMPRODUCT(M10:AZ10,'Risked Cash Flow'!$AO$3:$CB$3)*I10</f>
        <v>-44.199613646467391</v>
      </c>
      <c r="L10" s="327">
        <f>IF(AND(Overrides!$C$95=Lists!$A$37,F10&lt;$C$9),-Overrides!C98,-Exploration!V20)</f>
        <v>0</v>
      </c>
      <c r="M10" s="328">
        <f t="array" ref="M10:AZ10">-TRANSPOSE(Exploration!Q35:Q74)</f>
        <v>-67.729090909089635</v>
      </c>
      <c r="N10" s="328">
        <v>0</v>
      </c>
      <c r="O10" s="328">
        <v>0</v>
      </c>
      <c r="P10" s="328">
        <v>0</v>
      </c>
      <c r="Q10" s="328">
        <v>0</v>
      </c>
      <c r="R10" s="328">
        <v>0</v>
      </c>
      <c r="S10" s="328">
        <v>0</v>
      </c>
      <c r="T10" s="328">
        <v>0</v>
      </c>
      <c r="U10" s="328">
        <v>0</v>
      </c>
      <c r="V10" s="328">
        <v>0</v>
      </c>
      <c r="W10" s="328">
        <v>0</v>
      </c>
      <c r="X10" s="328">
        <v>0</v>
      </c>
      <c r="Y10" s="328">
        <v>0</v>
      </c>
      <c r="Z10" s="328">
        <v>0</v>
      </c>
      <c r="AA10" s="328">
        <v>0</v>
      </c>
      <c r="AB10" s="328">
        <v>0</v>
      </c>
      <c r="AC10" s="328">
        <v>0</v>
      </c>
      <c r="AD10" s="328">
        <v>0</v>
      </c>
      <c r="AE10" s="328">
        <v>0</v>
      </c>
      <c r="AF10" s="328">
        <v>0</v>
      </c>
      <c r="AG10" s="328">
        <v>0</v>
      </c>
      <c r="AH10" s="328">
        <v>0</v>
      </c>
      <c r="AI10" s="328">
        <v>0</v>
      </c>
      <c r="AJ10" s="328">
        <v>0</v>
      </c>
      <c r="AK10" s="328">
        <v>0</v>
      </c>
      <c r="AL10" s="328">
        <v>0</v>
      </c>
      <c r="AM10" s="328">
        <v>0</v>
      </c>
      <c r="AN10" s="328">
        <v>0</v>
      </c>
      <c r="AO10" s="328">
        <v>0</v>
      </c>
      <c r="AP10" s="328">
        <v>0</v>
      </c>
      <c r="AQ10" s="328">
        <v>0</v>
      </c>
      <c r="AR10" s="328">
        <v>0</v>
      </c>
      <c r="AS10" s="328">
        <v>0</v>
      </c>
      <c r="AT10" s="328">
        <v>0</v>
      </c>
      <c r="AU10" s="328">
        <v>0</v>
      </c>
      <c r="AV10" s="328">
        <v>0</v>
      </c>
      <c r="AW10" s="328">
        <v>0</v>
      </c>
      <c r="AX10" s="328">
        <v>0</v>
      </c>
      <c r="AY10" s="328">
        <v>0</v>
      </c>
      <c r="AZ10" s="328">
        <v>0</v>
      </c>
      <c r="BA10" s="22"/>
      <c r="BB10" s="22"/>
      <c r="BC10" s="22"/>
      <c r="BD10" s="22"/>
      <c r="BE10" s="22"/>
      <c r="BF10" s="22"/>
      <c r="BG10" s="22"/>
      <c r="BH10" s="22"/>
      <c r="BI10" s="22"/>
      <c r="BJ10" s="22"/>
      <c r="BK10" s="22"/>
      <c r="BL10" s="22"/>
      <c r="BM10" s="22"/>
      <c r="BN10" s="22"/>
      <c r="BO10" s="22"/>
      <c r="BP10" s="22"/>
    </row>
    <row r="11" spans="1:68" ht="15.75" x14ac:dyDescent="0.25">
      <c r="A11" s="15"/>
      <c r="B11" s="308" t="s">
        <v>82</v>
      </c>
      <c r="C11" s="321" t="str">
        <f>IF(OR(Input!B14=Lists!O38,Input!B14=Subsea),"",Input!B15)</f>
        <v>To Infrastructure</v>
      </c>
      <c r="D11" s="21"/>
      <c r="E11" s="314" t="s">
        <v>87</v>
      </c>
      <c r="F11" s="315">
        <f>IF(Exploration!H23&lt;Input!B10,0,Exploration!H23)</f>
        <v>41370.454545454544</v>
      </c>
      <c r="G11" s="316">
        <f t="shared" si="0"/>
        <v>-210.00251249999604</v>
      </c>
      <c r="H11" s="316">
        <f ca="1">SUMPRODUCT(M11:AZ11,'Risked Cash Flow'!$AO$3:$CB$3)</f>
        <v>-187.9932436317672</v>
      </c>
      <c r="I11" s="317">
        <f>Exploration!W33</f>
        <v>0.3208333333333333</v>
      </c>
      <c r="J11" s="316">
        <f t="shared" si="1"/>
        <v>-67.375806093748722</v>
      </c>
      <c r="K11" s="316">
        <f ca="1">SUMPRODUCT(M11:AZ11,'Risked Cash Flow'!$AO$3:$CB$3)*I11</f>
        <v>-60.314498998525302</v>
      </c>
      <c r="L11" s="327">
        <f>IF(AND(Overrides!$C$95=Lists!$A$37,F11&lt;$C$9),-Overrides!C99,-Exploration!V21)</f>
        <v>0</v>
      </c>
      <c r="M11" s="328">
        <f t="array" ref="M11:AZ11">-TRANSPOSE(Exploration!R35:R74)</f>
        <v>0</v>
      </c>
      <c r="N11" s="328">
        <v>-138.84463636363375</v>
      </c>
      <c r="O11" s="328">
        <v>-71.15787613636229</v>
      </c>
      <c r="P11" s="328">
        <v>0</v>
      </c>
      <c r="Q11" s="328">
        <v>0</v>
      </c>
      <c r="R11" s="328">
        <v>0</v>
      </c>
      <c r="S11" s="328">
        <v>0</v>
      </c>
      <c r="T11" s="328">
        <v>0</v>
      </c>
      <c r="U11" s="328">
        <v>0</v>
      </c>
      <c r="V11" s="328">
        <v>0</v>
      </c>
      <c r="W11" s="328">
        <v>0</v>
      </c>
      <c r="X11" s="328">
        <v>0</v>
      </c>
      <c r="Y11" s="328">
        <v>0</v>
      </c>
      <c r="Z11" s="328">
        <v>0</v>
      </c>
      <c r="AA11" s="328">
        <v>0</v>
      </c>
      <c r="AB11" s="328">
        <v>0</v>
      </c>
      <c r="AC11" s="328">
        <v>0</v>
      </c>
      <c r="AD11" s="328">
        <v>0</v>
      </c>
      <c r="AE11" s="328">
        <v>0</v>
      </c>
      <c r="AF11" s="328">
        <v>0</v>
      </c>
      <c r="AG11" s="328">
        <v>0</v>
      </c>
      <c r="AH11" s="328">
        <v>0</v>
      </c>
      <c r="AI11" s="328">
        <v>0</v>
      </c>
      <c r="AJ11" s="328">
        <v>0</v>
      </c>
      <c r="AK11" s="328">
        <v>0</v>
      </c>
      <c r="AL11" s="328">
        <v>0</v>
      </c>
      <c r="AM11" s="328">
        <v>0</v>
      </c>
      <c r="AN11" s="328">
        <v>0</v>
      </c>
      <c r="AO11" s="328">
        <v>0</v>
      </c>
      <c r="AP11" s="328">
        <v>0</v>
      </c>
      <c r="AQ11" s="328">
        <v>0</v>
      </c>
      <c r="AR11" s="328">
        <v>0</v>
      </c>
      <c r="AS11" s="328">
        <v>0</v>
      </c>
      <c r="AT11" s="328">
        <v>0</v>
      </c>
      <c r="AU11" s="328">
        <v>0</v>
      </c>
      <c r="AV11" s="328">
        <v>0</v>
      </c>
      <c r="AW11" s="328">
        <v>0</v>
      </c>
      <c r="AX11" s="328">
        <v>0</v>
      </c>
      <c r="AY11" s="328">
        <v>0</v>
      </c>
      <c r="AZ11" s="328">
        <v>0</v>
      </c>
      <c r="BA11" s="22"/>
      <c r="BB11" s="22"/>
      <c r="BC11" s="22"/>
      <c r="BD11" s="22"/>
      <c r="BE11" s="22"/>
      <c r="BF11" s="22"/>
      <c r="BG11" s="22"/>
      <c r="BH11" s="22"/>
      <c r="BI11" s="22"/>
      <c r="BJ11" s="22"/>
      <c r="BK11" s="22"/>
      <c r="BL11" s="22"/>
      <c r="BM11" s="22"/>
      <c r="BN11" s="22"/>
      <c r="BO11" s="22"/>
      <c r="BP11" s="22"/>
    </row>
    <row r="12" spans="1:68" ht="15.75" x14ac:dyDescent="0.25">
      <c r="A12" s="15"/>
      <c r="B12" s="308" t="s">
        <v>84</v>
      </c>
      <c r="C12" s="321">
        <f>IF(OR(C10=Subsea,C11=Lists!Q36),"",Input!B16)</f>
        <v>250</v>
      </c>
      <c r="D12" s="23"/>
      <c r="E12" s="314" t="s">
        <v>88</v>
      </c>
      <c r="F12" s="315">
        <f>IF(Development!B5&lt;Input!B10,0,Development!B5)</f>
        <v>41938</v>
      </c>
      <c r="G12" s="316">
        <f t="shared" si="0"/>
        <v>-11.67512284375</v>
      </c>
      <c r="H12" s="316">
        <f ca="1">SUMPRODUCT(M12:AZ12,'Risked Cash Flow'!$AO$3:$CB$3)</f>
        <v>-9.1044607587734934</v>
      </c>
      <c r="I12" s="317">
        <f>Development!BO88</f>
        <v>0.26249999999999996</v>
      </c>
      <c r="J12" s="316">
        <f t="shared" si="1"/>
        <v>-3.0647197464843745</v>
      </c>
      <c r="K12" s="316">
        <f ca="1">SUMPRODUCT(M12:AZ12,'Risked Cash Flow'!$AO$3:$CB$3)*I12</f>
        <v>-2.3899209491780415</v>
      </c>
      <c r="L12" s="327">
        <f>IF(AND(Overrides!$C$95=Lists!$A$37,F12&lt;$C$9),-Overrides!C100,-Exploration!V22)</f>
        <v>0</v>
      </c>
      <c r="M12" s="328">
        <f t="array" ref="M12:AZ12">-TRANSPOSE(Development!AV91:AV130)</f>
        <v>0</v>
      </c>
      <c r="N12" s="328">
        <v>0</v>
      </c>
      <c r="O12" s="328">
        <v>-2.5193987500000001</v>
      </c>
      <c r="P12" s="328">
        <v>-9.1557240937499991</v>
      </c>
      <c r="Q12" s="328">
        <v>0</v>
      </c>
      <c r="R12" s="328">
        <v>0</v>
      </c>
      <c r="S12" s="328">
        <v>0</v>
      </c>
      <c r="T12" s="328">
        <v>0</v>
      </c>
      <c r="U12" s="328">
        <v>0</v>
      </c>
      <c r="V12" s="328">
        <v>0</v>
      </c>
      <c r="W12" s="328">
        <v>0</v>
      </c>
      <c r="X12" s="328">
        <v>0</v>
      </c>
      <c r="Y12" s="328">
        <v>0</v>
      </c>
      <c r="Z12" s="328">
        <v>0</v>
      </c>
      <c r="AA12" s="328">
        <v>0</v>
      </c>
      <c r="AB12" s="328">
        <v>0</v>
      </c>
      <c r="AC12" s="328">
        <v>0</v>
      </c>
      <c r="AD12" s="328">
        <v>0</v>
      </c>
      <c r="AE12" s="328">
        <v>0</v>
      </c>
      <c r="AF12" s="328">
        <v>0</v>
      </c>
      <c r="AG12" s="328">
        <v>0</v>
      </c>
      <c r="AH12" s="328">
        <v>0</v>
      </c>
      <c r="AI12" s="328">
        <v>0</v>
      </c>
      <c r="AJ12" s="328">
        <v>0</v>
      </c>
      <c r="AK12" s="328">
        <v>0</v>
      </c>
      <c r="AL12" s="328">
        <v>0</v>
      </c>
      <c r="AM12" s="328">
        <v>0</v>
      </c>
      <c r="AN12" s="328">
        <v>0</v>
      </c>
      <c r="AO12" s="328">
        <v>0</v>
      </c>
      <c r="AP12" s="328">
        <v>0</v>
      </c>
      <c r="AQ12" s="328">
        <v>0</v>
      </c>
      <c r="AR12" s="328">
        <v>0</v>
      </c>
      <c r="AS12" s="328">
        <v>0</v>
      </c>
      <c r="AT12" s="328">
        <v>0</v>
      </c>
      <c r="AU12" s="328">
        <v>0</v>
      </c>
      <c r="AV12" s="328">
        <v>0</v>
      </c>
      <c r="AW12" s="328">
        <v>0</v>
      </c>
      <c r="AX12" s="328">
        <v>0</v>
      </c>
      <c r="AY12" s="328">
        <v>0</v>
      </c>
      <c r="AZ12" s="328">
        <v>0</v>
      </c>
      <c r="BA12" s="22"/>
      <c r="BB12" s="22"/>
      <c r="BC12" s="22"/>
      <c r="BD12" s="22"/>
      <c r="BE12" s="22"/>
      <c r="BF12" s="22"/>
      <c r="BG12" s="22"/>
      <c r="BH12" s="22"/>
      <c r="BI12" s="22"/>
      <c r="BJ12" s="22"/>
      <c r="BK12" s="22"/>
      <c r="BL12" s="22"/>
      <c r="BM12" s="22"/>
      <c r="BN12" s="22"/>
      <c r="BO12" s="22"/>
      <c r="BP12" s="22"/>
    </row>
    <row r="13" spans="1:68" ht="15.75" x14ac:dyDescent="0.25">
      <c r="A13" s="15"/>
      <c r="B13" s="329" t="s">
        <v>859</v>
      </c>
      <c r="C13" s="330">
        <f>IF(OR('Cost Assumptions'!O6="Shallow Water",C11=Lists!Q36),"",Input!B17)</f>
        <v>0.3</v>
      </c>
      <c r="D13" s="23"/>
      <c r="E13" s="314" t="s">
        <v>132</v>
      </c>
      <c r="F13" s="315">
        <f>MIN(Development!E74:E77)</f>
        <v>42598</v>
      </c>
      <c r="G13" s="316">
        <f t="shared" si="0"/>
        <v>-3803.7074440772121</v>
      </c>
      <c r="H13" s="316">
        <f ca="1">SUMPRODUCT(M13:AZ13,'Risked Cash Flow'!$AO$3:$CB$3)</f>
        <v>-2263.9050337145572</v>
      </c>
      <c r="I13" s="317">
        <f>Development!BP88</f>
        <v>0.26249999999999996</v>
      </c>
      <c r="J13" s="316">
        <f t="shared" si="1"/>
        <v>-998.47320407026803</v>
      </c>
      <c r="K13" s="316">
        <f ca="1">SUMPRODUCT(M13:AZ13,'Risked Cash Flow'!$AO$3:$CB$3)*I13</f>
        <v>-594.27507135007113</v>
      </c>
      <c r="L13" s="327"/>
      <c r="M13" s="328">
        <f t="array" ref="M13:AZ13">-TRANSPOSE(Development!BZ91:BZ130)</f>
        <v>0</v>
      </c>
      <c r="N13" s="328">
        <v>0</v>
      </c>
      <c r="O13" s="328">
        <v>0</v>
      </c>
      <c r="P13" s="328">
        <v>0</v>
      </c>
      <c r="Q13" s="328">
        <v>-103.42562911396331</v>
      </c>
      <c r="R13" s="328">
        <v>-1220.1315226286367</v>
      </c>
      <c r="S13" s="328">
        <v>-2480.150292334612</v>
      </c>
      <c r="T13" s="328">
        <v>0</v>
      </c>
      <c r="U13" s="328">
        <v>0</v>
      </c>
      <c r="V13" s="328">
        <v>0</v>
      </c>
      <c r="W13" s="328">
        <v>0</v>
      </c>
      <c r="X13" s="328">
        <v>0</v>
      </c>
      <c r="Y13" s="328">
        <v>0</v>
      </c>
      <c r="Z13" s="328">
        <v>0</v>
      </c>
      <c r="AA13" s="328">
        <v>0</v>
      </c>
      <c r="AB13" s="328">
        <v>0</v>
      </c>
      <c r="AC13" s="328">
        <v>0</v>
      </c>
      <c r="AD13" s="328">
        <v>0</v>
      </c>
      <c r="AE13" s="328">
        <v>0</v>
      </c>
      <c r="AF13" s="328">
        <v>0</v>
      </c>
      <c r="AG13" s="328">
        <v>0</v>
      </c>
      <c r="AH13" s="328">
        <v>0</v>
      </c>
      <c r="AI13" s="328">
        <v>0</v>
      </c>
      <c r="AJ13" s="328">
        <v>0</v>
      </c>
      <c r="AK13" s="328">
        <v>0</v>
      </c>
      <c r="AL13" s="328">
        <v>0</v>
      </c>
      <c r="AM13" s="328">
        <v>0</v>
      </c>
      <c r="AN13" s="328">
        <v>0</v>
      </c>
      <c r="AO13" s="328">
        <v>0</v>
      </c>
      <c r="AP13" s="328">
        <v>0</v>
      </c>
      <c r="AQ13" s="328">
        <v>0</v>
      </c>
      <c r="AR13" s="328">
        <v>0</v>
      </c>
      <c r="AS13" s="328">
        <v>0</v>
      </c>
      <c r="AT13" s="328">
        <v>0</v>
      </c>
      <c r="AU13" s="328">
        <v>0</v>
      </c>
      <c r="AV13" s="328">
        <v>0</v>
      </c>
      <c r="AW13" s="328">
        <v>0</v>
      </c>
      <c r="AX13" s="328">
        <v>0</v>
      </c>
      <c r="AY13" s="328">
        <v>0</v>
      </c>
      <c r="AZ13" s="328">
        <v>0</v>
      </c>
      <c r="BA13" s="22"/>
      <c r="BB13" s="22"/>
      <c r="BC13" s="22"/>
      <c r="BD13" s="22"/>
      <c r="BE13" s="22"/>
      <c r="BF13" s="22"/>
      <c r="BG13" s="22"/>
      <c r="BH13" s="22"/>
      <c r="BI13" s="22"/>
      <c r="BJ13" s="22"/>
      <c r="BK13" s="22"/>
      <c r="BL13" s="22"/>
      <c r="BM13" s="22"/>
      <c r="BN13" s="22"/>
      <c r="BO13" s="22"/>
      <c r="BP13" s="22"/>
    </row>
    <row r="14" spans="1:68" ht="16.5" customHeight="1" x14ac:dyDescent="0.3">
      <c r="A14" s="15"/>
      <c r="B14" s="542" t="s">
        <v>85</v>
      </c>
      <c r="C14" s="543"/>
      <c r="D14" s="23"/>
      <c r="E14" s="314" t="s">
        <v>133</v>
      </c>
      <c r="F14" s="315">
        <f>MIN(Development!E41:E46)</f>
        <v>43151.166666666672</v>
      </c>
      <c r="G14" s="316">
        <f t="shared" si="0"/>
        <v>-1642.2907718845772</v>
      </c>
      <c r="H14" s="316">
        <f ca="1">SUMPRODUCT(M14:AZ14,'Risked Cash Flow'!$AO$3:$CB$3)</f>
        <v>-909.72605685394342</v>
      </c>
      <c r="I14" s="317">
        <f t="shared" ref="I14:I19" si="2">I13</f>
        <v>0.26249999999999996</v>
      </c>
      <c r="J14" s="316">
        <f t="shared" si="1"/>
        <v>-431.10132761970146</v>
      </c>
      <c r="K14" s="316">
        <f ca="1">SUMPRODUCT(M14:AZ14,'Risked Cash Flow'!$AO$3:$CB$3)*I14</f>
        <v>-238.8030899241601</v>
      </c>
      <c r="L14" s="319"/>
      <c r="M14" s="328">
        <f t="array" ref="M14:AZ14">-TRANSPOSE(Development!AW91:AW130)</f>
        <v>0</v>
      </c>
      <c r="N14" s="328">
        <v>0</v>
      </c>
      <c r="O14" s="328">
        <v>0</v>
      </c>
      <c r="P14" s="328">
        <v>0</v>
      </c>
      <c r="Q14" s="328">
        <v>0</v>
      </c>
      <c r="R14" s="328">
        <v>0</v>
      </c>
      <c r="S14" s="328">
        <v>-1025.6947978943158</v>
      </c>
      <c r="T14" s="328">
        <v>-616.59597399026154</v>
      </c>
      <c r="U14" s="328">
        <v>0</v>
      </c>
      <c r="V14" s="328">
        <v>0</v>
      </c>
      <c r="W14" s="328">
        <v>0</v>
      </c>
      <c r="X14" s="328">
        <v>0</v>
      </c>
      <c r="Y14" s="328">
        <v>0</v>
      </c>
      <c r="Z14" s="328">
        <v>0</v>
      </c>
      <c r="AA14" s="328">
        <v>0</v>
      </c>
      <c r="AB14" s="328">
        <v>0</v>
      </c>
      <c r="AC14" s="328">
        <v>0</v>
      </c>
      <c r="AD14" s="328">
        <v>0</v>
      </c>
      <c r="AE14" s="328">
        <v>0</v>
      </c>
      <c r="AF14" s="328">
        <v>0</v>
      </c>
      <c r="AG14" s="328">
        <v>0</v>
      </c>
      <c r="AH14" s="328">
        <v>0</v>
      </c>
      <c r="AI14" s="328">
        <v>0</v>
      </c>
      <c r="AJ14" s="328">
        <v>0</v>
      </c>
      <c r="AK14" s="328">
        <v>0</v>
      </c>
      <c r="AL14" s="328">
        <v>0</v>
      </c>
      <c r="AM14" s="328">
        <v>0</v>
      </c>
      <c r="AN14" s="328">
        <v>0</v>
      </c>
      <c r="AO14" s="328">
        <v>0</v>
      </c>
      <c r="AP14" s="328">
        <v>0</v>
      </c>
      <c r="AQ14" s="328">
        <v>0</v>
      </c>
      <c r="AR14" s="328">
        <v>0</v>
      </c>
      <c r="AS14" s="328">
        <v>0</v>
      </c>
      <c r="AT14" s="328">
        <v>0</v>
      </c>
      <c r="AU14" s="328">
        <v>0</v>
      </c>
      <c r="AV14" s="328">
        <v>0</v>
      </c>
      <c r="AW14" s="328">
        <v>0</v>
      </c>
      <c r="AX14" s="328">
        <v>0</v>
      </c>
      <c r="AY14" s="328">
        <v>0</v>
      </c>
      <c r="AZ14" s="328">
        <v>0</v>
      </c>
      <c r="BA14" s="22"/>
      <c r="BB14" s="22"/>
      <c r="BC14" s="22"/>
      <c r="BD14" s="22"/>
      <c r="BE14" s="22"/>
      <c r="BF14" s="22"/>
      <c r="BG14" s="22"/>
      <c r="BH14" s="22"/>
      <c r="BI14" s="22"/>
      <c r="BJ14" s="22"/>
      <c r="BK14" s="22"/>
      <c r="BL14" s="22"/>
      <c r="BM14" s="22"/>
      <c r="BN14" s="22"/>
      <c r="BO14" s="22"/>
      <c r="BP14" s="22"/>
    </row>
    <row r="15" spans="1:68" ht="15.75" customHeight="1" x14ac:dyDescent="0.25">
      <c r="A15" s="15"/>
      <c r="B15" s="308" t="s">
        <v>78</v>
      </c>
      <c r="C15" s="331">
        <f>Input!B19</f>
        <v>1</v>
      </c>
      <c r="D15" s="22"/>
      <c r="E15" s="314" t="s">
        <v>134</v>
      </c>
      <c r="F15" s="315">
        <f>F5</f>
        <v>43408</v>
      </c>
      <c r="G15" s="316">
        <f t="shared" si="0"/>
        <v>-7205.8416717192385</v>
      </c>
      <c r="H15" s="316">
        <f ca="1">SUMPRODUCT(M15:AZ15,'Risked Cash Flow'!$AO$3:$CB$3)</f>
        <v>-1732.5758958353024</v>
      </c>
      <c r="I15" s="317">
        <f t="shared" si="2"/>
        <v>0.26249999999999996</v>
      </c>
      <c r="J15" s="316">
        <f t="shared" si="1"/>
        <v>-1891.5334388262997</v>
      </c>
      <c r="K15" s="316">
        <f ca="1">SUMPRODUCT(M15:AZ15,'Risked Cash Flow'!$AO$3:$CB$3)*I15</f>
        <v>-454.80117265676682</v>
      </c>
      <c r="L15" s="319"/>
      <c r="M15" s="328">
        <f t="array" ref="M15:AZ15">-TRANSPOSE(Operations!M19:M58)</f>
        <v>0</v>
      </c>
      <c r="N15" s="328">
        <v>0</v>
      </c>
      <c r="O15" s="328">
        <v>0</v>
      </c>
      <c r="P15" s="328">
        <v>0</v>
      </c>
      <c r="Q15" s="328">
        <v>0</v>
      </c>
      <c r="R15" s="328">
        <v>0</v>
      </c>
      <c r="S15" s="328">
        <v>-108.49376115602891</v>
      </c>
      <c r="T15" s="328">
        <v>-358.38750793875175</v>
      </c>
      <c r="U15" s="328">
        <v>-370.47242524755427</v>
      </c>
      <c r="V15" s="328">
        <v>-379.47762019998663</v>
      </c>
      <c r="W15" s="328">
        <v>-388.82182862222982</v>
      </c>
      <c r="X15" s="328">
        <v>-376.91455850131791</v>
      </c>
      <c r="Y15" s="328">
        <v>-352.61979360069023</v>
      </c>
      <c r="Z15" s="328">
        <v>-331.65790058317492</v>
      </c>
      <c r="AA15" s="328">
        <v>-314.23587016205687</v>
      </c>
      <c r="AB15" s="328">
        <v>-299.68889926463186</v>
      </c>
      <c r="AC15" s="328">
        <v>-287.76176600540771</v>
      </c>
      <c r="AD15" s="328">
        <v>-277.80579969113001</v>
      </c>
      <c r="AE15" s="328">
        <v>-269.94150546115264</v>
      </c>
      <c r="AF15" s="328">
        <v>-263.78731917529132</v>
      </c>
      <c r="AG15" s="328">
        <v>-259.19760425647735</v>
      </c>
      <c r="AH15" s="328">
        <v>-255.80015483709607</v>
      </c>
      <c r="AI15" s="328">
        <v>-253.66579948924561</v>
      </c>
      <c r="AJ15" s="328">
        <v>-252.57624025711652</v>
      </c>
      <c r="AK15" s="328">
        <v>-252.44909598687371</v>
      </c>
      <c r="AL15" s="328">
        <v>-253.07153246442351</v>
      </c>
      <c r="AM15" s="328">
        <v>-254.4859154113785</v>
      </c>
      <c r="AN15" s="328">
        <v>-256.56813012270663</v>
      </c>
      <c r="AO15" s="328">
        <v>-259.27238221482975</v>
      </c>
      <c r="AP15" s="328">
        <v>-262.47778538052569</v>
      </c>
      <c r="AQ15" s="328">
        <v>-266.21047568916032</v>
      </c>
      <c r="AR15" s="328">
        <v>0</v>
      </c>
      <c r="AS15" s="328">
        <v>0</v>
      </c>
      <c r="AT15" s="328">
        <v>0</v>
      </c>
      <c r="AU15" s="328">
        <v>0</v>
      </c>
      <c r="AV15" s="328">
        <v>0</v>
      </c>
      <c r="AW15" s="328">
        <v>0</v>
      </c>
      <c r="AX15" s="328">
        <v>0</v>
      </c>
      <c r="AY15" s="328">
        <v>0</v>
      </c>
      <c r="AZ15" s="328">
        <v>0</v>
      </c>
      <c r="BA15" s="22"/>
      <c r="BB15" s="22"/>
      <c r="BC15" s="22"/>
      <c r="BD15" s="22"/>
      <c r="BE15" s="22"/>
      <c r="BF15" s="22"/>
      <c r="BG15" s="22"/>
      <c r="BH15" s="22"/>
      <c r="BI15" s="22"/>
      <c r="BJ15" s="22"/>
      <c r="BK15" s="22"/>
      <c r="BL15" s="22"/>
      <c r="BM15" s="22"/>
      <c r="BN15" s="22"/>
      <c r="BO15" s="22"/>
      <c r="BP15" s="22"/>
    </row>
    <row r="16" spans="1:68" ht="15.75" customHeight="1" x14ac:dyDescent="0.25">
      <c r="A16" s="15"/>
      <c r="B16" s="308" t="s">
        <v>86</v>
      </c>
      <c r="C16" s="331">
        <f>Input!B20</f>
        <v>0.35</v>
      </c>
      <c r="D16" s="22"/>
      <c r="E16" s="314" t="s">
        <v>38</v>
      </c>
      <c r="F16" s="315"/>
      <c r="G16" s="316">
        <f t="shared" si="0"/>
        <v>-9771.0292467226209</v>
      </c>
      <c r="H16" s="316">
        <f ca="1">SUMPRODUCT(M16:AZ16,'Risked Cash Flow'!$AO$3:$CB$3)</f>
        <v>-2804.2517923045993</v>
      </c>
      <c r="I16" s="317">
        <f t="shared" si="2"/>
        <v>0.26249999999999996</v>
      </c>
      <c r="J16" s="316">
        <f t="shared" si="1"/>
        <v>-2564.8951772646874</v>
      </c>
      <c r="K16" s="316">
        <f ca="1">SUMPRODUCT(M16:AZ16,'Risked Cash Flow'!$AO$3:$CB$3)*I16</f>
        <v>-736.11609547995715</v>
      </c>
      <c r="L16" s="319"/>
      <c r="M16" s="328">
        <f t="array" ref="M16:AZ16">-TRANSPOSE('Success Cash Flow'!L10:L49)</f>
        <v>0</v>
      </c>
      <c r="N16" s="328">
        <v>0</v>
      </c>
      <c r="O16" s="328">
        <v>0</v>
      </c>
      <c r="P16" s="328">
        <v>0</v>
      </c>
      <c r="Q16" s="328">
        <v>0</v>
      </c>
      <c r="R16" s="328">
        <v>0</v>
      </c>
      <c r="S16" s="328">
        <v>-7.202229353926362</v>
      </c>
      <c r="T16" s="328">
        <v>-75.550803769244823</v>
      </c>
      <c r="U16" s="328">
        <v>-93.405416106083948</v>
      </c>
      <c r="V16" s="328">
        <v>-724.8964966412409</v>
      </c>
      <c r="W16" s="328">
        <v>-1291.6672974370558</v>
      </c>
      <c r="X16" s="328">
        <v>-1200.2757369225428</v>
      </c>
      <c r="Y16" s="328">
        <v>-1039.3674076519876</v>
      </c>
      <c r="Z16" s="328">
        <v>-893.10946766897075</v>
      </c>
      <c r="AA16" s="328">
        <v>-768.38923785918871</v>
      </c>
      <c r="AB16" s="328">
        <v>-659.483427991231</v>
      </c>
      <c r="AC16" s="328">
        <v>-566.01466119392944</v>
      </c>
      <c r="AD16" s="328">
        <v>-480.9637726209059</v>
      </c>
      <c r="AE16" s="328">
        <v>-408.29695394106562</v>
      </c>
      <c r="AF16" s="328">
        <v>-344.71741984238264</v>
      </c>
      <c r="AG16" s="328">
        <v>-290.00730151550187</v>
      </c>
      <c r="AH16" s="328">
        <v>-240.12344089161505</v>
      </c>
      <c r="AI16" s="328">
        <v>-197.34958076066093</v>
      </c>
      <c r="AJ16" s="328">
        <v>-159.7864059436626</v>
      </c>
      <c r="AK16" s="328">
        <v>-127.30786062001607</v>
      </c>
      <c r="AL16" s="328">
        <v>-97.584734677661416</v>
      </c>
      <c r="AM16" s="328">
        <v>-71.931723128489566</v>
      </c>
      <c r="AN16" s="328">
        <v>-49.254312392287375</v>
      </c>
      <c r="AO16" s="328">
        <v>-29.479265660758745</v>
      </c>
      <c r="AP16" s="328">
        <v>-16.045484472236687</v>
      </c>
      <c r="AQ16" s="328">
        <v>-13.979628346436163</v>
      </c>
      <c r="AR16" s="328">
        <v>75.160820686464504</v>
      </c>
      <c r="AS16" s="328">
        <v>0</v>
      </c>
      <c r="AT16" s="328">
        <v>0</v>
      </c>
      <c r="AU16" s="328">
        <v>0</v>
      </c>
      <c r="AV16" s="328">
        <v>0</v>
      </c>
      <c r="AW16" s="328">
        <v>0</v>
      </c>
      <c r="AX16" s="328">
        <v>0</v>
      </c>
      <c r="AY16" s="328">
        <v>0</v>
      </c>
      <c r="AZ16" s="328">
        <v>0</v>
      </c>
      <c r="BA16" s="22"/>
      <c r="BB16" s="22"/>
      <c r="BC16" s="22"/>
      <c r="BD16" s="22"/>
      <c r="BE16" s="22"/>
      <c r="BF16" s="22"/>
      <c r="BG16" s="22"/>
      <c r="BH16" s="22"/>
      <c r="BI16" s="22"/>
      <c r="BJ16" s="22"/>
      <c r="BK16" s="22"/>
      <c r="BL16" s="22"/>
      <c r="BM16" s="22"/>
      <c r="BN16" s="22"/>
      <c r="BO16" s="22"/>
      <c r="BP16" s="22"/>
    </row>
    <row r="17" spans="1:68" ht="15.75" customHeight="1" x14ac:dyDescent="0.25">
      <c r="A17" s="15"/>
      <c r="B17" s="308" t="s">
        <v>87</v>
      </c>
      <c r="C17" s="331">
        <f>Input!B21</f>
        <v>0.75</v>
      </c>
      <c r="D17" s="22"/>
      <c r="E17" s="314" t="s">
        <v>135</v>
      </c>
      <c r="F17" s="315"/>
      <c r="G17" s="316">
        <f t="shared" si="0"/>
        <v>-3375.500110646135</v>
      </c>
      <c r="H17" s="316">
        <f ca="1">SUMPRODUCT(M17:AZ17,'Risked Cash Flow'!$AO$3:$CB$3)</f>
        <v>-1081.6969035866653</v>
      </c>
      <c r="I17" s="317">
        <f t="shared" si="2"/>
        <v>0.26249999999999996</v>
      </c>
      <c r="J17" s="316">
        <f t="shared" si="1"/>
        <v>-886.06877904461032</v>
      </c>
      <c r="K17" s="316">
        <f ca="1">SUMPRODUCT(M17:AZ17,'Risked Cash Flow'!$AO$3:$CB$3)*I17</f>
        <v>-283.94543719149959</v>
      </c>
      <c r="L17" s="319"/>
      <c r="M17" s="328">
        <f t="array" ref="M17:AZ17">-TRANSPOSE('Success Cash Flow'!M10:M49)</f>
        <v>10.836654545454342</v>
      </c>
      <c r="N17" s="328">
        <v>6.6645425454544203</v>
      </c>
      <c r="O17" s="328">
        <v>8.0807578363634853</v>
      </c>
      <c r="P17" s="328">
        <v>5.6565304854544385</v>
      </c>
      <c r="Q17" s="328">
        <v>3.9595713398181074</v>
      </c>
      <c r="R17" s="328">
        <v>2.771699937872675</v>
      </c>
      <c r="S17" s="328">
        <v>88.374715244039223</v>
      </c>
      <c r="T17" s="328">
        <v>-336.01982550810629</v>
      </c>
      <c r="U17" s="328">
        <v>-409.09063363359701</v>
      </c>
      <c r="V17" s="328">
        <v>-359.35664901963804</v>
      </c>
      <c r="W17" s="328">
        <v>-311.25594915059656</v>
      </c>
      <c r="X17" s="328">
        <v>-304.72473141164016</v>
      </c>
      <c r="Y17" s="328">
        <v>-271.79841442348089</v>
      </c>
      <c r="Z17" s="328">
        <v>-239.22428869678217</v>
      </c>
      <c r="AA17" s="328">
        <v>-210.13646356381116</v>
      </c>
      <c r="AB17" s="328">
        <v>-183.61567252894042</v>
      </c>
      <c r="AC17" s="328">
        <v>-160.12485807047892</v>
      </c>
      <c r="AD17" s="328">
        <v>-137.99192731020153</v>
      </c>
      <c r="AE17" s="328">
        <v>-118.70804619557124</v>
      </c>
      <c r="AF17" s="328">
        <v>-101.51543659865267</v>
      </c>
      <c r="AG17" s="328">
        <v>-86.514423697519348</v>
      </c>
      <c r="AH17" s="328">
        <v>-72.6207071370672</v>
      </c>
      <c r="AI17" s="328">
        <v>-60.604559626910316</v>
      </c>
      <c r="AJ17" s="328">
        <v>-49.964804271841587</v>
      </c>
      <c r="AK17" s="328">
        <v>-40.711823575318171</v>
      </c>
      <c r="AL17" s="328">
        <v>-32.186372965053451</v>
      </c>
      <c r="AM17" s="328">
        <v>-24.806564938623893</v>
      </c>
      <c r="AN17" s="328">
        <v>-18.264980084106291</v>
      </c>
      <c r="AO17" s="328">
        <v>-12.553763437444076</v>
      </c>
      <c r="AP17" s="328">
        <v>-6.5180431575758373</v>
      </c>
      <c r="AQ17" s="328">
        <v>0.29216505492731198</v>
      </c>
      <c r="AR17" s="328">
        <v>46.172191367438892</v>
      </c>
      <c r="AS17" s="328">
        <v>0</v>
      </c>
      <c r="AT17" s="328">
        <v>0</v>
      </c>
      <c r="AU17" s="328">
        <v>0</v>
      </c>
      <c r="AV17" s="328">
        <v>0</v>
      </c>
      <c r="AW17" s="328">
        <v>0</v>
      </c>
      <c r="AX17" s="328">
        <v>0</v>
      </c>
      <c r="AY17" s="328">
        <v>0</v>
      </c>
      <c r="AZ17" s="328">
        <v>0</v>
      </c>
      <c r="BA17" s="22"/>
      <c r="BB17" s="22"/>
      <c r="BC17" s="22"/>
      <c r="BD17" s="22"/>
      <c r="BE17" s="22"/>
      <c r="BF17" s="22"/>
      <c r="BG17" s="22"/>
      <c r="BH17" s="22"/>
      <c r="BI17" s="22"/>
      <c r="BJ17" s="22"/>
      <c r="BK17" s="22"/>
      <c r="BL17" s="22"/>
      <c r="BM17" s="22"/>
      <c r="BN17" s="22"/>
      <c r="BO17" s="22"/>
      <c r="BP17" s="22"/>
    </row>
    <row r="18" spans="1:68" ht="15.75" customHeight="1" x14ac:dyDescent="0.25">
      <c r="A18" s="15"/>
      <c r="B18" s="308" t="s">
        <v>88</v>
      </c>
      <c r="C18" s="331">
        <f>Input!B22</f>
        <v>1</v>
      </c>
      <c r="D18" s="22"/>
      <c r="E18" s="314" t="s">
        <v>136</v>
      </c>
      <c r="F18" s="315"/>
      <c r="G18" s="316">
        <f t="shared" si="0"/>
        <v>-4005.1633855275113</v>
      </c>
      <c r="H18" s="316">
        <f ca="1">SUMPRODUCT(M18:AZ18,'Risked Cash Flow'!$AO$3:$CB$3)</f>
        <v>-1333.0457397060404</v>
      </c>
      <c r="I18" s="317">
        <f t="shared" si="2"/>
        <v>0.26249999999999996</v>
      </c>
      <c r="J18" s="316">
        <f t="shared" si="1"/>
        <v>-1051.3553887009716</v>
      </c>
      <c r="K18" s="316">
        <f ca="1">SUMPRODUCT(M18:AZ18,'Risked Cash Flow'!$AO$3:$CB$3)*I18</f>
        <v>-349.92450667283555</v>
      </c>
      <c r="L18" s="319"/>
      <c r="M18" s="328">
        <f t="array" ref="M18:AZ18">-TRANSPOSE('Success Cash Flow'!N10:N49)</f>
        <v>14.981674909090628</v>
      </c>
      <c r="N18" s="328">
        <v>8.5389451363634752</v>
      </c>
      <c r="O18" s="328">
        <v>10.100947295454356</v>
      </c>
      <c r="P18" s="328">
        <v>6.7171299514771459</v>
      </c>
      <c r="Q18" s="328">
        <v>4.7019909660340025</v>
      </c>
      <c r="R18" s="328">
        <v>3.2913936762238016</v>
      </c>
      <c r="S18" s="328">
        <v>104.94497435229657</v>
      </c>
      <c r="T18" s="328">
        <v>-466.98504476415587</v>
      </c>
      <c r="U18" s="328">
        <v>-536.76625391985613</v>
      </c>
      <c r="V18" s="328">
        <v>-447.97399007747009</v>
      </c>
      <c r="W18" s="328">
        <v>-385.54491664132081</v>
      </c>
      <c r="X18" s="328">
        <v>-361.0641947000733</v>
      </c>
      <c r="Y18" s="328">
        <v>-322.16329923944653</v>
      </c>
      <c r="Z18" s="328">
        <v>-274.07376819610852</v>
      </c>
      <c r="AA18" s="328">
        <v>-242.0332445085356</v>
      </c>
      <c r="AB18" s="328">
        <v>-205.24794198675477</v>
      </c>
      <c r="AC18" s="328">
        <v>-180.55151710267225</v>
      </c>
      <c r="AD18" s="328">
        <v>-151.29198879291496</v>
      </c>
      <c r="AE18" s="328">
        <v>-131.53573619127886</v>
      </c>
      <c r="AF18" s="328">
        <v>-109.44513371447857</v>
      </c>
      <c r="AG18" s="328">
        <v>-94.407542705988135</v>
      </c>
      <c r="AH18" s="328">
        <v>-76.966916338942781</v>
      </c>
      <c r="AI18" s="328">
        <v>-65.015284517212621</v>
      </c>
      <c r="AJ18" s="328">
        <v>-51.850791185345003</v>
      </c>
      <c r="AK18" s="328">
        <v>-42.733480080090168</v>
      </c>
      <c r="AL18" s="328">
        <v>-32.311504066056344</v>
      </c>
      <c r="AM18" s="328">
        <v>-25.025435492157396</v>
      </c>
      <c r="AN18" s="328">
        <v>-17.089676556848985</v>
      </c>
      <c r="AO18" s="328">
        <v>-11.457603612194411</v>
      </c>
      <c r="AP18" s="328">
        <v>-4.1958956370309544</v>
      </c>
      <c r="AQ18" s="328">
        <v>3.0051564621689475</v>
      </c>
      <c r="AR18" s="328">
        <v>65.674471907949581</v>
      </c>
      <c r="AS18" s="328">
        <v>8.6110898423628104</v>
      </c>
      <c r="AT18" s="328">
        <v>0</v>
      </c>
      <c r="AU18" s="328">
        <v>0</v>
      </c>
      <c r="AV18" s="328">
        <v>0</v>
      </c>
      <c r="AW18" s="328">
        <v>0</v>
      </c>
      <c r="AX18" s="328">
        <v>0</v>
      </c>
      <c r="AY18" s="328">
        <v>0</v>
      </c>
      <c r="AZ18" s="328">
        <v>0</v>
      </c>
      <c r="BA18" s="22"/>
      <c r="BB18" s="22"/>
      <c r="BC18" s="22"/>
      <c r="BD18" s="22"/>
      <c r="BE18" s="22"/>
      <c r="BF18" s="22"/>
      <c r="BG18" s="22"/>
      <c r="BH18" s="22"/>
      <c r="BI18" s="22"/>
      <c r="BJ18" s="22"/>
      <c r="BK18" s="22"/>
      <c r="BL18" s="22"/>
      <c r="BM18" s="22"/>
      <c r="BN18" s="22"/>
      <c r="BO18" s="22"/>
      <c r="BP18" s="22"/>
    </row>
    <row r="19" spans="1:68" ht="18.75" x14ac:dyDescent="0.3">
      <c r="B19" s="542" t="s">
        <v>89</v>
      </c>
      <c r="C19" s="543"/>
      <c r="D19" s="22"/>
      <c r="E19" s="314" t="s">
        <v>19</v>
      </c>
      <c r="F19" s="315">
        <f>DATE(Abandonment!B4,3,1)</f>
        <v>52291</v>
      </c>
      <c r="G19" s="316">
        <f t="shared" si="0"/>
        <v>-360.12613373360404</v>
      </c>
      <c r="H19" s="316">
        <f ca="1">SUMPRODUCT(M19:AZ19,'Risked Cash Flow'!$AO$3:$CB$3)</f>
        <v>-19.062514167871345</v>
      </c>
      <c r="I19" s="317">
        <f t="shared" si="2"/>
        <v>0.26249999999999996</v>
      </c>
      <c r="J19" s="316">
        <f t="shared" si="1"/>
        <v>-94.533110105071046</v>
      </c>
      <c r="K19" s="316">
        <f ca="1">SUMPRODUCT(M19:AZ19,'Risked Cash Flow'!$AO$3:$CB$3)*I19</f>
        <v>-5.0039099690662274</v>
      </c>
      <c r="L19" s="322"/>
      <c r="M19" s="328">
        <f t="array" ref="M19:AZ19">-TRANSPOSE(Abandonment!G16:G55)</f>
        <v>0</v>
      </c>
      <c r="N19" s="328">
        <v>0</v>
      </c>
      <c r="O19" s="328">
        <v>0</v>
      </c>
      <c r="P19" s="328">
        <v>0</v>
      </c>
      <c r="Q19" s="328">
        <v>0</v>
      </c>
      <c r="R19" s="328">
        <v>0</v>
      </c>
      <c r="S19" s="328">
        <v>0</v>
      </c>
      <c r="T19" s="328">
        <v>0</v>
      </c>
      <c r="U19" s="328">
        <v>0</v>
      </c>
      <c r="V19" s="328">
        <v>0</v>
      </c>
      <c r="W19" s="328">
        <v>0</v>
      </c>
      <c r="X19" s="328">
        <v>0</v>
      </c>
      <c r="Y19" s="328">
        <v>0</v>
      </c>
      <c r="Z19" s="328">
        <v>0</v>
      </c>
      <c r="AA19" s="328">
        <v>0</v>
      </c>
      <c r="AB19" s="328">
        <v>0</v>
      </c>
      <c r="AC19" s="328">
        <v>0</v>
      </c>
      <c r="AD19" s="328">
        <v>0</v>
      </c>
      <c r="AE19" s="328">
        <v>0</v>
      </c>
      <c r="AF19" s="328">
        <v>0</v>
      </c>
      <c r="AG19" s="328">
        <v>0</v>
      </c>
      <c r="AH19" s="328">
        <v>0</v>
      </c>
      <c r="AI19" s="328">
        <v>0</v>
      </c>
      <c r="AJ19" s="328">
        <v>0</v>
      </c>
      <c r="AK19" s="328">
        <v>0</v>
      </c>
      <c r="AL19" s="328">
        <v>0</v>
      </c>
      <c r="AM19" s="328">
        <v>0</v>
      </c>
      <c r="AN19" s="328">
        <v>0</v>
      </c>
      <c r="AO19" s="328">
        <v>0</v>
      </c>
      <c r="AP19" s="328">
        <v>0</v>
      </c>
      <c r="AQ19" s="328">
        <v>0</v>
      </c>
      <c r="AR19" s="328">
        <v>-360.12613373360404</v>
      </c>
      <c r="AS19" s="328">
        <v>0</v>
      </c>
      <c r="AT19" s="328">
        <v>0</v>
      </c>
      <c r="AU19" s="328">
        <v>0</v>
      </c>
      <c r="AV19" s="328">
        <v>0</v>
      </c>
      <c r="AW19" s="328">
        <v>0</v>
      </c>
      <c r="AX19" s="328">
        <v>0</v>
      </c>
      <c r="AY19" s="328">
        <v>0</v>
      </c>
      <c r="AZ19" s="328">
        <v>0</v>
      </c>
      <c r="BA19" s="22"/>
      <c r="BB19" s="22"/>
      <c r="BC19" s="22"/>
      <c r="BD19" s="22"/>
      <c r="BE19" s="22"/>
      <c r="BF19" s="22"/>
      <c r="BG19" s="22"/>
      <c r="BH19" s="22"/>
      <c r="BI19" s="22"/>
      <c r="BJ19" s="22"/>
      <c r="BK19" s="22"/>
      <c r="BL19" s="22"/>
      <c r="BM19" s="22"/>
      <c r="BN19" s="22"/>
      <c r="BO19" s="22"/>
      <c r="BP19" s="22"/>
    </row>
    <row r="20" spans="1:68" ht="15.75" customHeight="1" x14ac:dyDescent="0.25">
      <c r="B20" s="308" t="str">
        <f>Thresholds!A23</f>
        <v>Product Type</v>
      </c>
      <c r="C20" s="321" t="str">
        <f>Input!B11</f>
        <v>Oil</v>
      </c>
      <c r="D20" s="22"/>
      <c r="E20" s="314" t="s">
        <v>101</v>
      </c>
      <c r="F20" s="332"/>
      <c r="G20" s="316">
        <f>SUM(G9:G19)</f>
        <v>-30453.065490563735</v>
      </c>
      <c r="H20" s="316">
        <f ca="1">SUM(H9:H19)</f>
        <v>-10385.561254205988</v>
      </c>
      <c r="I20" s="311"/>
      <c r="J20" s="316">
        <f t="shared" ref="J20:AZ20" si="3">SUM(J9:J19)</f>
        <v>-8056.1300423809316</v>
      </c>
      <c r="K20" s="316">
        <f ca="1">SUM(K9:K19)</f>
        <v>-2769.7733168385271</v>
      </c>
      <c r="L20" s="324">
        <f t="shared" si="3"/>
        <v>-11</v>
      </c>
      <c r="M20" s="325">
        <f t="shared" si="3"/>
        <v>-41.910761454544662</v>
      </c>
      <c r="N20" s="325">
        <f t="shared" si="3"/>
        <v>-123.64114868181585</v>
      </c>
      <c r="O20" s="325">
        <f t="shared" si="3"/>
        <v>-55.495569754544441</v>
      </c>
      <c r="P20" s="325">
        <f t="shared" si="3"/>
        <v>3.2179363431815853</v>
      </c>
      <c r="Q20" s="325">
        <f t="shared" si="3"/>
        <v>-94.764066808111195</v>
      </c>
      <c r="R20" s="325">
        <f t="shared" si="3"/>
        <v>-1214.0684290145402</v>
      </c>
      <c r="S20" s="325">
        <f t="shared" si="3"/>
        <v>-3428.2213911425474</v>
      </c>
      <c r="T20" s="325">
        <f t="shared" si="3"/>
        <v>-1853.5391559705204</v>
      </c>
      <c r="U20" s="325">
        <f t="shared" si="3"/>
        <v>-1409.7347289070913</v>
      </c>
      <c r="V20" s="325">
        <f t="shared" si="3"/>
        <v>-1911.7047559383357</v>
      </c>
      <c r="W20" s="325">
        <f t="shared" si="3"/>
        <v>-2377.289991851203</v>
      </c>
      <c r="X20" s="325">
        <f t="shared" si="3"/>
        <v>-2242.9792215355742</v>
      </c>
      <c r="Y20" s="325">
        <f t="shared" si="3"/>
        <v>-1985.9489149156052</v>
      </c>
      <c r="Z20" s="325">
        <f t="shared" si="3"/>
        <v>-1738.0654251450364</v>
      </c>
      <c r="AA20" s="325">
        <f t="shared" si="3"/>
        <v>-1534.7948160935921</v>
      </c>
      <c r="AB20" s="325">
        <f t="shared" si="3"/>
        <v>-1348.0359417715581</v>
      </c>
      <c r="AC20" s="325">
        <f t="shared" si="3"/>
        <v>-1194.4528023724883</v>
      </c>
      <c r="AD20" s="325">
        <f t="shared" si="3"/>
        <v>-1048.0534884151525</v>
      </c>
      <c r="AE20" s="325">
        <f t="shared" si="3"/>
        <v>-928.48224178906833</v>
      </c>
      <c r="AF20" s="325">
        <f t="shared" si="3"/>
        <v>-819.46530933080521</v>
      </c>
      <c r="AG20" s="325">
        <f t="shared" si="3"/>
        <v>-730.1268721754866</v>
      </c>
      <c r="AH20" s="325">
        <f t="shared" si="3"/>
        <v>-645.5112192047211</v>
      </c>
      <c r="AI20" s="325">
        <f t="shared" si="3"/>
        <v>-576.63522439402948</v>
      </c>
      <c r="AJ20" s="325">
        <f t="shared" si="3"/>
        <v>-514.17824165796571</v>
      </c>
      <c r="AK20" s="325">
        <f t="shared" si="3"/>
        <v>-463.20226026229813</v>
      </c>
      <c r="AL20" s="325">
        <f t="shared" si="3"/>
        <v>-415.15414417319471</v>
      </c>
      <c r="AM20" s="325">
        <f t="shared" si="3"/>
        <v>-376.24963897064936</v>
      </c>
      <c r="AN20" s="325">
        <f t="shared" si="3"/>
        <v>-341.17709915594929</v>
      </c>
      <c r="AO20" s="325">
        <f t="shared" si="3"/>
        <v>-312.76301492522697</v>
      </c>
      <c r="AP20" s="325">
        <f t="shared" si="3"/>
        <v>-289.23720864736919</v>
      </c>
      <c r="AQ20" s="325">
        <f t="shared" si="3"/>
        <v>-276.89278251850027</v>
      </c>
      <c r="AR20" s="325">
        <f t="shared" si="3"/>
        <v>-173.11864977175105</v>
      </c>
      <c r="AS20" s="325">
        <f t="shared" si="3"/>
        <v>8.6110898423628104</v>
      </c>
      <c r="AT20" s="325">
        <f t="shared" si="3"/>
        <v>0</v>
      </c>
      <c r="AU20" s="325">
        <f t="shared" si="3"/>
        <v>0</v>
      </c>
      <c r="AV20" s="325">
        <f t="shared" si="3"/>
        <v>0</v>
      </c>
      <c r="AW20" s="325">
        <f t="shared" si="3"/>
        <v>0</v>
      </c>
      <c r="AX20" s="325">
        <f t="shared" si="3"/>
        <v>0</v>
      </c>
      <c r="AY20" s="325">
        <f t="shared" si="3"/>
        <v>0</v>
      </c>
      <c r="AZ20" s="325">
        <f t="shared" si="3"/>
        <v>0</v>
      </c>
      <c r="BA20" s="22"/>
      <c r="BB20" s="22"/>
      <c r="BC20" s="22"/>
      <c r="BD20" s="22"/>
      <c r="BE20" s="22"/>
      <c r="BF20" s="22"/>
      <c r="BG20" s="22"/>
      <c r="BH20" s="22"/>
      <c r="BI20" s="22"/>
      <c r="BJ20" s="22"/>
      <c r="BK20" s="22"/>
      <c r="BL20" s="22"/>
      <c r="BM20" s="22"/>
      <c r="BN20" s="22"/>
      <c r="BO20" s="22"/>
      <c r="BP20" s="22"/>
    </row>
    <row r="21" spans="1:68" ht="15.75" customHeight="1" x14ac:dyDescent="0.25">
      <c r="B21" s="308" t="str">
        <f>Input!A12</f>
        <v>Mean Reserves (mmbbl)</v>
      </c>
      <c r="C21" s="321">
        <f>Input!B12</f>
        <v>300</v>
      </c>
      <c r="D21" s="22"/>
      <c r="E21" s="314" t="s">
        <v>137</v>
      </c>
      <c r="F21" s="332"/>
      <c r="G21" s="316">
        <f>G8+G20</f>
        <v>13716.212195364693</v>
      </c>
      <c r="H21" s="316">
        <f ca="1">H8+H20</f>
        <v>3521.9194181221701</v>
      </c>
      <c r="I21" s="311"/>
      <c r="J21" s="316">
        <f t="shared" ref="J21:AZ21" si="4">J8+J20</f>
        <v>3538.3053501752802</v>
      </c>
      <c r="K21" s="316">
        <f ca="1">K8+K20</f>
        <v>880.94035964761406</v>
      </c>
      <c r="L21" s="324">
        <f t="shared" si="4"/>
        <v>-11</v>
      </c>
      <c r="M21" s="325">
        <f t="shared" si="4"/>
        <v>-41.910761454544662</v>
      </c>
      <c r="N21" s="325">
        <f t="shared" si="4"/>
        <v>-123.64114868181585</v>
      </c>
      <c r="O21" s="325">
        <f t="shared" si="4"/>
        <v>-55.495569754544441</v>
      </c>
      <c r="P21" s="325">
        <f t="shared" si="4"/>
        <v>3.2179363431815853</v>
      </c>
      <c r="Q21" s="325">
        <f t="shared" si="4"/>
        <v>-94.764066808111195</v>
      </c>
      <c r="R21" s="325">
        <f t="shared" si="4"/>
        <v>-1214.0684290145402</v>
      </c>
      <c r="S21" s="325">
        <f t="shared" si="4"/>
        <v>-3068.1099234462295</v>
      </c>
      <c r="T21" s="325">
        <f t="shared" si="4"/>
        <v>1924.0010324917207</v>
      </c>
      <c r="U21" s="325">
        <f t="shared" si="4"/>
        <v>2523.1248966122325</v>
      </c>
      <c r="V21" s="325">
        <f t="shared" si="4"/>
        <v>2108.4622041638959</v>
      </c>
      <c r="W21" s="325">
        <f t="shared" si="4"/>
        <v>1740.8920123105527</v>
      </c>
      <c r="X21" s="325">
        <f t="shared" si="4"/>
        <v>1600.9860411659979</v>
      </c>
      <c r="Y21" s="325">
        <f t="shared" si="4"/>
        <v>1371.554022765119</v>
      </c>
      <c r="Z21" s="325">
        <f t="shared" si="4"/>
        <v>1178.4996016935152</v>
      </c>
      <c r="AA21" s="325">
        <f t="shared" si="4"/>
        <v>1006.2624635394959</v>
      </c>
      <c r="AB21" s="325">
        <f t="shared" si="4"/>
        <v>865.86021310876868</v>
      </c>
      <c r="AC21" s="325">
        <f t="shared" si="4"/>
        <v>739.26988650183011</v>
      </c>
      <c r="AD21" s="325">
        <f t="shared" si="4"/>
        <v>631.71509873339301</v>
      </c>
      <c r="AE21" s="325">
        <f t="shared" si="4"/>
        <v>535.01613976410147</v>
      </c>
      <c r="AF21" s="325">
        <f t="shared" si="4"/>
        <v>455.60765559739434</v>
      </c>
      <c r="AG21" s="325">
        <f t="shared" si="4"/>
        <v>383.58278255092955</v>
      </c>
      <c r="AH21" s="325">
        <f t="shared" si="4"/>
        <v>321.9359250921276</v>
      </c>
      <c r="AI21" s="325">
        <f t="shared" si="4"/>
        <v>266.25310007460052</v>
      </c>
      <c r="AJ21" s="325">
        <f t="shared" si="4"/>
        <v>220.18821103532707</v>
      </c>
      <c r="AK21" s="325">
        <f t="shared" si="4"/>
        <v>178.22848995188036</v>
      </c>
      <c r="AL21" s="325">
        <f t="shared" si="4"/>
        <v>142.03806918813245</v>
      </c>
      <c r="AM21" s="325">
        <f t="shared" si="4"/>
        <v>109.20407692040862</v>
      </c>
      <c r="AN21" s="325">
        <f t="shared" si="4"/>
        <v>81.774450814134809</v>
      </c>
      <c r="AO21" s="325">
        <f t="shared" si="4"/>
        <v>56.663078827539323</v>
      </c>
      <c r="AP21" s="325">
        <f t="shared" si="4"/>
        <v>31.672480797364528</v>
      </c>
      <c r="AQ21" s="325">
        <f t="shared" si="4"/>
        <v>2.6997844102229465</v>
      </c>
      <c r="AR21" s="325">
        <f t="shared" si="4"/>
        <v>-173.11864977175105</v>
      </c>
      <c r="AS21" s="325">
        <f t="shared" si="4"/>
        <v>8.6110898423628104</v>
      </c>
      <c r="AT21" s="325">
        <f t="shared" si="4"/>
        <v>0</v>
      </c>
      <c r="AU21" s="325">
        <f t="shared" si="4"/>
        <v>0</v>
      </c>
      <c r="AV21" s="325">
        <f t="shared" si="4"/>
        <v>0</v>
      </c>
      <c r="AW21" s="325">
        <f t="shared" si="4"/>
        <v>0</v>
      </c>
      <c r="AX21" s="325">
        <f t="shared" si="4"/>
        <v>0</v>
      </c>
      <c r="AY21" s="325">
        <f t="shared" si="4"/>
        <v>0</v>
      </c>
      <c r="AZ21" s="325">
        <f t="shared" si="4"/>
        <v>0</v>
      </c>
      <c r="BA21" s="22"/>
      <c r="BB21" s="22"/>
      <c r="BC21" s="22"/>
      <c r="BD21" s="22"/>
      <c r="BE21" s="22"/>
      <c r="BF21" s="22"/>
      <c r="BG21" s="22"/>
      <c r="BH21" s="22"/>
      <c r="BI21" s="22"/>
      <c r="BJ21" s="22"/>
      <c r="BK21" s="22"/>
      <c r="BL21" s="22"/>
      <c r="BM21" s="22"/>
      <c r="BN21" s="22"/>
      <c r="BO21" s="22"/>
      <c r="BP21" s="22"/>
    </row>
    <row r="22" spans="1:68" ht="15.75" x14ac:dyDescent="0.25">
      <c r="B22" s="308" t="s">
        <v>90</v>
      </c>
      <c r="C22" s="321">
        <f>Input!B24</f>
        <v>4500</v>
      </c>
      <c r="D22" s="22"/>
      <c r="E22" s="493" t="s">
        <v>1059</v>
      </c>
      <c r="F22" s="494"/>
      <c r="G22" s="494"/>
      <c r="H22" s="494"/>
      <c r="I22" s="494"/>
      <c r="J22" s="494"/>
      <c r="K22" s="495"/>
      <c r="L22" s="496">
        <f>L21+K22</f>
        <v>-11</v>
      </c>
      <c r="M22" s="497">
        <f t="shared" ref="M22:AZ22" si="5">M21+L22</f>
        <v>-52.910761454544662</v>
      </c>
      <c r="N22" s="497">
        <f t="shared" si="5"/>
        <v>-176.5519101363605</v>
      </c>
      <c r="O22" s="497">
        <f t="shared" si="5"/>
        <v>-232.04747989090495</v>
      </c>
      <c r="P22" s="497">
        <f t="shared" si="5"/>
        <v>-228.82954354772338</v>
      </c>
      <c r="Q22" s="497">
        <f t="shared" si="5"/>
        <v>-323.59361035583458</v>
      </c>
      <c r="R22" s="497">
        <f t="shared" si="5"/>
        <v>-1537.6620393703747</v>
      </c>
      <c r="S22" s="497">
        <f t="shared" si="5"/>
        <v>-4605.7719628166042</v>
      </c>
      <c r="T22" s="497">
        <f t="shared" si="5"/>
        <v>-2681.7709303248835</v>
      </c>
      <c r="U22" s="497">
        <f t="shared" si="5"/>
        <v>-158.64603371265093</v>
      </c>
      <c r="V22" s="497">
        <f t="shared" si="5"/>
        <v>1949.8161704512449</v>
      </c>
      <c r="W22" s="497">
        <f t="shared" si="5"/>
        <v>3690.7081827617976</v>
      </c>
      <c r="X22" s="497">
        <f t="shared" si="5"/>
        <v>5291.694223927796</v>
      </c>
      <c r="Y22" s="497">
        <f t="shared" si="5"/>
        <v>6663.248246692915</v>
      </c>
      <c r="Z22" s="497">
        <f t="shared" si="5"/>
        <v>7841.7478483864306</v>
      </c>
      <c r="AA22" s="497">
        <f t="shared" si="5"/>
        <v>8848.0103119259256</v>
      </c>
      <c r="AB22" s="497">
        <f t="shared" si="5"/>
        <v>9713.8705250346939</v>
      </c>
      <c r="AC22" s="497">
        <f t="shared" si="5"/>
        <v>10453.140411536524</v>
      </c>
      <c r="AD22" s="497">
        <f t="shared" si="5"/>
        <v>11084.855510269917</v>
      </c>
      <c r="AE22" s="497">
        <f t="shared" si="5"/>
        <v>11619.87165003402</v>
      </c>
      <c r="AF22" s="497">
        <f t="shared" si="5"/>
        <v>12075.479305631414</v>
      </c>
      <c r="AG22" s="497">
        <f t="shared" si="5"/>
        <v>12459.062088182343</v>
      </c>
      <c r="AH22" s="497">
        <f t="shared" si="5"/>
        <v>12780.998013274471</v>
      </c>
      <c r="AI22" s="497">
        <f t="shared" si="5"/>
        <v>13047.251113349072</v>
      </c>
      <c r="AJ22" s="497">
        <f t="shared" si="5"/>
        <v>13267.439324384399</v>
      </c>
      <c r="AK22" s="497">
        <f t="shared" si="5"/>
        <v>13445.667814336279</v>
      </c>
      <c r="AL22" s="497">
        <f t="shared" si="5"/>
        <v>13587.705883524412</v>
      </c>
      <c r="AM22" s="497">
        <f t="shared" si="5"/>
        <v>13696.90996044482</v>
      </c>
      <c r="AN22" s="497">
        <f t="shared" si="5"/>
        <v>13778.684411258955</v>
      </c>
      <c r="AO22" s="497">
        <f t="shared" si="5"/>
        <v>13835.347490086495</v>
      </c>
      <c r="AP22" s="497">
        <f t="shared" si="5"/>
        <v>13867.019970883859</v>
      </c>
      <c r="AQ22" s="497">
        <f t="shared" si="5"/>
        <v>13869.719755294082</v>
      </c>
      <c r="AR22" s="497">
        <f t="shared" si="5"/>
        <v>13696.60110552233</v>
      </c>
      <c r="AS22" s="497">
        <f t="shared" si="5"/>
        <v>13705.212195364693</v>
      </c>
      <c r="AT22" s="497">
        <f t="shared" si="5"/>
        <v>13705.212195364693</v>
      </c>
      <c r="AU22" s="497">
        <f t="shared" si="5"/>
        <v>13705.212195364693</v>
      </c>
      <c r="AV22" s="497">
        <f t="shared" si="5"/>
        <v>13705.212195364693</v>
      </c>
      <c r="AW22" s="497">
        <f t="shared" si="5"/>
        <v>13705.212195364693</v>
      </c>
      <c r="AX22" s="497">
        <f t="shared" si="5"/>
        <v>13705.212195364693</v>
      </c>
      <c r="AY22" s="497">
        <f t="shared" si="5"/>
        <v>13705.212195364693</v>
      </c>
      <c r="AZ22" s="498">
        <f t="shared" si="5"/>
        <v>13705.212195364693</v>
      </c>
      <c r="BA22" s="22"/>
      <c r="BB22" s="22"/>
      <c r="BC22" s="22"/>
      <c r="BD22" s="22"/>
      <c r="BE22" s="22"/>
      <c r="BF22" s="22"/>
      <c r="BG22" s="22"/>
      <c r="BH22" s="22"/>
      <c r="BI22" s="22"/>
      <c r="BJ22" s="22"/>
      <c r="BK22" s="22"/>
      <c r="BL22" s="22"/>
      <c r="BM22" s="22"/>
      <c r="BN22" s="22"/>
      <c r="BO22" s="22"/>
      <c r="BP22" s="22"/>
    </row>
    <row r="23" spans="1:68" ht="15.75" x14ac:dyDescent="0.25">
      <c r="B23" s="308" t="s">
        <v>91</v>
      </c>
      <c r="C23" s="321" t="str">
        <f>Input!B25</f>
        <v>Medium</v>
      </c>
      <c r="D23" s="22"/>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22"/>
      <c r="BB23" s="22"/>
      <c r="BC23" s="22"/>
      <c r="BD23" s="22"/>
      <c r="BE23" s="22"/>
      <c r="BF23" s="22"/>
      <c r="BG23" s="22"/>
      <c r="BH23" s="22"/>
      <c r="BI23" s="22"/>
      <c r="BJ23" s="22"/>
      <c r="BK23" s="22"/>
      <c r="BL23" s="22"/>
      <c r="BM23" s="22"/>
      <c r="BN23" s="22"/>
      <c r="BO23" s="22"/>
      <c r="BP23" s="22"/>
    </row>
    <row r="24" spans="1:68" ht="15.75" x14ac:dyDescent="0.25">
      <c r="B24" s="308" t="s">
        <v>93</v>
      </c>
      <c r="C24" s="321" t="str">
        <f>Input!B26</f>
        <v>Medium</v>
      </c>
      <c r="D24" s="22"/>
      <c r="E24" s="333"/>
      <c r="F24" s="333"/>
      <c r="G24" s="333"/>
      <c r="H24" s="333"/>
      <c r="I24" s="333"/>
      <c r="J24" s="333"/>
      <c r="K24" s="333"/>
      <c r="L24" s="333"/>
      <c r="M24" s="333"/>
      <c r="N24" s="333"/>
      <c r="O24" s="333"/>
      <c r="P24" s="333"/>
      <c r="Q24" s="333"/>
      <c r="R24" s="333"/>
      <c r="S24" s="333"/>
      <c r="T24" s="334">
        <f>S24-R24</f>
        <v>0</v>
      </c>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22"/>
      <c r="BB24" s="22"/>
      <c r="BC24" s="22"/>
      <c r="BD24" s="22"/>
      <c r="BE24" s="22"/>
      <c r="BF24" s="22"/>
      <c r="BG24" s="22"/>
      <c r="BH24" s="22"/>
      <c r="BI24" s="22"/>
      <c r="BJ24" s="22"/>
      <c r="BK24" s="22"/>
      <c r="BL24" s="22"/>
      <c r="BM24" s="22"/>
      <c r="BN24" s="22"/>
      <c r="BO24" s="22"/>
      <c r="BP24" s="22"/>
    </row>
    <row r="25" spans="1:68" ht="15.75" x14ac:dyDescent="0.25">
      <c r="B25" s="308" t="s">
        <v>94</v>
      </c>
      <c r="C25" s="321" t="str">
        <f>Input!B27</f>
        <v>Normally Pressured</v>
      </c>
      <c r="D25" s="22"/>
      <c r="E25" s="333"/>
      <c r="F25" s="333"/>
      <c r="G25" s="333"/>
      <c r="H25" s="333"/>
      <c r="I25" s="333"/>
      <c r="J25" s="333"/>
      <c r="K25" s="333"/>
      <c r="L25" s="333"/>
      <c r="M25" s="333"/>
      <c r="N25" s="333"/>
      <c r="O25" s="333"/>
      <c r="P25" s="333"/>
      <c r="Q25" s="333"/>
      <c r="R25" s="333"/>
      <c r="S25" s="333"/>
      <c r="T25" s="334">
        <f t="shared" ref="T25:T41" si="6">S25-R25</f>
        <v>0</v>
      </c>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22"/>
      <c r="BB25" s="22"/>
      <c r="BC25" s="22"/>
      <c r="BD25" s="22"/>
      <c r="BE25" s="22"/>
      <c r="BF25" s="22"/>
      <c r="BG25" s="22"/>
      <c r="BH25" s="22"/>
      <c r="BI25" s="22"/>
      <c r="BJ25" s="22"/>
      <c r="BK25" s="22"/>
      <c r="BL25" s="22"/>
      <c r="BM25" s="22"/>
      <c r="BN25" s="22"/>
      <c r="BO25" s="22"/>
      <c r="BP25" s="22"/>
    </row>
    <row r="26" spans="1:68" ht="15.75" x14ac:dyDescent="0.25">
      <c r="B26" s="308" t="s">
        <v>96</v>
      </c>
      <c r="C26" s="321">
        <f>Input!B28</f>
        <v>1040</v>
      </c>
      <c r="D26" s="22"/>
      <c r="E26" s="333"/>
      <c r="F26" s="333"/>
      <c r="G26" s="333"/>
      <c r="H26" s="333"/>
      <c r="I26" s="333"/>
      <c r="J26" s="333"/>
      <c r="K26" s="333"/>
      <c r="L26" s="333"/>
      <c r="M26" s="333"/>
      <c r="N26" s="333"/>
      <c r="O26" s="333"/>
      <c r="P26" s="333"/>
      <c r="Q26" s="333"/>
      <c r="R26" s="333"/>
      <c r="S26" s="333"/>
      <c r="T26" s="334">
        <f t="shared" si="6"/>
        <v>0</v>
      </c>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22"/>
      <c r="BB26" s="22"/>
      <c r="BC26" s="22"/>
      <c r="BD26" s="22"/>
      <c r="BE26" s="22"/>
      <c r="BF26" s="22"/>
      <c r="BG26" s="22"/>
      <c r="BH26" s="22"/>
      <c r="BI26" s="22"/>
      <c r="BJ26" s="22"/>
      <c r="BK26" s="22"/>
      <c r="BL26" s="22"/>
      <c r="BM26" s="22"/>
      <c r="BN26" s="22"/>
      <c r="BO26" s="22"/>
      <c r="BP26" s="22"/>
    </row>
    <row r="27" spans="1:68" ht="15.75" x14ac:dyDescent="0.25">
      <c r="B27" s="308" t="s">
        <v>97</v>
      </c>
      <c r="C27" s="321">
        <f>Input!B29</f>
        <v>3333.3</v>
      </c>
      <c r="D27" s="22"/>
      <c r="E27" s="333"/>
      <c r="F27" s="333"/>
      <c r="G27" s="333"/>
      <c r="H27" s="333"/>
      <c r="I27" s="333"/>
      <c r="J27" s="333"/>
      <c r="K27" s="333"/>
      <c r="L27" s="333"/>
      <c r="M27" s="333"/>
      <c r="N27" s="333"/>
      <c r="O27" s="333"/>
      <c r="P27" s="333"/>
      <c r="Q27" s="333"/>
      <c r="R27" s="333"/>
      <c r="S27" s="333"/>
      <c r="T27" s="334">
        <f t="shared" si="6"/>
        <v>0</v>
      </c>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22"/>
      <c r="BB27" s="22"/>
      <c r="BC27" s="22"/>
      <c r="BD27" s="22"/>
      <c r="BE27" s="22"/>
      <c r="BF27" s="22"/>
      <c r="BG27" s="22"/>
      <c r="BH27" s="22"/>
      <c r="BI27" s="22"/>
      <c r="BJ27" s="22"/>
      <c r="BK27" s="22"/>
      <c r="BL27" s="22"/>
      <c r="BM27" s="22"/>
      <c r="BN27" s="22"/>
      <c r="BO27" s="22"/>
      <c r="BP27" s="22"/>
    </row>
    <row r="28" spans="1:68" ht="15.75" x14ac:dyDescent="0.25">
      <c r="B28" s="308" t="s">
        <v>98</v>
      </c>
      <c r="C28" s="321" t="str">
        <f>Input!B30</f>
        <v>Sweet</v>
      </c>
      <c r="D28" s="22"/>
      <c r="E28" s="333"/>
      <c r="F28" s="333"/>
      <c r="G28" s="333"/>
      <c r="H28" s="333"/>
      <c r="I28" s="333"/>
      <c r="J28" s="333"/>
      <c r="K28" s="333"/>
      <c r="L28" s="333"/>
      <c r="M28" s="333"/>
      <c r="N28" s="333"/>
      <c r="O28" s="333"/>
      <c r="P28" s="333"/>
      <c r="Q28" s="333"/>
      <c r="R28" s="333"/>
      <c r="S28" s="333"/>
      <c r="T28" s="334">
        <f t="shared" si="6"/>
        <v>0</v>
      </c>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22"/>
      <c r="BB28" s="22"/>
      <c r="BC28" s="22"/>
      <c r="BD28" s="22"/>
      <c r="BE28" s="22"/>
      <c r="BF28" s="22"/>
      <c r="BG28" s="22"/>
      <c r="BH28" s="22"/>
      <c r="BI28" s="22"/>
      <c r="BJ28" s="22"/>
      <c r="BK28" s="22"/>
      <c r="BL28" s="22"/>
      <c r="BM28" s="22"/>
      <c r="BN28" s="22"/>
      <c r="BO28" s="22"/>
      <c r="BP28" s="22"/>
    </row>
    <row r="29" spans="1:68" ht="15.75" x14ac:dyDescent="0.25">
      <c r="B29" s="308" t="s">
        <v>100</v>
      </c>
      <c r="C29" s="321">
        <f>Input!B13</f>
        <v>2000</v>
      </c>
      <c r="D29" s="22"/>
      <c r="E29" s="22"/>
      <c r="F29" s="22"/>
      <c r="G29" s="22"/>
      <c r="H29" s="22"/>
      <c r="I29" s="22"/>
      <c r="J29" s="22"/>
      <c r="K29" s="22"/>
      <c r="L29" s="22"/>
      <c r="M29" s="22"/>
      <c r="N29" s="333"/>
      <c r="O29" s="333"/>
      <c r="P29" s="333"/>
      <c r="Q29" s="333"/>
      <c r="R29" s="333"/>
      <c r="S29" s="22"/>
      <c r="T29" s="334">
        <f t="shared" si="6"/>
        <v>0</v>
      </c>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row>
    <row r="30" spans="1:68" ht="18" x14ac:dyDescent="0.35">
      <c r="B30" s="542" t="s">
        <v>102</v>
      </c>
      <c r="C30" s="543"/>
      <c r="D30" s="22"/>
      <c r="E30" s="22"/>
      <c r="F30" s="22"/>
      <c r="G30" s="22"/>
      <c r="H30" s="22"/>
      <c r="I30" s="22"/>
      <c r="J30" s="22"/>
      <c r="K30" s="22"/>
      <c r="L30" s="22"/>
      <c r="M30" s="22"/>
      <c r="N30" s="333"/>
      <c r="O30" s="333"/>
      <c r="P30" s="333"/>
      <c r="Q30" s="333"/>
      <c r="R30" s="333"/>
      <c r="S30" s="22"/>
      <c r="T30" s="334">
        <f t="shared" si="6"/>
        <v>0</v>
      </c>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row>
    <row r="31" spans="1:68" ht="15.6" x14ac:dyDescent="0.3">
      <c r="B31" s="308" t="s">
        <v>103</v>
      </c>
      <c r="C31" s="321" t="str">
        <f>Input!B33</f>
        <v>No</v>
      </c>
      <c r="D31" s="22"/>
      <c r="E31" s="22"/>
      <c r="F31" s="22"/>
      <c r="G31" s="22"/>
      <c r="H31" s="22"/>
      <c r="I31" s="22"/>
      <c r="J31" s="22"/>
      <c r="K31" s="22"/>
      <c r="L31" s="22"/>
      <c r="M31" s="22"/>
      <c r="N31" s="22"/>
      <c r="O31" s="22"/>
      <c r="P31" s="22"/>
      <c r="Q31" s="22"/>
      <c r="R31" s="22"/>
      <c r="S31" s="22"/>
      <c r="T31" s="334">
        <f t="shared" si="6"/>
        <v>0</v>
      </c>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1:68" ht="15.6" x14ac:dyDescent="0.3">
      <c r="B32" s="308" t="s">
        <v>106</v>
      </c>
      <c r="C32" s="321" t="str">
        <f>Input!B34</f>
        <v>No</v>
      </c>
      <c r="D32" s="22"/>
      <c r="E32" s="22"/>
      <c r="F32" s="22"/>
      <c r="G32" s="22"/>
      <c r="H32" s="22"/>
      <c r="I32" s="22"/>
      <c r="J32" s="22"/>
      <c r="K32" s="22"/>
      <c r="L32" s="22"/>
      <c r="M32" s="22"/>
      <c r="N32" s="22"/>
      <c r="O32" s="22"/>
      <c r="P32" s="22"/>
      <c r="Q32" s="22"/>
      <c r="R32" s="22"/>
      <c r="S32" s="22"/>
      <c r="T32" s="334">
        <f t="shared" si="6"/>
        <v>0</v>
      </c>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68" ht="15.6" x14ac:dyDescent="0.3">
      <c r="B33" s="308" t="s">
        <v>109</v>
      </c>
      <c r="C33" s="321" t="str">
        <f>Input!B35</f>
        <v>Yes</v>
      </c>
      <c r="D33" s="22"/>
      <c r="E33" s="22"/>
      <c r="F33" s="22"/>
      <c r="G33" s="22"/>
      <c r="H33" s="22"/>
      <c r="I33" s="22"/>
      <c r="J33" s="22"/>
      <c r="K33" s="22"/>
      <c r="L33" s="22"/>
      <c r="M33" s="22"/>
      <c r="N33" s="22"/>
      <c r="O33" s="22"/>
      <c r="P33" s="22"/>
      <c r="Q33" s="22"/>
      <c r="R33" s="22"/>
      <c r="S33" s="22"/>
      <c r="T33" s="334">
        <f t="shared" si="6"/>
        <v>0</v>
      </c>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row>
    <row r="34" spans="2:68" ht="15.6" x14ac:dyDescent="0.3">
      <c r="B34" s="22"/>
      <c r="C34" s="22"/>
      <c r="D34" s="22"/>
      <c r="E34" s="22"/>
      <c r="F34" s="22"/>
      <c r="G34" s="22"/>
      <c r="H34" s="22"/>
      <c r="I34" s="22"/>
      <c r="J34" s="22"/>
      <c r="K34" s="22"/>
      <c r="L34" s="22"/>
      <c r="M34" s="22"/>
      <c r="N34" s="22"/>
      <c r="O34" s="22"/>
      <c r="P34" s="22"/>
      <c r="Q34" s="22"/>
      <c r="R34" s="22"/>
      <c r="S34" s="22"/>
      <c r="T34" s="334">
        <f t="shared" si="6"/>
        <v>0</v>
      </c>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68" ht="15.6" x14ac:dyDescent="0.3">
      <c r="B35" s="22"/>
      <c r="C35" s="22"/>
      <c r="D35" s="22"/>
      <c r="E35" s="22"/>
      <c r="F35" s="22"/>
      <c r="G35" s="22"/>
      <c r="H35" s="22"/>
      <c r="I35" s="22"/>
      <c r="J35" s="22"/>
      <c r="K35" s="22"/>
      <c r="L35" s="22"/>
      <c r="M35" s="22"/>
      <c r="N35" s="22"/>
      <c r="O35" s="22"/>
      <c r="P35" s="22"/>
      <c r="Q35" s="22"/>
      <c r="R35" s="22"/>
      <c r="S35" s="22"/>
      <c r="T35" s="334">
        <f t="shared" si="6"/>
        <v>0</v>
      </c>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row>
    <row r="36" spans="2:68" ht="15.6" x14ac:dyDescent="0.3">
      <c r="B36" s="22"/>
      <c r="C36" s="22"/>
      <c r="D36" s="22"/>
      <c r="E36" s="22"/>
      <c r="F36" s="22"/>
      <c r="G36" s="22"/>
      <c r="H36" s="22"/>
      <c r="I36" s="22"/>
      <c r="J36" s="22"/>
      <c r="K36" s="22"/>
      <c r="L36" s="22"/>
      <c r="M36" s="22"/>
      <c r="N36" s="22"/>
      <c r="O36" s="22"/>
      <c r="P36" s="22"/>
      <c r="Q36" s="22"/>
      <c r="R36" s="22"/>
      <c r="S36" s="22"/>
      <c r="T36" s="334">
        <f t="shared" si="6"/>
        <v>0</v>
      </c>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row>
    <row r="37" spans="2:68" ht="15.6" x14ac:dyDescent="0.3">
      <c r="B37" s="22"/>
      <c r="C37" s="22"/>
      <c r="D37" s="22"/>
      <c r="E37" s="22"/>
      <c r="F37" s="22"/>
      <c r="G37" s="22"/>
      <c r="H37" s="22"/>
      <c r="I37" s="22"/>
      <c r="J37" s="22"/>
      <c r="K37" s="22"/>
      <c r="L37" s="22"/>
      <c r="M37" s="22"/>
      <c r="N37" s="22"/>
      <c r="O37" s="22"/>
      <c r="P37" s="22"/>
      <c r="Q37" s="22"/>
      <c r="R37" s="22"/>
      <c r="S37" s="22"/>
      <c r="T37" s="334">
        <f t="shared" si="6"/>
        <v>0</v>
      </c>
      <c r="U37" s="22"/>
      <c r="V37" s="22"/>
      <c r="W37" s="22"/>
      <c r="X37" s="22"/>
      <c r="Y37" s="22"/>
      <c r="Z37" s="22"/>
      <c r="AA37" s="22"/>
      <c r="AB37" s="22"/>
      <c r="AC37" s="22"/>
      <c r="AD37" s="22"/>
      <c r="AE37" s="22"/>
      <c r="AF37" s="22"/>
      <c r="AG37" s="22"/>
      <c r="AH37" s="22"/>
      <c r="AI37" s="22"/>
      <c r="AJ37" s="22"/>
      <c r="AK37" s="22"/>
      <c r="AL37" s="22"/>
      <c r="AM37" s="22"/>
      <c r="AN37" s="125"/>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row>
    <row r="38" spans="2:68" ht="15.6" x14ac:dyDescent="0.3">
      <c r="B38" s="22"/>
      <c r="C38" s="22"/>
      <c r="D38" s="22"/>
      <c r="E38" s="22"/>
      <c r="F38" s="22"/>
      <c r="G38" s="22"/>
      <c r="H38" s="22"/>
      <c r="I38" s="22"/>
      <c r="J38" s="22"/>
      <c r="K38" s="22"/>
      <c r="L38" s="22"/>
      <c r="M38" s="22"/>
      <c r="N38" s="22"/>
      <c r="O38" s="22"/>
      <c r="P38" s="22"/>
      <c r="Q38" s="22"/>
      <c r="R38" s="22"/>
      <c r="S38" s="22"/>
      <c r="T38" s="334">
        <f t="shared" si="6"/>
        <v>0</v>
      </c>
      <c r="U38" s="22"/>
      <c r="V38" s="22"/>
      <c r="W38" s="22"/>
      <c r="X38" s="22"/>
      <c r="Y38" s="22"/>
      <c r="Z38" s="22"/>
      <c r="AA38" s="22"/>
      <c r="AB38" s="22"/>
      <c r="AC38" s="22"/>
      <c r="AD38" s="22"/>
      <c r="AE38" s="22"/>
      <c r="AF38" s="22"/>
      <c r="AG38" s="22"/>
      <c r="AH38" s="22"/>
      <c r="AI38" s="22"/>
      <c r="AJ38" s="22"/>
      <c r="AK38" s="22"/>
      <c r="AL38" s="22"/>
      <c r="AM38" s="22"/>
      <c r="AN38" s="125"/>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row>
    <row r="39" spans="2:68" ht="15.6" x14ac:dyDescent="0.3">
      <c r="B39" s="22"/>
      <c r="C39" s="22"/>
      <c r="D39" s="22"/>
      <c r="E39" s="22"/>
      <c r="F39" s="22"/>
      <c r="G39" s="22"/>
      <c r="H39" s="22"/>
      <c r="I39" s="22"/>
      <c r="J39" s="22"/>
      <c r="K39" s="22"/>
      <c r="L39" s="22"/>
      <c r="M39" s="22"/>
      <c r="N39" s="22"/>
      <c r="O39" s="22"/>
      <c r="P39" s="22"/>
      <c r="Q39" s="22"/>
      <c r="R39" s="22"/>
      <c r="S39" s="22"/>
      <c r="T39" s="334">
        <f t="shared" si="6"/>
        <v>0</v>
      </c>
      <c r="U39" s="22"/>
      <c r="V39" s="22"/>
      <c r="W39" s="22"/>
      <c r="X39" s="22"/>
      <c r="Y39" s="22"/>
      <c r="Z39" s="22"/>
      <c r="AA39" s="22"/>
      <c r="AB39" s="22"/>
      <c r="AC39" s="22"/>
      <c r="AD39" s="22"/>
      <c r="AE39" s="22"/>
      <c r="AF39" s="22"/>
      <c r="AG39" s="22"/>
      <c r="AH39" s="22"/>
      <c r="AI39" s="22"/>
      <c r="AJ39" s="22"/>
      <c r="AK39" s="22"/>
      <c r="AL39" s="22"/>
      <c r="AM39" s="22"/>
      <c r="AN39" s="125"/>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row>
    <row r="40" spans="2:68" ht="15.6" x14ac:dyDescent="0.3">
      <c r="B40" s="22"/>
      <c r="C40" s="22"/>
      <c r="D40" s="22"/>
      <c r="E40" s="78"/>
      <c r="F40" s="22"/>
      <c r="G40" s="22"/>
      <c r="H40" s="22"/>
      <c r="I40" s="22"/>
      <c r="J40" s="22"/>
      <c r="K40" s="22"/>
      <c r="L40" s="22"/>
      <c r="M40" s="22"/>
      <c r="N40" s="22"/>
      <c r="O40" s="22"/>
      <c r="P40" s="22"/>
      <c r="Q40" s="22"/>
      <c r="R40" s="22"/>
      <c r="S40" s="22"/>
      <c r="T40" s="334">
        <f t="shared" si="6"/>
        <v>0</v>
      </c>
      <c r="U40" s="22"/>
      <c r="V40" s="22"/>
      <c r="W40" s="22"/>
      <c r="X40" s="22"/>
      <c r="Y40" s="22"/>
      <c r="Z40" s="22"/>
      <c r="AA40" s="22"/>
      <c r="AB40" s="22"/>
      <c r="AC40" s="22"/>
      <c r="AD40" s="22"/>
      <c r="AE40" s="22"/>
      <c r="AF40" s="22"/>
      <c r="AG40" s="22"/>
      <c r="AH40" s="22"/>
      <c r="AI40" s="22"/>
      <c r="AJ40" s="22"/>
      <c r="AK40" s="22"/>
      <c r="AL40" s="22"/>
      <c r="AM40" s="22"/>
      <c r="AN40" s="125"/>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row>
    <row r="41" spans="2:68" ht="15.6" x14ac:dyDescent="0.3">
      <c r="B41" s="22"/>
      <c r="C41" s="22"/>
      <c r="D41" s="22"/>
      <c r="E41" s="22"/>
      <c r="F41" s="78"/>
      <c r="G41" s="78"/>
      <c r="H41" s="22"/>
      <c r="I41" s="22"/>
      <c r="J41" s="22"/>
      <c r="K41" s="22"/>
      <c r="L41" s="22"/>
      <c r="M41" s="22"/>
      <c r="N41" s="22"/>
      <c r="O41" s="22"/>
      <c r="P41" s="22"/>
      <c r="Q41" s="22"/>
      <c r="R41" s="22"/>
      <c r="S41" s="22"/>
      <c r="T41" s="334">
        <f t="shared" si="6"/>
        <v>0</v>
      </c>
      <c r="U41" s="22"/>
      <c r="V41" s="22"/>
      <c r="W41" s="22"/>
      <c r="X41" s="22"/>
      <c r="Y41" s="22"/>
      <c r="Z41" s="22"/>
      <c r="AA41" s="22"/>
      <c r="AB41" s="22"/>
      <c r="AC41" s="22"/>
      <c r="AD41" s="22"/>
      <c r="AE41" s="22"/>
      <c r="AF41" s="22"/>
      <c r="AG41" s="22"/>
      <c r="AH41" s="22"/>
      <c r="AI41" s="22"/>
      <c r="AJ41" s="22"/>
      <c r="AK41" s="22"/>
      <c r="AL41" s="22"/>
      <c r="AM41" s="22"/>
      <c r="AN41" s="125"/>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row>
    <row r="42" spans="2:68" x14ac:dyDescent="0.3">
      <c r="B42" s="22"/>
      <c r="C42" s="22"/>
      <c r="D42" s="22"/>
      <c r="E42" s="22"/>
      <c r="F42" s="78"/>
      <c r="G42" s="78"/>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row>
    <row r="43" spans="2:68" x14ac:dyDescent="0.3">
      <c r="B43" s="22"/>
      <c r="C43" s="22"/>
      <c r="D43" s="22"/>
      <c r="E43" s="22"/>
      <c r="F43" s="78"/>
      <c r="G43" s="78"/>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row>
    <row r="44" spans="2:68" x14ac:dyDescent="0.3">
      <c r="B44" s="22"/>
      <c r="C44" s="22"/>
      <c r="D44" s="22"/>
      <c r="E44" s="22"/>
      <c r="F44" s="78"/>
      <c r="G44" s="78"/>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row>
    <row r="45" spans="2:68" x14ac:dyDescent="0.3">
      <c r="B45" s="22"/>
      <c r="C45" s="22"/>
      <c r="D45" s="22"/>
      <c r="E45" s="22"/>
      <c r="F45" s="78"/>
      <c r="G45" s="78"/>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row>
    <row r="46" spans="2:68" x14ac:dyDescent="0.3">
      <c r="B46" s="22"/>
      <c r="C46" s="22"/>
      <c r="D46" s="22"/>
      <c r="E46" s="22"/>
      <c r="F46" s="78"/>
      <c r="G46" s="78"/>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row>
    <row r="47" spans="2:68" x14ac:dyDescent="0.3">
      <c r="B47" s="22"/>
      <c r="C47" s="22"/>
      <c r="D47" s="22"/>
      <c r="E47" s="22"/>
      <c r="F47" s="78"/>
      <c r="G47" s="78"/>
      <c r="H47" s="22"/>
      <c r="I47" s="335"/>
      <c r="J47" s="335"/>
      <c r="K47" s="335"/>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row>
    <row r="48" spans="2:68" x14ac:dyDescent="0.3">
      <c r="B48" s="22"/>
      <c r="C48" s="22"/>
      <c r="D48" s="22"/>
      <c r="E48" s="22"/>
      <c r="F48" s="78"/>
      <c r="G48" s="78"/>
      <c r="H48" s="22"/>
      <c r="I48" s="335"/>
      <c r="J48" s="335"/>
      <c r="K48" s="335"/>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row>
    <row r="49" spans="2:68" x14ac:dyDescent="0.3">
      <c r="B49" s="22"/>
      <c r="C49" s="22"/>
      <c r="D49" s="22"/>
      <c r="E49" s="22"/>
      <c r="F49" s="78"/>
      <c r="G49" s="78"/>
      <c r="H49" s="22"/>
      <c r="I49" s="335"/>
      <c r="J49" s="335"/>
      <c r="K49" s="335"/>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row>
    <row r="50" spans="2:68" x14ac:dyDescent="0.3">
      <c r="B50" s="22"/>
      <c r="C50" s="22"/>
      <c r="D50" s="77"/>
      <c r="E50" s="22"/>
      <c r="F50" s="78"/>
      <c r="G50" s="78"/>
      <c r="H50" s="22"/>
      <c r="I50" s="335"/>
      <c r="J50" s="335"/>
      <c r="K50" s="335"/>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row>
    <row r="51" spans="2:68" x14ac:dyDescent="0.3">
      <c r="B51" s="22"/>
      <c r="C51" s="22"/>
      <c r="D51" s="77"/>
      <c r="E51" s="22"/>
      <c r="F51" s="78"/>
      <c r="G51" s="78"/>
      <c r="H51" s="22"/>
      <c r="I51" s="335"/>
      <c r="J51" s="335"/>
      <c r="K51" s="335"/>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row>
    <row r="52" spans="2:68" x14ac:dyDescent="0.3">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row>
    <row r="53" spans="2:68" x14ac:dyDescent="0.3">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row>
    <row r="54" spans="2:68" x14ac:dyDescent="0.3">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row>
    <row r="55" spans="2:68" x14ac:dyDescent="0.3">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row>
    <row r="56" spans="2:68" x14ac:dyDescent="0.3">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row>
    <row r="57" spans="2:68" x14ac:dyDescent="0.3">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row>
    <row r="58" spans="2:68" x14ac:dyDescent="0.3">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row>
    <row r="59" spans="2:68" x14ac:dyDescent="0.3">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row>
    <row r="60" spans="2:68" x14ac:dyDescent="0.3">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row>
    <row r="61" spans="2:68" x14ac:dyDescent="0.3">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row>
    <row r="62" spans="2:68" x14ac:dyDescent="0.3">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row>
    <row r="63" spans="2:68" x14ac:dyDescent="0.3">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row>
    <row r="64" spans="2:68" x14ac:dyDescent="0.3">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row>
    <row r="65" spans="2:68" x14ac:dyDescent="0.3">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row>
    <row r="66" spans="2:68" x14ac:dyDescent="0.3">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row>
    <row r="67" spans="2:68" x14ac:dyDescent="0.3">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row>
    <row r="68" spans="2:68" x14ac:dyDescent="0.3">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row>
    <row r="69" spans="2:68" x14ac:dyDescent="0.3">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row>
    <row r="70" spans="2:68" x14ac:dyDescent="0.3">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row>
    <row r="71" spans="2:68" x14ac:dyDescent="0.3">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row>
    <row r="72" spans="2:68" x14ac:dyDescent="0.3">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row>
    <row r="73" spans="2:68" x14ac:dyDescent="0.3">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row>
    <row r="74" spans="2:68" x14ac:dyDescent="0.3">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row>
    <row r="75" spans="2:68" x14ac:dyDescent="0.3">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row>
    <row r="76" spans="2:68" x14ac:dyDescent="0.3">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row>
    <row r="77" spans="2:68" x14ac:dyDescent="0.3">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row>
    <row r="78" spans="2:68" x14ac:dyDescent="0.3">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row>
    <row r="79" spans="2:68" x14ac:dyDescent="0.3">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row>
    <row r="80" spans="2:68" x14ac:dyDescent="0.3">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row>
    <row r="81" spans="1:68" x14ac:dyDescent="0.3">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row>
    <row r="82" spans="1:68" x14ac:dyDescent="0.3">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row>
    <row r="83" spans="1:68" x14ac:dyDescent="0.3">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row>
    <row r="84" spans="1:68" x14ac:dyDescent="0.3">
      <c r="A84" s="15"/>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125"/>
      <c r="BF84" s="125"/>
      <c r="BG84" s="125"/>
      <c r="BH84" s="125"/>
      <c r="BI84" s="125"/>
      <c r="BJ84" s="125"/>
      <c r="BK84" s="125"/>
      <c r="BL84" s="125"/>
      <c r="BM84" s="125"/>
      <c r="BN84" s="125"/>
      <c r="BO84" s="125"/>
      <c r="BP84" s="125"/>
    </row>
    <row r="85" spans="1:68" x14ac:dyDescent="0.3">
      <c r="A85" s="15"/>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125"/>
      <c r="BF85" s="125"/>
      <c r="BG85" s="125"/>
      <c r="BH85" s="125"/>
      <c r="BI85" s="125"/>
      <c r="BJ85" s="125"/>
      <c r="BK85" s="125"/>
      <c r="BL85" s="125"/>
      <c r="BM85" s="125"/>
      <c r="BN85" s="125"/>
      <c r="BO85" s="125"/>
      <c r="BP85" s="125"/>
    </row>
    <row r="86" spans="1:68" x14ac:dyDescent="0.3">
      <c r="A86" s="15"/>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78"/>
      <c r="AL86" s="78"/>
      <c r="AM86" s="78"/>
      <c r="AN86" s="78"/>
      <c r="AO86" s="78"/>
      <c r="AP86" s="78"/>
      <c r="AQ86" s="78"/>
      <c r="AR86" s="78"/>
      <c r="AS86" s="78"/>
      <c r="AT86" s="78"/>
      <c r="AU86" s="78"/>
      <c r="AV86" s="78"/>
      <c r="AW86" s="78"/>
      <c r="AX86" s="78"/>
      <c r="AY86" s="78"/>
      <c r="AZ86" s="78"/>
      <c r="BA86" s="22"/>
      <c r="BB86" s="22"/>
      <c r="BC86" s="22"/>
      <c r="BD86" s="22"/>
      <c r="BE86" s="125"/>
      <c r="BF86" s="125"/>
      <c r="BG86" s="125"/>
      <c r="BH86" s="125"/>
      <c r="BI86" s="125"/>
      <c r="BJ86" s="125"/>
      <c r="BK86" s="125"/>
      <c r="BL86" s="125"/>
      <c r="BM86" s="125"/>
      <c r="BN86" s="125"/>
      <c r="BO86" s="125"/>
      <c r="BP86" s="125"/>
    </row>
    <row r="87" spans="1:68" x14ac:dyDescent="0.3">
      <c r="A87" s="15"/>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125"/>
      <c r="BF87" s="125"/>
      <c r="BG87" s="125"/>
      <c r="BH87" s="125"/>
      <c r="BI87" s="125"/>
      <c r="BJ87" s="125"/>
      <c r="BK87" s="125"/>
      <c r="BL87" s="125"/>
      <c r="BM87" s="125"/>
      <c r="BN87" s="125"/>
      <c r="BO87" s="125"/>
      <c r="BP87" s="125"/>
    </row>
    <row r="88" spans="1:68" x14ac:dyDescent="0.3">
      <c r="A88" s="15"/>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125"/>
      <c r="BF88" s="125"/>
      <c r="BG88" s="125"/>
      <c r="BH88" s="125"/>
      <c r="BI88" s="125"/>
      <c r="BJ88" s="125"/>
      <c r="BK88" s="125"/>
      <c r="BL88" s="125"/>
      <c r="BM88" s="125"/>
      <c r="BN88" s="125"/>
      <c r="BO88" s="125"/>
      <c r="BP88" s="125"/>
    </row>
    <row r="89" spans="1:68" x14ac:dyDescent="0.3">
      <c r="A89" s="15"/>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125"/>
      <c r="BF89" s="125"/>
      <c r="BG89" s="125"/>
      <c r="BH89" s="125"/>
      <c r="BI89" s="125"/>
      <c r="BJ89" s="125"/>
      <c r="BK89" s="125"/>
      <c r="BL89" s="125"/>
      <c r="BM89" s="125"/>
      <c r="BN89" s="125"/>
      <c r="BO89" s="125"/>
      <c r="BP89" s="125"/>
    </row>
    <row r="90" spans="1:68" x14ac:dyDescent="0.3">
      <c r="A90" s="15"/>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125"/>
      <c r="BF90" s="125"/>
      <c r="BG90" s="125"/>
      <c r="BH90" s="125"/>
      <c r="BI90" s="125"/>
      <c r="BJ90" s="125"/>
      <c r="BK90" s="125"/>
      <c r="BL90" s="125"/>
      <c r="BM90" s="125"/>
      <c r="BN90" s="125"/>
      <c r="BO90" s="125"/>
      <c r="BP90" s="125"/>
    </row>
    <row r="91" spans="1:68" x14ac:dyDescent="0.3">
      <c r="A91" s="15"/>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125"/>
      <c r="BF91" s="125"/>
      <c r="BG91" s="125"/>
      <c r="BH91" s="125"/>
      <c r="BI91" s="125"/>
      <c r="BJ91" s="125"/>
      <c r="BK91" s="125"/>
      <c r="BL91" s="125"/>
      <c r="BM91" s="125"/>
      <c r="BN91" s="125"/>
      <c r="BO91" s="125"/>
      <c r="BP91" s="125"/>
    </row>
    <row r="92" spans="1:68" x14ac:dyDescent="0.3">
      <c r="A92" s="15"/>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125"/>
      <c r="BF92" s="125"/>
      <c r="BG92" s="125"/>
      <c r="BH92" s="125"/>
      <c r="BI92" s="125"/>
      <c r="BJ92" s="125"/>
      <c r="BK92" s="125"/>
      <c r="BL92" s="125"/>
      <c r="BM92" s="125"/>
      <c r="BN92" s="125"/>
      <c r="BO92" s="125"/>
      <c r="BP92" s="125"/>
    </row>
    <row r="93" spans="1:68" x14ac:dyDescent="0.3">
      <c r="A93" s="15"/>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125"/>
      <c r="BF93" s="125"/>
      <c r="BG93" s="125"/>
      <c r="BH93" s="125"/>
      <c r="BI93" s="125"/>
      <c r="BJ93" s="125"/>
      <c r="BK93" s="125"/>
      <c r="BL93" s="125"/>
      <c r="BM93" s="125"/>
      <c r="BN93" s="125"/>
      <c r="BO93" s="125"/>
      <c r="BP93" s="125"/>
    </row>
    <row r="94" spans="1:68" x14ac:dyDescent="0.3">
      <c r="A94" s="15"/>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125"/>
      <c r="BF94" s="125"/>
      <c r="BG94" s="125"/>
      <c r="BH94" s="125"/>
      <c r="BI94" s="125"/>
      <c r="BJ94" s="125"/>
      <c r="BK94" s="125"/>
      <c r="BL94" s="125"/>
      <c r="BM94" s="125"/>
      <c r="BN94" s="125"/>
      <c r="BO94" s="125"/>
      <c r="BP94" s="125"/>
    </row>
    <row r="95" spans="1:68" x14ac:dyDescent="0.3">
      <c r="A95" s="15"/>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336"/>
      <c r="AL95" s="336"/>
      <c r="AM95" s="336"/>
      <c r="AN95" s="336"/>
      <c r="AO95" s="336"/>
      <c r="AP95" s="22"/>
      <c r="AQ95" s="22"/>
      <c r="AR95" s="22"/>
      <c r="AS95" s="22"/>
      <c r="AT95" s="22"/>
      <c r="AU95" s="22"/>
      <c r="AV95" s="22"/>
      <c r="AW95" s="22"/>
      <c r="AX95" s="22"/>
      <c r="AY95" s="22"/>
      <c r="AZ95" s="22"/>
      <c r="BA95" s="22"/>
      <c r="BB95" s="22"/>
      <c r="BC95" s="22"/>
      <c r="BD95" s="22"/>
      <c r="BE95" s="125"/>
      <c r="BF95" s="125"/>
      <c r="BG95" s="125"/>
      <c r="BH95" s="125"/>
      <c r="BI95" s="125"/>
      <c r="BJ95" s="125"/>
      <c r="BK95" s="125"/>
      <c r="BL95" s="125"/>
      <c r="BM95" s="125"/>
      <c r="BN95" s="125"/>
      <c r="BO95" s="125"/>
      <c r="BP95" s="125"/>
    </row>
    <row r="96" spans="1:68" x14ac:dyDescent="0.3">
      <c r="A96" s="15"/>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336"/>
      <c r="AL96" s="336"/>
      <c r="AM96" s="336"/>
      <c r="AN96" s="336"/>
      <c r="AO96" s="336"/>
      <c r="AP96" s="22"/>
      <c r="AQ96" s="22"/>
      <c r="AR96" s="22"/>
      <c r="AS96" s="22"/>
      <c r="AT96" s="22"/>
      <c r="AU96" s="22"/>
      <c r="AV96" s="22"/>
      <c r="AW96" s="22"/>
      <c r="AX96" s="22"/>
      <c r="AY96" s="22"/>
      <c r="AZ96" s="22"/>
      <c r="BA96" s="22"/>
      <c r="BB96" s="22"/>
      <c r="BC96" s="22"/>
      <c r="BD96" s="22"/>
      <c r="BE96" s="125"/>
      <c r="BF96" s="125"/>
      <c r="BG96" s="125"/>
      <c r="BH96" s="125"/>
      <c r="BI96" s="125"/>
      <c r="BJ96" s="125"/>
      <c r="BK96" s="125"/>
      <c r="BL96" s="125"/>
      <c r="BM96" s="125"/>
      <c r="BN96" s="125"/>
      <c r="BO96" s="125"/>
      <c r="BP96" s="125"/>
    </row>
    <row r="97" spans="1:68" x14ac:dyDescent="0.3">
      <c r="A97" s="15"/>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125"/>
      <c r="BF97" s="125"/>
      <c r="BG97" s="125"/>
      <c r="BH97" s="125"/>
      <c r="BI97" s="125"/>
      <c r="BJ97" s="125"/>
      <c r="BK97" s="125"/>
      <c r="BL97" s="125"/>
      <c r="BM97" s="125"/>
      <c r="BN97" s="125"/>
      <c r="BO97" s="125"/>
      <c r="BP97" s="125"/>
    </row>
    <row r="98" spans="1:68" x14ac:dyDescent="0.3">
      <c r="A98" s="15"/>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125"/>
      <c r="BF98" s="125"/>
      <c r="BG98" s="125"/>
      <c r="BH98" s="125"/>
      <c r="BI98" s="125"/>
      <c r="BJ98" s="125"/>
      <c r="BK98" s="125"/>
      <c r="BL98" s="125"/>
      <c r="BM98" s="125"/>
      <c r="BN98" s="125"/>
      <c r="BO98" s="125"/>
      <c r="BP98" s="125"/>
    </row>
    <row r="99" spans="1:68" x14ac:dyDescent="0.3">
      <c r="B99" s="22"/>
      <c r="C99" s="22"/>
      <c r="D99" s="22"/>
      <c r="E99" s="22"/>
      <c r="F99" s="337" t="s">
        <v>14</v>
      </c>
      <c r="G99" s="337">
        <f>M3</f>
        <v>2012</v>
      </c>
      <c r="H99" s="337">
        <f t="shared" ref="H99:W99" si="7">N3</f>
        <v>2013</v>
      </c>
      <c r="I99" s="337">
        <f t="shared" si="7"/>
        <v>2014</v>
      </c>
      <c r="J99" s="337">
        <f t="shared" si="7"/>
        <v>2015</v>
      </c>
      <c r="K99" s="337">
        <f t="shared" si="7"/>
        <v>2016</v>
      </c>
      <c r="L99" s="337">
        <f t="shared" si="7"/>
        <v>2017</v>
      </c>
      <c r="M99" s="337">
        <f t="shared" si="7"/>
        <v>2018</v>
      </c>
      <c r="N99" s="337">
        <f t="shared" si="7"/>
        <v>2019</v>
      </c>
      <c r="O99" s="337">
        <f t="shared" si="7"/>
        <v>2020</v>
      </c>
      <c r="P99" s="337">
        <f t="shared" si="7"/>
        <v>2021</v>
      </c>
      <c r="Q99" s="337">
        <f t="shared" si="7"/>
        <v>2022</v>
      </c>
      <c r="R99" s="337">
        <f t="shared" si="7"/>
        <v>2023</v>
      </c>
      <c r="S99" s="337">
        <f t="shared" si="7"/>
        <v>2024</v>
      </c>
      <c r="T99" s="337">
        <f t="shared" si="7"/>
        <v>2025</v>
      </c>
      <c r="U99" s="337">
        <f t="shared" si="7"/>
        <v>2026</v>
      </c>
      <c r="V99" s="337">
        <f t="shared" si="7"/>
        <v>2027</v>
      </c>
      <c r="W99" s="337">
        <f t="shared" si="7"/>
        <v>2028</v>
      </c>
      <c r="X99" s="337">
        <f t="shared" ref="X99:AF99" si="8">AD3</f>
        <v>2029</v>
      </c>
      <c r="Y99" s="337">
        <f t="shared" si="8"/>
        <v>2030</v>
      </c>
      <c r="Z99" s="337">
        <f t="shared" si="8"/>
        <v>2031</v>
      </c>
      <c r="AA99" s="337">
        <f t="shared" si="8"/>
        <v>2032</v>
      </c>
      <c r="AB99" s="337">
        <f t="shared" si="8"/>
        <v>2033</v>
      </c>
      <c r="AC99" s="337">
        <f t="shared" si="8"/>
        <v>2034</v>
      </c>
      <c r="AD99" s="337">
        <f t="shared" si="8"/>
        <v>2035</v>
      </c>
      <c r="AE99" s="337">
        <f t="shared" si="8"/>
        <v>2036</v>
      </c>
      <c r="AF99" s="337">
        <f t="shared" si="8"/>
        <v>2037</v>
      </c>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row>
    <row r="100" spans="1:68" x14ac:dyDescent="0.3">
      <c r="B100" s="22"/>
      <c r="C100" s="22"/>
      <c r="D100" s="22"/>
      <c r="E100" s="22"/>
      <c r="F100" s="337" t="s">
        <v>137</v>
      </c>
      <c r="G100" s="338">
        <f>M21</f>
        <v>-41.910761454544662</v>
      </c>
      <c r="H100" s="338">
        <f t="shared" ref="H100:AF100" si="9">N21</f>
        <v>-123.64114868181585</v>
      </c>
      <c r="I100" s="338">
        <f t="shared" si="9"/>
        <v>-55.495569754544441</v>
      </c>
      <c r="J100" s="338">
        <f t="shared" si="9"/>
        <v>3.2179363431815853</v>
      </c>
      <c r="K100" s="338">
        <f t="shared" si="9"/>
        <v>-94.764066808111195</v>
      </c>
      <c r="L100" s="338">
        <f t="shared" si="9"/>
        <v>-1214.0684290145402</v>
      </c>
      <c r="M100" s="338">
        <f t="shared" si="9"/>
        <v>-3068.1099234462295</v>
      </c>
      <c r="N100" s="338">
        <f t="shared" si="9"/>
        <v>1924.0010324917207</v>
      </c>
      <c r="O100" s="338">
        <f t="shared" si="9"/>
        <v>2523.1248966122325</v>
      </c>
      <c r="P100" s="338">
        <f t="shared" si="9"/>
        <v>2108.4622041638959</v>
      </c>
      <c r="Q100" s="338">
        <f t="shared" si="9"/>
        <v>1740.8920123105527</v>
      </c>
      <c r="R100" s="338">
        <f t="shared" si="9"/>
        <v>1600.9860411659979</v>
      </c>
      <c r="S100" s="338">
        <f t="shared" si="9"/>
        <v>1371.554022765119</v>
      </c>
      <c r="T100" s="338">
        <f t="shared" si="9"/>
        <v>1178.4996016935152</v>
      </c>
      <c r="U100" s="338">
        <f t="shared" si="9"/>
        <v>1006.2624635394959</v>
      </c>
      <c r="V100" s="338">
        <f t="shared" si="9"/>
        <v>865.86021310876868</v>
      </c>
      <c r="W100" s="338">
        <f t="shared" si="9"/>
        <v>739.26988650183011</v>
      </c>
      <c r="X100" s="338">
        <f t="shared" si="9"/>
        <v>631.71509873339301</v>
      </c>
      <c r="Y100" s="338">
        <f t="shared" si="9"/>
        <v>535.01613976410147</v>
      </c>
      <c r="Z100" s="338">
        <f t="shared" si="9"/>
        <v>455.60765559739434</v>
      </c>
      <c r="AA100" s="338">
        <f t="shared" si="9"/>
        <v>383.58278255092955</v>
      </c>
      <c r="AB100" s="338">
        <f t="shared" si="9"/>
        <v>321.9359250921276</v>
      </c>
      <c r="AC100" s="338">
        <f t="shared" si="9"/>
        <v>266.25310007460052</v>
      </c>
      <c r="AD100" s="338">
        <f t="shared" si="9"/>
        <v>220.18821103532707</v>
      </c>
      <c r="AE100" s="338">
        <f t="shared" si="9"/>
        <v>178.22848995188036</v>
      </c>
      <c r="AF100" s="338">
        <f t="shared" si="9"/>
        <v>142.03806918813245</v>
      </c>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row>
    <row r="101" spans="1:68" x14ac:dyDescent="0.3">
      <c r="B101" s="22"/>
      <c r="C101" s="22"/>
      <c r="D101" s="22"/>
      <c r="E101" s="22"/>
      <c r="F101" s="337" t="str">
        <f>E16</f>
        <v>Royalty</v>
      </c>
      <c r="G101" s="338">
        <f>-M16</f>
        <v>0</v>
      </c>
      <c r="H101" s="338">
        <f t="shared" ref="H101:AF101" si="10">-N16</f>
        <v>0</v>
      </c>
      <c r="I101" s="338">
        <f t="shared" si="10"/>
        <v>0</v>
      </c>
      <c r="J101" s="338">
        <f t="shared" si="10"/>
        <v>0</v>
      </c>
      <c r="K101" s="338">
        <f t="shared" si="10"/>
        <v>0</v>
      </c>
      <c r="L101" s="338">
        <f t="shared" si="10"/>
        <v>0</v>
      </c>
      <c r="M101" s="338">
        <f t="shared" si="10"/>
        <v>7.202229353926362</v>
      </c>
      <c r="N101" s="338">
        <f t="shared" si="10"/>
        <v>75.550803769244823</v>
      </c>
      <c r="O101" s="338">
        <f t="shared" si="10"/>
        <v>93.405416106083948</v>
      </c>
      <c r="P101" s="338">
        <f t="shared" si="10"/>
        <v>724.8964966412409</v>
      </c>
      <c r="Q101" s="338">
        <f t="shared" si="10"/>
        <v>1291.6672974370558</v>
      </c>
      <c r="R101" s="338">
        <f t="shared" si="10"/>
        <v>1200.2757369225428</v>
      </c>
      <c r="S101" s="338">
        <f t="shared" si="10"/>
        <v>1039.3674076519876</v>
      </c>
      <c r="T101" s="338">
        <f t="shared" si="10"/>
        <v>893.10946766897075</v>
      </c>
      <c r="U101" s="338">
        <f t="shared" si="10"/>
        <v>768.38923785918871</v>
      </c>
      <c r="V101" s="338">
        <f t="shared" si="10"/>
        <v>659.483427991231</v>
      </c>
      <c r="W101" s="338">
        <f t="shared" si="10"/>
        <v>566.01466119392944</v>
      </c>
      <c r="X101" s="338">
        <f t="shared" si="10"/>
        <v>480.9637726209059</v>
      </c>
      <c r="Y101" s="338">
        <f t="shared" si="10"/>
        <v>408.29695394106562</v>
      </c>
      <c r="Z101" s="338">
        <f t="shared" si="10"/>
        <v>344.71741984238264</v>
      </c>
      <c r="AA101" s="338">
        <f t="shared" si="10"/>
        <v>290.00730151550187</v>
      </c>
      <c r="AB101" s="338">
        <f t="shared" si="10"/>
        <v>240.12344089161505</v>
      </c>
      <c r="AC101" s="338">
        <f t="shared" si="10"/>
        <v>197.34958076066093</v>
      </c>
      <c r="AD101" s="338">
        <f t="shared" si="10"/>
        <v>159.7864059436626</v>
      </c>
      <c r="AE101" s="338">
        <f t="shared" si="10"/>
        <v>127.30786062001607</v>
      </c>
      <c r="AF101" s="338">
        <f t="shared" si="10"/>
        <v>97.584734677661416</v>
      </c>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row>
    <row r="102" spans="1:68" x14ac:dyDescent="0.3">
      <c r="B102" s="22"/>
      <c r="C102" s="22"/>
      <c r="D102" s="22"/>
      <c r="E102" s="22"/>
      <c r="F102" s="337" t="str">
        <f>E17</f>
        <v>Provincial Income Tax</v>
      </c>
      <c r="G102" s="338">
        <f>-M17</f>
        <v>-10.836654545454342</v>
      </c>
      <c r="H102" s="338">
        <f t="shared" ref="H102:AF102" si="11">-N17</f>
        <v>-6.6645425454544203</v>
      </c>
      <c r="I102" s="338">
        <f t="shared" si="11"/>
        <v>-8.0807578363634853</v>
      </c>
      <c r="J102" s="338">
        <f t="shared" si="11"/>
        <v>-5.6565304854544385</v>
      </c>
      <c r="K102" s="338">
        <f t="shared" si="11"/>
        <v>-3.9595713398181074</v>
      </c>
      <c r="L102" s="338">
        <f t="shared" si="11"/>
        <v>-2.771699937872675</v>
      </c>
      <c r="M102" s="338">
        <f t="shared" si="11"/>
        <v>-88.374715244039223</v>
      </c>
      <c r="N102" s="338">
        <f t="shared" si="11"/>
        <v>336.01982550810629</v>
      </c>
      <c r="O102" s="338">
        <f t="shared" si="11"/>
        <v>409.09063363359701</v>
      </c>
      <c r="P102" s="338">
        <f t="shared" si="11"/>
        <v>359.35664901963804</v>
      </c>
      <c r="Q102" s="338">
        <f t="shared" si="11"/>
        <v>311.25594915059656</v>
      </c>
      <c r="R102" s="338">
        <f t="shared" si="11"/>
        <v>304.72473141164016</v>
      </c>
      <c r="S102" s="338">
        <f t="shared" si="11"/>
        <v>271.79841442348089</v>
      </c>
      <c r="T102" s="338">
        <f t="shared" si="11"/>
        <v>239.22428869678217</v>
      </c>
      <c r="U102" s="338">
        <f t="shared" si="11"/>
        <v>210.13646356381116</v>
      </c>
      <c r="V102" s="338">
        <f t="shared" si="11"/>
        <v>183.61567252894042</v>
      </c>
      <c r="W102" s="338">
        <f t="shared" si="11"/>
        <v>160.12485807047892</v>
      </c>
      <c r="X102" s="338">
        <f t="shared" si="11"/>
        <v>137.99192731020153</v>
      </c>
      <c r="Y102" s="338">
        <f t="shared" si="11"/>
        <v>118.70804619557124</v>
      </c>
      <c r="Z102" s="338">
        <f t="shared" si="11"/>
        <v>101.51543659865267</v>
      </c>
      <c r="AA102" s="338">
        <f t="shared" si="11"/>
        <v>86.514423697519348</v>
      </c>
      <c r="AB102" s="338">
        <f t="shared" si="11"/>
        <v>72.6207071370672</v>
      </c>
      <c r="AC102" s="338">
        <f t="shared" si="11"/>
        <v>60.604559626910316</v>
      </c>
      <c r="AD102" s="338">
        <f t="shared" si="11"/>
        <v>49.964804271841587</v>
      </c>
      <c r="AE102" s="338">
        <f t="shared" si="11"/>
        <v>40.711823575318171</v>
      </c>
      <c r="AF102" s="338">
        <f t="shared" si="11"/>
        <v>32.186372965053451</v>
      </c>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row>
    <row r="103" spans="1:68" x14ac:dyDescent="0.3">
      <c r="B103" s="22"/>
      <c r="C103" s="22"/>
      <c r="D103" s="22"/>
      <c r="E103" s="22"/>
      <c r="F103" s="337" t="str">
        <f>E18</f>
        <v>Federal Income Tax</v>
      </c>
      <c r="G103" s="338">
        <f>-M18</f>
        <v>-14.981674909090628</v>
      </c>
      <c r="H103" s="338">
        <f t="shared" ref="H103:AF103" si="12">-N18</f>
        <v>-8.5389451363634752</v>
      </c>
      <c r="I103" s="338">
        <f t="shared" si="12"/>
        <v>-10.100947295454356</v>
      </c>
      <c r="J103" s="338">
        <f t="shared" si="12"/>
        <v>-6.7171299514771459</v>
      </c>
      <c r="K103" s="338">
        <f t="shared" si="12"/>
        <v>-4.7019909660340025</v>
      </c>
      <c r="L103" s="338">
        <f t="shared" si="12"/>
        <v>-3.2913936762238016</v>
      </c>
      <c r="M103" s="338">
        <f t="shared" si="12"/>
        <v>-104.94497435229657</v>
      </c>
      <c r="N103" s="338">
        <f t="shared" si="12"/>
        <v>466.98504476415587</v>
      </c>
      <c r="O103" s="338">
        <f t="shared" si="12"/>
        <v>536.76625391985613</v>
      </c>
      <c r="P103" s="338">
        <f t="shared" si="12"/>
        <v>447.97399007747009</v>
      </c>
      <c r="Q103" s="338">
        <f t="shared" si="12"/>
        <v>385.54491664132081</v>
      </c>
      <c r="R103" s="338">
        <f t="shared" si="12"/>
        <v>361.0641947000733</v>
      </c>
      <c r="S103" s="338">
        <f t="shared" si="12"/>
        <v>322.16329923944653</v>
      </c>
      <c r="T103" s="338">
        <f t="shared" si="12"/>
        <v>274.07376819610852</v>
      </c>
      <c r="U103" s="338">
        <f t="shared" si="12"/>
        <v>242.0332445085356</v>
      </c>
      <c r="V103" s="338">
        <f t="shared" si="12"/>
        <v>205.24794198675477</v>
      </c>
      <c r="W103" s="338">
        <f t="shared" si="12"/>
        <v>180.55151710267225</v>
      </c>
      <c r="X103" s="338">
        <f t="shared" si="12"/>
        <v>151.29198879291496</v>
      </c>
      <c r="Y103" s="338">
        <f t="shared" si="12"/>
        <v>131.53573619127886</v>
      </c>
      <c r="Z103" s="338">
        <f t="shared" si="12"/>
        <v>109.44513371447857</v>
      </c>
      <c r="AA103" s="338">
        <f t="shared" si="12"/>
        <v>94.407542705988135</v>
      </c>
      <c r="AB103" s="338">
        <f t="shared" si="12"/>
        <v>76.966916338942781</v>
      </c>
      <c r="AC103" s="338">
        <f t="shared" si="12"/>
        <v>65.015284517212621</v>
      </c>
      <c r="AD103" s="338">
        <f t="shared" si="12"/>
        <v>51.850791185345003</v>
      </c>
      <c r="AE103" s="338">
        <f t="shared" si="12"/>
        <v>42.733480080090168</v>
      </c>
      <c r="AF103" s="338">
        <f t="shared" si="12"/>
        <v>32.311504066056344</v>
      </c>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row>
  </sheetData>
  <sheetProtection password="8BC3" sheet="1" objects="1" scenarios="1"/>
  <mergeCells count="11">
    <mergeCell ref="B14:C14"/>
    <mergeCell ref="B7:C7"/>
    <mergeCell ref="B2:C2"/>
    <mergeCell ref="B19:C19"/>
    <mergeCell ref="B30:C30"/>
    <mergeCell ref="K2:K3"/>
    <mergeCell ref="F2:F3"/>
    <mergeCell ref="G2:G3"/>
    <mergeCell ref="H2:H3"/>
    <mergeCell ref="I2:I3"/>
    <mergeCell ref="J2:J3"/>
  </mergeCells>
  <conditionalFormatting sqref="G4:H5 J4:AZ5 R24:R25">
    <cfRule type="cellIs" dxfId="10" priority="11" stopIfTrue="1" operator="greaterThan">
      <formula>0</formula>
    </cfRule>
  </conditionalFormatting>
  <conditionalFormatting sqref="G6:H21 J6:AZ21 R26:R41">
    <cfRule type="cellIs" dxfId="9" priority="9" stopIfTrue="1" operator="greaterThan">
      <formula>0</formula>
    </cfRule>
    <cfRule type="cellIs" dxfId="8" priority="10" stopIfTrue="1" operator="lessThan">
      <formula>0</formula>
    </cfRule>
  </conditionalFormatting>
  <conditionalFormatting sqref="L22:AZ22">
    <cfRule type="cellIs" dxfId="7" priority="1" stopIfTrue="1" operator="greaterThan">
      <formula>0</formula>
    </cfRule>
    <cfRule type="cellIs" dxfId="6" priority="2" stopIfTrue="1" operator="lessThan">
      <formula>0</formula>
    </cfRule>
  </conditionalFormatting>
  <dataValidations count="1">
    <dataValidation type="whole" allowBlank="1" showInputMessage="1" showErrorMessage="1" sqref="N54:AD98 C71:M98">
      <formula1>0</formula1>
      <formula2>#REF!</formula2>
    </dataValidation>
  </dataValidations>
  <hyperlinks>
    <hyperlink ref="E1" location="Guide" display="Guide"/>
    <hyperlink ref="E2" location="Input" display="Input"/>
  </hyperlinks>
  <pageMargins left="0.7" right="0.7" top="0.75" bottom="0.75" header="0.3" footer="0.3"/>
  <pageSetup paperSize="9" scale="86" fitToWidth="0" orientation="landscape" r:id="rId1"/>
  <headerFooter>
    <oddFooter>&amp;LNova Scotia Exploration Economics Model&amp;Rwww.indeva.com</oddFooter>
  </headerFooter>
  <colBreaks count="2" manualBreakCount="2">
    <brk id="10" max="34" man="1"/>
    <brk id="25" max="3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83</vt:i4>
      </vt:variant>
    </vt:vector>
  </HeadingPairs>
  <TitlesOfParts>
    <vt:vector size="118" baseType="lpstr">
      <vt:lpstr>Introduction</vt:lpstr>
      <vt:lpstr>Offshore Map</vt:lpstr>
      <vt:lpstr>Guide</vt:lpstr>
      <vt:lpstr>Devel Options</vt:lpstr>
      <vt:lpstr>Drill History</vt:lpstr>
      <vt:lpstr>FAQ</vt:lpstr>
      <vt:lpstr>Input</vt:lpstr>
      <vt:lpstr>Lists</vt:lpstr>
      <vt:lpstr>CashFlow</vt:lpstr>
      <vt:lpstr>Thresholds</vt:lpstr>
      <vt:lpstr>Sensitivities</vt:lpstr>
      <vt:lpstr>Sensitivity Ranges</vt:lpstr>
      <vt:lpstr>Government Take</vt:lpstr>
      <vt:lpstr>Price Charts</vt:lpstr>
      <vt:lpstr>Overrides</vt:lpstr>
      <vt:lpstr>Economic Assumptions</vt:lpstr>
      <vt:lpstr>Cost Assumptions</vt:lpstr>
      <vt:lpstr>Sched &amp; Prod Assumptions</vt:lpstr>
      <vt:lpstr>Exploration</vt:lpstr>
      <vt:lpstr>Development</vt:lpstr>
      <vt:lpstr>Production</vt:lpstr>
      <vt:lpstr>Revenue</vt:lpstr>
      <vt:lpstr>Operations</vt:lpstr>
      <vt:lpstr>Abandonment</vt:lpstr>
      <vt:lpstr>Royalty</vt:lpstr>
      <vt:lpstr>Federal Tax</vt:lpstr>
      <vt:lpstr>Provincial Tax</vt:lpstr>
      <vt:lpstr>Success Cash Flow</vt:lpstr>
      <vt:lpstr>Risked Cash Flow</vt:lpstr>
      <vt:lpstr>Selected Economics</vt:lpstr>
      <vt:lpstr>User1</vt:lpstr>
      <vt:lpstr>User2</vt:lpstr>
      <vt:lpstr>User3</vt:lpstr>
      <vt:lpstr>User4</vt:lpstr>
      <vt:lpstr>User5</vt:lpstr>
      <vt:lpstr>Abandonment</vt:lpstr>
      <vt:lpstr>Aerial_Extent</vt:lpstr>
      <vt:lpstr>capcostset</vt:lpstr>
      <vt:lpstr>Cashflow</vt:lpstr>
      <vt:lpstr>Costs</vt:lpstr>
      <vt:lpstr>costset1</vt:lpstr>
      <vt:lpstr>Devellist</vt:lpstr>
      <vt:lpstr>Development</vt:lpstr>
      <vt:lpstr>Developments</vt:lpstr>
      <vt:lpstr>Direct_Pipeline_Tie_in</vt:lpstr>
      <vt:lpstr>Discountto</vt:lpstr>
      <vt:lpstr>drill_centres</vt:lpstr>
      <vt:lpstr>Economics</vt:lpstr>
      <vt:lpstr>Exploration</vt:lpstr>
      <vt:lpstr>Explore</vt:lpstr>
      <vt:lpstr>FacilityType</vt:lpstr>
      <vt:lpstr>Federal_Tax</vt:lpstr>
      <vt:lpstr>Fixed_Platform</vt:lpstr>
      <vt:lpstr>FPSU</vt:lpstr>
      <vt:lpstr>Government_Take</vt:lpstr>
      <vt:lpstr>Guide</vt:lpstr>
      <vt:lpstr>Infralist</vt:lpstr>
      <vt:lpstr>Input</vt:lpstr>
      <vt:lpstr>Jack_up</vt:lpstr>
      <vt:lpstr>LossRec</vt:lpstr>
      <vt:lpstr>Manual_override</vt:lpstr>
      <vt:lpstr>monthtable</vt:lpstr>
      <vt:lpstr>noteco</vt:lpstr>
      <vt:lpstr>Operations</vt:lpstr>
      <vt:lpstr>Override</vt:lpstr>
      <vt:lpstr>pressure</vt:lpstr>
      <vt:lpstr>Price_Charts</vt:lpstr>
      <vt:lpstr>Abandonment!Print_Area</vt:lpstr>
      <vt:lpstr>CashFlow!Print_Area</vt:lpstr>
      <vt:lpstr>'Cost Assumptions'!Print_Area</vt:lpstr>
      <vt:lpstr>'Devel Options'!Print_Area</vt:lpstr>
      <vt:lpstr>'Drill History'!Print_Area</vt:lpstr>
      <vt:lpstr>'Economic Assumptions'!Print_Area</vt:lpstr>
      <vt:lpstr>'Federal Tax'!Print_Area</vt:lpstr>
      <vt:lpstr>'Government Take'!Print_Area</vt:lpstr>
      <vt:lpstr>Guide!Print_Area</vt:lpstr>
      <vt:lpstr>Input!Print_Area</vt:lpstr>
      <vt:lpstr>Introduction!Print_Area</vt:lpstr>
      <vt:lpstr>'Offshore Map'!Print_Area</vt:lpstr>
      <vt:lpstr>Operations!Print_Area</vt:lpstr>
      <vt:lpstr>Overrides!Print_Area</vt:lpstr>
      <vt:lpstr>'Price Charts'!Print_Area</vt:lpstr>
      <vt:lpstr>Production!Print_Area</vt:lpstr>
      <vt:lpstr>'Risked Cash Flow'!Print_Area</vt:lpstr>
      <vt:lpstr>Royalty!Print_Area</vt:lpstr>
      <vt:lpstr>'Sched &amp; Prod Assumptions'!Print_Area</vt:lpstr>
      <vt:lpstr>'Selected Economics'!Print_Area</vt:lpstr>
      <vt:lpstr>Sensitivities!Print_Area</vt:lpstr>
      <vt:lpstr>'Success Cash Flow'!Print_Area</vt:lpstr>
      <vt:lpstr>Thresholds!Print_Area</vt:lpstr>
      <vt:lpstr>prod_year</vt:lpstr>
      <vt:lpstr>Product</vt:lpstr>
      <vt:lpstr>Production</vt:lpstr>
      <vt:lpstr>Provincial_Tax</vt:lpstr>
      <vt:lpstr>PurchaseLease</vt:lpstr>
      <vt:lpstr>Rented_FPSU</vt:lpstr>
      <vt:lpstr>Rescomp</vt:lpstr>
      <vt:lpstr>Revenue</vt:lpstr>
      <vt:lpstr>Risked_Cash</vt:lpstr>
      <vt:lpstr>Royalty</vt:lpstr>
      <vt:lpstr>Satellite</vt:lpstr>
      <vt:lpstr>scenarios</vt:lpstr>
      <vt:lpstr>Schedule</vt:lpstr>
      <vt:lpstr>Selected_Economics</vt:lpstr>
      <vt:lpstr>selected_scenario</vt:lpstr>
      <vt:lpstr>Sensitivities</vt:lpstr>
      <vt:lpstr>Shore</vt:lpstr>
      <vt:lpstr>Shuttle_Tanker</vt:lpstr>
      <vt:lpstr>Sour</vt:lpstr>
      <vt:lpstr>Stagelist</vt:lpstr>
      <vt:lpstr>Subsea</vt:lpstr>
      <vt:lpstr>Success_Cash</vt:lpstr>
      <vt:lpstr>Sweet</vt:lpstr>
      <vt:lpstr>SweetSour</vt:lpstr>
      <vt:lpstr>Tethered___Semi</vt:lpstr>
      <vt:lpstr>Thresholds</vt:lpstr>
      <vt:lpstr>User_Area</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dc:creator>
  <cp:lastModifiedBy>CHILDSAB</cp:lastModifiedBy>
  <cp:lastPrinted>2012-05-24T22:37:09Z</cp:lastPrinted>
  <dcterms:created xsi:type="dcterms:W3CDTF">2008-02-07T10:28:11Z</dcterms:created>
  <dcterms:modified xsi:type="dcterms:W3CDTF">2012-09-18T12:57:41Z</dcterms:modified>
</cp:coreProperties>
</file>