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charts/chart2.xml" ContentType="application/vnd.openxmlformats-officedocument.drawingml.chart+xml"/>
  <Override PartName="/xl/drawings/drawing7.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kentybl\Desktop\"/>
    </mc:Choice>
  </mc:AlternateContent>
  <workbookProtection workbookAlgorithmName="SHA-512" workbookHashValue="tsA53KxcXkBKe/Dvkp7JfuprHfW0lJBVo2Ml4LkRCZGb3H8aqLKuzZGKPxB2x/7rMeMWs9WcxgjnD+Thx/93HA==" workbookSaltValue="0d7Eptc5/2YPPP+CWHyB1g==" workbookSpinCount="100000" lockStructure="1"/>
  <bookViews>
    <workbookView xWindow="0" yWindow="0" windowWidth="19440" windowHeight="8600" tabRatio="903" activeTab="6"/>
  </bookViews>
  <sheets>
    <sheet name="Introduction" sheetId="34" r:id="rId1"/>
    <sheet name="Offshore Map" sheetId="33" r:id="rId2"/>
    <sheet name="Guide" sheetId="30" r:id="rId3"/>
    <sheet name="Devel Options" sheetId="32" r:id="rId4"/>
    <sheet name="Drill History" sheetId="35" r:id="rId5"/>
    <sheet name="FAQ" sheetId="36" r:id="rId6"/>
    <sheet name="Input" sheetId="2" r:id="rId7"/>
    <sheet name="Lists" sheetId="27" state="hidden" r:id="rId8"/>
    <sheet name="CashFlow" sheetId="5" r:id="rId9"/>
    <sheet name="Thresholds" sheetId="3" r:id="rId10"/>
    <sheet name="Sensitivities" sheetId="4" r:id="rId11"/>
    <sheet name="Sensitivity Ranges" sheetId="28" state="hidden" r:id="rId12"/>
    <sheet name="Government Take" sheetId="29" r:id="rId13"/>
    <sheet name="Price Charts" sheetId="31" r:id="rId14"/>
    <sheet name="Overrides" sheetId="6" r:id="rId15"/>
    <sheet name="Economic Assumptions" sheetId="20" r:id="rId16"/>
    <sheet name="Cost Assumptions" sheetId="19" r:id="rId17"/>
    <sheet name="Sched &amp; Prod Assumptions" sheetId="18" r:id="rId18"/>
    <sheet name="Exploration" sheetId="7" r:id="rId19"/>
    <sheet name="Development" sheetId="8" r:id="rId20"/>
    <sheet name="Production" sheetId="9" r:id="rId21"/>
    <sheet name="Revenue" sheetId="10" r:id="rId22"/>
    <sheet name="Operations" sheetId="11" r:id="rId23"/>
    <sheet name="Abandonment" sheetId="12" r:id="rId24"/>
    <sheet name="Royalty" sheetId="13" r:id="rId25"/>
    <sheet name="Federal Tax" sheetId="14" r:id="rId26"/>
    <sheet name="Provincial Tax" sheetId="15" r:id="rId27"/>
    <sheet name="Success Cash Flow" sheetId="16" r:id="rId28"/>
    <sheet name="Risked Cash Flow" sheetId="22" r:id="rId29"/>
    <sheet name="Selected Economics" sheetId="17" r:id="rId30"/>
    <sheet name="User1" sheetId="21" r:id="rId31"/>
    <sheet name="User2" sheetId="23" r:id="rId32"/>
    <sheet name="User3" sheetId="24" r:id="rId33"/>
    <sheet name="User4" sheetId="25" r:id="rId34"/>
    <sheet name="User5" sheetId="26" r:id="rId35"/>
  </sheets>
  <definedNames>
    <definedName name="Abandonment">Abandonment!$B$3</definedName>
    <definedName name="Aerial_Extent">Lists!$A$40:$A$42</definedName>
    <definedName name="capcostset">Lists!$A$16:$E$16</definedName>
    <definedName name="Cashflow">CashFlow!$B$3</definedName>
    <definedName name="Costs">'Cost Assumptions'!$C$4:$D$4</definedName>
    <definedName name="costset1">'Cost Assumptions'!$C$4:$L$4</definedName>
    <definedName name="Devellist">Lists!$A$27:$A$30</definedName>
    <definedName name="Development">Development!$B$3</definedName>
    <definedName name="Developments">'Devel Options'!$A$3</definedName>
    <definedName name="Direct_Pipeline_Tie_in">Lists!$Q$33</definedName>
    <definedName name="Discountto">Lists!$A$54:$A$56</definedName>
    <definedName name="drill_centres">'Sched &amp; Prod Assumptions'!$A$38:$B$43</definedName>
    <definedName name="Economics">'Economic Assumptions'!$B$8</definedName>
    <definedName name="Exploration">Exploration!$C$3</definedName>
    <definedName name="Explore">Exploration!$C$3</definedName>
    <definedName name="FacilityType">Lists!$A$73:$A$76</definedName>
    <definedName name="Federal_Tax">'Federal Tax'!$B$10</definedName>
    <definedName name="Fixed_Platform">Lists!$O$33</definedName>
    <definedName name="FPSU">Lists!$O$35</definedName>
    <definedName name="Government_Take">'Government Take'!$A$3</definedName>
    <definedName name="Guide">Guide!$B$1</definedName>
    <definedName name="Infralist">Lists!$A$22:$A$24</definedName>
    <definedName name="Input">Input!$A$1</definedName>
    <definedName name="Interest">Royalty!#REF!</definedName>
    <definedName name="Jack_up">Lists!$O$34</definedName>
    <definedName name="LossRec">Royalty!$AL$4</definedName>
    <definedName name="Manual_override">Lists!$A$36:$A$37</definedName>
    <definedName name="monthtable">Lists!$A$95:$A$106</definedName>
    <definedName name="noteco">Abandonment!$C$4</definedName>
    <definedName name="Operations">Operations!$B$3</definedName>
    <definedName name="Override">Overrides!$B$3</definedName>
    <definedName name="pressure">Lists!$A$87:$A$89</definedName>
    <definedName name="Price_Charts">'Price Charts'!$A$1</definedName>
    <definedName name="_xlnm.Print_Area" localSheetId="23">Abandonment!$A$1:$L$55</definedName>
    <definedName name="_xlnm.Print_Area" localSheetId="8">CashFlow!$A$1:$AZ$35</definedName>
    <definedName name="_xlnm.Print_Area" localSheetId="16">'Cost Assumptions'!$A$1:$O$155</definedName>
    <definedName name="_xlnm.Print_Area" localSheetId="3">'Devel Options'!$A$1:$N$92</definedName>
    <definedName name="_xlnm.Print_Area" localSheetId="4">'Drill History'!$A$1:$S$29</definedName>
    <definedName name="_xlnm.Print_Area" localSheetId="15">'Economic Assumptions'!$A$1:$AX$65</definedName>
    <definedName name="_xlnm.Print_Area" localSheetId="25">'Federal Tax'!$A$1:$X$50</definedName>
    <definedName name="_xlnm.Print_Area" localSheetId="12">'Government Take'!$A$1:$P$34</definedName>
    <definedName name="_xlnm.Print_Area" localSheetId="2">Guide!$A$1:$F$41</definedName>
    <definedName name="_xlnm.Print_Area" localSheetId="6">Input!$A$1:$U$37</definedName>
    <definedName name="_xlnm.Print_Area" localSheetId="0">Introduction!$A$1:$AB$43</definedName>
    <definedName name="_xlnm.Print_Area" localSheetId="1">'Offshore Map'!$A$1:$W$51</definedName>
    <definedName name="_xlnm.Print_Area" localSheetId="22">Operations!$A$1:$U$58</definedName>
    <definedName name="_xlnm.Print_Area" localSheetId="14">Overrides!$A$1:$O$104</definedName>
    <definedName name="_xlnm.Print_Area" localSheetId="13">'Price Charts'!$A$1:$AB$75</definedName>
    <definedName name="_xlnm.Print_Area" localSheetId="20">Production!$A$1:$AO$70</definedName>
    <definedName name="_xlnm.Print_Area" localSheetId="28">'Risked Cash Flow'!$A$1:$P$50</definedName>
    <definedName name="_xlnm.Print_Area" localSheetId="24">Royalty!$A$1:$AV$52</definedName>
    <definedName name="_xlnm.Print_Area" localSheetId="17">'Sched &amp; Prod Assumptions'!$A$1:$J$105</definedName>
    <definedName name="_xlnm.Print_Area" localSheetId="29">'Selected Economics'!$A$1:$K$51</definedName>
    <definedName name="_xlnm.Print_Area" localSheetId="10">Sensitivities!$A$1:$U$43</definedName>
    <definedName name="_xlnm.Print_Area" localSheetId="27">'Success Cash Flow'!$A$1:$T$50</definedName>
    <definedName name="_xlnm.Print_Area" localSheetId="9">Thresholds!$A$1:$P$39</definedName>
    <definedName name="prod_year">Production!$B$3</definedName>
    <definedName name="Product">Lists!$A$59:$A$60</definedName>
    <definedName name="Production">Production!$A$3</definedName>
    <definedName name="Provincial_Tax">'Provincial Tax'!$B$10</definedName>
    <definedName name="PurchaseLease">Lists!$A$32:$A$33</definedName>
    <definedName name="Rented_FPSU">Lists!$O$37</definedName>
    <definedName name="Rescomp">Lists!$A$45:$A$47</definedName>
    <definedName name="Revenue">Revenue!$B$9</definedName>
    <definedName name="Risked_Cash">'Risked Cash Flow'!$B$10</definedName>
    <definedName name="Royalty">Royalty!$B$10</definedName>
    <definedName name="Satellite">Lists!$Q$32</definedName>
    <definedName name="scenarios">Lists!$A$19:$E$19</definedName>
    <definedName name="Schedule">'Sched &amp; Prod Assumptions'!$A$3</definedName>
    <definedName name="Selected_Economics">'Selected Economics'!$B$11</definedName>
    <definedName name="selected_scenario">Lists!$A$20:$E$20</definedName>
    <definedName name="Sensitivities">Sensitivities!$A$3</definedName>
    <definedName name="Shore">Lists!$Q$34</definedName>
    <definedName name="Shuttle_Tanker">Lists!$Q$35</definedName>
    <definedName name="Sour">Lists!$A$64</definedName>
    <definedName name="Stagelist">Lists!$A$8:$A$12</definedName>
    <definedName name="Subsea">Lists!$O$32</definedName>
    <definedName name="Success_Cash">'Success Cash Flow'!$B$10</definedName>
    <definedName name="Sweet">Lists!$A$63</definedName>
    <definedName name="SweetSour">Lists!$A$63:$A$64</definedName>
    <definedName name="Tethered___Semi">Lists!$O$36</definedName>
    <definedName name="Thresholds">Thresholds!$A$7</definedName>
    <definedName name="User_Area">User1!$A$3</definedName>
    <definedName name="YesNo">Lists!$A$50:$A$51</definedName>
  </definedNames>
  <calcPr calcId="152511"/>
</workbook>
</file>

<file path=xl/calcChain.xml><?xml version="1.0" encoding="utf-8"?>
<calcChain xmlns="http://schemas.openxmlformats.org/spreadsheetml/2006/main">
  <c r="E4" i="3" l="1"/>
  <c r="E1" i="3"/>
  <c r="E3" i="3"/>
  <c r="E2" i="3"/>
  <c r="AS60" i="20" l="1"/>
  <c r="AS59" i="20"/>
  <c r="AS58" i="20"/>
  <c r="AS57" i="20"/>
  <c r="AS56" i="20"/>
  <c r="AS55" i="20"/>
  <c r="AS54" i="20"/>
  <c r="AS53" i="20"/>
  <c r="AS52" i="20"/>
  <c r="AS51" i="20"/>
  <c r="AS50" i="20"/>
  <c r="AS49" i="20"/>
  <c r="AS48" i="20"/>
  <c r="AS47" i="20"/>
  <c r="AS46" i="20"/>
  <c r="AS45" i="20"/>
  <c r="AS44" i="20"/>
  <c r="AS43" i="20"/>
  <c r="AS42" i="20"/>
  <c r="AS41" i="20"/>
  <c r="AS40" i="20"/>
  <c r="AS39" i="20"/>
  <c r="AS38" i="20"/>
  <c r="AS37" i="20"/>
  <c r="AS36" i="20"/>
  <c r="AS35" i="20"/>
  <c r="AS34" i="20"/>
  <c r="AS33" i="20"/>
  <c r="AS32" i="20"/>
  <c r="AS31" i="20"/>
  <c r="AS30" i="20"/>
  <c r="AS29" i="20"/>
  <c r="AS28" i="20"/>
  <c r="AS27" i="20"/>
  <c r="AS26" i="20"/>
  <c r="AS25" i="20"/>
  <c r="AS24" i="20"/>
  <c r="AS23" i="20"/>
  <c r="AS22" i="20"/>
  <c r="AS21" i="20"/>
  <c r="AS20" i="20"/>
  <c r="AS19" i="20"/>
  <c r="AS18" i="20"/>
  <c r="AS17" i="20"/>
  <c r="AS16" i="20"/>
  <c r="AS15" i="20"/>
  <c r="AS14" i="20"/>
  <c r="AS13" i="20"/>
  <c r="AS12" i="20"/>
  <c r="AI60" i="20"/>
  <c r="AI59" i="20"/>
  <c r="AI58" i="20"/>
  <c r="AI57" i="20"/>
  <c r="AI56" i="20"/>
  <c r="AI55" i="20"/>
  <c r="AI54" i="20"/>
  <c r="AI53" i="20"/>
  <c r="AI52" i="20"/>
  <c r="AI51" i="20"/>
  <c r="AI50" i="20"/>
  <c r="AI49" i="20"/>
  <c r="AI48" i="20"/>
  <c r="AI47" i="20"/>
  <c r="AI46" i="20"/>
  <c r="AI45" i="20"/>
  <c r="AI44" i="20"/>
  <c r="AI43" i="20"/>
  <c r="AI42" i="20"/>
  <c r="AI41" i="20"/>
  <c r="AI40" i="20"/>
  <c r="AI39" i="20"/>
  <c r="AI38" i="20"/>
  <c r="AI37" i="20"/>
  <c r="AI36" i="20"/>
  <c r="AI35" i="20"/>
  <c r="AI34" i="20"/>
  <c r="AI33" i="20"/>
  <c r="AI32" i="20"/>
  <c r="AI31" i="20"/>
  <c r="AI30" i="20"/>
  <c r="AI29" i="20"/>
  <c r="AI28" i="20"/>
  <c r="AI27" i="20"/>
  <c r="AI26" i="20"/>
  <c r="AI25" i="20"/>
  <c r="AI24" i="20"/>
  <c r="AI23" i="20"/>
  <c r="AI22" i="20"/>
  <c r="AI21" i="20"/>
  <c r="AI20" i="20"/>
  <c r="AI19" i="20"/>
  <c r="AI18" i="20"/>
  <c r="AI17" i="20"/>
  <c r="AI16" i="20"/>
  <c r="AI15" i="20"/>
  <c r="AI14" i="20"/>
  <c r="AI13" i="20"/>
  <c r="AI12" i="20"/>
  <c r="AP18" i="20"/>
  <c r="AP19" i="20" s="1"/>
  <c r="AP20" i="20" s="1"/>
  <c r="AP21" i="20" s="1"/>
  <c r="AP22" i="20" s="1"/>
  <c r="AP23" i="20" s="1"/>
  <c r="AP24" i="20" s="1"/>
  <c r="AP25" i="20" s="1"/>
  <c r="AP26" i="20" s="1"/>
  <c r="AP27" i="20" s="1"/>
  <c r="AP28" i="20" s="1"/>
  <c r="AP29" i="20" s="1"/>
  <c r="AP30" i="20" s="1"/>
  <c r="AP31" i="20" s="1"/>
  <c r="AP32" i="20" s="1"/>
  <c r="AP33" i="20" s="1"/>
  <c r="AP34" i="20" s="1"/>
  <c r="AP35" i="20" s="1"/>
  <c r="AP36" i="20" s="1"/>
  <c r="AP37" i="20" s="1"/>
  <c r="AP38" i="20" s="1"/>
  <c r="AP39" i="20" s="1"/>
  <c r="AP40" i="20" s="1"/>
  <c r="AP41" i="20" s="1"/>
  <c r="AP42" i="20" s="1"/>
  <c r="AP43" i="20" s="1"/>
  <c r="AP44" i="20" s="1"/>
  <c r="AP45" i="20" s="1"/>
  <c r="AP46" i="20" s="1"/>
  <c r="AP47" i="20" s="1"/>
  <c r="AP48" i="20" s="1"/>
  <c r="AP49" i="20" s="1"/>
  <c r="AP50" i="20" s="1"/>
  <c r="AP51" i="20" s="1"/>
  <c r="AP52" i="20" s="1"/>
  <c r="AP53" i="20" s="1"/>
  <c r="AP54" i="20" s="1"/>
  <c r="AP55" i="20" s="1"/>
  <c r="AP56" i="20" s="1"/>
  <c r="AP57" i="20" s="1"/>
  <c r="AP58" i="20" s="1"/>
  <c r="AP59" i="20" s="1"/>
  <c r="AP60" i="20" s="1"/>
  <c r="AP17" i="20"/>
  <c r="AR16" i="20"/>
  <c r="AR17" i="20" s="1"/>
  <c r="AR18" i="20" s="1"/>
  <c r="AR19" i="20" s="1"/>
  <c r="AR20" i="20" s="1"/>
  <c r="AR21" i="20" s="1"/>
  <c r="AR22" i="20" s="1"/>
  <c r="AR23" i="20" s="1"/>
  <c r="AR24" i="20" s="1"/>
  <c r="AR25" i="20" s="1"/>
  <c r="AR26" i="20" s="1"/>
  <c r="AR27" i="20" s="1"/>
  <c r="AR28" i="20" s="1"/>
  <c r="AR29" i="20" s="1"/>
  <c r="AR30" i="20" s="1"/>
  <c r="AR31" i="20" s="1"/>
  <c r="AR32" i="20" s="1"/>
  <c r="AR33" i="20" s="1"/>
  <c r="AR34" i="20" s="1"/>
  <c r="AR35" i="20" s="1"/>
  <c r="AR36" i="20" s="1"/>
  <c r="AR37" i="20" s="1"/>
  <c r="AR38" i="20" s="1"/>
  <c r="AR39" i="20" s="1"/>
  <c r="AR40" i="20" s="1"/>
  <c r="AR41" i="20" s="1"/>
  <c r="AR42" i="20" s="1"/>
  <c r="AR43" i="20" s="1"/>
  <c r="AR44" i="20" s="1"/>
  <c r="AR45" i="20" s="1"/>
  <c r="AR46" i="20" s="1"/>
  <c r="AR47" i="20" s="1"/>
  <c r="AR48" i="20" s="1"/>
  <c r="AR49" i="20" s="1"/>
  <c r="AR50" i="20" s="1"/>
  <c r="AR51" i="20" s="1"/>
  <c r="AR52" i="20" s="1"/>
  <c r="AR53" i="20" s="1"/>
  <c r="AR54" i="20" s="1"/>
  <c r="AR55" i="20" s="1"/>
  <c r="AR56" i="20" s="1"/>
  <c r="AR57" i="20" s="1"/>
  <c r="AR58" i="20" s="1"/>
  <c r="AR59" i="20" s="1"/>
  <c r="AR60" i="20" s="1"/>
  <c r="AQ16" i="20"/>
  <c r="AQ17" i="20" s="1"/>
  <c r="AQ18" i="20" s="1"/>
  <c r="AQ19" i="20" s="1"/>
  <c r="AQ20" i="20" s="1"/>
  <c r="AQ21" i="20" s="1"/>
  <c r="AQ22" i="20" s="1"/>
  <c r="AQ23" i="20" s="1"/>
  <c r="AQ24" i="20" s="1"/>
  <c r="AQ25" i="20" s="1"/>
  <c r="AQ26" i="20" s="1"/>
  <c r="AQ27" i="20" s="1"/>
  <c r="AQ28" i="20" s="1"/>
  <c r="AQ29" i="20" s="1"/>
  <c r="AQ30" i="20" s="1"/>
  <c r="AQ31" i="20" s="1"/>
  <c r="AQ32" i="20" s="1"/>
  <c r="AQ33" i="20" s="1"/>
  <c r="AQ34" i="20" s="1"/>
  <c r="AQ35" i="20" s="1"/>
  <c r="AQ36" i="20" s="1"/>
  <c r="AQ37" i="20" s="1"/>
  <c r="AQ38" i="20" s="1"/>
  <c r="AQ39" i="20" s="1"/>
  <c r="AQ40" i="20" s="1"/>
  <c r="AQ41" i="20" s="1"/>
  <c r="AQ42" i="20" s="1"/>
  <c r="AQ43" i="20" s="1"/>
  <c r="AQ44" i="20" s="1"/>
  <c r="AQ45" i="20" s="1"/>
  <c r="AQ46" i="20" s="1"/>
  <c r="AQ47" i="20" s="1"/>
  <c r="AQ48" i="20" s="1"/>
  <c r="AQ49" i="20" s="1"/>
  <c r="AQ50" i="20" s="1"/>
  <c r="AQ51" i="20" s="1"/>
  <c r="AQ52" i="20" s="1"/>
  <c r="AQ53" i="20" s="1"/>
  <c r="AQ54" i="20" s="1"/>
  <c r="AQ55" i="20" s="1"/>
  <c r="AQ56" i="20" s="1"/>
  <c r="AQ57" i="20" s="1"/>
  <c r="AQ58" i="20" s="1"/>
  <c r="AQ59" i="20" s="1"/>
  <c r="AQ60" i="20" s="1"/>
  <c r="AP16" i="20"/>
  <c r="AR15" i="20"/>
  <c r="AQ15" i="20"/>
  <c r="AP15" i="20"/>
  <c r="AR14" i="20"/>
  <c r="AQ14" i="20"/>
  <c r="AP14" i="20"/>
  <c r="AR13" i="20"/>
  <c r="AQ13" i="20"/>
  <c r="AP13" i="20"/>
  <c r="AR12" i="20"/>
  <c r="AQ12" i="20"/>
  <c r="AP12" i="20"/>
  <c r="AG19" i="20"/>
  <c r="AG20" i="20" s="1"/>
  <c r="AG21" i="20" s="1"/>
  <c r="AG22" i="20" s="1"/>
  <c r="AG23" i="20" s="1"/>
  <c r="AG24" i="20" s="1"/>
  <c r="AG25" i="20" s="1"/>
  <c r="AG26" i="20" s="1"/>
  <c r="AG27" i="20" s="1"/>
  <c r="AG28" i="20" s="1"/>
  <c r="AG29" i="20" s="1"/>
  <c r="AG30" i="20" s="1"/>
  <c r="AG31" i="20" s="1"/>
  <c r="AG32" i="20" s="1"/>
  <c r="AG33" i="20" s="1"/>
  <c r="AG34" i="20" s="1"/>
  <c r="AG35" i="20" s="1"/>
  <c r="AG36" i="20" s="1"/>
  <c r="AG37" i="20" s="1"/>
  <c r="AG38" i="20" s="1"/>
  <c r="AG39" i="20" s="1"/>
  <c r="AG40" i="20" s="1"/>
  <c r="AG41" i="20" s="1"/>
  <c r="AG42" i="20" s="1"/>
  <c r="AG43" i="20" s="1"/>
  <c r="AG44" i="20" s="1"/>
  <c r="AG45" i="20" s="1"/>
  <c r="AG46" i="20" s="1"/>
  <c r="AG47" i="20" s="1"/>
  <c r="AG48" i="20" s="1"/>
  <c r="AG49" i="20" s="1"/>
  <c r="AG50" i="20" s="1"/>
  <c r="AG51" i="20" s="1"/>
  <c r="AG52" i="20" s="1"/>
  <c r="AG53" i="20" s="1"/>
  <c r="AG54" i="20" s="1"/>
  <c r="AG55" i="20" s="1"/>
  <c r="AG56" i="20" s="1"/>
  <c r="AG57" i="20" s="1"/>
  <c r="AG58" i="20" s="1"/>
  <c r="AG59" i="20" s="1"/>
  <c r="AG60" i="20" s="1"/>
  <c r="AH18" i="20"/>
  <c r="AH19" i="20" s="1"/>
  <c r="AH20" i="20" s="1"/>
  <c r="AH21" i="20" s="1"/>
  <c r="AH22" i="20" s="1"/>
  <c r="AH23" i="20" s="1"/>
  <c r="AH24" i="20" s="1"/>
  <c r="AH25" i="20" s="1"/>
  <c r="AH26" i="20" s="1"/>
  <c r="AH27" i="20" s="1"/>
  <c r="AH28" i="20" s="1"/>
  <c r="AH29" i="20" s="1"/>
  <c r="AH30" i="20" s="1"/>
  <c r="AH31" i="20" s="1"/>
  <c r="AH32" i="20" s="1"/>
  <c r="AH33" i="20" s="1"/>
  <c r="AH34" i="20" s="1"/>
  <c r="AH35" i="20" s="1"/>
  <c r="AH36" i="20" s="1"/>
  <c r="AH37" i="20" s="1"/>
  <c r="AH38" i="20" s="1"/>
  <c r="AH39" i="20" s="1"/>
  <c r="AH40" i="20" s="1"/>
  <c r="AH41" i="20" s="1"/>
  <c r="AH42" i="20" s="1"/>
  <c r="AH43" i="20" s="1"/>
  <c r="AH44" i="20" s="1"/>
  <c r="AH45" i="20" s="1"/>
  <c r="AH46" i="20" s="1"/>
  <c r="AH47" i="20" s="1"/>
  <c r="AH48" i="20" s="1"/>
  <c r="AH49" i="20" s="1"/>
  <c r="AH50" i="20" s="1"/>
  <c r="AH51" i="20" s="1"/>
  <c r="AH52" i="20" s="1"/>
  <c r="AH53" i="20" s="1"/>
  <c r="AH54" i="20" s="1"/>
  <c r="AH55" i="20" s="1"/>
  <c r="AH56" i="20" s="1"/>
  <c r="AH57" i="20" s="1"/>
  <c r="AH58" i="20" s="1"/>
  <c r="AH59" i="20" s="1"/>
  <c r="AH60" i="20" s="1"/>
  <c r="AG18" i="20"/>
  <c r="AF18" i="20"/>
  <c r="AF19" i="20" s="1"/>
  <c r="AF20" i="20" s="1"/>
  <c r="AF21" i="20" s="1"/>
  <c r="AF22" i="20" s="1"/>
  <c r="AF23" i="20" s="1"/>
  <c r="AF24" i="20" s="1"/>
  <c r="AF25" i="20" s="1"/>
  <c r="AF26" i="20" s="1"/>
  <c r="AF27" i="20" s="1"/>
  <c r="AF28" i="20" s="1"/>
  <c r="AF29" i="20" s="1"/>
  <c r="AF30" i="20" s="1"/>
  <c r="AF31" i="20" s="1"/>
  <c r="AF32" i="20" s="1"/>
  <c r="AF33" i="20" s="1"/>
  <c r="AF34" i="20" s="1"/>
  <c r="AF35" i="20" s="1"/>
  <c r="AF36" i="20" s="1"/>
  <c r="AF37" i="20" s="1"/>
  <c r="AF38" i="20" s="1"/>
  <c r="AF39" i="20" s="1"/>
  <c r="AF40" i="20" s="1"/>
  <c r="AF41" i="20" s="1"/>
  <c r="AF42" i="20" s="1"/>
  <c r="AF43" i="20" s="1"/>
  <c r="AF44" i="20" s="1"/>
  <c r="AF45" i="20" s="1"/>
  <c r="AF46" i="20" s="1"/>
  <c r="AF47" i="20" s="1"/>
  <c r="AF48" i="20" s="1"/>
  <c r="AF49" i="20" s="1"/>
  <c r="AF50" i="20" s="1"/>
  <c r="AF51" i="20" s="1"/>
  <c r="AF52" i="20" s="1"/>
  <c r="AF53" i="20" s="1"/>
  <c r="AF54" i="20" s="1"/>
  <c r="AF55" i="20" s="1"/>
  <c r="AF56" i="20" s="1"/>
  <c r="AF57" i="20" s="1"/>
  <c r="AF58" i="20" s="1"/>
  <c r="AF59" i="20" s="1"/>
  <c r="AF60" i="20" s="1"/>
  <c r="AH17" i="20"/>
  <c r="AG17" i="20"/>
  <c r="AF17" i="20"/>
  <c r="AC17" i="20"/>
  <c r="AC18" i="20"/>
  <c r="AC19" i="20"/>
  <c r="AC20" i="20"/>
  <c r="AC21" i="20"/>
  <c r="AC22" i="20"/>
  <c r="AC23" i="20"/>
  <c r="AC24" i="20"/>
  <c r="AC25" i="20"/>
  <c r="AC26" i="20"/>
  <c r="AC27" i="20"/>
  <c r="AC28" i="20"/>
  <c r="AC29" i="20"/>
  <c r="AC30" i="20"/>
  <c r="AC31" i="20"/>
  <c r="AC32" i="20"/>
  <c r="AC33" i="20"/>
  <c r="AC34" i="20"/>
  <c r="AC35" i="20"/>
  <c r="AC36" i="20"/>
  <c r="AC37" i="20"/>
  <c r="AC38" i="20"/>
  <c r="AC39" i="20"/>
  <c r="AC40" i="20"/>
  <c r="AC41" i="20"/>
  <c r="AC42" i="20"/>
  <c r="AC43" i="20"/>
  <c r="AC44" i="20"/>
  <c r="AC45" i="20"/>
  <c r="AC46" i="20"/>
  <c r="AC47" i="20"/>
  <c r="AC48" i="20"/>
  <c r="AC49" i="20"/>
  <c r="AC50" i="20"/>
  <c r="AC51" i="20"/>
  <c r="AC52" i="20"/>
  <c r="AC53" i="20"/>
  <c r="AC54" i="20"/>
  <c r="AC55" i="20"/>
  <c r="AC56" i="20"/>
  <c r="AC57" i="20"/>
  <c r="AC58" i="20"/>
  <c r="AC59" i="20"/>
  <c r="AC60" i="20"/>
  <c r="AH16" i="20"/>
  <c r="AG16" i="20"/>
  <c r="AF16" i="20"/>
  <c r="AH15" i="20"/>
  <c r="AG15" i="20"/>
  <c r="AF15" i="20"/>
  <c r="AH14" i="20"/>
  <c r="AG14" i="20"/>
  <c r="AF14" i="20"/>
  <c r="AH13" i="20"/>
  <c r="AG13" i="20"/>
  <c r="AF13" i="20"/>
  <c r="AH12" i="20"/>
  <c r="AG12" i="20"/>
  <c r="AF12" i="20"/>
  <c r="X18" i="20"/>
  <c r="X19" i="20" s="1"/>
  <c r="X20" i="20" s="1"/>
  <c r="X21" i="20" s="1"/>
  <c r="X22" i="20" s="1"/>
  <c r="X23" i="20" s="1"/>
  <c r="X24" i="20" s="1"/>
  <c r="X25" i="20" s="1"/>
  <c r="X26" i="20" s="1"/>
  <c r="X27" i="20" s="1"/>
  <c r="X28" i="20" s="1"/>
  <c r="X29" i="20" s="1"/>
  <c r="X30" i="20" s="1"/>
  <c r="X31" i="20" s="1"/>
  <c r="X32" i="20" s="1"/>
  <c r="X33" i="20" s="1"/>
  <c r="X34" i="20" s="1"/>
  <c r="X35" i="20" s="1"/>
  <c r="X36" i="20" s="1"/>
  <c r="X37" i="20" s="1"/>
  <c r="X38" i="20" s="1"/>
  <c r="X39" i="20" s="1"/>
  <c r="X40" i="20" s="1"/>
  <c r="X41" i="20" s="1"/>
  <c r="X42" i="20" s="1"/>
  <c r="X43" i="20" s="1"/>
  <c r="X44" i="20" s="1"/>
  <c r="X45" i="20" s="1"/>
  <c r="X46" i="20" s="1"/>
  <c r="X47" i="20" s="1"/>
  <c r="X48" i="20" s="1"/>
  <c r="X49" i="20" s="1"/>
  <c r="X50" i="20" s="1"/>
  <c r="X51" i="20" s="1"/>
  <c r="X52" i="20" s="1"/>
  <c r="X53" i="20" s="1"/>
  <c r="X54" i="20" s="1"/>
  <c r="X55" i="20" s="1"/>
  <c r="X56" i="20" s="1"/>
  <c r="X57" i="20" s="1"/>
  <c r="X58" i="20" s="1"/>
  <c r="X59" i="20" s="1"/>
  <c r="X60" i="20" s="1"/>
  <c r="W18" i="20"/>
  <c r="W19" i="20" s="1"/>
  <c r="W20" i="20" s="1"/>
  <c r="W21" i="20" s="1"/>
  <c r="W22" i="20" s="1"/>
  <c r="W23" i="20" s="1"/>
  <c r="W24" i="20" s="1"/>
  <c r="W25" i="20" s="1"/>
  <c r="W26" i="20" s="1"/>
  <c r="W27" i="20" s="1"/>
  <c r="W28" i="20" s="1"/>
  <c r="W29" i="20" s="1"/>
  <c r="W30" i="20" s="1"/>
  <c r="W31" i="20" s="1"/>
  <c r="W32" i="20" s="1"/>
  <c r="W33" i="20" s="1"/>
  <c r="W34" i="20" s="1"/>
  <c r="W35" i="20" s="1"/>
  <c r="W36" i="20" s="1"/>
  <c r="W37" i="20" s="1"/>
  <c r="W38" i="20" s="1"/>
  <c r="W39" i="20" s="1"/>
  <c r="W40" i="20" s="1"/>
  <c r="W41" i="20" s="1"/>
  <c r="W42" i="20" s="1"/>
  <c r="W43" i="20" s="1"/>
  <c r="W44" i="20" s="1"/>
  <c r="W45" i="20" s="1"/>
  <c r="W46" i="20" s="1"/>
  <c r="W47" i="20" s="1"/>
  <c r="W48" i="20" s="1"/>
  <c r="W49" i="20" s="1"/>
  <c r="W50" i="20" s="1"/>
  <c r="W51" i="20" s="1"/>
  <c r="W52" i="20" s="1"/>
  <c r="W53" i="20" s="1"/>
  <c r="W54" i="20" s="1"/>
  <c r="W55" i="20" s="1"/>
  <c r="W56" i="20" s="1"/>
  <c r="W57" i="20" s="1"/>
  <c r="W58" i="20" s="1"/>
  <c r="W59" i="20" s="1"/>
  <c r="W60" i="20" s="1"/>
  <c r="V18" i="20"/>
  <c r="V19" i="20" s="1"/>
  <c r="V20" i="20" s="1"/>
  <c r="V21" i="20" s="1"/>
  <c r="V22" i="20" s="1"/>
  <c r="V23" i="20" s="1"/>
  <c r="V24" i="20" s="1"/>
  <c r="V25" i="20" s="1"/>
  <c r="V26" i="20" s="1"/>
  <c r="V27" i="20" s="1"/>
  <c r="V28" i="20" s="1"/>
  <c r="V29" i="20" s="1"/>
  <c r="V30" i="20" s="1"/>
  <c r="V31" i="20" s="1"/>
  <c r="V32" i="20" s="1"/>
  <c r="V33" i="20" s="1"/>
  <c r="V34" i="20" s="1"/>
  <c r="V35" i="20" s="1"/>
  <c r="V36" i="20" s="1"/>
  <c r="V37" i="20" s="1"/>
  <c r="V38" i="20" s="1"/>
  <c r="V39" i="20" s="1"/>
  <c r="V40" i="20" s="1"/>
  <c r="V41" i="20" s="1"/>
  <c r="V42" i="20" s="1"/>
  <c r="V43" i="20" s="1"/>
  <c r="V44" i="20" s="1"/>
  <c r="V45" i="20" s="1"/>
  <c r="V46" i="20" s="1"/>
  <c r="V47" i="20" s="1"/>
  <c r="V48" i="20" s="1"/>
  <c r="V49" i="20" s="1"/>
  <c r="V50" i="20" s="1"/>
  <c r="V51" i="20" s="1"/>
  <c r="V52" i="20" s="1"/>
  <c r="V53" i="20" s="1"/>
  <c r="V54" i="20" s="1"/>
  <c r="V55" i="20" s="1"/>
  <c r="V56" i="20" s="1"/>
  <c r="V57" i="20" s="1"/>
  <c r="V58" i="20" s="1"/>
  <c r="V59" i="20" s="1"/>
  <c r="V60" i="20" s="1"/>
  <c r="X17" i="20"/>
  <c r="W17" i="20"/>
  <c r="V17" i="20"/>
  <c r="Y17" i="20"/>
  <c r="O60" i="20"/>
  <c r="O59" i="20"/>
  <c r="O58" i="20"/>
  <c r="O57" i="20"/>
  <c r="O56" i="20"/>
  <c r="O55" i="20"/>
  <c r="O54" i="20"/>
  <c r="O53" i="20"/>
  <c r="O52" i="20"/>
  <c r="O51" i="20"/>
  <c r="O50" i="20"/>
  <c r="O49" i="20"/>
  <c r="O48" i="20"/>
  <c r="O47" i="20"/>
  <c r="O46" i="20"/>
  <c r="O45" i="20"/>
  <c r="O44" i="20"/>
  <c r="O43" i="20"/>
  <c r="O42" i="20"/>
  <c r="O41" i="20"/>
  <c r="O40" i="20"/>
  <c r="O39" i="20"/>
  <c r="O38" i="20"/>
  <c r="O37" i="20"/>
  <c r="O36" i="20"/>
  <c r="O35" i="20"/>
  <c r="O34" i="20"/>
  <c r="O33" i="20"/>
  <c r="O32" i="20"/>
  <c r="Y32" i="20" s="1"/>
  <c r="O31" i="20"/>
  <c r="O30" i="20"/>
  <c r="O29" i="20"/>
  <c r="O28" i="20"/>
  <c r="Y28" i="20" s="1"/>
  <c r="O27" i="20"/>
  <c r="O26" i="20"/>
  <c r="O25" i="20"/>
  <c r="O24" i="20"/>
  <c r="Y24" i="20" s="1"/>
  <c r="O23" i="20"/>
  <c r="O22" i="20"/>
  <c r="Y22" i="20" s="1"/>
  <c r="O21" i="20"/>
  <c r="O20" i="20"/>
  <c r="Y20" i="20" s="1"/>
  <c r="O19" i="20"/>
  <c r="N19" i="20"/>
  <c r="N20" i="20" s="1"/>
  <c r="N21" i="20" s="1"/>
  <c r="N22" i="20" s="1"/>
  <c r="N23" i="20" s="1"/>
  <c r="N24" i="20" s="1"/>
  <c r="N25" i="20" s="1"/>
  <c r="N26" i="20" s="1"/>
  <c r="N27" i="20" s="1"/>
  <c r="N28" i="20" s="1"/>
  <c r="N29" i="20" s="1"/>
  <c r="N30" i="20" s="1"/>
  <c r="N31" i="20" s="1"/>
  <c r="N32" i="20" s="1"/>
  <c r="N33" i="20" s="1"/>
  <c r="N34" i="20" s="1"/>
  <c r="N35" i="20" s="1"/>
  <c r="N36" i="20" s="1"/>
  <c r="N37" i="20" s="1"/>
  <c r="N38" i="20" s="1"/>
  <c r="N39" i="20" s="1"/>
  <c r="N40" i="20" s="1"/>
  <c r="N41" i="20" s="1"/>
  <c r="N42" i="20" s="1"/>
  <c r="N43" i="20" s="1"/>
  <c r="N44" i="20" s="1"/>
  <c r="N45" i="20" s="1"/>
  <c r="N46" i="20" s="1"/>
  <c r="N47" i="20" s="1"/>
  <c r="N48" i="20" s="1"/>
  <c r="N49" i="20" s="1"/>
  <c r="N50" i="20" s="1"/>
  <c r="N51" i="20" s="1"/>
  <c r="N52" i="20" s="1"/>
  <c r="N53" i="20" s="1"/>
  <c r="N54" i="20" s="1"/>
  <c r="N55" i="20" s="1"/>
  <c r="N56" i="20" s="1"/>
  <c r="N57" i="20" s="1"/>
  <c r="N58" i="20" s="1"/>
  <c r="N59" i="20" s="1"/>
  <c r="N60" i="20" s="1"/>
  <c r="M19" i="20"/>
  <c r="M20" i="20" s="1"/>
  <c r="M21" i="20" s="1"/>
  <c r="M22" i="20" s="1"/>
  <c r="M23" i="20" s="1"/>
  <c r="M24" i="20" s="1"/>
  <c r="M25" i="20" s="1"/>
  <c r="M26" i="20" s="1"/>
  <c r="M27" i="20" s="1"/>
  <c r="M28" i="20" s="1"/>
  <c r="M29" i="20" s="1"/>
  <c r="M30" i="20" s="1"/>
  <c r="M31" i="20" s="1"/>
  <c r="M32" i="20" s="1"/>
  <c r="M33" i="20" s="1"/>
  <c r="M34" i="20" s="1"/>
  <c r="M35" i="20" s="1"/>
  <c r="M36" i="20" s="1"/>
  <c r="M37" i="20" s="1"/>
  <c r="M38" i="20" s="1"/>
  <c r="M39" i="20" s="1"/>
  <c r="M40" i="20" s="1"/>
  <c r="M41" i="20" s="1"/>
  <c r="M42" i="20" s="1"/>
  <c r="M43" i="20" s="1"/>
  <c r="M44" i="20" s="1"/>
  <c r="M45" i="20" s="1"/>
  <c r="M46" i="20" s="1"/>
  <c r="M47" i="20" s="1"/>
  <c r="M48" i="20" s="1"/>
  <c r="M49" i="20" s="1"/>
  <c r="M50" i="20" s="1"/>
  <c r="M51" i="20" s="1"/>
  <c r="M52" i="20" s="1"/>
  <c r="M53" i="20" s="1"/>
  <c r="M54" i="20" s="1"/>
  <c r="M55" i="20" s="1"/>
  <c r="M56" i="20" s="1"/>
  <c r="M57" i="20" s="1"/>
  <c r="M58" i="20" s="1"/>
  <c r="M59" i="20" s="1"/>
  <c r="M60" i="20" s="1"/>
  <c r="O18" i="20"/>
  <c r="N18" i="20"/>
  <c r="M18" i="20"/>
  <c r="L18" i="20"/>
  <c r="L19" i="20" s="1"/>
  <c r="L20" i="20" s="1"/>
  <c r="L21" i="20" s="1"/>
  <c r="L22" i="20" s="1"/>
  <c r="L23" i="20" s="1"/>
  <c r="L24" i="20" s="1"/>
  <c r="L25" i="20" s="1"/>
  <c r="L26" i="20" s="1"/>
  <c r="L27" i="20" s="1"/>
  <c r="L28" i="20" s="1"/>
  <c r="L29" i="20" s="1"/>
  <c r="L30" i="20" s="1"/>
  <c r="L31" i="20" s="1"/>
  <c r="L32" i="20" s="1"/>
  <c r="L33" i="20" s="1"/>
  <c r="L34" i="20" s="1"/>
  <c r="L35" i="20" s="1"/>
  <c r="L36" i="20" s="1"/>
  <c r="L37" i="20" s="1"/>
  <c r="L38" i="20" s="1"/>
  <c r="L39" i="20" s="1"/>
  <c r="L40" i="20" s="1"/>
  <c r="L41" i="20" s="1"/>
  <c r="L42" i="20" s="1"/>
  <c r="L43" i="20" s="1"/>
  <c r="L44" i="20" s="1"/>
  <c r="L45" i="20" s="1"/>
  <c r="L46" i="20" s="1"/>
  <c r="L47" i="20" s="1"/>
  <c r="L48" i="20" s="1"/>
  <c r="L49" i="20" s="1"/>
  <c r="L50" i="20" s="1"/>
  <c r="L51" i="20" s="1"/>
  <c r="L52" i="20" s="1"/>
  <c r="L53" i="20" s="1"/>
  <c r="L54" i="20" s="1"/>
  <c r="L55" i="20" s="1"/>
  <c r="L56" i="20" s="1"/>
  <c r="L57" i="20" s="1"/>
  <c r="L58" i="20" s="1"/>
  <c r="L59" i="20" s="1"/>
  <c r="L60" i="20" s="1"/>
  <c r="N17" i="20"/>
  <c r="M17" i="20"/>
  <c r="L17" i="20"/>
  <c r="Y60" i="20"/>
  <c r="Y59" i="20"/>
  <c r="Y58" i="20"/>
  <c r="Y57" i="20"/>
  <c r="Y56" i="20"/>
  <c r="Y55" i="20"/>
  <c r="Y54" i="20"/>
  <c r="Y53" i="20"/>
  <c r="Y52" i="20"/>
  <c r="Y51" i="20"/>
  <c r="Y50" i="20"/>
  <c r="Y49" i="20"/>
  <c r="Y48" i="20"/>
  <c r="Y47" i="20"/>
  <c r="Y46" i="20"/>
  <c r="Y45" i="20"/>
  <c r="Y44" i="20"/>
  <c r="Y43" i="20"/>
  <c r="Y42" i="20"/>
  <c r="Y41" i="20"/>
  <c r="Y40" i="20"/>
  <c r="Y39" i="20"/>
  <c r="Y38" i="20"/>
  <c r="Y37" i="20"/>
  <c r="Y36" i="20"/>
  <c r="Y35" i="20"/>
  <c r="Y34" i="20"/>
  <c r="Y33" i="20"/>
  <c r="Y31" i="20"/>
  <c r="Y30" i="20"/>
  <c r="Y29" i="20"/>
  <c r="Y27" i="20"/>
  <c r="Y26" i="20"/>
  <c r="Y25" i="20"/>
  <c r="Y23" i="20"/>
  <c r="Y21" i="20"/>
  <c r="Y19" i="20"/>
  <c r="Y18" i="20"/>
  <c r="Y16" i="20"/>
  <c r="X16" i="20"/>
  <c r="W16" i="20"/>
  <c r="V16" i="20"/>
  <c r="Y15" i="20"/>
  <c r="X15" i="20"/>
  <c r="W15" i="20"/>
  <c r="V15" i="20"/>
  <c r="Y14" i="20"/>
  <c r="X14" i="20"/>
  <c r="W14" i="20"/>
  <c r="V14" i="20"/>
  <c r="Y13" i="20"/>
  <c r="X13" i="20"/>
  <c r="W13" i="20"/>
  <c r="V13" i="20"/>
  <c r="Y12" i="20"/>
  <c r="X12" i="20"/>
  <c r="W12" i="20"/>
  <c r="V12" i="20"/>
  <c r="O17" i="20"/>
  <c r="O16" i="20"/>
  <c r="O15" i="20"/>
  <c r="O14" i="20"/>
  <c r="O13" i="20"/>
  <c r="O12" i="20"/>
  <c r="N16" i="20"/>
  <c r="M16" i="20"/>
  <c r="L16" i="20"/>
  <c r="N15" i="20"/>
  <c r="M15" i="20"/>
  <c r="L15" i="20"/>
  <c r="N14" i="20"/>
  <c r="M14" i="20"/>
  <c r="L14" i="20"/>
  <c r="N13" i="20"/>
  <c r="M13" i="20"/>
  <c r="L13" i="20"/>
  <c r="N12" i="20"/>
  <c r="M12" i="20"/>
  <c r="L12" i="20"/>
  <c r="E42" i="20"/>
  <c r="E43" i="20" s="1"/>
  <c r="E44" i="20" s="1"/>
  <c r="E45" i="20" s="1"/>
  <c r="E46" i="20" s="1"/>
  <c r="E47" i="20" s="1"/>
  <c r="E48" i="20" s="1"/>
  <c r="E49" i="20" s="1"/>
  <c r="E50" i="20" s="1"/>
  <c r="E51" i="20" s="1"/>
  <c r="E52" i="20" s="1"/>
  <c r="E53" i="20" s="1"/>
  <c r="E54" i="20" s="1"/>
  <c r="E55" i="20" s="1"/>
  <c r="E56" i="20" s="1"/>
  <c r="E57" i="20" s="1"/>
  <c r="E58" i="20" s="1"/>
  <c r="E59" i="20" s="1"/>
  <c r="E60" i="20" s="1"/>
  <c r="E41" i="20"/>
  <c r="E26" i="20"/>
  <c r="E27" i="20" s="1"/>
  <c r="E28" i="20" s="1"/>
  <c r="E29" i="20" s="1"/>
  <c r="E30" i="20" s="1"/>
  <c r="E31" i="20" s="1"/>
  <c r="E32" i="20" s="1"/>
  <c r="E33" i="20" s="1"/>
  <c r="E34" i="20" s="1"/>
  <c r="E35" i="20" s="1"/>
  <c r="E36" i="20" s="1"/>
  <c r="E37" i="20" s="1"/>
  <c r="E38" i="20" s="1"/>
  <c r="E39" i="20" s="1"/>
  <c r="E40" i="20" s="1"/>
  <c r="B42" i="20" l="1"/>
  <c r="B43" i="20" s="1"/>
  <c r="B44" i="20" s="1"/>
  <c r="B45" i="20" s="1"/>
  <c r="B46" i="20" s="1"/>
  <c r="B47" i="20" s="1"/>
  <c r="B48" i="20" s="1"/>
  <c r="B49" i="20" s="1"/>
  <c r="B50" i="20" s="1"/>
  <c r="B51" i="20" s="1"/>
  <c r="B52" i="20" s="1"/>
  <c r="B53" i="20" s="1"/>
  <c r="B54" i="20" s="1"/>
  <c r="B55" i="20" s="1"/>
  <c r="B56" i="20" s="1"/>
  <c r="B57" i="20" s="1"/>
  <c r="B58" i="20" s="1"/>
  <c r="B59" i="20" s="1"/>
  <c r="B60" i="20" s="1"/>
  <c r="B41" i="20"/>
  <c r="F153" i="19" l="1"/>
  <c r="E153" i="19"/>
  <c r="F152" i="19"/>
  <c r="E152" i="19"/>
  <c r="F151" i="19"/>
  <c r="E151" i="19"/>
  <c r="F148" i="19"/>
  <c r="E148" i="19"/>
  <c r="F147" i="19"/>
  <c r="E147" i="19"/>
  <c r="F143" i="19"/>
  <c r="E143" i="19"/>
  <c r="F142" i="19"/>
  <c r="E142" i="19"/>
  <c r="F141" i="19"/>
  <c r="E141" i="19"/>
  <c r="F140" i="19"/>
  <c r="E140" i="19"/>
  <c r="F139" i="19"/>
  <c r="E139" i="19"/>
  <c r="F136" i="19"/>
  <c r="E136" i="19"/>
  <c r="F135" i="19"/>
  <c r="E135" i="19"/>
  <c r="F134" i="19"/>
  <c r="E134" i="19"/>
  <c r="F133" i="19"/>
  <c r="E133" i="19"/>
  <c r="F132" i="19"/>
  <c r="E132" i="19"/>
  <c r="F130" i="19"/>
  <c r="E130" i="19"/>
  <c r="F129" i="19"/>
  <c r="E129" i="19"/>
  <c r="F128" i="19"/>
  <c r="E128" i="19"/>
  <c r="F127" i="19"/>
  <c r="E127" i="19"/>
  <c r="F125" i="19"/>
  <c r="E125" i="19"/>
  <c r="F124" i="19"/>
  <c r="E124" i="19"/>
  <c r="F123" i="19"/>
  <c r="E123" i="19"/>
  <c r="F122" i="19"/>
  <c r="E122" i="19"/>
  <c r="F120" i="19"/>
  <c r="E120" i="19"/>
  <c r="F119" i="19"/>
  <c r="E119" i="19"/>
  <c r="F118" i="19"/>
  <c r="E118" i="19"/>
  <c r="F117" i="19"/>
  <c r="E117" i="19"/>
  <c r="F112" i="19"/>
  <c r="E112" i="19"/>
  <c r="F111" i="19"/>
  <c r="E111" i="19"/>
  <c r="F110" i="19"/>
  <c r="E110" i="19"/>
  <c r="F109" i="19"/>
  <c r="E109" i="19"/>
  <c r="F108" i="19"/>
  <c r="E108" i="19"/>
  <c r="F107" i="19"/>
  <c r="E107" i="19"/>
  <c r="F106" i="19"/>
  <c r="E106" i="19"/>
  <c r="F105" i="19"/>
  <c r="E105" i="19"/>
  <c r="F104" i="19"/>
  <c r="E104" i="19"/>
  <c r="F103" i="19"/>
  <c r="E103" i="19"/>
  <c r="F97" i="19"/>
  <c r="E97" i="19"/>
  <c r="F96" i="19"/>
  <c r="E96" i="19"/>
  <c r="F95" i="19"/>
  <c r="E95" i="19"/>
  <c r="F94" i="19"/>
  <c r="E94" i="19"/>
  <c r="F93" i="19"/>
  <c r="E93" i="19"/>
  <c r="F92" i="19"/>
  <c r="E92" i="19"/>
  <c r="F91" i="19"/>
  <c r="E91" i="19"/>
  <c r="F90" i="19"/>
  <c r="E90" i="19"/>
  <c r="F89" i="19"/>
  <c r="E89" i="19"/>
  <c r="F88" i="19"/>
  <c r="E88" i="19"/>
  <c r="F87" i="19"/>
  <c r="E87" i="19"/>
  <c r="F84" i="19"/>
  <c r="E84" i="19"/>
  <c r="F83" i="19"/>
  <c r="E83" i="19"/>
  <c r="F82" i="19"/>
  <c r="E82" i="19"/>
  <c r="F81" i="19"/>
  <c r="E81" i="19"/>
  <c r="E80" i="19"/>
  <c r="E79" i="19"/>
  <c r="E78" i="19"/>
  <c r="E77" i="19"/>
  <c r="F74" i="19"/>
  <c r="E74" i="19"/>
  <c r="F73" i="19"/>
  <c r="E73" i="19"/>
  <c r="F72" i="19"/>
  <c r="E72" i="19"/>
  <c r="F71" i="19"/>
  <c r="E71" i="19"/>
  <c r="F70" i="19"/>
  <c r="E70" i="19"/>
  <c r="F69" i="19"/>
  <c r="E69" i="19"/>
  <c r="F68" i="19"/>
  <c r="E68" i="19"/>
  <c r="F67" i="19"/>
  <c r="E67" i="19"/>
  <c r="F66" i="19"/>
  <c r="E66" i="19"/>
  <c r="F65" i="19"/>
  <c r="E65" i="19"/>
  <c r="F64" i="19"/>
  <c r="E64" i="19"/>
  <c r="F63" i="19"/>
  <c r="E63" i="19"/>
  <c r="F62" i="19"/>
  <c r="E62" i="19"/>
  <c r="F61" i="19"/>
  <c r="E61" i="19"/>
  <c r="F60" i="19"/>
  <c r="E60" i="19"/>
  <c r="F59" i="19"/>
  <c r="E59" i="19"/>
  <c r="F58" i="19"/>
  <c r="E58" i="19"/>
  <c r="F57" i="19"/>
  <c r="E57" i="19"/>
  <c r="F56" i="19"/>
  <c r="E56" i="19"/>
  <c r="F55" i="19"/>
  <c r="E55" i="19"/>
  <c r="F54" i="19"/>
  <c r="E54" i="19"/>
  <c r="F51" i="19"/>
  <c r="E51" i="19"/>
  <c r="F50" i="19"/>
  <c r="E50" i="19"/>
  <c r="F43" i="19"/>
  <c r="E43" i="19"/>
  <c r="F42" i="19"/>
  <c r="E42" i="19"/>
  <c r="F41" i="19"/>
  <c r="E41" i="19"/>
  <c r="F36" i="19"/>
  <c r="E36" i="19"/>
  <c r="F35" i="19"/>
  <c r="E35" i="19"/>
  <c r="F34" i="19"/>
  <c r="E34" i="19"/>
  <c r="F31" i="19"/>
  <c r="E31" i="19"/>
  <c r="F30" i="19"/>
  <c r="E30" i="19"/>
  <c r="F29" i="19"/>
  <c r="E29" i="19"/>
  <c r="F28" i="19"/>
  <c r="E28" i="19"/>
  <c r="F27" i="19"/>
  <c r="E27" i="19"/>
  <c r="F23" i="19"/>
  <c r="E23" i="19"/>
  <c r="F22" i="19"/>
  <c r="E22" i="19"/>
  <c r="F21" i="19"/>
  <c r="E21" i="19"/>
  <c r="F20" i="19"/>
  <c r="E20" i="19"/>
  <c r="F19" i="19"/>
  <c r="E19" i="19"/>
  <c r="F18" i="19"/>
  <c r="E18" i="19"/>
  <c r="F17" i="19"/>
  <c r="E17" i="19"/>
  <c r="F16" i="19"/>
  <c r="E16" i="19"/>
  <c r="F15" i="19"/>
  <c r="E15" i="19"/>
  <c r="F14" i="19"/>
  <c r="E14" i="19"/>
  <c r="F13" i="19"/>
  <c r="E13" i="19"/>
  <c r="F12" i="19"/>
  <c r="E12" i="19"/>
  <c r="F11" i="19"/>
  <c r="E11" i="19"/>
  <c r="F10" i="19"/>
  <c r="E10" i="19"/>
  <c r="E4" i="5" l="1"/>
  <c r="E5" i="5"/>
  <c r="E7" i="5"/>
  <c r="E6" i="5"/>
  <c r="AR9" i="20"/>
  <c r="AQ9" i="20"/>
  <c r="AP9" i="20"/>
  <c r="AH9" i="20"/>
  <c r="AG9" i="20"/>
  <c r="AF9" i="20"/>
  <c r="X9" i="20"/>
  <c r="W9" i="20"/>
  <c r="V9" i="20"/>
  <c r="N9" i="20"/>
  <c r="M9" i="20"/>
  <c r="L9" i="20"/>
  <c r="C21" i="7" l="1"/>
  <c r="AA84" i="8"/>
  <c r="F144" i="19"/>
  <c r="E144" i="19"/>
  <c r="F100" i="19"/>
  <c r="E100" i="19"/>
  <c r="F99" i="19"/>
  <c r="E99" i="19"/>
  <c r="F47" i="19"/>
  <c r="E47" i="19"/>
  <c r="F46" i="19"/>
  <c r="E46" i="19"/>
  <c r="F45" i="19"/>
  <c r="E45" i="19"/>
  <c r="F44" i="19"/>
  <c r="E44" i="19"/>
  <c r="F38" i="19"/>
  <c r="E38" i="19"/>
  <c r="F37" i="19"/>
  <c r="E37" i="19"/>
  <c r="C24" i="2"/>
  <c r="C11" i="5"/>
  <c r="B14" i="3" s="1"/>
  <c r="D3" i="17"/>
  <c r="B5" i="29" s="1"/>
  <c r="B33" i="8"/>
  <c r="C16" i="2"/>
  <c r="O24" i="27"/>
  <c r="C59" i="19"/>
  <c r="C36" i="19"/>
  <c r="C7" i="11"/>
  <c r="A71" i="18"/>
  <c r="D118" i="19"/>
  <c r="B4" i="11"/>
  <c r="B5" i="11" s="1"/>
  <c r="D128" i="19"/>
  <c r="C128" i="19"/>
  <c r="C12" i="2"/>
  <c r="W30" i="27"/>
  <c r="V31" i="27"/>
  <c r="O30" i="27"/>
  <c r="A30" i="27" s="1"/>
  <c r="AC76" i="8"/>
  <c r="AB77" i="8"/>
  <c r="AA77" i="8"/>
  <c r="K27" i="9"/>
  <c r="M15" i="8"/>
  <c r="X86" i="8"/>
  <c r="Q29" i="27"/>
  <c r="A29" i="27" s="1"/>
  <c r="K87" i="6"/>
  <c r="K86" i="6"/>
  <c r="K85" i="6"/>
  <c r="K84" i="6"/>
  <c r="K83" i="6"/>
  <c r="K82" i="6"/>
  <c r="K81" i="6"/>
  <c r="K80" i="6"/>
  <c r="K79" i="6"/>
  <c r="K78" i="6"/>
  <c r="K77" i="6"/>
  <c r="K76" i="6"/>
  <c r="K75" i="6"/>
  <c r="K74" i="6"/>
  <c r="K73" i="6"/>
  <c r="K72" i="6"/>
  <c r="K71" i="6"/>
  <c r="K70" i="6"/>
  <c r="K69" i="6"/>
  <c r="K68" i="6"/>
  <c r="K67" i="6"/>
  <c r="K66" i="6"/>
  <c r="K65" i="6"/>
  <c r="K64" i="6"/>
  <c r="K63" i="6"/>
  <c r="K62" i="6"/>
  <c r="K61" i="6"/>
  <c r="K60" i="6"/>
  <c r="K59" i="6"/>
  <c r="K58" i="6"/>
  <c r="K57" i="6"/>
  <c r="K56" i="6"/>
  <c r="K55" i="6"/>
  <c r="K54" i="6"/>
  <c r="K53" i="6"/>
  <c r="K52" i="6"/>
  <c r="K51" i="6"/>
  <c r="K50" i="6"/>
  <c r="K49" i="6"/>
  <c r="K48" i="6"/>
  <c r="J46" i="6"/>
  <c r="I46" i="6"/>
  <c r="B36" i="8"/>
  <c r="B70" i="8" s="1"/>
  <c r="D77" i="8" s="1"/>
  <c r="A26" i="3"/>
  <c r="A16" i="3"/>
  <c r="A12" i="29" s="1"/>
  <c r="W23" i="27"/>
  <c r="O23" i="27" s="1"/>
  <c r="W22" i="27"/>
  <c r="O22" i="27" s="1"/>
  <c r="Q24" i="27"/>
  <c r="Q23" i="27"/>
  <c r="Q22" i="27"/>
  <c r="A22" i="27" s="1"/>
  <c r="C15" i="2" s="1"/>
  <c r="AH26" i="34"/>
  <c r="W29" i="27"/>
  <c r="D94" i="19"/>
  <c r="D96" i="19" s="1"/>
  <c r="C94" i="19"/>
  <c r="B34" i="18"/>
  <c r="C20" i="5"/>
  <c r="C21" i="5"/>
  <c r="C22" i="5"/>
  <c r="B26" i="3" s="1"/>
  <c r="H16" i="3" s="1"/>
  <c r="P43" i="31"/>
  <c r="P42" i="31"/>
  <c r="P41" i="31"/>
  <c r="P40" i="31"/>
  <c r="P39" i="31"/>
  <c r="P38" i="31"/>
  <c r="P37" i="31"/>
  <c r="P36" i="31"/>
  <c r="P35" i="31"/>
  <c r="F34" i="31"/>
  <c r="M34" i="31" s="1"/>
  <c r="T34" i="31" s="1"/>
  <c r="AA34" i="31" s="1"/>
  <c r="E34" i="31"/>
  <c r="L34" i="31" s="1"/>
  <c r="S34" i="31" s="1"/>
  <c r="Z34" i="31" s="1"/>
  <c r="D34" i="31"/>
  <c r="K34" i="31" s="1"/>
  <c r="R34" i="31" s="1"/>
  <c r="Y34" i="31" s="1"/>
  <c r="B34" i="31"/>
  <c r="I34" i="31" s="1"/>
  <c r="P34" i="31" s="1"/>
  <c r="W34" i="31" s="1"/>
  <c r="C34" i="31"/>
  <c r="J34" i="31" s="1"/>
  <c r="Q34" i="31" s="1"/>
  <c r="X34" i="31" s="1"/>
  <c r="B43" i="31"/>
  <c r="B42" i="31"/>
  <c r="B41" i="31"/>
  <c r="B40" i="31"/>
  <c r="B39" i="31"/>
  <c r="B38" i="31"/>
  <c r="B37" i="31"/>
  <c r="B36" i="31"/>
  <c r="A35" i="31"/>
  <c r="H35" i="31" s="1"/>
  <c r="O35" i="31" s="1"/>
  <c r="V35" i="31" s="1"/>
  <c r="B35" i="31"/>
  <c r="K83" i="28"/>
  <c r="J83" i="28"/>
  <c r="K72" i="28"/>
  <c r="J72" i="28"/>
  <c r="K62" i="28"/>
  <c r="J62" i="28"/>
  <c r="I62" i="28"/>
  <c r="I72" i="28" s="1"/>
  <c r="I83" i="28" s="1"/>
  <c r="K52" i="28"/>
  <c r="J52" i="28"/>
  <c r="I33" i="28"/>
  <c r="H33" i="28"/>
  <c r="I28" i="28"/>
  <c r="H28" i="28"/>
  <c r="I23" i="28"/>
  <c r="H23" i="28"/>
  <c r="I18" i="28"/>
  <c r="H18" i="28"/>
  <c r="I13" i="28"/>
  <c r="H13" i="28"/>
  <c r="I8" i="28"/>
  <c r="H8" i="28"/>
  <c r="B31" i="3"/>
  <c r="B35" i="4"/>
  <c r="AV12" i="20"/>
  <c r="AL12" i="20"/>
  <c r="AB12" i="20"/>
  <c r="R12" i="20"/>
  <c r="R13" i="20" s="1"/>
  <c r="H12" i="20"/>
  <c r="H13" i="20" s="1"/>
  <c r="I13" i="20" s="1"/>
  <c r="I36" i="31" s="1"/>
  <c r="B33" i="3"/>
  <c r="B37" i="4" s="1"/>
  <c r="B13" i="3"/>
  <c r="B18" i="4" s="1"/>
  <c r="E62" i="3"/>
  <c r="L63" i="3" s="1"/>
  <c r="AW12" i="20"/>
  <c r="M35" i="31" s="1"/>
  <c r="E35" i="31"/>
  <c r="AU13" i="20"/>
  <c r="AU14" i="20"/>
  <c r="AU15" i="20" s="1"/>
  <c r="AU16" i="20" s="1"/>
  <c r="AK13" i="20"/>
  <c r="AK14" i="20" s="1"/>
  <c r="AA13" i="20"/>
  <c r="AA14" i="20" s="1"/>
  <c r="AA15" i="20" s="1"/>
  <c r="AA16" i="20" s="1"/>
  <c r="AA17" i="20" s="1"/>
  <c r="AA18" i="20" s="1"/>
  <c r="AA19" i="20" s="1"/>
  <c r="AA20" i="20" s="1"/>
  <c r="AA21" i="20" s="1"/>
  <c r="AA22" i="20" s="1"/>
  <c r="AA23" i="20" s="1"/>
  <c r="AA24" i="20" s="1"/>
  <c r="AA25" i="20" s="1"/>
  <c r="AA26" i="20" s="1"/>
  <c r="AA27" i="20" s="1"/>
  <c r="AA28" i="20" s="1"/>
  <c r="AA29" i="20" s="1"/>
  <c r="AA30" i="20" s="1"/>
  <c r="AA31" i="20" s="1"/>
  <c r="AA32" i="20" s="1"/>
  <c r="AA33" i="20" s="1"/>
  <c r="AA34" i="20" s="1"/>
  <c r="AA35" i="20" s="1"/>
  <c r="AA36" i="20" s="1"/>
  <c r="AA37" i="20" s="1"/>
  <c r="AA38" i="20" s="1"/>
  <c r="AA39" i="20" s="1"/>
  <c r="AA40" i="20" s="1"/>
  <c r="AA41" i="20" s="1"/>
  <c r="AA42" i="20" s="1"/>
  <c r="AA43" i="20" s="1"/>
  <c r="AA44" i="20" s="1"/>
  <c r="AA45" i="20" s="1"/>
  <c r="AA46" i="20" s="1"/>
  <c r="AA47" i="20" s="1"/>
  <c r="AA48" i="20" s="1"/>
  <c r="AA49" i="20" s="1"/>
  <c r="AA50" i="20" s="1"/>
  <c r="AA51" i="20" s="1"/>
  <c r="AA52" i="20" s="1"/>
  <c r="AA53" i="20" s="1"/>
  <c r="AA54" i="20" s="1"/>
  <c r="AA55" i="20" s="1"/>
  <c r="AA56" i="20" s="1"/>
  <c r="AA57" i="20" s="1"/>
  <c r="AA58" i="20" s="1"/>
  <c r="AA59" i="20" s="1"/>
  <c r="AA60" i="20" s="1"/>
  <c r="B14" i="20"/>
  <c r="B13" i="20"/>
  <c r="B12" i="20"/>
  <c r="AC12" i="20"/>
  <c r="K35" i="31" s="1"/>
  <c r="Q35" i="31"/>
  <c r="Q36" i="31"/>
  <c r="Q13" i="20"/>
  <c r="Q14" i="20" s="1"/>
  <c r="Q15" i="20" s="1"/>
  <c r="Q16" i="20" s="1"/>
  <c r="Q17" i="20" s="1"/>
  <c r="Q18" i="20" s="1"/>
  <c r="Q19" i="20" s="1"/>
  <c r="Q20" i="20" s="1"/>
  <c r="Q21" i="20" s="1"/>
  <c r="Q22" i="20" s="1"/>
  <c r="Q23" i="20" s="1"/>
  <c r="Q24" i="20" s="1"/>
  <c r="Q25" i="20" s="1"/>
  <c r="Q26" i="20" s="1"/>
  <c r="Q27" i="20" s="1"/>
  <c r="Q28" i="20" s="1"/>
  <c r="Q29" i="20" s="1"/>
  <c r="Q30" i="20" s="1"/>
  <c r="Q31" i="20" s="1"/>
  <c r="Q32" i="20" s="1"/>
  <c r="Q33" i="20" s="1"/>
  <c r="Q34" i="20" s="1"/>
  <c r="Q35" i="20" s="1"/>
  <c r="Q36" i="20" s="1"/>
  <c r="Q37" i="20" s="1"/>
  <c r="Q38" i="20" s="1"/>
  <c r="Q39" i="20" s="1"/>
  <c r="Q40" i="20" s="1"/>
  <c r="Q41" i="20" s="1"/>
  <c r="Q42" i="20" s="1"/>
  <c r="Q43" i="20" s="1"/>
  <c r="Q44" i="20" s="1"/>
  <c r="Q45" i="20" s="1"/>
  <c r="Q46" i="20" s="1"/>
  <c r="Q47" i="20" s="1"/>
  <c r="Q48" i="20" s="1"/>
  <c r="Q49" i="20" s="1"/>
  <c r="Q50" i="20" s="1"/>
  <c r="Q51" i="20" s="1"/>
  <c r="Q52" i="20" s="1"/>
  <c r="Q53" i="20" s="1"/>
  <c r="Q54" i="20" s="1"/>
  <c r="Q55" i="20" s="1"/>
  <c r="Q56" i="20" s="1"/>
  <c r="Q57" i="20" s="1"/>
  <c r="Q58" i="20" s="1"/>
  <c r="Q59" i="20" s="1"/>
  <c r="Q60" i="20" s="1"/>
  <c r="M4" i="20"/>
  <c r="W4" i="20" s="1"/>
  <c r="AG4" i="20" s="1"/>
  <c r="AQ4" i="20" s="1"/>
  <c r="B4" i="30"/>
  <c r="B5" i="30" s="1"/>
  <c r="B6" i="30" s="1"/>
  <c r="B7" i="30" s="1"/>
  <c r="B8" i="30" s="1"/>
  <c r="B9" i="30" s="1"/>
  <c r="B10" i="30" s="1"/>
  <c r="A36" i="4"/>
  <c r="D50" i="22"/>
  <c r="N50" i="16"/>
  <c r="M50" i="16"/>
  <c r="L50" i="16"/>
  <c r="O50" i="16"/>
  <c r="I50" i="16"/>
  <c r="H50" i="16"/>
  <c r="G50" i="16"/>
  <c r="F50" i="16"/>
  <c r="D50" i="16"/>
  <c r="C50" i="16"/>
  <c r="B50" i="16"/>
  <c r="AM27" i="9"/>
  <c r="AD27" i="9"/>
  <c r="N46" i="6"/>
  <c r="J24" i="9"/>
  <c r="C29" i="2"/>
  <c r="C28" i="2"/>
  <c r="G37" i="8"/>
  <c r="B27" i="8"/>
  <c r="C65" i="8"/>
  <c r="C64" i="8"/>
  <c r="G74" i="8" s="1"/>
  <c r="B65" i="8"/>
  <c r="B64" i="8"/>
  <c r="D74" i="8" s="1"/>
  <c r="I74" i="8" s="1"/>
  <c r="A16" i="27"/>
  <c r="B16" i="27"/>
  <c r="C16" i="27"/>
  <c r="D16" i="27"/>
  <c r="E16" i="27"/>
  <c r="A19" i="27"/>
  <c r="G25" i="3" s="1"/>
  <c r="G63" i="3" s="1"/>
  <c r="B19" i="27"/>
  <c r="C19" i="27"/>
  <c r="D19" i="27"/>
  <c r="E19" i="27"/>
  <c r="A20" i="27"/>
  <c r="B20" i="27"/>
  <c r="C20" i="27"/>
  <c r="D20" i="27"/>
  <c r="E20" i="27"/>
  <c r="V28" i="27"/>
  <c r="W28" i="27"/>
  <c r="X28" i="27"/>
  <c r="O27" i="27" s="1"/>
  <c r="AA28" i="27"/>
  <c r="AB28" i="27"/>
  <c r="Q27" i="27" s="1"/>
  <c r="V29" i="27"/>
  <c r="X29" i="27"/>
  <c r="AA29" i="27"/>
  <c r="AB29" i="27"/>
  <c r="Q28" i="27" s="1"/>
  <c r="A28" i="27" s="1"/>
  <c r="V30" i="27"/>
  <c r="O29" i="27"/>
  <c r="A13" i="20"/>
  <c r="A36" i="31" s="1"/>
  <c r="H36" i="31" s="1"/>
  <c r="O36" i="31" s="1"/>
  <c r="V36" i="31" s="1"/>
  <c r="G13" i="20"/>
  <c r="G14" i="20" s="1"/>
  <c r="G15" i="20" s="1"/>
  <c r="G16" i="20" s="1"/>
  <c r="G17" i="20" s="1"/>
  <c r="G18" i="20" s="1"/>
  <c r="G19" i="20" s="1"/>
  <c r="G20" i="20" s="1"/>
  <c r="G21" i="20" s="1"/>
  <c r="G22" i="20" s="1"/>
  <c r="G23" i="20" s="1"/>
  <c r="G24" i="20" s="1"/>
  <c r="G25" i="20" s="1"/>
  <c r="G26" i="20" s="1"/>
  <c r="G27" i="20" s="1"/>
  <c r="G28" i="20" s="1"/>
  <c r="G29" i="20" s="1"/>
  <c r="G30" i="20" s="1"/>
  <c r="G31" i="20" s="1"/>
  <c r="G32" i="20" s="1"/>
  <c r="G33" i="20" s="1"/>
  <c r="G34" i="20" s="1"/>
  <c r="G35" i="20" s="1"/>
  <c r="G36" i="20" s="1"/>
  <c r="G37" i="20" s="1"/>
  <c r="G38" i="20" s="1"/>
  <c r="G39" i="20" s="1"/>
  <c r="G40" i="20" s="1"/>
  <c r="G41" i="20" s="1"/>
  <c r="G42" i="20" s="1"/>
  <c r="G43" i="20" s="1"/>
  <c r="G44" i="20" s="1"/>
  <c r="G45" i="20" s="1"/>
  <c r="G46" i="20" s="1"/>
  <c r="G47" i="20" s="1"/>
  <c r="G48" i="20" s="1"/>
  <c r="G49" i="20" s="1"/>
  <c r="G50" i="20" s="1"/>
  <c r="G51" i="20" s="1"/>
  <c r="G52" i="20" s="1"/>
  <c r="G53" i="20" s="1"/>
  <c r="G54" i="20" s="1"/>
  <c r="G55" i="20" s="1"/>
  <c r="G56" i="20" s="1"/>
  <c r="G57" i="20" s="1"/>
  <c r="G58" i="20" s="1"/>
  <c r="G59" i="20" s="1"/>
  <c r="G60" i="20" s="1"/>
  <c r="R40" i="19"/>
  <c r="S40" i="19" s="1"/>
  <c r="T40" i="19" s="1"/>
  <c r="U40" i="19" s="1"/>
  <c r="V40" i="19" s="1"/>
  <c r="W40" i="19" s="1"/>
  <c r="X40" i="19" s="1"/>
  <c r="Y40" i="19" s="1"/>
  <c r="D92" i="19"/>
  <c r="A63" i="18"/>
  <c r="A69" i="18"/>
  <c r="A70" i="18"/>
  <c r="A1" i="17"/>
  <c r="B6" i="17"/>
  <c r="C6" i="17" s="1"/>
  <c r="D6" i="17" s="1"/>
  <c r="E6" i="17" s="1"/>
  <c r="F6" i="17" s="1"/>
  <c r="G6" i="17" s="1"/>
  <c r="M11" i="17"/>
  <c r="A1" i="22"/>
  <c r="B1" i="22"/>
  <c r="AG6" i="22"/>
  <c r="AJ6" i="22"/>
  <c r="AK6" i="22" s="1"/>
  <c r="AL6" i="22"/>
  <c r="AM6" i="22" s="1"/>
  <c r="AN6" i="22" s="1"/>
  <c r="AO6" i="22" s="1"/>
  <c r="AP6" i="22" s="1"/>
  <c r="AQ6" i="22" s="1"/>
  <c r="AR6" i="22" s="1"/>
  <c r="AS6" i="22" s="1"/>
  <c r="AT6" i="22" s="1"/>
  <c r="AU6" i="22" s="1"/>
  <c r="AV6" i="22" s="1"/>
  <c r="AW6" i="22" s="1"/>
  <c r="AX6" i="22" s="1"/>
  <c r="AY6" i="22" s="1"/>
  <c r="AZ6" i="22" s="1"/>
  <c r="BA6" i="22" s="1"/>
  <c r="BB6" i="22" s="1"/>
  <c r="BC6" i="22" s="1"/>
  <c r="BD6" i="22" s="1"/>
  <c r="BE6" i="22" s="1"/>
  <c r="BF6" i="22" s="1"/>
  <c r="BG6" i="22" s="1"/>
  <c r="BH6" i="22" s="1"/>
  <c r="BI6" i="22" s="1"/>
  <c r="BJ6" i="22" s="1"/>
  <c r="BK6" i="22" s="1"/>
  <c r="BL6" i="22" s="1"/>
  <c r="BM6" i="22" s="1"/>
  <c r="BN6" i="22" s="1"/>
  <c r="BO6" i="22" s="1"/>
  <c r="BP6" i="22" s="1"/>
  <c r="BQ6" i="22" s="1"/>
  <c r="BR6" i="22" s="1"/>
  <c r="BS6" i="22" s="1"/>
  <c r="BT6" i="22" s="1"/>
  <c r="BU6" i="22" s="1"/>
  <c r="BV6" i="22" s="1"/>
  <c r="BW6" i="22" s="1"/>
  <c r="BX6" i="22" s="1"/>
  <c r="BY6" i="22" s="1"/>
  <c r="BZ6" i="22" s="1"/>
  <c r="CA6" i="22" s="1"/>
  <c r="CB6" i="22" s="1"/>
  <c r="CC6" i="22" s="1"/>
  <c r="CD6" i="22" s="1"/>
  <c r="CE6" i="22" s="1"/>
  <c r="CF6" i="22" s="1"/>
  <c r="CG6" i="22" s="1"/>
  <c r="CH6" i="22" s="1"/>
  <c r="A8" i="22"/>
  <c r="AH9" i="22"/>
  <c r="A1" i="16"/>
  <c r="B1" i="16"/>
  <c r="A2" i="16"/>
  <c r="A10" i="16" s="1"/>
  <c r="A8" i="16"/>
  <c r="A1" i="15"/>
  <c r="G5" i="15"/>
  <c r="P5" i="15"/>
  <c r="A1" i="14"/>
  <c r="A1" i="13"/>
  <c r="B3" i="13"/>
  <c r="C3" i="13" s="1"/>
  <c r="D3" i="13" s="1"/>
  <c r="E3" i="13" s="1"/>
  <c r="F3" i="13" s="1"/>
  <c r="G3" i="13" s="1"/>
  <c r="H3" i="13" s="1"/>
  <c r="I3" i="13" s="1"/>
  <c r="J3" i="13" s="1"/>
  <c r="K3" i="13" s="1"/>
  <c r="L3" i="13" s="1"/>
  <c r="M3" i="13" s="1"/>
  <c r="N3" i="13" s="1"/>
  <c r="O3" i="13" s="1"/>
  <c r="P3" i="13" s="1"/>
  <c r="Q3" i="13" s="1"/>
  <c r="R3" i="13" s="1"/>
  <c r="S3" i="13" s="1"/>
  <c r="T3" i="13" s="1"/>
  <c r="U3" i="13" s="1"/>
  <c r="V3" i="13" s="1"/>
  <c r="W3" i="13" s="1"/>
  <c r="X3" i="13" s="1"/>
  <c r="Y3" i="13" s="1"/>
  <c r="Z3" i="13" s="1"/>
  <c r="AA3" i="13" s="1"/>
  <c r="AB3" i="13" s="1"/>
  <c r="AC3" i="13" s="1"/>
  <c r="AD3" i="13" s="1"/>
  <c r="AE3" i="13" s="1"/>
  <c r="AF3" i="13" s="1"/>
  <c r="AG3" i="13" s="1"/>
  <c r="AH3" i="13" s="1"/>
  <c r="AI3" i="13" s="1"/>
  <c r="AJ3" i="13" s="1"/>
  <c r="AA7" i="13"/>
  <c r="AE7" i="13"/>
  <c r="A1" i="12"/>
  <c r="A1" i="11"/>
  <c r="B12" i="11"/>
  <c r="B1" i="10"/>
  <c r="G8" i="10"/>
  <c r="A1" i="9"/>
  <c r="C6" i="9"/>
  <c r="C19" i="9" s="1"/>
  <c r="C27" i="9" s="1"/>
  <c r="D27" i="9" s="1"/>
  <c r="C9" i="9"/>
  <c r="C10" i="9" s="1"/>
  <c r="C14" i="9"/>
  <c r="H27" i="9" s="1"/>
  <c r="T20" i="9"/>
  <c r="J27" i="9"/>
  <c r="T27" i="9"/>
  <c r="U27" i="9"/>
  <c r="X27" i="9"/>
  <c r="Y27" i="9"/>
  <c r="AC27" i="9" s="1"/>
  <c r="AL27" i="9"/>
  <c r="A1" i="8"/>
  <c r="B4" i="8"/>
  <c r="B34" i="8"/>
  <c r="B62" i="8"/>
  <c r="C62" i="8"/>
  <c r="B63" i="8"/>
  <c r="C63" i="8"/>
  <c r="B66" i="8"/>
  <c r="C66" i="8"/>
  <c r="C67" i="8"/>
  <c r="C68" i="8"/>
  <c r="G75" i="8" s="1"/>
  <c r="B1" i="7"/>
  <c r="C12" i="7"/>
  <c r="K19" i="7" s="1"/>
  <c r="C13" i="7"/>
  <c r="K21" i="7" s="1"/>
  <c r="C14" i="7"/>
  <c r="A24" i="7"/>
  <c r="A25" i="7"/>
  <c r="A26" i="7" s="1"/>
  <c r="A27" i="7" s="1"/>
  <c r="B1" i="6"/>
  <c r="C46" i="6"/>
  <c r="D46" i="6"/>
  <c r="E46" i="6"/>
  <c r="F46" i="6"/>
  <c r="G46" i="6"/>
  <c r="H46" i="6"/>
  <c r="L46" i="6"/>
  <c r="M46" i="6"/>
  <c r="O46" i="6"/>
  <c r="B49" i="6"/>
  <c r="B50" i="6"/>
  <c r="B51" i="6"/>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1" i="5"/>
  <c r="H2" i="5"/>
  <c r="K2" i="5"/>
  <c r="C3" i="5"/>
  <c r="C5" i="5"/>
  <c r="C6" i="5"/>
  <c r="C8" i="5"/>
  <c r="C9" i="5"/>
  <c r="C10" i="5"/>
  <c r="C12" i="5" s="1"/>
  <c r="B15" i="3" s="1"/>
  <c r="C15" i="5"/>
  <c r="C16" i="5"/>
  <c r="C17" i="5"/>
  <c r="C18" i="5"/>
  <c r="B20" i="5"/>
  <c r="C23" i="5"/>
  <c r="C24" i="5"/>
  <c r="C25" i="5"/>
  <c r="T24" i="5"/>
  <c r="C26" i="5"/>
  <c r="T25" i="5"/>
  <c r="C27" i="5"/>
  <c r="T26" i="5"/>
  <c r="C28" i="5"/>
  <c r="T27" i="5"/>
  <c r="C29" i="5"/>
  <c r="T28" i="5"/>
  <c r="T29" i="5"/>
  <c r="C31" i="5"/>
  <c r="T30" i="5"/>
  <c r="C32" i="5"/>
  <c r="T31" i="5"/>
  <c r="C33" i="5"/>
  <c r="T32" i="5"/>
  <c r="T33" i="5"/>
  <c r="T34" i="5"/>
  <c r="T35" i="5"/>
  <c r="T36" i="5"/>
  <c r="T37" i="5"/>
  <c r="T38" i="5"/>
  <c r="T39" i="5"/>
  <c r="T40" i="5"/>
  <c r="T41" i="5"/>
  <c r="F101" i="5"/>
  <c r="F102" i="5"/>
  <c r="F103" i="5"/>
  <c r="A1" i="29"/>
  <c r="B3" i="29"/>
  <c r="B8" i="29"/>
  <c r="B9" i="29"/>
  <c r="B14" i="29"/>
  <c r="B15" i="29"/>
  <c r="B16" i="29"/>
  <c r="B17" i="29"/>
  <c r="A19" i="29"/>
  <c r="B20" i="29"/>
  <c r="B21" i="29"/>
  <c r="B22" i="29"/>
  <c r="B23" i="29"/>
  <c r="B24" i="29"/>
  <c r="B25" i="29"/>
  <c r="B26" i="29"/>
  <c r="B27" i="29"/>
  <c r="B28" i="29"/>
  <c r="B30" i="29"/>
  <c r="B31" i="29"/>
  <c r="B32" i="29"/>
  <c r="A11" i="4"/>
  <c r="A12" i="4"/>
  <c r="A13" i="4"/>
  <c r="A14" i="4"/>
  <c r="A15" i="4"/>
  <c r="A16" i="4"/>
  <c r="B17" i="4"/>
  <c r="A18" i="4"/>
  <c r="A19" i="4"/>
  <c r="A20" i="4"/>
  <c r="A22" i="4"/>
  <c r="A23" i="4"/>
  <c r="A24" i="4"/>
  <c r="A25" i="4"/>
  <c r="A26" i="4"/>
  <c r="A27" i="4"/>
  <c r="A28" i="4"/>
  <c r="A30" i="4"/>
  <c r="A31" i="4"/>
  <c r="A32" i="4"/>
  <c r="A33" i="4"/>
  <c r="A34" i="4"/>
  <c r="A35" i="4"/>
  <c r="A37" i="4"/>
  <c r="B39" i="4"/>
  <c r="B40" i="4"/>
  <c r="B41" i="4"/>
  <c r="H3" i="28"/>
  <c r="I3" i="28"/>
  <c r="J51" i="28"/>
  <c r="K51" i="28"/>
  <c r="J53" i="28"/>
  <c r="K53" i="28"/>
  <c r="J54" i="28"/>
  <c r="K54" i="28"/>
  <c r="J55" i="28"/>
  <c r="K55" i="28"/>
  <c r="J56" i="28"/>
  <c r="K56" i="28"/>
  <c r="J57" i="28"/>
  <c r="K57" i="28"/>
  <c r="J61" i="28"/>
  <c r="K61" i="28"/>
  <c r="I63" i="28"/>
  <c r="J63" i="28"/>
  <c r="K63" i="28"/>
  <c r="J64" i="28"/>
  <c r="K64" i="28"/>
  <c r="J65" i="28"/>
  <c r="K65" i="28"/>
  <c r="J66" i="28"/>
  <c r="K66" i="28"/>
  <c r="J67" i="28"/>
  <c r="K67" i="28"/>
  <c r="H71" i="28"/>
  <c r="H73" i="28" s="1"/>
  <c r="H74" i="28" s="1"/>
  <c r="J71" i="28"/>
  <c r="K71" i="28"/>
  <c r="I73" i="28"/>
  <c r="J73" i="28"/>
  <c r="K73" i="28"/>
  <c r="J74" i="28"/>
  <c r="K74" i="28"/>
  <c r="J75" i="28"/>
  <c r="K75" i="28"/>
  <c r="J76" i="28"/>
  <c r="K76" i="28"/>
  <c r="J77" i="28"/>
  <c r="K77" i="28"/>
  <c r="J82" i="28"/>
  <c r="K82" i="28"/>
  <c r="I84" i="28"/>
  <c r="J84" i="28"/>
  <c r="K84" i="28"/>
  <c r="J85" i="28"/>
  <c r="K85" i="28"/>
  <c r="J86" i="28"/>
  <c r="K86" i="28"/>
  <c r="J87" i="28"/>
  <c r="K87" i="28"/>
  <c r="J88" i="28"/>
  <c r="K88" i="28"/>
  <c r="A5" i="3"/>
  <c r="A1" i="4"/>
  <c r="D5" i="3"/>
  <c r="B7" i="3"/>
  <c r="B11" i="4" s="1"/>
  <c r="D9" i="3"/>
  <c r="D17" i="3" s="1"/>
  <c r="D26" i="3" s="1"/>
  <c r="D10" i="3"/>
  <c r="D18" i="3"/>
  <c r="D27" i="3" s="1"/>
  <c r="D11" i="3"/>
  <c r="D19" i="3" s="1"/>
  <c r="D28" i="3" s="1"/>
  <c r="B12" i="3"/>
  <c r="B16" i="4" s="1"/>
  <c r="D12" i="3"/>
  <c r="D20" i="3" s="1"/>
  <c r="D29" i="3" s="1"/>
  <c r="D13" i="3"/>
  <c r="D21" i="3" s="1"/>
  <c r="D30" i="3" s="1"/>
  <c r="B18" i="3"/>
  <c r="B23" i="4" s="1"/>
  <c r="B19" i="3"/>
  <c r="B24" i="4" s="1"/>
  <c r="B20" i="3"/>
  <c r="B25" i="4" s="1"/>
  <c r="B21" i="3"/>
  <c r="B26" i="4" s="1"/>
  <c r="B23" i="3"/>
  <c r="B24" i="3"/>
  <c r="B25" i="3"/>
  <c r="B30" i="4" s="1"/>
  <c r="H62" i="3"/>
  <c r="O63" i="3" s="1"/>
  <c r="I62" i="3"/>
  <c r="P63" i="3" s="1"/>
  <c r="B27" i="3"/>
  <c r="B31" i="4" s="1"/>
  <c r="B28" i="3"/>
  <c r="B32" i="4"/>
  <c r="B29" i="3"/>
  <c r="B33" i="4" s="1"/>
  <c r="B30" i="3"/>
  <c r="B34" i="4" s="1"/>
  <c r="B32" i="3"/>
  <c r="B36" i="4" s="1"/>
  <c r="B35" i="3"/>
  <c r="B36" i="3"/>
  <c r="B37" i="3"/>
  <c r="S61" i="3"/>
  <c r="T61" i="3" s="1"/>
  <c r="U61" i="3"/>
  <c r="V61" i="3" s="1"/>
  <c r="W61" i="3" s="1"/>
  <c r="G62" i="3"/>
  <c r="N63" i="3" s="1"/>
  <c r="E68" i="3"/>
  <c r="L64" i="3" s="1"/>
  <c r="F68" i="3"/>
  <c r="M67" i="3" s="1"/>
  <c r="G68" i="3"/>
  <c r="N64" i="3" s="1"/>
  <c r="H68" i="3"/>
  <c r="O67" i="3" s="1"/>
  <c r="I68" i="3"/>
  <c r="P64" i="3" s="1"/>
  <c r="E75" i="3"/>
  <c r="S71" i="3" s="1"/>
  <c r="F75" i="3"/>
  <c r="T72" i="3" s="1"/>
  <c r="G75" i="3"/>
  <c r="U71" i="3" s="1"/>
  <c r="H75" i="3"/>
  <c r="V72" i="3" s="1"/>
  <c r="I75" i="3"/>
  <c r="W71" i="3" s="1"/>
  <c r="J75" i="3"/>
  <c r="X72" i="3" s="1"/>
  <c r="A1" i="2"/>
  <c r="D1" i="2"/>
  <c r="D8" i="2"/>
  <c r="J8" i="2"/>
  <c r="A12" i="2"/>
  <c r="A20" i="29" s="1"/>
  <c r="H13" i="2"/>
  <c r="H1" i="2" s="1"/>
  <c r="D15" i="2"/>
  <c r="D16" i="2"/>
  <c r="D17" i="2"/>
  <c r="D18" i="2"/>
  <c r="D19" i="2"/>
  <c r="D20" i="2"/>
  <c r="D21" i="2"/>
  <c r="D22" i="2"/>
  <c r="D23" i="2"/>
  <c r="D24" i="2"/>
  <c r="D25" i="2"/>
  <c r="D26" i="2"/>
  <c r="D27" i="2"/>
  <c r="D28" i="2"/>
  <c r="A29" i="2"/>
  <c r="D30" i="2"/>
  <c r="H75" i="28"/>
  <c r="H85" i="28"/>
  <c r="AV13" i="20"/>
  <c r="AV14" i="20" s="1"/>
  <c r="AV15" i="20" s="1"/>
  <c r="AV16" i="20" s="1"/>
  <c r="AV17" i="20" s="1"/>
  <c r="AV18" i="20" s="1"/>
  <c r="AV19" i="20" s="1"/>
  <c r="AV20" i="20" s="1"/>
  <c r="AV21" i="20" s="1"/>
  <c r="AV22" i="20" s="1"/>
  <c r="AV23" i="20" s="1"/>
  <c r="AV24" i="20" s="1"/>
  <c r="AV25" i="20" s="1"/>
  <c r="AV26" i="20" s="1"/>
  <c r="AV27" i="20" s="1"/>
  <c r="AV28" i="20" s="1"/>
  <c r="AV29" i="20" s="1"/>
  <c r="AV30" i="20" s="1"/>
  <c r="AV31" i="20" s="1"/>
  <c r="AV32" i="20" s="1"/>
  <c r="AV33" i="20" s="1"/>
  <c r="AV34" i="20" s="1"/>
  <c r="AV35" i="20" s="1"/>
  <c r="AV36" i="20" s="1"/>
  <c r="AV37" i="20" s="1"/>
  <c r="AV38" i="20" s="1"/>
  <c r="AV39" i="20" s="1"/>
  <c r="AV40" i="20" s="1"/>
  <c r="AV41" i="20" s="1"/>
  <c r="AV42" i="20" s="1"/>
  <c r="AV43" i="20" s="1"/>
  <c r="AV44" i="20" s="1"/>
  <c r="AV45" i="20" s="1"/>
  <c r="AV46" i="20" s="1"/>
  <c r="AV47" i="20" s="1"/>
  <c r="AV48" i="20" s="1"/>
  <c r="AV49" i="20" s="1"/>
  <c r="AV50" i="20" s="1"/>
  <c r="AV51" i="20" s="1"/>
  <c r="AV52" i="20" s="1"/>
  <c r="AV53" i="20" s="1"/>
  <c r="AV54" i="20" s="1"/>
  <c r="AV55" i="20" s="1"/>
  <c r="AV56" i="20" s="1"/>
  <c r="AV57" i="20" s="1"/>
  <c r="AV58" i="20" s="1"/>
  <c r="AV59" i="20" s="1"/>
  <c r="AV60" i="20" s="1"/>
  <c r="AL13" i="20"/>
  <c r="AB13" i="20"/>
  <c r="AB14" i="20" s="1"/>
  <c r="AB15" i="20" s="1"/>
  <c r="AB16" i="20" s="1"/>
  <c r="AB17" i="20" s="1"/>
  <c r="AB18" i="20" s="1"/>
  <c r="AB19" i="20" s="1"/>
  <c r="AB20" i="20" s="1"/>
  <c r="AB21" i="20" s="1"/>
  <c r="AB22" i="20" s="1"/>
  <c r="AB23" i="20" s="1"/>
  <c r="AB24" i="20" s="1"/>
  <c r="AB25" i="20" s="1"/>
  <c r="AB26" i="20" s="1"/>
  <c r="AB27" i="20" s="1"/>
  <c r="AB28" i="20" s="1"/>
  <c r="AB29" i="20" s="1"/>
  <c r="AB30" i="20" s="1"/>
  <c r="AB31" i="20" s="1"/>
  <c r="AB32" i="20" s="1"/>
  <c r="AB33" i="20" s="1"/>
  <c r="AB34" i="20" s="1"/>
  <c r="AB35" i="20" s="1"/>
  <c r="AB36" i="20" s="1"/>
  <c r="AB37" i="20" s="1"/>
  <c r="AB38" i="20" s="1"/>
  <c r="AB39" i="20" s="1"/>
  <c r="AB40" i="20" s="1"/>
  <c r="AB41" i="20" s="1"/>
  <c r="AB42" i="20" s="1"/>
  <c r="AB43" i="20" s="1"/>
  <c r="AB44" i="20" s="1"/>
  <c r="AB45" i="20" s="1"/>
  <c r="AB46" i="20" s="1"/>
  <c r="AB47" i="20" s="1"/>
  <c r="AB48" i="20" s="1"/>
  <c r="AB49" i="20" s="1"/>
  <c r="AB50" i="20" s="1"/>
  <c r="AB51" i="20" s="1"/>
  <c r="AB52" i="20" s="1"/>
  <c r="AB53" i="20" s="1"/>
  <c r="AB54" i="20" s="1"/>
  <c r="AB55" i="20" s="1"/>
  <c r="AB56" i="20" s="1"/>
  <c r="AB57" i="20" s="1"/>
  <c r="AB58" i="20" s="1"/>
  <c r="AB59" i="20" s="1"/>
  <c r="AB60" i="20" s="1"/>
  <c r="F62" i="3"/>
  <c r="M63" i="3" s="1"/>
  <c r="AK15" i="20"/>
  <c r="AK16" i="20" s="1"/>
  <c r="AU17" i="20"/>
  <c r="AU18" i="20" s="1"/>
  <c r="AU19" i="20" s="1"/>
  <c r="AU20" i="20" s="1"/>
  <c r="AU21" i="20" s="1"/>
  <c r="AU22" i="20" s="1"/>
  <c r="AU23" i="20" s="1"/>
  <c r="AU24" i="20" s="1"/>
  <c r="AU25" i="20" s="1"/>
  <c r="AU26" i="20" s="1"/>
  <c r="AU27" i="20" s="1"/>
  <c r="AU28" i="20" s="1"/>
  <c r="AU29" i="20" s="1"/>
  <c r="AU30" i="20" s="1"/>
  <c r="AU31" i="20" s="1"/>
  <c r="AU32" i="20" s="1"/>
  <c r="AU33" i="20" s="1"/>
  <c r="AU34" i="20" s="1"/>
  <c r="AU35" i="20" s="1"/>
  <c r="AU36" i="20" s="1"/>
  <c r="AU37" i="20" s="1"/>
  <c r="AU38" i="20" s="1"/>
  <c r="AU39" i="20" s="1"/>
  <c r="AU40" i="20" s="1"/>
  <c r="AU41" i="20" s="1"/>
  <c r="AU42" i="20" s="1"/>
  <c r="AU43" i="20" s="1"/>
  <c r="AU44" i="20" s="1"/>
  <c r="AU45" i="20" s="1"/>
  <c r="AU46" i="20" s="1"/>
  <c r="AU47" i="20" s="1"/>
  <c r="AU48" i="20" s="1"/>
  <c r="AU49" i="20" s="1"/>
  <c r="AU50" i="20" s="1"/>
  <c r="AU51" i="20" s="1"/>
  <c r="AU52" i="20" s="1"/>
  <c r="AU53" i="20" s="1"/>
  <c r="AU54" i="20" s="1"/>
  <c r="AU55" i="20" s="1"/>
  <c r="AU56" i="20" s="1"/>
  <c r="AU57" i="20" s="1"/>
  <c r="AU58" i="20" s="1"/>
  <c r="AU59" i="20" s="1"/>
  <c r="AU60" i="20" s="1"/>
  <c r="AK17" i="20"/>
  <c r="AK18" i="20" s="1"/>
  <c r="AK19" i="20" s="1"/>
  <c r="AK20" i="20" s="1"/>
  <c r="AK21" i="20" s="1"/>
  <c r="AK22" i="20" s="1"/>
  <c r="AK23" i="20" s="1"/>
  <c r="AK24" i="20" s="1"/>
  <c r="AK25" i="20" s="1"/>
  <c r="AK26" i="20" s="1"/>
  <c r="AK27" i="20" s="1"/>
  <c r="AK28" i="20" s="1"/>
  <c r="AK29" i="20" s="1"/>
  <c r="AK30" i="20" s="1"/>
  <c r="AK31" i="20" s="1"/>
  <c r="AK32" i="20" s="1"/>
  <c r="AK33" i="20" s="1"/>
  <c r="AK34" i="20" s="1"/>
  <c r="AK35" i="20" s="1"/>
  <c r="AK36" i="20" s="1"/>
  <c r="AK37" i="20" s="1"/>
  <c r="AK38" i="20" s="1"/>
  <c r="AK39" i="20" s="1"/>
  <c r="AK40" i="20" s="1"/>
  <c r="AK41" i="20" s="1"/>
  <c r="AK42" i="20" s="1"/>
  <c r="AK43" i="20" s="1"/>
  <c r="AK44" i="20" s="1"/>
  <c r="AK45" i="20" s="1"/>
  <c r="AK46" i="20" s="1"/>
  <c r="AK47" i="20" s="1"/>
  <c r="AK48" i="20" s="1"/>
  <c r="AK49" i="20" s="1"/>
  <c r="AK50" i="20" s="1"/>
  <c r="AK51" i="20" s="1"/>
  <c r="AK52" i="20" s="1"/>
  <c r="AK53" i="20" s="1"/>
  <c r="AK54" i="20" s="1"/>
  <c r="AK55" i="20" s="1"/>
  <c r="AK56" i="20" s="1"/>
  <c r="AK57" i="20" s="1"/>
  <c r="AK58" i="20" s="1"/>
  <c r="AK59" i="20" s="1"/>
  <c r="AK60" i="20" s="1"/>
  <c r="O28" i="27"/>
  <c r="B32" i="8"/>
  <c r="B3" i="17"/>
  <c r="B4" i="17" s="1"/>
  <c r="B11" i="11"/>
  <c r="B15" i="8"/>
  <c r="B6" i="9"/>
  <c r="B12" i="9" s="1"/>
  <c r="C22" i="9" s="1"/>
  <c r="H19" i="7"/>
  <c r="F9" i="5" s="1"/>
  <c r="C5" i="7"/>
  <c r="U33" i="7" s="1"/>
  <c r="I9" i="5" s="1"/>
  <c r="B29" i="4"/>
  <c r="J8" i="3"/>
  <c r="D7" i="3" s="1"/>
  <c r="I8" i="3" s="1"/>
  <c r="O7" i="19" l="1"/>
  <c r="O4" i="19" s="1"/>
  <c r="B10" i="3" s="1"/>
  <c r="B14" i="4" s="1"/>
  <c r="H84" i="28"/>
  <c r="AM12" i="20"/>
  <c r="L35" i="31" s="1"/>
  <c r="I25" i="3"/>
  <c r="I63" i="3" s="1"/>
  <c r="H25" i="3"/>
  <c r="H63" i="3" s="1"/>
  <c r="O64" i="3"/>
  <c r="C70" i="8"/>
  <c r="G77" i="8" s="1"/>
  <c r="J50" i="16"/>
  <c r="K46" i="6"/>
  <c r="AD72" i="8"/>
  <c r="B11" i="30"/>
  <c r="B13" i="30"/>
  <c r="B14" i="30" s="1"/>
  <c r="B15" i="30" s="1"/>
  <c r="B16" i="30" s="1"/>
  <c r="B17" i="30" s="1"/>
  <c r="B19" i="30" s="1"/>
  <c r="B20" i="30" s="1"/>
  <c r="B21" i="30" s="1"/>
  <c r="B22" i="30" s="1"/>
  <c r="B23" i="30" s="1"/>
  <c r="B24" i="30" s="1"/>
  <c r="B25" i="30" s="1"/>
  <c r="B26" i="30" s="1"/>
  <c r="B27" i="30" s="1"/>
  <c r="B28" i="30" s="1"/>
  <c r="B29" i="30" s="1"/>
  <c r="B30" i="30" s="1"/>
  <c r="B32" i="30" s="1"/>
  <c r="S36" i="31"/>
  <c r="G70" i="3"/>
  <c r="U70" i="3" s="1"/>
  <c r="H8" i="3"/>
  <c r="G8" i="3" s="1"/>
  <c r="C36" i="31"/>
  <c r="AN13" i="20"/>
  <c r="Z36" i="31" s="1"/>
  <c r="C96" i="19"/>
  <c r="Q37" i="31"/>
  <c r="I77" i="8"/>
  <c r="H82" i="28"/>
  <c r="E50" i="16"/>
  <c r="C12" i="9"/>
  <c r="M12" i="17"/>
  <c r="A21" i="4"/>
  <c r="AL14" i="20"/>
  <c r="AL15" i="20" s="1"/>
  <c r="AL16" i="20" s="1"/>
  <c r="AL17" i="20" s="1"/>
  <c r="AL18" i="20" s="1"/>
  <c r="AL19" i="20" s="1"/>
  <c r="AL20" i="20" s="1"/>
  <c r="AL21" i="20" s="1"/>
  <c r="AL22" i="20" s="1"/>
  <c r="AL23" i="20" s="1"/>
  <c r="AL24" i="20" s="1"/>
  <c r="AL25" i="20" s="1"/>
  <c r="AL26" i="20" s="1"/>
  <c r="AL27" i="20" s="1"/>
  <c r="AL28" i="20" s="1"/>
  <c r="AL29" i="20" s="1"/>
  <c r="AL30" i="20" s="1"/>
  <c r="AL31" i="20" s="1"/>
  <c r="AL32" i="20" s="1"/>
  <c r="AL33" i="20" s="1"/>
  <c r="AL34" i="20" s="1"/>
  <c r="AL35" i="20" s="1"/>
  <c r="AL36" i="20" s="1"/>
  <c r="AL37" i="20" s="1"/>
  <c r="AL38" i="20" s="1"/>
  <c r="AL39" i="20" s="1"/>
  <c r="AL40" i="20" s="1"/>
  <c r="AL41" i="20" s="1"/>
  <c r="AL42" i="20" s="1"/>
  <c r="AL43" i="20" s="1"/>
  <c r="AL44" i="20" s="1"/>
  <c r="AL45" i="20" s="1"/>
  <c r="AL46" i="20" s="1"/>
  <c r="AL47" i="20" s="1"/>
  <c r="AL48" i="20" s="1"/>
  <c r="AL49" i="20" s="1"/>
  <c r="AL50" i="20" s="1"/>
  <c r="AL51" i="20" s="1"/>
  <c r="AL52" i="20" s="1"/>
  <c r="AL53" i="20" s="1"/>
  <c r="AL54" i="20" s="1"/>
  <c r="AL55" i="20" s="1"/>
  <c r="AL56" i="20" s="1"/>
  <c r="AL57" i="20" s="1"/>
  <c r="AL58" i="20" s="1"/>
  <c r="AL59" i="20" s="1"/>
  <c r="AL60" i="20" s="1"/>
  <c r="B19" i="29"/>
  <c r="F19" i="29" s="1"/>
  <c r="B28" i="4"/>
  <c r="E7" i="3"/>
  <c r="E36" i="31"/>
  <c r="AM13" i="20"/>
  <c r="L36" i="31" s="1"/>
  <c r="F25" i="3"/>
  <c r="F63" i="3" s="1"/>
  <c r="K8" i="3"/>
  <c r="C37" i="31"/>
  <c r="R35" i="31"/>
  <c r="AD12" i="20"/>
  <c r="Y35" i="31" s="1"/>
  <c r="S37" i="31"/>
  <c r="AN14" i="20"/>
  <c r="Z37" i="31" s="1"/>
  <c r="T35" i="31"/>
  <c r="AX12" i="20"/>
  <c r="AA35" i="31" s="1"/>
  <c r="R14" i="20"/>
  <c r="S13" i="20"/>
  <c r="J36" i="31" s="1"/>
  <c r="T13" i="20"/>
  <c r="X36" i="31" s="1"/>
  <c r="H76" i="28"/>
  <c r="H86" i="28"/>
  <c r="T36" i="31"/>
  <c r="AX13" i="20"/>
  <c r="AA36" i="31" s="1"/>
  <c r="F35" i="31"/>
  <c r="A14" i="20"/>
  <c r="C35" i="31"/>
  <c r="J12" i="20"/>
  <c r="W35" i="31" s="1"/>
  <c r="I12" i="20"/>
  <c r="I35" i="31" s="1"/>
  <c r="AD74" i="8"/>
  <c r="AD76" i="8"/>
  <c r="AD73" i="8"/>
  <c r="P44" i="31"/>
  <c r="D35" i="31"/>
  <c r="J13" i="20"/>
  <c r="W36" i="31" s="1"/>
  <c r="H14" i="20"/>
  <c r="S12" i="20"/>
  <c r="J35" i="31" s="1"/>
  <c r="T12" i="20"/>
  <c r="X35" i="31" s="1"/>
  <c r="S35" i="31"/>
  <c r="AN12" i="20"/>
  <c r="Z35" i="31" s="1"/>
  <c r="B44" i="31"/>
  <c r="A24" i="27"/>
  <c r="A23" i="27"/>
  <c r="A11" i="10"/>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31" i="9"/>
  <c r="A10" i="15"/>
  <c r="A11" i="15" s="1"/>
  <c r="A12" i="15" s="1"/>
  <c r="A13" i="15" s="1"/>
  <c r="A14" i="15" s="1"/>
  <c r="A15" i="15" s="1"/>
  <c r="A16" i="15" s="1"/>
  <c r="A17" i="15" s="1"/>
  <c r="A18" i="15" s="1"/>
  <c r="A19" i="15" s="1"/>
  <c r="A20" i="15" s="1"/>
  <c r="A21" i="15" s="1"/>
  <c r="A22" i="15" s="1"/>
  <c r="A23" i="15" s="1"/>
  <c r="A24" i="15" s="1"/>
  <c r="A25" i="15" s="1"/>
  <c r="A26" i="15" s="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10" i="22"/>
  <c r="A19" i="1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16" i="12"/>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11" i="17"/>
  <c r="A12" i="17" s="1"/>
  <c r="A13" i="17" s="1"/>
  <c r="A14" i="17" s="1"/>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42" i="17" s="1"/>
  <c r="A43" i="17" s="1"/>
  <c r="A44" i="17" s="1"/>
  <c r="A45" i="17" s="1"/>
  <c r="A46" i="17" s="1"/>
  <c r="A47" i="17" s="1"/>
  <c r="A48" i="17" s="1"/>
  <c r="A49" i="17" s="1"/>
  <c r="A50" i="17" s="1"/>
  <c r="A91" i="8"/>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B35" i="7"/>
  <c r="B36" i="7" s="1"/>
  <c r="B37" i="7" s="1"/>
  <c r="B38" i="7" s="1"/>
  <c r="B39" i="7" s="1"/>
  <c r="B40" i="7" s="1"/>
  <c r="B41" i="7" s="1"/>
  <c r="B42" i="7" s="1"/>
  <c r="B43" i="7" s="1"/>
  <c r="B44" i="7" s="1"/>
  <c r="B45" i="7" s="1"/>
  <c r="B46" i="7" s="1"/>
  <c r="B47" i="7" s="1"/>
  <c r="B48" i="7" s="1"/>
  <c r="B49" i="7" s="1"/>
  <c r="B50" i="7" s="1"/>
  <c r="B51" i="7" s="1"/>
  <c r="B52" i="7" s="1"/>
  <c r="B53" i="7" s="1"/>
  <c r="B54" i="7" s="1"/>
  <c r="B55" i="7" s="1"/>
  <c r="B56" i="7" s="1"/>
  <c r="B57" i="7" s="1"/>
  <c r="B58" i="7" s="1"/>
  <c r="B59" i="7" s="1"/>
  <c r="B60" i="7" s="1"/>
  <c r="B61" i="7" s="1"/>
  <c r="B62" i="7" s="1"/>
  <c r="B63" i="7" s="1"/>
  <c r="B64" i="7" s="1"/>
  <c r="B65" i="7" s="1"/>
  <c r="B66" i="7" s="1"/>
  <c r="B67" i="7" s="1"/>
  <c r="B68" i="7" s="1"/>
  <c r="B69" i="7" s="1"/>
  <c r="B70" i="7" s="1"/>
  <c r="B71" i="7" s="1"/>
  <c r="B72" i="7" s="1"/>
  <c r="B73" i="7" s="1"/>
  <c r="B74" i="7" s="1"/>
  <c r="A11" i="14"/>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12" i="13"/>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U74" i="3"/>
  <c r="U72" i="3"/>
  <c r="U73" i="3"/>
  <c r="L67" i="3"/>
  <c r="L66" i="3"/>
  <c r="P67" i="3"/>
  <c r="L65" i="3"/>
  <c r="P66" i="3"/>
  <c r="P65" i="3"/>
  <c r="A27" i="27"/>
  <c r="C14" i="2" s="1"/>
  <c r="C37" i="2" s="1"/>
  <c r="C6" i="7" s="1"/>
  <c r="B10" i="29"/>
  <c r="B19" i="4"/>
  <c r="B20" i="4"/>
  <c r="B11" i="29"/>
  <c r="C15" i="3"/>
  <c r="C16" i="3" s="1"/>
  <c r="A24" i="3"/>
  <c r="A29" i="4" s="1"/>
  <c r="B21" i="5"/>
  <c r="G27" i="9"/>
  <c r="F27" i="9"/>
  <c r="N67" i="3"/>
  <c r="N66" i="3"/>
  <c r="S73" i="3"/>
  <c r="E25" i="3"/>
  <c r="E63" i="3" s="1"/>
  <c r="V71" i="3"/>
  <c r="M64" i="3"/>
  <c r="O65" i="3"/>
  <c r="O66" i="3"/>
  <c r="V73" i="3"/>
  <c r="V74" i="3"/>
  <c r="B9" i="3"/>
  <c r="B13" i="4" s="1"/>
  <c r="N65" i="3"/>
  <c r="M66" i="3"/>
  <c r="M65" i="3"/>
  <c r="T73" i="3"/>
  <c r="X73" i="3"/>
  <c r="S74" i="3"/>
  <c r="W73" i="3"/>
  <c r="W72" i="3"/>
  <c r="S72" i="3"/>
  <c r="W74" i="3"/>
  <c r="T74" i="3"/>
  <c r="T71" i="3"/>
  <c r="X74" i="3"/>
  <c r="X71" i="3"/>
  <c r="B8" i="3"/>
  <c r="B12" i="4" s="1"/>
  <c r="B4" i="29"/>
  <c r="B10" i="9"/>
  <c r="B67" i="8" s="1"/>
  <c r="F73" i="2"/>
  <c r="O19" i="7"/>
  <c r="B26" i="8"/>
  <c r="AG2" i="22"/>
  <c r="C4" i="5"/>
  <c r="O6" i="19" l="1"/>
  <c r="O8" i="19" s="1"/>
  <c r="O153" i="19" s="1"/>
  <c r="O3" i="19"/>
  <c r="O5" i="19"/>
  <c r="B5" i="17" s="1"/>
  <c r="B6" i="29"/>
  <c r="M62" i="3"/>
  <c r="K11" i="17"/>
  <c r="K50" i="16"/>
  <c r="P50" i="16" s="1"/>
  <c r="F70" i="3"/>
  <c r="T70" i="3" s="1"/>
  <c r="F8" i="3"/>
  <c r="E8" i="3" s="1"/>
  <c r="E70" i="3" s="1"/>
  <c r="S70" i="3" s="1"/>
  <c r="AK1" i="22"/>
  <c r="H87" i="28"/>
  <c r="H77" i="28"/>
  <c r="H88" i="28" s="1"/>
  <c r="E37" i="31"/>
  <c r="AM14" i="20"/>
  <c r="L37" i="31" s="1"/>
  <c r="H15" i="20"/>
  <c r="I14" i="20"/>
  <c r="I37" i="31" s="1"/>
  <c r="J14" i="20"/>
  <c r="W37" i="31" s="1"/>
  <c r="A37" i="31"/>
  <c r="H37" i="31" s="1"/>
  <c r="O37" i="31" s="1"/>
  <c r="V37" i="31" s="1"/>
  <c r="A15" i="20"/>
  <c r="M13" i="17"/>
  <c r="T37" i="31"/>
  <c r="AX14" i="20"/>
  <c r="AA37" i="31" s="1"/>
  <c r="H70" i="3"/>
  <c r="V70" i="3" s="1"/>
  <c r="L8" i="3"/>
  <c r="M8" i="3" s="1"/>
  <c r="F11" i="17"/>
  <c r="P45" i="31"/>
  <c r="F36" i="31"/>
  <c r="AW13" i="20"/>
  <c r="M36" i="31" s="1"/>
  <c r="R36" i="31"/>
  <c r="AD13" i="20"/>
  <c r="Y36" i="31" s="1"/>
  <c r="C38" i="31"/>
  <c r="Q38" i="31"/>
  <c r="B45" i="31"/>
  <c r="D36" i="31"/>
  <c r="AC13" i="20"/>
  <c r="K36" i="31" s="1"/>
  <c r="R15" i="20"/>
  <c r="R16" i="20" s="1"/>
  <c r="R17" i="20" s="1"/>
  <c r="R18" i="20" s="1"/>
  <c r="R19" i="20" s="1"/>
  <c r="R20" i="20" s="1"/>
  <c r="R21" i="20" s="1"/>
  <c r="R22" i="20" s="1"/>
  <c r="R23" i="20" s="1"/>
  <c r="R24" i="20" s="1"/>
  <c r="R25" i="20" s="1"/>
  <c r="R26" i="20" s="1"/>
  <c r="R27" i="20" s="1"/>
  <c r="R28" i="20" s="1"/>
  <c r="R29" i="20" s="1"/>
  <c r="R30" i="20" s="1"/>
  <c r="R31" i="20" s="1"/>
  <c r="R32" i="20" s="1"/>
  <c r="R33" i="20" s="1"/>
  <c r="R34" i="20" s="1"/>
  <c r="R35" i="20" s="1"/>
  <c r="R36" i="20" s="1"/>
  <c r="R37" i="20" s="1"/>
  <c r="R38" i="20" s="1"/>
  <c r="R39" i="20" s="1"/>
  <c r="R40" i="20" s="1"/>
  <c r="R41" i="20" s="1"/>
  <c r="R42" i="20" s="1"/>
  <c r="R43" i="20" s="1"/>
  <c r="R44" i="20" s="1"/>
  <c r="R45" i="20" s="1"/>
  <c r="R46" i="20" s="1"/>
  <c r="R47" i="20" s="1"/>
  <c r="R48" i="20" s="1"/>
  <c r="R49" i="20" s="1"/>
  <c r="R50" i="20" s="1"/>
  <c r="R51" i="20" s="1"/>
  <c r="R52" i="20" s="1"/>
  <c r="R53" i="20" s="1"/>
  <c r="R54" i="20" s="1"/>
  <c r="R55" i="20" s="1"/>
  <c r="R56" i="20" s="1"/>
  <c r="R57" i="20" s="1"/>
  <c r="R58" i="20" s="1"/>
  <c r="R59" i="20" s="1"/>
  <c r="R60" i="20" s="1"/>
  <c r="S14" i="20"/>
  <c r="J37" i="31" s="1"/>
  <c r="T14" i="20"/>
  <c r="X37" i="31" s="1"/>
  <c r="S38" i="31"/>
  <c r="AN15" i="20"/>
  <c r="Z38" i="31" s="1"/>
  <c r="A32" i="9"/>
  <c r="B31" i="9"/>
  <c r="P62" i="3"/>
  <c r="B17" i="8"/>
  <c r="B42" i="8" s="1"/>
  <c r="N62" i="3"/>
  <c r="L62" i="3"/>
  <c r="O62" i="3"/>
  <c r="I73" i="2"/>
  <c r="I4" i="2" s="1"/>
  <c r="C7" i="7"/>
  <c r="G16" i="3"/>
  <c r="F16" i="3" s="1"/>
  <c r="E16" i="3" s="1"/>
  <c r="I16" i="3"/>
  <c r="J16" i="3" s="1"/>
  <c r="K16" i="3" s="1"/>
  <c r="V33" i="7"/>
  <c r="I10" i="5" s="1"/>
  <c r="N11" i="17"/>
  <c r="N12" i="17" s="1"/>
  <c r="F2" i="6"/>
  <c r="F4" i="2"/>
  <c r="D3" i="2"/>
  <c r="D71" i="2" s="1"/>
  <c r="D72" i="2" s="1"/>
  <c r="B68" i="8"/>
  <c r="D75" i="8" s="1"/>
  <c r="I75" i="8" s="1"/>
  <c r="AH1" i="22"/>
  <c r="AG1" i="22"/>
  <c r="O30" i="19" l="1"/>
  <c r="C15" i="7"/>
  <c r="O90" i="19"/>
  <c r="J68" i="8"/>
  <c r="O134" i="19"/>
  <c r="O81" i="19"/>
  <c r="J63" i="8" s="1"/>
  <c r="P8" i="19"/>
  <c r="P87" i="19" s="1"/>
  <c r="O99" i="19"/>
  <c r="O10" i="19"/>
  <c r="D19" i="7" s="1"/>
  <c r="I19" i="7" s="1"/>
  <c r="J19" i="7" s="1"/>
  <c r="H20" i="7" s="1"/>
  <c r="O20" i="7" s="1"/>
  <c r="O58" i="19"/>
  <c r="O148" i="19"/>
  <c r="O83" i="19"/>
  <c r="O74" i="19"/>
  <c r="O117" i="19"/>
  <c r="O77" i="19"/>
  <c r="J59" i="8" s="1"/>
  <c r="O112" i="19"/>
  <c r="L5" i="12" s="1"/>
  <c r="O151" i="19"/>
  <c r="O123" i="19"/>
  <c r="O38" i="19"/>
  <c r="O127" i="19"/>
  <c r="O96" i="19"/>
  <c r="O128" i="19"/>
  <c r="O95" i="19"/>
  <c r="O47" i="19"/>
  <c r="O80" i="19"/>
  <c r="J62" i="8" s="1"/>
  <c r="O129" i="19"/>
  <c r="O125" i="19"/>
  <c r="O21" i="19"/>
  <c r="O66" i="19"/>
  <c r="O36" i="19"/>
  <c r="O104" i="19"/>
  <c r="O89" i="19"/>
  <c r="O147" i="19"/>
  <c r="B8" i="11" s="1"/>
  <c r="O24" i="19"/>
  <c r="O120" i="19"/>
  <c r="O119" i="19"/>
  <c r="O140" i="19"/>
  <c r="O14" i="19"/>
  <c r="E20" i="7" s="1"/>
  <c r="K20" i="7" s="1"/>
  <c r="O111" i="19"/>
  <c r="O43" i="19"/>
  <c r="O13" i="19"/>
  <c r="F20" i="7" s="1"/>
  <c r="L20" i="7" s="1"/>
  <c r="O44" i="19"/>
  <c r="O55" i="19"/>
  <c r="O46" i="19"/>
  <c r="O45" i="19"/>
  <c r="V42" i="19" s="1"/>
  <c r="O29" i="19"/>
  <c r="O92" i="19"/>
  <c r="O50" i="19"/>
  <c r="O68" i="19"/>
  <c r="O152" i="19"/>
  <c r="O56" i="19"/>
  <c r="O97" i="19"/>
  <c r="O51" i="19"/>
  <c r="O71" i="19"/>
  <c r="O106" i="19"/>
  <c r="O72" i="19"/>
  <c r="O23" i="8" s="1"/>
  <c r="O133" i="19"/>
  <c r="O110" i="19"/>
  <c r="O54" i="19"/>
  <c r="O15" i="19"/>
  <c r="D22" i="7" s="1"/>
  <c r="I22" i="7" s="1"/>
  <c r="O19" i="19"/>
  <c r="O11" i="19"/>
  <c r="F19" i="7" s="1"/>
  <c r="L19" i="7" s="1"/>
  <c r="O61" i="19"/>
  <c r="O144" i="19"/>
  <c r="O135" i="19"/>
  <c r="B7" i="11" s="1"/>
  <c r="O132" i="19"/>
  <c r="O28" i="19"/>
  <c r="O82" i="19"/>
  <c r="B79" i="8" s="1"/>
  <c r="O31" i="19"/>
  <c r="D21" i="7" s="1"/>
  <c r="O87" i="19"/>
  <c r="O60" i="19"/>
  <c r="O124" i="19"/>
  <c r="C13" i="5"/>
  <c r="B16" i="3" s="1"/>
  <c r="B21" i="4" s="1"/>
  <c r="O139" i="19"/>
  <c r="O103" i="19"/>
  <c r="O122" i="19"/>
  <c r="O108" i="19"/>
  <c r="O37" i="19"/>
  <c r="O57" i="19"/>
  <c r="O63" i="19"/>
  <c r="O143" i="19"/>
  <c r="O59" i="19"/>
  <c r="O109" i="19"/>
  <c r="O20" i="19"/>
  <c r="O12" i="19"/>
  <c r="D20" i="7" s="1"/>
  <c r="I20" i="7" s="1"/>
  <c r="O118" i="19"/>
  <c r="O23" i="19"/>
  <c r="O65" i="19"/>
  <c r="O78" i="19"/>
  <c r="J60" i="8" s="1"/>
  <c r="O42" i="19"/>
  <c r="O142" i="19"/>
  <c r="O27" i="19"/>
  <c r="O79" i="19"/>
  <c r="J61" i="8" s="1"/>
  <c r="O35" i="19"/>
  <c r="O93" i="19"/>
  <c r="O88" i="19"/>
  <c r="O91" i="19"/>
  <c r="O100" i="19"/>
  <c r="BI124" i="8" s="1"/>
  <c r="O34" i="19"/>
  <c r="B9" i="11"/>
  <c r="O136" i="19"/>
  <c r="O69" i="19"/>
  <c r="O62" i="19"/>
  <c r="O18" i="19"/>
  <c r="O67" i="19"/>
  <c r="O73" i="19"/>
  <c r="O141" i="19"/>
  <c r="O16" i="19"/>
  <c r="F22" i="7" s="1"/>
  <c r="L22" i="7" s="1"/>
  <c r="O107" i="19"/>
  <c r="L1" i="12" s="1"/>
  <c r="O17" i="19"/>
  <c r="E22" i="7" s="1"/>
  <c r="K22" i="7" s="1"/>
  <c r="O22" i="19"/>
  <c r="O94" i="19"/>
  <c r="O84" i="19"/>
  <c r="O105" i="19"/>
  <c r="O64" i="19"/>
  <c r="O41" i="19"/>
  <c r="O130" i="19"/>
  <c r="O70" i="19"/>
  <c r="B10" i="11"/>
  <c r="B12" i="29"/>
  <c r="K12" i="17"/>
  <c r="E11" i="17"/>
  <c r="G11" i="17"/>
  <c r="C12" i="17"/>
  <c r="T15" i="20"/>
  <c r="X38" i="31" s="1"/>
  <c r="S15" i="20"/>
  <c r="J38" i="31" s="1"/>
  <c r="F37" i="31"/>
  <c r="AW14" i="20"/>
  <c r="M37" i="31" s="1"/>
  <c r="P46" i="31"/>
  <c r="C39" i="31"/>
  <c r="S16" i="20"/>
  <c r="J39" i="31" s="1"/>
  <c r="N8" i="3"/>
  <c r="O8" i="3" s="1"/>
  <c r="J70" i="3" s="1"/>
  <c r="X70" i="3" s="1"/>
  <c r="I70" i="3"/>
  <c r="W70" i="3" s="1"/>
  <c r="B3" i="11"/>
  <c r="BI109" i="8"/>
  <c r="BI92" i="8"/>
  <c r="BI103" i="8"/>
  <c r="BI128" i="8"/>
  <c r="BI108" i="8"/>
  <c r="BI91" i="8"/>
  <c r="BI118" i="8"/>
  <c r="BI107" i="8"/>
  <c r="BI100" i="8"/>
  <c r="BI127" i="8"/>
  <c r="BI94" i="8"/>
  <c r="BI115" i="8"/>
  <c r="BI117" i="8"/>
  <c r="BI129" i="8"/>
  <c r="BI99" i="8"/>
  <c r="BI101" i="8"/>
  <c r="BI126" i="8"/>
  <c r="BI98" i="8"/>
  <c r="P91" i="19"/>
  <c r="P93" i="19"/>
  <c r="Q39" i="31"/>
  <c r="T16" i="20"/>
  <c r="X39" i="31" s="1"/>
  <c r="T38" i="31"/>
  <c r="AX15" i="20"/>
  <c r="AA38" i="31" s="1"/>
  <c r="P94" i="19"/>
  <c r="S39" i="31"/>
  <c r="AN16" i="20"/>
  <c r="Z39" i="31" s="1"/>
  <c r="D37" i="31"/>
  <c r="AC14" i="20"/>
  <c r="K37" i="31" s="1"/>
  <c r="R37" i="31"/>
  <c r="AD14" i="20"/>
  <c r="Y37" i="31" s="1"/>
  <c r="B46" i="31"/>
  <c r="A38" i="31"/>
  <c r="H38" i="31" s="1"/>
  <c r="O38" i="31" s="1"/>
  <c r="V38" i="31" s="1"/>
  <c r="M14" i="17"/>
  <c r="A16" i="20"/>
  <c r="I15" i="20"/>
  <c r="I38" i="31" s="1"/>
  <c r="H16" i="20"/>
  <c r="J15" i="20"/>
  <c r="W38" i="31" s="1"/>
  <c r="AM15" i="20"/>
  <c r="L38" i="31" s="1"/>
  <c r="E38" i="31"/>
  <c r="B32" i="9"/>
  <c r="A33" i="9"/>
  <c r="S62" i="3"/>
  <c r="S65" i="3" s="1"/>
  <c r="T62" i="3"/>
  <c r="T67" i="3" s="1"/>
  <c r="U62" i="3"/>
  <c r="U67" i="3" s="1"/>
  <c r="V62" i="3"/>
  <c r="V64" i="3" s="1"/>
  <c r="W62" i="3"/>
  <c r="W66" i="3" s="1"/>
  <c r="C8" i="7"/>
  <c r="O73" i="2" s="1"/>
  <c r="L73" i="2"/>
  <c r="L4" i="2" s="1"/>
  <c r="B12" i="17"/>
  <c r="N13" i="17"/>
  <c r="D12" i="17"/>
  <c r="D11" i="17"/>
  <c r="C11" i="17"/>
  <c r="B11" i="17"/>
  <c r="AI1" i="22"/>
  <c r="BS7" i="22" s="1"/>
  <c r="Q19" i="7" l="1"/>
  <c r="J20" i="7"/>
  <c r="P20" i="7" s="1"/>
  <c r="D49" i="7" s="1"/>
  <c r="P19" i="7"/>
  <c r="C53" i="7" s="1"/>
  <c r="P92" i="19"/>
  <c r="P89" i="19"/>
  <c r="P90" i="19"/>
  <c r="P88" i="19"/>
  <c r="P97" i="19"/>
  <c r="P96" i="19"/>
  <c r="J66" i="8"/>
  <c r="P95" i="19"/>
  <c r="B74" i="8"/>
  <c r="N74" i="8" s="1"/>
  <c r="E22" i="8"/>
  <c r="BI125" i="8"/>
  <c r="H45" i="14" s="1"/>
  <c r="M23" i="8"/>
  <c r="N23" i="8" s="1"/>
  <c r="P23" i="8" s="1"/>
  <c r="B75" i="8"/>
  <c r="N75" i="8" s="1"/>
  <c r="E20" i="8"/>
  <c r="F20" i="8" s="1"/>
  <c r="V43" i="19"/>
  <c r="X42" i="19"/>
  <c r="X43" i="19" s="1"/>
  <c r="X44" i="19" s="1"/>
  <c r="R42" i="19"/>
  <c r="R43" i="19" s="1"/>
  <c r="S42" i="19"/>
  <c r="S43" i="19" s="1"/>
  <c r="BI130" i="8"/>
  <c r="H50" i="14" s="1"/>
  <c r="BI114" i="8"/>
  <c r="H33" i="15" s="1"/>
  <c r="BI111" i="8"/>
  <c r="H31" i="14" s="1"/>
  <c r="BI110" i="8"/>
  <c r="H30" i="14" s="1"/>
  <c r="E21" i="8"/>
  <c r="F21" i="8" s="1"/>
  <c r="E18" i="8"/>
  <c r="F18" i="8" s="1"/>
  <c r="BI104" i="8"/>
  <c r="H24" i="14" s="1"/>
  <c r="BI95" i="8"/>
  <c r="H14" i="15" s="1"/>
  <c r="BI102" i="8"/>
  <c r="H21" i="15" s="1"/>
  <c r="BI93" i="8"/>
  <c r="H13" i="14" s="1"/>
  <c r="E17" i="8"/>
  <c r="C42" i="8" s="1"/>
  <c r="V19" i="7"/>
  <c r="L9" i="5" s="1"/>
  <c r="W42" i="19"/>
  <c r="W43" i="19" s="1"/>
  <c r="T42" i="19"/>
  <c r="T43" i="19" s="1"/>
  <c r="Y42" i="19"/>
  <c r="Y43" i="19" s="1"/>
  <c r="BI112" i="8"/>
  <c r="H31" i="15" s="1"/>
  <c r="BI106" i="8"/>
  <c r="H26" i="14" s="1"/>
  <c r="BI119" i="8"/>
  <c r="H38" i="15" s="1"/>
  <c r="R41" i="19"/>
  <c r="U42" i="19"/>
  <c r="U43" i="19" s="1"/>
  <c r="M24" i="8"/>
  <c r="N24" i="8" s="1"/>
  <c r="C21" i="8"/>
  <c r="D21" i="8" s="1"/>
  <c r="B6" i="11"/>
  <c r="Y41" i="19"/>
  <c r="F22" i="8"/>
  <c r="S41" i="19"/>
  <c r="S44" i="19" s="1"/>
  <c r="T41" i="19"/>
  <c r="W41" i="19"/>
  <c r="V41" i="19"/>
  <c r="V44" i="19" s="1"/>
  <c r="C20" i="8"/>
  <c r="D20" i="8" s="1"/>
  <c r="X41" i="19"/>
  <c r="BI122" i="8"/>
  <c r="H42" i="14" s="1"/>
  <c r="BI123" i="8"/>
  <c r="H43" i="14" s="1"/>
  <c r="BI121" i="8"/>
  <c r="H40" i="15" s="1"/>
  <c r="BI105" i="8"/>
  <c r="H24" i="15" s="1"/>
  <c r="BI116" i="8"/>
  <c r="H35" i="15" s="1"/>
  <c r="U41" i="19"/>
  <c r="B10" i="8"/>
  <c r="BI97" i="8"/>
  <c r="H17" i="14" s="1"/>
  <c r="BI96" i="8"/>
  <c r="H15" i="15" s="1"/>
  <c r="BI113" i="8"/>
  <c r="H33" i="14" s="1"/>
  <c r="BI120" i="8"/>
  <c r="H40" i="14" s="1"/>
  <c r="R19" i="7"/>
  <c r="S19" i="7" s="1"/>
  <c r="J11" i="10"/>
  <c r="F11" i="10"/>
  <c r="C48" i="7"/>
  <c r="C11" i="10"/>
  <c r="K13" i="17"/>
  <c r="G12" i="17"/>
  <c r="F12" i="17"/>
  <c r="E12" i="17"/>
  <c r="F12" i="10" s="1"/>
  <c r="C69" i="7"/>
  <c r="C68" i="7"/>
  <c r="C58" i="7"/>
  <c r="C55" i="7"/>
  <c r="C44" i="7"/>
  <c r="E39" i="31"/>
  <c r="AM16" i="20"/>
  <c r="L39" i="31" s="1"/>
  <c r="Q40" i="31"/>
  <c r="T17" i="20"/>
  <c r="X40" i="31" s="1"/>
  <c r="H14" i="14"/>
  <c r="H13" i="15"/>
  <c r="H10" i="15"/>
  <c r="H11" i="14"/>
  <c r="P47" i="31"/>
  <c r="F21" i="7"/>
  <c r="L21" i="7" s="1"/>
  <c r="I21" i="7"/>
  <c r="J16" i="20"/>
  <c r="W39" i="31" s="1"/>
  <c r="I16" i="20"/>
  <c r="I39" i="31" s="1"/>
  <c r="H17" i="20"/>
  <c r="B47" i="31"/>
  <c r="S40" i="31"/>
  <c r="AN17" i="20"/>
  <c r="Z40" i="31" s="1"/>
  <c r="T39" i="31"/>
  <c r="AX16" i="20"/>
  <c r="AA39" i="31" s="1"/>
  <c r="H17" i="15"/>
  <c r="H18" i="14"/>
  <c r="H21" i="14"/>
  <c r="H20" i="15"/>
  <c r="H49" i="14"/>
  <c r="H48" i="15"/>
  <c r="H34" i="15"/>
  <c r="H35" i="14"/>
  <c r="H46" i="15"/>
  <c r="H47" i="14"/>
  <c r="H23" i="14"/>
  <c r="H22" i="15"/>
  <c r="H11" i="15"/>
  <c r="H12" i="14"/>
  <c r="C40" i="31"/>
  <c r="S17" i="20"/>
  <c r="J40" i="31" s="1"/>
  <c r="A39" i="31"/>
  <c r="H39" i="31" s="1"/>
  <c r="O39" i="31" s="1"/>
  <c r="V39" i="31" s="1"/>
  <c r="M15" i="17"/>
  <c r="A17" i="20"/>
  <c r="H45" i="15"/>
  <c r="H46" i="14"/>
  <c r="H37" i="15"/>
  <c r="H38" i="14"/>
  <c r="H36" i="15"/>
  <c r="H37" i="14"/>
  <c r="H20" i="14"/>
  <c r="H19" i="15"/>
  <c r="H27" i="15"/>
  <c r="H28" i="14"/>
  <c r="F38" i="31"/>
  <c r="AW15" i="20"/>
  <c r="M38" i="31" s="1"/>
  <c r="R38" i="31"/>
  <c r="AD15" i="20"/>
  <c r="Y38" i="31" s="1"/>
  <c r="D38" i="31"/>
  <c r="AC15" i="20"/>
  <c r="K38" i="31" s="1"/>
  <c r="H18" i="15"/>
  <c r="H19" i="14"/>
  <c r="H26" i="15"/>
  <c r="H27" i="14"/>
  <c r="H47" i="15"/>
  <c r="H48" i="14"/>
  <c r="H43" i="15"/>
  <c r="H44" i="14"/>
  <c r="H29" i="14"/>
  <c r="H28" i="15"/>
  <c r="BD7" i="22"/>
  <c r="BD10" i="22" s="1"/>
  <c r="AY7" i="22"/>
  <c r="AY10" i="22" s="1"/>
  <c r="AI7" i="22"/>
  <c r="AI10" i="22" s="1"/>
  <c r="AJ7" i="22"/>
  <c r="AJ10" i="22" s="1"/>
  <c r="AL7" i="22"/>
  <c r="AL10" i="22" s="1"/>
  <c r="AT7" i="22"/>
  <c r="AT10" i="22" s="1"/>
  <c r="AV7" i="22"/>
  <c r="AV10" i="22" s="1"/>
  <c r="AO7" i="22"/>
  <c r="AO10" i="22" s="1"/>
  <c r="CG7" i="22"/>
  <c r="CG10" i="22" s="1"/>
  <c r="AS7" i="22"/>
  <c r="AS10" i="22" s="1"/>
  <c r="BQ7" i="22"/>
  <c r="BQ10" i="22" s="1"/>
  <c r="CA7" i="22"/>
  <c r="CA10" i="22" s="1"/>
  <c r="BX7" i="22"/>
  <c r="BX10" i="22" s="1"/>
  <c r="CF7" i="22"/>
  <c r="CF10" i="22" s="1"/>
  <c r="BI7" i="22"/>
  <c r="BI10" i="22" s="1"/>
  <c r="BB7" i="22"/>
  <c r="BB10" i="22" s="1"/>
  <c r="CD7" i="22"/>
  <c r="CD10" i="22" s="1"/>
  <c r="BC7" i="22"/>
  <c r="BC10" i="22" s="1"/>
  <c r="BP7" i="22"/>
  <c r="BP10" i="22" s="1"/>
  <c r="BE7" i="22"/>
  <c r="BE10" i="22" s="1"/>
  <c r="AK7" i="22"/>
  <c r="AK10" i="22" s="1"/>
  <c r="AG7" i="22"/>
  <c r="BU7" i="22"/>
  <c r="BU10" i="22" s="1"/>
  <c r="AP7" i="22"/>
  <c r="AP10" i="22" s="1"/>
  <c r="AX7" i="22"/>
  <c r="AX10" i="22" s="1"/>
  <c r="AR7" i="22"/>
  <c r="AR10" i="22" s="1"/>
  <c r="BR7" i="22"/>
  <c r="BR10" i="22" s="1"/>
  <c r="BN7" i="22"/>
  <c r="BN10" i="22" s="1"/>
  <c r="BZ7" i="22"/>
  <c r="BZ10" i="22" s="1"/>
  <c r="BF7" i="22"/>
  <c r="BF10" i="22" s="1"/>
  <c r="BL7" i="22"/>
  <c r="BL10" i="22" s="1"/>
  <c r="AW7" i="22"/>
  <c r="AW10" i="22" s="1"/>
  <c r="BA7" i="22"/>
  <c r="BA10" i="22" s="1"/>
  <c r="CH7" i="22"/>
  <c r="CH10" i="22" s="1"/>
  <c r="BV7" i="22"/>
  <c r="BV10" i="22" s="1"/>
  <c r="CE7" i="22"/>
  <c r="CE10" i="22" s="1"/>
  <c r="AU7" i="22"/>
  <c r="AU10" i="22" s="1"/>
  <c r="BO7" i="22"/>
  <c r="BO10" i="22" s="1"/>
  <c r="AH7" i="22"/>
  <c r="AH10" i="22" s="1"/>
  <c r="BW7" i="22"/>
  <c r="BW10" i="22" s="1"/>
  <c r="CB7" i="22"/>
  <c r="CB10" i="22" s="1"/>
  <c r="BM7" i="22"/>
  <c r="BM10" i="22" s="1"/>
  <c r="BG7" i="22"/>
  <c r="BG10" i="22" s="1"/>
  <c r="AZ7" i="22"/>
  <c r="AZ10" i="22" s="1"/>
  <c r="BT7" i="22"/>
  <c r="BT10" i="22" s="1"/>
  <c r="BK7" i="22"/>
  <c r="BK10" i="22" s="1"/>
  <c r="BY7" i="22"/>
  <c r="BY10" i="22" s="1"/>
  <c r="CC7" i="22"/>
  <c r="CC10" i="22" s="1"/>
  <c r="AM7" i="22"/>
  <c r="AM10" i="22" s="1"/>
  <c r="BH7" i="22"/>
  <c r="BH10" i="22" s="1"/>
  <c r="BJ7" i="22"/>
  <c r="BJ10" i="22" s="1"/>
  <c r="AQ7" i="22"/>
  <c r="AQ10" i="22" s="1"/>
  <c r="AN7" i="22"/>
  <c r="AN10" i="22" s="1"/>
  <c r="T64" i="3"/>
  <c r="S63" i="3"/>
  <c r="S66" i="3"/>
  <c r="S67" i="3"/>
  <c r="S64" i="3"/>
  <c r="W67" i="3"/>
  <c r="T66" i="3"/>
  <c r="D70" i="7"/>
  <c r="D46" i="7"/>
  <c r="D68" i="7"/>
  <c r="D64" i="7"/>
  <c r="D43" i="7"/>
  <c r="D59" i="7"/>
  <c r="D72" i="7"/>
  <c r="D51" i="7"/>
  <c r="D69" i="7"/>
  <c r="D66" i="7"/>
  <c r="D50" i="7"/>
  <c r="D71" i="7"/>
  <c r="D60" i="7"/>
  <c r="D37" i="7"/>
  <c r="D41" i="7"/>
  <c r="A34" i="9"/>
  <c r="B33" i="9"/>
  <c r="D45" i="7"/>
  <c r="D56" i="7"/>
  <c r="D53" i="7"/>
  <c r="D63" i="7"/>
  <c r="D65" i="7"/>
  <c r="D74" i="7"/>
  <c r="BS10" i="22"/>
  <c r="W65" i="3"/>
  <c r="T63" i="3"/>
  <c r="W64" i="3"/>
  <c r="W63" i="3"/>
  <c r="T65" i="3"/>
  <c r="U64" i="3"/>
  <c r="U65" i="3"/>
  <c r="U63" i="3"/>
  <c r="V63" i="3"/>
  <c r="V65" i="3"/>
  <c r="BO88" i="8"/>
  <c r="I12" i="5" s="1"/>
  <c r="V66" i="3"/>
  <c r="U66" i="3"/>
  <c r="V67" i="3"/>
  <c r="C9" i="7"/>
  <c r="AG28" i="9" s="1"/>
  <c r="AH28" i="9" s="1"/>
  <c r="AI28" i="9" s="1"/>
  <c r="C27" i="8"/>
  <c r="B28" i="8"/>
  <c r="B13" i="17"/>
  <c r="C13" i="17"/>
  <c r="D13" i="17"/>
  <c r="N14" i="17"/>
  <c r="O4" i="2"/>
  <c r="C61" i="7" l="1"/>
  <c r="C71" i="7"/>
  <c r="D47" i="7"/>
  <c r="D67" i="7"/>
  <c r="D57" i="7"/>
  <c r="Q20" i="7"/>
  <c r="R20" i="7" s="1"/>
  <c r="S20" i="7" s="1"/>
  <c r="D36" i="7" s="1"/>
  <c r="C64" i="7"/>
  <c r="C35" i="7"/>
  <c r="C42" i="7"/>
  <c r="C52" i="7"/>
  <c r="C37" i="7"/>
  <c r="E53" i="7"/>
  <c r="C38" i="7"/>
  <c r="C67" i="7"/>
  <c r="C40" i="7"/>
  <c r="C39" i="7"/>
  <c r="C47" i="7"/>
  <c r="C54" i="7"/>
  <c r="H21" i="7"/>
  <c r="O21" i="7" s="1"/>
  <c r="D58" i="7"/>
  <c r="E58" i="7" s="1"/>
  <c r="D54" i="7"/>
  <c r="D40" i="7"/>
  <c r="C66" i="7"/>
  <c r="E66" i="7" s="1"/>
  <c r="C36" i="7"/>
  <c r="E36" i="7" s="1"/>
  <c r="C63" i="7"/>
  <c r="E63" i="7" s="1"/>
  <c r="C56" i="7"/>
  <c r="C43" i="7"/>
  <c r="E43" i="7" s="1"/>
  <c r="C51" i="7"/>
  <c r="E51" i="7" s="1"/>
  <c r="C72" i="7"/>
  <c r="E72" i="7" s="1"/>
  <c r="P74" i="8"/>
  <c r="D42" i="7"/>
  <c r="E42" i="7" s="1"/>
  <c r="D44" i="7"/>
  <c r="E44" i="7" s="1"/>
  <c r="D55" i="7"/>
  <c r="E55" i="7" s="1"/>
  <c r="D61" i="7"/>
  <c r="E61" i="7" s="1"/>
  <c r="D73" i="7"/>
  <c r="C62" i="7"/>
  <c r="C74" i="7"/>
  <c r="E74" i="7" s="1"/>
  <c r="C46" i="7"/>
  <c r="E46" i="7" s="1"/>
  <c r="C65" i="7"/>
  <c r="E65" i="7" s="1"/>
  <c r="C57" i="7"/>
  <c r="E57" i="7" s="1"/>
  <c r="C73" i="7"/>
  <c r="C59" i="7"/>
  <c r="E59" i="7" s="1"/>
  <c r="C50" i="7"/>
  <c r="E50" i="7" s="1"/>
  <c r="C45" i="7"/>
  <c r="E45" i="7" s="1"/>
  <c r="C70" i="7"/>
  <c r="E70" i="7" s="1"/>
  <c r="C41" i="7"/>
  <c r="E41" i="7" s="1"/>
  <c r="C60" i="7"/>
  <c r="E60" i="7" s="1"/>
  <c r="C49" i="7"/>
  <c r="E49" i="7" s="1"/>
  <c r="D62" i="7"/>
  <c r="D39" i="7"/>
  <c r="D48" i="7"/>
  <c r="E48" i="7" s="1"/>
  <c r="D52" i="7"/>
  <c r="E52" i="7" s="1"/>
  <c r="D38" i="7"/>
  <c r="E38" i="7" s="1"/>
  <c r="O74" i="8"/>
  <c r="H44" i="15"/>
  <c r="T44" i="19"/>
  <c r="R44" i="19"/>
  <c r="P75" i="8"/>
  <c r="O75" i="8"/>
  <c r="H12" i="15"/>
  <c r="Y44" i="19"/>
  <c r="W44" i="19"/>
  <c r="H34" i="14"/>
  <c r="H25" i="15"/>
  <c r="H39" i="14"/>
  <c r="H23" i="15"/>
  <c r="H49" i="15"/>
  <c r="H30" i="15"/>
  <c r="H41" i="14"/>
  <c r="H16" i="14"/>
  <c r="H32" i="14"/>
  <c r="H22" i="14"/>
  <c r="H29" i="15"/>
  <c r="H15" i="14"/>
  <c r="C22" i="8"/>
  <c r="F17" i="8"/>
  <c r="D42" i="8" s="1"/>
  <c r="U44" i="19"/>
  <c r="H36" i="14"/>
  <c r="H41" i="15"/>
  <c r="H39" i="15"/>
  <c r="H42" i="15"/>
  <c r="H16" i="15"/>
  <c r="BI90" i="8"/>
  <c r="H32" i="15"/>
  <c r="H25" i="14"/>
  <c r="E67" i="7"/>
  <c r="C12" i="10"/>
  <c r="K14" i="17"/>
  <c r="F13" i="17"/>
  <c r="E13" i="17"/>
  <c r="J13" i="10" s="1"/>
  <c r="G13" i="17"/>
  <c r="E68" i="7"/>
  <c r="J12" i="10"/>
  <c r="AG10" i="22"/>
  <c r="AF10" i="22"/>
  <c r="E64" i="7"/>
  <c r="E71" i="7"/>
  <c r="D35" i="7"/>
  <c r="E69" i="7"/>
  <c r="E37" i="7"/>
  <c r="E56" i="7"/>
  <c r="A40" i="31"/>
  <c r="H40" i="31" s="1"/>
  <c r="O40" i="31" s="1"/>
  <c r="V40" i="31" s="1"/>
  <c r="A18" i="20"/>
  <c r="M16" i="17"/>
  <c r="T40" i="31"/>
  <c r="AX17" i="20"/>
  <c r="AA40" i="31" s="1"/>
  <c r="J17" i="20"/>
  <c r="W40" i="31" s="1"/>
  <c r="H18" i="20"/>
  <c r="I17" i="20"/>
  <c r="I40" i="31" s="1"/>
  <c r="P48" i="31"/>
  <c r="P24" i="8"/>
  <c r="D22" i="8"/>
  <c r="S41" i="31"/>
  <c r="AN18" i="20"/>
  <c r="Z41" i="31" s="1"/>
  <c r="E40" i="31"/>
  <c r="AM17" i="20"/>
  <c r="L40" i="31" s="1"/>
  <c r="C41" i="31"/>
  <c r="S18" i="20"/>
  <c r="J41" i="31" s="1"/>
  <c r="D39" i="31"/>
  <c r="AC16" i="20"/>
  <c r="K39" i="31" s="1"/>
  <c r="R39" i="31"/>
  <c r="AD16" i="20"/>
  <c r="Y39" i="31" s="1"/>
  <c r="F39" i="31"/>
  <c r="AW16" i="20"/>
  <c r="M39" i="31" s="1"/>
  <c r="B48" i="31"/>
  <c r="Q41" i="31"/>
  <c r="T18" i="20"/>
  <c r="X41" i="31" s="1"/>
  <c r="A35" i="9"/>
  <c r="B34" i="9"/>
  <c r="H10" i="2"/>
  <c r="BP88" i="8"/>
  <c r="BQ88" i="8" s="1"/>
  <c r="BR88" i="8" s="1"/>
  <c r="BS88" i="8" s="1"/>
  <c r="BT88" i="8" s="1"/>
  <c r="BU88" i="8" s="1"/>
  <c r="L2" i="12"/>
  <c r="C28" i="8"/>
  <c r="D14" i="17"/>
  <c r="B14" i="17"/>
  <c r="C14" i="17"/>
  <c r="N15" i="17"/>
  <c r="E35" i="7" l="1"/>
  <c r="E47" i="7"/>
  <c r="E40" i="7"/>
  <c r="E39" i="7"/>
  <c r="E54" i="7"/>
  <c r="J21" i="7"/>
  <c r="P21" i="7" s="1"/>
  <c r="F48" i="7" s="1"/>
  <c r="F10" i="5"/>
  <c r="G3" i="2" s="1"/>
  <c r="G71" i="2" s="1"/>
  <c r="G72" i="2" s="1"/>
  <c r="E62" i="7"/>
  <c r="E73" i="7"/>
  <c r="C34" i="7"/>
  <c r="H6" i="14"/>
  <c r="H6" i="15"/>
  <c r="F13" i="10"/>
  <c r="K15" i="17"/>
  <c r="D15" i="17" s="1"/>
  <c r="F14" i="17"/>
  <c r="G14" i="17"/>
  <c r="E14" i="17"/>
  <c r="C14" i="10" s="1"/>
  <c r="C13" i="10"/>
  <c r="D34" i="7"/>
  <c r="F40" i="31"/>
  <c r="AW17" i="20"/>
  <c r="M40" i="31" s="1"/>
  <c r="A41" i="31"/>
  <c r="H41" i="31" s="1"/>
  <c r="O41" i="31" s="1"/>
  <c r="V41" i="31" s="1"/>
  <c r="M17" i="17"/>
  <c r="A19" i="20"/>
  <c r="T41" i="31"/>
  <c r="AX18" i="20"/>
  <c r="AA41" i="31" s="1"/>
  <c r="Q42" i="31"/>
  <c r="T19" i="20"/>
  <c r="X42" i="31" s="1"/>
  <c r="D40" i="31"/>
  <c r="K40" i="31"/>
  <c r="C42" i="31"/>
  <c r="S19" i="20"/>
  <c r="J42" i="31" s="1"/>
  <c r="E41" i="31"/>
  <c r="AM18" i="20"/>
  <c r="L41" i="31" s="1"/>
  <c r="S42" i="31"/>
  <c r="AN19" i="20"/>
  <c r="Z42" i="31" s="1"/>
  <c r="J18" i="20"/>
  <c r="W41" i="31" s="1"/>
  <c r="H19" i="20"/>
  <c r="I18" i="20"/>
  <c r="I41" i="31" s="1"/>
  <c r="B49" i="31"/>
  <c r="R40" i="31"/>
  <c r="AD17" i="20"/>
  <c r="Y40" i="31" s="1"/>
  <c r="P49" i="31"/>
  <c r="A36" i="9"/>
  <c r="B35" i="9"/>
  <c r="K13" i="12"/>
  <c r="I13" i="5"/>
  <c r="I4" i="5" s="1"/>
  <c r="I5" i="5" s="1"/>
  <c r="I6" i="5" s="1"/>
  <c r="I7" i="5" s="1"/>
  <c r="S7" i="10"/>
  <c r="T7" i="10" s="1"/>
  <c r="U7" i="10" s="1"/>
  <c r="P16" i="11"/>
  <c r="D28" i="8"/>
  <c r="E28" i="8" s="1"/>
  <c r="N16" i="17"/>
  <c r="B15" i="17"/>
  <c r="C15" i="17"/>
  <c r="BW88" i="8"/>
  <c r="BV88" i="8"/>
  <c r="F42" i="7" l="1"/>
  <c r="F51" i="7"/>
  <c r="F36" i="7"/>
  <c r="F43" i="7"/>
  <c r="F41" i="7"/>
  <c r="F61" i="7"/>
  <c r="F53" i="7"/>
  <c r="F49" i="7"/>
  <c r="F69" i="7"/>
  <c r="F67" i="7"/>
  <c r="F71" i="7"/>
  <c r="F37" i="7"/>
  <c r="F47" i="7"/>
  <c r="F70" i="7"/>
  <c r="F46" i="7"/>
  <c r="F40" i="7"/>
  <c r="F39" i="7"/>
  <c r="F45" i="7"/>
  <c r="F62" i="7"/>
  <c r="F65" i="7"/>
  <c r="F73" i="7"/>
  <c r="F54" i="7"/>
  <c r="F57" i="7"/>
  <c r="F68" i="7"/>
  <c r="F74" i="7"/>
  <c r="F52" i="7"/>
  <c r="F44" i="7"/>
  <c r="F58" i="7"/>
  <c r="F60" i="7"/>
  <c r="F50" i="7"/>
  <c r="F59" i="7"/>
  <c r="F66" i="7"/>
  <c r="F38" i="7"/>
  <c r="F35" i="7"/>
  <c r="F56" i="7"/>
  <c r="Q21" i="7"/>
  <c r="R21" i="7" s="1"/>
  <c r="S21" i="7" s="1"/>
  <c r="F55" i="7"/>
  <c r="F63" i="7"/>
  <c r="F64" i="7"/>
  <c r="E34" i="7"/>
  <c r="F72" i="7"/>
  <c r="H22" i="7"/>
  <c r="J22" i="7" s="1"/>
  <c r="V20" i="7" s="1"/>
  <c r="L10" i="5" s="1"/>
  <c r="J14" i="10"/>
  <c r="K16" i="17"/>
  <c r="F15" i="17"/>
  <c r="E15" i="17"/>
  <c r="C15" i="10" s="1"/>
  <c r="G15" i="17"/>
  <c r="F14" i="10"/>
  <c r="R41" i="31"/>
  <c r="AD18" i="20"/>
  <c r="Y41" i="31" s="1"/>
  <c r="B50" i="31"/>
  <c r="Q43" i="31"/>
  <c r="T20" i="20"/>
  <c r="X43" i="31" s="1"/>
  <c r="S43" i="31"/>
  <c r="AN20" i="20"/>
  <c r="Z43" i="31" s="1"/>
  <c r="E42" i="31"/>
  <c r="AM19" i="20"/>
  <c r="L42" i="31" s="1"/>
  <c r="C43" i="31"/>
  <c r="S20" i="20"/>
  <c r="J43" i="31" s="1"/>
  <c r="A42" i="31"/>
  <c r="H42" i="31" s="1"/>
  <c r="O42" i="31" s="1"/>
  <c r="V42" i="31" s="1"/>
  <c r="A20" i="20"/>
  <c r="M18" i="17"/>
  <c r="F41" i="31"/>
  <c r="AW18" i="20"/>
  <c r="M41" i="31" s="1"/>
  <c r="T42" i="31"/>
  <c r="AX19" i="20"/>
  <c r="AA42" i="31" s="1"/>
  <c r="P50" i="31"/>
  <c r="I19" i="20"/>
  <c r="I42" i="31" s="1"/>
  <c r="H20" i="20"/>
  <c r="J19" i="20"/>
  <c r="W42" i="31" s="1"/>
  <c r="D41" i="31"/>
  <c r="K41" i="31"/>
  <c r="B36" i="9"/>
  <c r="A37" i="9"/>
  <c r="I14" i="5"/>
  <c r="I15" i="5" s="1"/>
  <c r="I16" i="5" s="1"/>
  <c r="I17" i="5" s="1"/>
  <c r="I18" i="5" s="1"/>
  <c r="I19" i="5" s="1"/>
  <c r="F28" i="8"/>
  <c r="G28" i="8" s="1"/>
  <c r="B16" i="17"/>
  <c r="N17" i="17"/>
  <c r="C16" i="17"/>
  <c r="D16" i="17"/>
  <c r="F34" i="7" l="1"/>
  <c r="O22" i="7"/>
  <c r="Q22" i="7" s="1"/>
  <c r="R22" i="7" s="1"/>
  <c r="S22" i="7" s="1"/>
  <c r="P22" i="7"/>
  <c r="H23" i="7"/>
  <c r="O23" i="7" s="1"/>
  <c r="V25" i="7"/>
  <c r="Q9" i="15" s="1"/>
  <c r="R9" i="15" s="1"/>
  <c r="U9" i="15" s="1"/>
  <c r="G62" i="7"/>
  <c r="H62" i="7" s="1"/>
  <c r="G45" i="7"/>
  <c r="H45" i="7" s="1"/>
  <c r="J15" i="10"/>
  <c r="F15" i="10"/>
  <c r="K17" i="17"/>
  <c r="E16" i="17"/>
  <c r="C16" i="10" s="1"/>
  <c r="F16" i="17"/>
  <c r="G16" i="17"/>
  <c r="A43" i="31"/>
  <c r="H43" i="31" s="1"/>
  <c r="O43" i="31" s="1"/>
  <c r="V43" i="31" s="1"/>
  <c r="A21" i="20"/>
  <c r="M19" i="17"/>
  <c r="D42" i="31"/>
  <c r="K42" i="31"/>
  <c r="J20" i="20"/>
  <c r="W43" i="31" s="1"/>
  <c r="I20" i="20"/>
  <c r="I43" i="31" s="1"/>
  <c r="H21" i="20"/>
  <c r="E43" i="31"/>
  <c r="AM20" i="20"/>
  <c r="L43" i="31" s="1"/>
  <c r="B51" i="31"/>
  <c r="R42" i="31"/>
  <c r="AD19" i="20"/>
  <c r="Y42" i="31" s="1"/>
  <c r="P51" i="31"/>
  <c r="T43" i="31"/>
  <c r="AX20" i="20"/>
  <c r="AA43" i="31" s="1"/>
  <c r="F42" i="31"/>
  <c r="AW19" i="20"/>
  <c r="M42" i="31" s="1"/>
  <c r="C44" i="31"/>
  <c r="S21" i="20"/>
  <c r="J44" i="31" s="1"/>
  <c r="S44" i="31"/>
  <c r="AN21" i="20"/>
  <c r="Z44" i="31" s="1"/>
  <c r="Q44" i="31"/>
  <c r="T21" i="20"/>
  <c r="X44" i="31" s="1"/>
  <c r="B37" i="9"/>
  <c r="A38" i="9"/>
  <c r="B54" i="8"/>
  <c r="B17" i="17"/>
  <c r="C17" i="17"/>
  <c r="N18" i="17"/>
  <c r="D17" i="17"/>
  <c r="G35" i="7" l="1"/>
  <c r="H35" i="7" s="1"/>
  <c r="Q9" i="14"/>
  <c r="R9" i="14" s="1"/>
  <c r="U9" i="14" s="1"/>
  <c r="G56" i="7"/>
  <c r="H56" i="7" s="1"/>
  <c r="G38" i="7"/>
  <c r="H38" i="7" s="1"/>
  <c r="G43" i="7"/>
  <c r="H43" i="7" s="1"/>
  <c r="G49" i="7"/>
  <c r="H49" i="7" s="1"/>
  <c r="G51" i="7"/>
  <c r="H51" i="7" s="1"/>
  <c r="G42" i="7"/>
  <c r="H42" i="7" s="1"/>
  <c r="G41" i="7"/>
  <c r="H41" i="7" s="1"/>
  <c r="G58" i="7"/>
  <c r="H58" i="7" s="1"/>
  <c r="G44" i="7"/>
  <c r="H44" i="7" s="1"/>
  <c r="G65" i="7"/>
  <c r="H65" i="7" s="1"/>
  <c r="F11" i="5"/>
  <c r="J3" i="2" s="1"/>
  <c r="J71" i="2" s="1"/>
  <c r="J72" i="2" s="1"/>
  <c r="G52" i="7"/>
  <c r="H52" i="7" s="1"/>
  <c r="G63" i="7"/>
  <c r="H63" i="7" s="1"/>
  <c r="G37" i="7"/>
  <c r="H37" i="7" s="1"/>
  <c r="G46" i="7"/>
  <c r="H46" i="7" s="1"/>
  <c r="G74" i="7"/>
  <c r="H74" i="7" s="1"/>
  <c r="G67" i="7"/>
  <c r="H67" i="7" s="1"/>
  <c r="G73" i="7"/>
  <c r="H73" i="7" s="1"/>
  <c r="G68" i="7"/>
  <c r="H68" i="7" s="1"/>
  <c r="G59" i="7"/>
  <c r="H59" i="7" s="1"/>
  <c r="G69" i="7"/>
  <c r="H69" i="7" s="1"/>
  <c r="G66" i="7"/>
  <c r="H66" i="7" s="1"/>
  <c r="G54" i="7"/>
  <c r="H54" i="7" s="1"/>
  <c r="G40" i="7"/>
  <c r="H40" i="7" s="1"/>
  <c r="G71" i="7"/>
  <c r="H71" i="7" s="1"/>
  <c r="G50" i="7"/>
  <c r="H50" i="7" s="1"/>
  <c r="G47" i="7"/>
  <c r="H47" i="7" s="1"/>
  <c r="G70" i="7"/>
  <c r="H70" i="7" s="1"/>
  <c r="G60" i="7"/>
  <c r="H60" i="7" s="1"/>
  <c r="G55" i="7"/>
  <c r="H55" i="7" s="1"/>
  <c r="G48" i="7"/>
  <c r="H48" i="7" s="1"/>
  <c r="G72" i="7"/>
  <c r="H72" i="7" s="1"/>
  <c r="G64" i="7"/>
  <c r="H64" i="7" s="1"/>
  <c r="G39" i="7"/>
  <c r="H39" i="7" s="1"/>
  <c r="G57" i="7"/>
  <c r="H57" i="7" s="1"/>
  <c r="G36" i="7"/>
  <c r="H36" i="7" s="1"/>
  <c r="G61" i="7"/>
  <c r="H61" i="7" s="1"/>
  <c r="G53" i="7"/>
  <c r="H53" i="7" s="1"/>
  <c r="J16" i="10"/>
  <c r="K18" i="17"/>
  <c r="B18" i="17" s="1"/>
  <c r="G17" i="17"/>
  <c r="F17" i="17"/>
  <c r="E17" i="17"/>
  <c r="C17" i="10" s="1"/>
  <c r="F16" i="10"/>
  <c r="S45" i="31"/>
  <c r="AN22" i="20"/>
  <c r="Z45" i="31" s="1"/>
  <c r="F43" i="31"/>
  <c r="AW20" i="20"/>
  <c r="M43" i="31" s="1"/>
  <c r="Q45" i="31"/>
  <c r="T22" i="20"/>
  <c r="X45" i="31" s="1"/>
  <c r="P52" i="31"/>
  <c r="B52" i="31"/>
  <c r="H22" i="20"/>
  <c r="I21" i="20"/>
  <c r="I44" i="31" s="1"/>
  <c r="J21" i="20"/>
  <c r="W44" i="31" s="1"/>
  <c r="A44" i="31"/>
  <c r="H44" i="31" s="1"/>
  <c r="O44" i="31" s="1"/>
  <c r="V44" i="31" s="1"/>
  <c r="M20" i="17"/>
  <c r="A22" i="20"/>
  <c r="E44" i="31"/>
  <c r="AM21" i="20"/>
  <c r="L44" i="31" s="1"/>
  <c r="R43" i="31"/>
  <c r="AD20" i="20"/>
  <c r="Y43" i="31" s="1"/>
  <c r="C45" i="31"/>
  <c r="S22" i="20"/>
  <c r="J45" i="31" s="1"/>
  <c r="T44" i="31"/>
  <c r="AX21" i="20"/>
  <c r="AA44" i="31" s="1"/>
  <c r="D43" i="31"/>
  <c r="K43" i="31"/>
  <c r="A39" i="9"/>
  <c r="B38" i="9"/>
  <c r="D54" i="8"/>
  <c r="C54" i="8"/>
  <c r="D18" i="17"/>
  <c r="N19" i="17"/>
  <c r="C18" i="17"/>
  <c r="H34" i="7" l="1"/>
  <c r="G34" i="7"/>
  <c r="F17" i="10"/>
  <c r="K19" i="17"/>
  <c r="C19" i="17" s="1"/>
  <c r="E18" i="17"/>
  <c r="J18" i="10" s="1"/>
  <c r="F18" i="17"/>
  <c r="G18" i="17"/>
  <c r="J17" i="10"/>
  <c r="C46" i="31"/>
  <c r="S23" i="20"/>
  <c r="J46" i="31" s="1"/>
  <c r="E45" i="31"/>
  <c r="AM22" i="20"/>
  <c r="L45" i="31" s="1"/>
  <c r="A45" i="31"/>
  <c r="H45" i="31" s="1"/>
  <c r="O45" i="31" s="1"/>
  <c r="V45" i="31" s="1"/>
  <c r="A23" i="20"/>
  <c r="M21" i="17"/>
  <c r="R44" i="31"/>
  <c r="AD21" i="20"/>
  <c r="Y44" i="31" s="1"/>
  <c r="H23" i="20"/>
  <c r="J22" i="20"/>
  <c r="W45" i="31" s="1"/>
  <c r="I22" i="20"/>
  <c r="I45" i="31" s="1"/>
  <c r="P53" i="31"/>
  <c r="S46" i="31"/>
  <c r="AN23" i="20"/>
  <c r="Z46" i="31" s="1"/>
  <c r="D44" i="31"/>
  <c r="K44" i="31"/>
  <c r="T45" i="31"/>
  <c r="AX22" i="20"/>
  <c r="AA45" i="31" s="1"/>
  <c r="B53" i="31"/>
  <c r="Q46" i="31"/>
  <c r="T23" i="20"/>
  <c r="X46" i="31" s="1"/>
  <c r="F44" i="31"/>
  <c r="AW21" i="20"/>
  <c r="M44" i="31" s="1"/>
  <c r="B39" i="9"/>
  <c r="A40" i="9"/>
  <c r="B20" i="8"/>
  <c r="B43" i="8" s="1"/>
  <c r="D19" i="17"/>
  <c r="N20" i="17"/>
  <c r="B19" i="17"/>
  <c r="C18" i="10" l="1"/>
  <c r="K20" i="17"/>
  <c r="C20" i="17" s="1"/>
  <c r="F19" i="17"/>
  <c r="G19" i="17"/>
  <c r="E19" i="17"/>
  <c r="J19" i="10" s="1"/>
  <c r="F18" i="10"/>
  <c r="H24" i="20"/>
  <c r="I23" i="20"/>
  <c r="I46" i="31" s="1"/>
  <c r="J23" i="20"/>
  <c r="W46" i="31" s="1"/>
  <c r="AW22" i="20"/>
  <c r="M45" i="31" s="1"/>
  <c r="F45" i="31"/>
  <c r="B54" i="31"/>
  <c r="D45" i="31"/>
  <c r="K45" i="31"/>
  <c r="S47" i="31"/>
  <c r="AN24" i="20"/>
  <c r="Z47" i="31" s="1"/>
  <c r="R45" i="31"/>
  <c r="AD22" i="20"/>
  <c r="Y45" i="31" s="1"/>
  <c r="A46" i="31"/>
  <c r="H46" i="31" s="1"/>
  <c r="O46" i="31" s="1"/>
  <c r="V46" i="31" s="1"/>
  <c r="M22" i="17"/>
  <c r="A24" i="20"/>
  <c r="Q47" i="31"/>
  <c r="T24" i="20"/>
  <c r="X47" i="31" s="1"/>
  <c r="T46" i="31"/>
  <c r="AX23" i="20"/>
  <c r="AA46" i="31" s="1"/>
  <c r="E46" i="31"/>
  <c r="AM23" i="20"/>
  <c r="L46" i="31" s="1"/>
  <c r="C47" i="31"/>
  <c r="S24" i="20"/>
  <c r="J47" i="31" s="1"/>
  <c r="P54" i="31"/>
  <c r="B40" i="9"/>
  <c r="A41" i="9"/>
  <c r="C43" i="8"/>
  <c r="D43" i="8"/>
  <c r="D20" i="17"/>
  <c r="N21" i="17"/>
  <c r="B20" i="17"/>
  <c r="C19" i="10" l="1"/>
  <c r="K21" i="17"/>
  <c r="C21" i="17" s="1"/>
  <c r="F20" i="17"/>
  <c r="E20" i="17"/>
  <c r="J20" i="10" s="1"/>
  <c r="G20" i="17"/>
  <c r="F19" i="10"/>
  <c r="R46" i="31"/>
  <c r="AD23" i="20"/>
  <c r="Y46" i="31" s="1"/>
  <c r="P55" i="31"/>
  <c r="Q48" i="31"/>
  <c r="T25" i="20"/>
  <c r="X48" i="31" s="1"/>
  <c r="A47" i="31"/>
  <c r="H47" i="31" s="1"/>
  <c r="O47" i="31" s="1"/>
  <c r="V47" i="31" s="1"/>
  <c r="A25" i="20"/>
  <c r="M23" i="17"/>
  <c r="S48" i="31"/>
  <c r="AN25" i="20"/>
  <c r="Z48" i="31" s="1"/>
  <c r="B55" i="31"/>
  <c r="F46" i="31"/>
  <c r="AW23" i="20"/>
  <c r="M46" i="31" s="1"/>
  <c r="C48" i="31"/>
  <c r="S25" i="20"/>
  <c r="J48" i="31" s="1"/>
  <c r="E47" i="31"/>
  <c r="AM24" i="20"/>
  <c r="L47" i="31" s="1"/>
  <c r="T47" i="31"/>
  <c r="AX24" i="20"/>
  <c r="AA47" i="31" s="1"/>
  <c r="D46" i="31"/>
  <c r="K46" i="31"/>
  <c r="H25" i="20"/>
  <c r="J24" i="20"/>
  <c r="W47" i="31" s="1"/>
  <c r="I24" i="20"/>
  <c r="I47" i="31" s="1"/>
  <c r="A42" i="9"/>
  <c r="B41" i="9"/>
  <c r="B21" i="17"/>
  <c r="N22" i="17"/>
  <c r="D21" i="17"/>
  <c r="F20" i="10" l="1"/>
  <c r="C20" i="10"/>
  <c r="K22" i="17"/>
  <c r="E21" i="17"/>
  <c r="C21" i="10" s="1"/>
  <c r="F21" i="17"/>
  <c r="G21" i="17"/>
  <c r="D47" i="31"/>
  <c r="K47" i="31"/>
  <c r="Q49" i="31"/>
  <c r="T26" i="20"/>
  <c r="X49" i="31" s="1"/>
  <c r="T48" i="31"/>
  <c r="AX25" i="20"/>
  <c r="AA48" i="31" s="1"/>
  <c r="F47" i="31"/>
  <c r="AW24" i="20"/>
  <c r="M47" i="31" s="1"/>
  <c r="P56" i="31"/>
  <c r="R47" i="31"/>
  <c r="AD24" i="20"/>
  <c r="Y47" i="31" s="1"/>
  <c r="S49" i="31"/>
  <c r="AN26" i="20"/>
  <c r="Z49" i="31" s="1"/>
  <c r="A48" i="31"/>
  <c r="H48" i="31" s="1"/>
  <c r="O48" i="31" s="1"/>
  <c r="V48" i="31" s="1"/>
  <c r="M24" i="17"/>
  <c r="A26" i="20"/>
  <c r="H26" i="20"/>
  <c r="J25" i="20"/>
  <c r="W48" i="31" s="1"/>
  <c r="I25" i="20"/>
  <c r="I48" i="31" s="1"/>
  <c r="E48" i="31"/>
  <c r="AM25" i="20"/>
  <c r="L48" i="31" s="1"/>
  <c r="C49" i="31"/>
  <c r="S26" i="20"/>
  <c r="J49" i="31" s="1"/>
  <c r="B56" i="31"/>
  <c r="B42" i="9"/>
  <c r="A43" i="9"/>
  <c r="C22" i="17"/>
  <c r="D22" i="17"/>
  <c r="N23" i="17"/>
  <c r="B22" i="17"/>
  <c r="J21" i="10" l="1"/>
  <c r="K23" i="17"/>
  <c r="C23" i="17" s="1"/>
  <c r="E22" i="17"/>
  <c r="F22" i="10" s="1"/>
  <c r="F22" i="17"/>
  <c r="G22" i="17"/>
  <c r="F21" i="10"/>
  <c r="C50" i="31"/>
  <c r="S27" i="20"/>
  <c r="J50" i="31" s="1"/>
  <c r="A49" i="31"/>
  <c r="H49" i="31" s="1"/>
  <c r="O49" i="31" s="1"/>
  <c r="V49" i="31" s="1"/>
  <c r="M25" i="17"/>
  <c r="A27" i="20"/>
  <c r="Q50" i="31"/>
  <c r="T27" i="20"/>
  <c r="X50" i="31" s="1"/>
  <c r="B57" i="31"/>
  <c r="H27" i="20"/>
  <c r="I26" i="20"/>
  <c r="I49" i="31" s="1"/>
  <c r="J26" i="20"/>
  <c r="W49" i="31" s="1"/>
  <c r="R48" i="31"/>
  <c r="AD25" i="20"/>
  <c r="Y48" i="31" s="1"/>
  <c r="P57" i="31"/>
  <c r="E49" i="31"/>
  <c r="AM26" i="20"/>
  <c r="L49" i="31" s="1"/>
  <c r="F48" i="31"/>
  <c r="AW25" i="20"/>
  <c r="M48" i="31" s="1"/>
  <c r="D48" i="31"/>
  <c r="K48" i="31"/>
  <c r="S50" i="31"/>
  <c r="AN27" i="20"/>
  <c r="Z50" i="31" s="1"/>
  <c r="T49" i="31"/>
  <c r="AX26" i="20"/>
  <c r="AA49" i="31" s="1"/>
  <c r="B43" i="9"/>
  <c r="A44" i="9"/>
  <c r="B23" i="17"/>
  <c r="D23" i="17"/>
  <c r="N24" i="17"/>
  <c r="C22" i="10" l="1"/>
  <c r="K24" i="17"/>
  <c r="D24" i="17" s="1"/>
  <c r="E23" i="17"/>
  <c r="F23" i="10" s="1"/>
  <c r="G23" i="17"/>
  <c r="F23" i="17"/>
  <c r="J22" i="10"/>
  <c r="R49" i="31"/>
  <c r="AD26" i="20"/>
  <c r="Y49" i="31" s="1"/>
  <c r="C51" i="31"/>
  <c r="S28" i="20"/>
  <c r="J51" i="31" s="1"/>
  <c r="H28" i="20"/>
  <c r="J27" i="20"/>
  <c r="W50" i="31" s="1"/>
  <c r="I27" i="20"/>
  <c r="I50" i="31" s="1"/>
  <c r="A50" i="31"/>
  <c r="H50" i="31" s="1"/>
  <c r="O50" i="31" s="1"/>
  <c r="V50" i="31" s="1"/>
  <c r="M26" i="17"/>
  <c r="A28" i="20"/>
  <c r="T50" i="31"/>
  <c r="AX27" i="20"/>
  <c r="AA50" i="31" s="1"/>
  <c r="E50" i="31"/>
  <c r="AM27" i="20"/>
  <c r="L50" i="31" s="1"/>
  <c r="P58" i="31"/>
  <c r="Q51" i="31"/>
  <c r="T28" i="20"/>
  <c r="X51" i="31" s="1"/>
  <c r="S51" i="31"/>
  <c r="AN28" i="20"/>
  <c r="Z51" i="31" s="1"/>
  <c r="F49" i="31"/>
  <c r="AW26" i="20"/>
  <c r="M49" i="31" s="1"/>
  <c r="D49" i="31"/>
  <c r="K49" i="31"/>
  <c r="B58" i="31"/>
  <c r="A45" i="9"/>
  <c r="B44" i="9"/>
  <c r="B24" i="17"/>
  <c r="N25" i="17"/>
  <c r="J23" i="10" l="1"/>
  <c r="C23" i="10"/>
  <c r="C24" i="17"/>
  <c r="K25" i="17"/>
  <c r="B25" i="17" s="1"/>
  <c r="G24" i="17"/>
  <c r="E24" i="17"/>
  <c r="C24" i="10" s="1"/>
  <c r="F24" i="17"/>
  <c r="D50" i="31"/>
  <c r="K50" i="31"/>
  <c r="T51" i="31"/>
  <c r="AX28" i="20"/>
  <c r="AA51" i="31" s="1"/>
  <c r="C52" i="31"/>
  <c r="S29" i="20"/>
  <c r="J52" i="31" s="1"/>
  <c r="R50" i="31"/>
  <c r="AD27" i="20"/>
  <c r="Y50" i="31" s="1"/>
  <c r="B59" i="31"/>
  <c r="F50" i="31"/>
  <c r="AW27" i="20"/>
  <c r="M50" i="31" s="1"/>
  <c r="P59" i="31"/>
  <c r="Q52" i="31"/>
  <c r="T29" i="20"/>
  <c r="X52" i="31" s="1"/>
  <c r="M27" i="17"/>
  <c r="A29" i="20"/>
  <c r="A51" i="31"/>
  <c r="H51" i="31" s="1"/>
  <c r="O51" i="31" s="1"/>
  <c r="V51" i="31" s="1"/>
  <c r="S52" i="31"/>
  <c r="AN29" i="20"/>
  <c r="Z52" i="31" s="1"/>
  <c r="E51" i="31"/>
  <c r="AM28" i="20"/>
  <c r="L51" i="31" s="1"/>
  <c r="H29" i="20"/>
  <c r="J28" i="20"/>
  <c r="W51" i="31" s="1"/>
  <c r="I28" i="20"/>
  <c r="I51" i="31" s="1"/>
  <c r="A46" i="9"/>
  <c r="B45" i="9"/>
  <c r="N26" i="17"/>
  <c r="C25" i="17"/>
  <c r="D25" i="17"/>
  <c r="K26" i="17" l="1"/>
  <c r="G25" i="17"/>
  <c r="E25" i="17"/>
  <c r="C25" i="10" s="1"/>
  <c r="F25" i="17"/>
  <c r="J24" i="10"/>
  <c r="F24" i="10"/>
  <c r="E52" i="31"/>
  <c r="AM29" i="20"/>
  <c r="L52" i="31" s="1"/>
  <c r="S53" i="31"/>
  <c r="AN30" i="20"/>
  <c r="Z53" i="31" s="1"/>
  <c r="D51" i="31"/>
  <c r="K51" i="31"/>
  <c r="A52" i="31"/>
  <c r="H52" i="31" s="1"/>
  <c r="O52" i="31" s="1"/>
  <c r="V52" i="31" s="1"/>
  <c r="A30" i="20"/>
  <c r="M28" i="17"/>
  <c r="F51" i="31"/>
  <c r="AW28" i="20"/>
  <c r="M51" i="31" s="1"/>
  <c r="B60" i="31"/>
  <c r="C53" i="31"/>
  <c r="S30" i="20"/>
  <c r="J53" i="31" s="1"/>
  <c r="R51" i="31"/>
  <c r="AD28" i="20"/>
  <c r="Y51" i="31" s="1"/>
  <c r="T52" i="31"/>
  <c r="AX29" i="20"/>
  <c r="AA52" i="31" s="1"/>
  <c r="H30" i="20"/>
  <c r="J29" i="20"/>
  <c r="W52" i="31" s="1"/>
  <c r="I29" i="20"/>
  <c r="I52" i="31" s="1"/>
  <c r="Q53" i="31"/>
  <c r="T30" i="20"/>
  <c r="X53" i="31" s="1"/>
  <c r="P60" i="31"/>
  <c r="A47" i="9"/>
  <c r="B46" i="9"/>
  <c r="N27" i="17"/>
  <c r="C26" i="17"/>
  <c r="B26" i="17"/>
  <c r="D26" i="17"/>
  <c r="J25" i="10" l="1"/>
  <c r="F25" i="10"/>
  <c r="K27" i="17"/>
  <c r="F26" i="17"/>
  <c r="G26" i="17"/>
  <c r="E26" i="17"/>
  <c r="C26" i="10" s="1"/>
  <c r="H31" i="20"/>
  <c r="I30" i="20"/>
  <c r="I53" i="31" s="1"/>
  <c r="J30" i="20"/>
  <c r="W53" i="31" s="1"/>
  <c r="C54" i="31"/>
  <c r="S31" i="20"/>
  <c r="J54" i="31" s="1"/>
  <c r="F52" i="31"/>
  <c r="AW29" i="20"/>
  <c r="M52" i="31" s="1"/>
  <c r="E53" i="31"/>
  <c r="AM30" i="20"/>
  <c r="L53" i="31" s="1"/>
  <c r="B61" i="31"/>
  <c r="D52" i="31"/>
  <c r="K52" i="31"/>
  <c r="S54" i="31"/>
  <c r="AN31" i="20"/>
  <c r="Z54" i="31" s="1"/>
  <c r="T53" i="31"/>
  <c r="AX30" i="20"/>
  <c r="AA53" i="31" s="1"/>
  <c r="R52" i="31"/>
  <c r="AD29" i="20"/>
  <c r="Y52" i="31" s="1"/>
  <c r="P61" i="31"/>
  <c r="Q54" i="31"/>
  <c r="T31" i="20"/>
  <c r="X54" i="31" s="1"/>
  <c r="A53" i="31"/>
  <c r="H53" i="31" s="1"/>
  <c r="O53" i="31" s="1"/>
  <c r="V53" i="31" s="1"/>
  <c r="M29" i="17"/>
  <c r="A31" i="20"/>
  <c r="A48" i="9"/>
  <c r="B47" i="9"/>
  <c r="B27" i="17"/>
  <c r="C27" i="17"/>
  <c r="N28" i="17"/>
  <c r="D27" i="17"/>
  <c r="K28" i="17" l="1"/>
  <c r="F27" i="17"/>
  <c r="E27" i="17"/>
  <c r="F27" i="10" s="1"/>
  <c r="G27" i="17"/>
  <c r="F26" i="10"/>
  <c r="J26" i="10"/>
  <c r="Q55" i="31"/>
  <c r="T32" i="20"/>
  <c r="X55" i="31" s="1"/>
  <c r="S55" i="31"/>
  <c r="AN32" i="20"/>
  <c r="Z55" i="31" s="1"/>
  <c r="B62" i="31"/>
  <c r="A54" i="31"/>
  <c r="H54" i="31" s="1"/>
  <c r="O54" i="31" s="1"/>
  <c r="V54" i="31" s="1"/>
  <c r="A32" i="20"/>
  <c r="M30" i="17"/>
  <c r="P62" i="31"/>
  <c r="C55" i="31"/>
  <c r="S32" i="20"/>
  <c r="J55" i="31" s="1"/>
  <c r="R53" i="31"/>
  <c r="AD30" i="20"/>
  <c r="Y53" i="31" s="1"/>
  <c r="T54" i="31"/>
  <c r="AX31" i="20"/>
  <c r="AA54" i="31" s="1"/>
  <c r="E54" i="31"/>
  <c r="AM31" i="20"/>
  <c r="L54" i="31" s="1"/>
  <c r="D53" i="31"/>
  <c r="K53" i="31"/>
  <c r="F53" i="31"/>
  <c r="AW30" i="20"/>
  <c r="M53" i="31" s="1"/>
  <c r="H32" i="20"/>
  <c r="I31" i="20"/>
  <c r="I54" i="31" s="1"/>
  <c r="J31" i="20"/>
  <c r="W54" i="31" s="1"/>
  <c r="B48" i="9"/>
  <c r="A49" i="9"/>
  <c r="D28" i="17"/>
  <c r="B28" i="17"/>
  <c r="N29" i="17"/>
  <c r="C28" i="17"/>
  <c r="C27" i="10" l="1"/>
  <c r="K29" i="17"/>
  <c r="B29" i="17" s="1"/>
  <c r="E28" i="17"/>
  <c r="F28" i="10" s="1"/>
  <c r="F28" i="17"/>
  <c r="G28" i="17"/>
  <c r="J27" i="10"/>
  <c r="T55" i="31"/>
  <c r="AX32" i="20"/>
  <c r="AA55" i="31" s="1"/>
  <c r="C56" i="31"/>
  <c r="S33" i="20"/>
  <c r="J56" i="31" s="1"/>
  <c r="Q56" i="31"/>
  <c r="T33" i="20"/>
  <c r="X56" i="31" s="1"/>
  <c r="AW31" i="20"/>
  <c r="M54" i="31" s="1"/>
  <c r="F54" i="31"/>
  <c r="R54" i="31"/>
  <c r="AD31" i="20"/>
  <c r="Y54" i="31" s="1"/>
  <c r="B63" i="31"/>
  <c r="C41" i="20"/>
  <c r="S56" i="31"/>
  <c r="AN33" i="20"/>
  <c r="Z56" i="31" s="1"/>
  <c r="P63" i="31"/>
  <c r="D41" i="20"/>
  <c r="A55" i="31"/>
  <c r="H55" i="31" s="1"/>
  <c r="O55" i="31" s="1"/>
  <c r="V55" i="31" s="1"/>
  <c r="A33" i="20"/>
  <c r="M31" i="17"/>
  <c r="H33" i="20"/>
  <c r="I32" i="20"/>
  <c r="I55" i="31" s="1"/>
  <c r="J32" i="20"/>
  <c r="W55" i="31" s="1"/>
  <c r="D54" i="31"/>
  <c r="K54" i="31"/>
  <c r="E55" i="31"/>
  <c r="AM32" i="20"/>
  <c r="L55" i="31" s="1"/>
  <c r="A50" i="9"/>
  <c r="B49" i="9"/>
  <c r="D29" i="17"/>
  <c r="N30" i="17"/>
  <c r="C29" i="17"/>
  <c r="C28" i="10" l="1"/>
  <c r="K30" i="17"/>
  <c r="E29" i="17"/>
  <c r="J29" i="10" s="1"/>
  <c r="F29" i="17"/>
  <c r="G29" i="17"/>
  <c r="J28" i="10"/>
  <c r="C57" i="31"/>
  <c r="S34" i="20"/>
  <c r="J57" i="31" s="1"/>
  <c r="T56" i="31"/>
  <c r="AX33" i="20"/>
  <c r="AA56" i="31" s="1"/>
  <c r="D55" i="31"/>
  <c r="K55" i="31"/>
  <c r="A56" i="31"/>
  <c r="H56" i="31" s="1"/>
  <c r="O56" i="31" s="1"/>
  <c r="V56" i="31" s="1"/>
  <c r="M32" i="17"/>
  <c r="A34" i="20"/>
  <c r="S57" i="31"/>
  <c r="AN34" i="20"/>
  <c r="Z57" i="31" s="1"/>
  <c r="Q57" i="31"/>
  <c r="T34" i="20"/>
  <c r="X57" i="31" s="1"/>
  <c r="B64" i="31"/>
  <c r="C42" i="20"/>
  <c r="E56" i="31"/>
  <c r="AM33" i="20"/>
  <c r="L56" i="31" s="1"/>
  <c r="H34" i="20"/>
  <c r="J33" i="20"/>
  <c r="W56" i="31" s="1"/>
  <c r="I33" i="20"/>
  <c r="I56" i="31" s="1"/>
  <c r="P64" i="31"/>
  <c r="D42" i="20"/>
  <c r="R55" i="31"/>
  <c r="AD32" i="20"/>
  <c r="Y55" i="31" s="1"/>
  <c r="F55" i="31"/>
  <c r="AW32" i="20"/>
  <c r="M55" i="31" s="1"/>
  <c r="B50" i="9"/>
  <c r="A51" i="9"/>
  <c r="N31" i="17"/>
  <c r="C30" i="17"/>
  <c r="D30" i="17"/>
  <c r="C29" i="10" l="1"/>
  <c r="F29" i="10"/>
  <c r="K31" i="17"/>
  <c r="F30" i="17"/>
  <c r="E30" i="17"/>
  <c r="C30" i="10" s="1"/>
  <c r="G30" i="17"/>
  <c r="B30" i="17"/>
  <c r="I11" i="17"/>
  <c r="I12" i="17"/>
  <c r="I13" i="17"/>
  <c r="I14" i="17"/>
  <c r="I15" i="17"/>
  <c r="I16" i="17"/>
  <c r="I17" i="17"/>
  <c r="I18" i="17"/>
  <c r="I19" i="17"/>
  <c r="I20" i="17"/>
  <c r="I21" i="17"/>
  <c r="I22" i="17"/>
  <c r="I23" i="17"/>
  <c r="I24" i="17"/>
  <c r="I25" i="17"/>
  <c r="I26" i="17"/>
  <c r="I27" i="17"/>
  <c r="E57" i="31"/>
  <c r="AM34" i="20"/>
  <c r="L57" i="31" s="1"/>
  <c r="Q58" i="31"/>
  <c r="T35" i="20"/>
  <c r="X58" i="31" s="1"/>
  <c r="C58" i="31"/>
  <c r="S35" i="20"/>
  <c r="J58" i="31" s="1"/>
  <c r="P65" i="31"/>
  <c r="D43" i="20"/>
  <c r="B65" i="31"/>
  <c r="C43" i="20"/>
  <c r="D56" i="31"/>
  <c r="K56" i="31"/>
  <c r="H35" i="20"/>
  <c r="I34" i="20"/>
  <c r="I57" i="31" s="1"/>
  <c r="J34" i="20"/>
  <c r="W57" i="31" s="1"/>
  <c r="S58" i="31"/>
  <c r="AN35" i="20"/>
  <c r="Z58" i="31" s="1"/>
  <c r="R56" i="31"/>
  <c r="AD33" i="20"/>
  <c r="Y56" i="31" s="1"/>
  <c r="I28" i="17"/>
  <c r="F56" i="31"/>
  <c r="AW33" i="20"/>
  <c r="M56" i="31" s="1"/>
  <c r="A57" i="31"/>
  <c r="H57" i="31" s="1"/>
  <c r="O57" i="31" s="1"/>
  <c r="V57" i="31" s="1"/>
  <c r="A35" i="20"/>
  <c r="M33" i="17"/>
  <c r="T57" i="31"/>
  <c r="AX34" i="20"/>
  <c r="AA57" i="31" s="1"/>
  <c r="B51" i="9"/>
  <c r="A52" i="9"/>
  <c r="D31" i="17"/>
  <c r="B31" i="17"/>
  <c r="C31" i="17"/>
  <c r="N32" i="17"/>
  <c r="I29" i="17" l="1"/>
  <c r="Q53" i="7" s="1"/>
  <c r="V53" i="7" s="1"/>
  <c r="J30" i="10"/>
  <c r="F30" i="10"/>
  <c r="K32" i="17"/>
  <c r="F31" i="17"/>
  <c r="G31" i="17"/>
  <c r="E31" i="17"/>
  <c r="F31" i="10" s="1"/>
  <c r="Q59" i="31"/>
  <c r="T36" i="20"/>
  <c r="X59" i="31" s="1"/>
  <c r="P50" i="7"/>
  <c r="Q50" i="7"/>
  <c r="V50" i="7" s="1"/>
  <c r="Q42" i="7"/>
  <c r="V42" i="7" s="1"/>
  <c r="P42" i="7"/>
  <c r="P38" i="7"/>
  <c r="U38" i="7" s="1"/>
  <c r="Q38" i="7"/>
  <c r="P52" i="7"/>
  <c r="Q52" i="7"/>
  <c r="V52" i="7" s="1"/>
  <c r="S59" i="31"/>
  <c r="AN36" i="20"/>
  <c r="Z59" i="31" s="1"/>
  <c r="P66" i="31"/>
  <c r="D44" i="20"/>
  <c r="Q45" i="7"/>
  <c r="V45" i="7" s="1"/>
  <c r="P45" i="7"/>
  <c r="Q41" i="7"/>
  <c r="V41" i="7" s="1"/>
  <c r="P41" i="7"/>
  <c r="P37" i="7"/>
  <c r="Q37" i="7"/>
  <c r="V37" i="7" s="1"/>
  <c r="F57" i="31"/>
  <c r="AW34" i="20"/>
  <c r="M57" i="31" s="1"/>
  <c r="R57" i="31"/>
  <c r="AD34" i="20"/>
  <c r="Y57" i="31" s="1"/>
  <c r="H36" i="20"/>
  <c r="I35" i="20"/>
  <c r="I58" i="31" s="1"/>
  <c r="J35" i="20"/>
  <c r="W58" i="31" s="1"/>
  <c r="Q48" i="7"/>
  <c r="V48" i="7" s="1"/>
  <c r="P48" i="7"/>
  <c r="Q44" i="7"/>
  <c r="V44" i="7" s="1"/>
  <c r="P44" i="7"/>
  <c r="P40" i="7"/>
  <c r="Q40" i="7"/>
  <c r="V40" i="7" s="1"/>
  <c r="P36" i="7"/>
  <c r="Q36" i="7"/>
  <c r="V36" i="7" s="1"/>
  <c r="T58" i="31"/>
  <c r="AX35" i="20"/>
  <c r="AA58" i="31" s="1"/>
  <c r="C59" i="31"/>
  <c r="S36" i="20"/>
  <c r="J59" i="31" s="1"/>
  <c r="P46" i="7"/>
  <c r="Q46" i="7"/>
  <c r="V46" i="7" s="1"/>
  <c r="P49" i="7"/>
  <c r="Q49" i="7"/>
  <c r="V49" i="7" s="1"/>
  <c r="A58" i="31"/>
  <c r="H58" i="31" s="1"/>
  <c r="O58" i="31" s="1"/>
  <c r="V58" i="31" s="1"/>
  <c r="A36" i="20"/>
  <c r="M34" i="17"/>
  <c r="D57" i="31"/>
  <c r="K57" i="31"/>
  <c r="B66" i="31"/>
  <c r="C44" i="20"/>
  <c r="E58" i="31"/>
  <c r="AM35" i="20"/>
  <c r="L58" i="31" s="1"/>
  <c r="Q51" i="7"/>
  <c r="V51" i="7" s="1"/>
  <c r="P51" i="7"/>
  <c r="P47" i="7"/>
  <c r="Q47" i="7"/>
  <c r="V47" i="7" s="1"/>
  <c r="P43" i="7"/>
  <c r="Q43" i="7"/>
  <c r="V43" i="7" s="1"/>
  <c r="P39" i="7"/>
  <c r="Q39" i="7"/>
  <c r="V39" i="7" s="1"/>
  <c r="P35" i="7"/>
  <c r="Q35" i="7"/>
  <c r="V35" i="7" s="1"/>
  <c r="B52" i="9"/>
  <c r="A53" i="9"/>
  <c r="N33" i="17"/>
  <c r="D32" i="17"/>
  <c r="C32" i="17"/>
  <c r="B32" i="17"/>
  <c r="P53" i="7" l="1"/>
  <c r="U53" i="7" s="1"/>
  <c r="I30" i="17"/>
  <c r="C31" i="10"/>
  <c r="J31" i="10"/>
  <c r="K33" i="17"/>
  <c r="B33" i="17" s="1"/>
  <c r="G32" i="17"/>
  <c r="F32" i="17"/>
  <c r="E32" i="17"/>
  <c r="F32" i="10" s="1"/>
  <c r="E59" i="31"/>
  <c r="AM36" i="20"/>
  <c r="L59" i="31" s="1"/>
  <c r="A59" i="31"/>
  <c r="H59" i="31" s="1"/>
  <c r="O59" i="31" s="1"/>
  <c r="V59" i="31" s="1"/>
  <c r="A37" i="20"/>
  <c r="M35" i="17"/>
  <c r="U40" i="7"/>
  <c r="Z40" i="7"/>
  <c r="R58" i="31"/>
  <c r="AD35" i="20"/>
  <c r="Y58" i="31" s="1"/>
  <c r="U41" i="7"/>
  <c r="Z41" i="7"/>
  <c r="P67" i="31"/>
  <c r="D45" i="20"/>
  <c r="U50" i="7"/>
  <c r="Z50" i="7"/>
  <c r="U39" i="7"/>
  <c r="Z39" i="7"/>
  <c r="U47" i="7"/>
  <c r="Z47" i="7"/>
  <c r="B67" i="31"/>
  <c r="C45" i="20"/>
  <c r="U46" i="7"/>
  <c r="Z46" i="7"/>
  <c r="U44" i="7"/>
  <c r="Z44" i="7"/>
  <c r="Z42" i="7"/>
  <c r="U42" i="7"/>
  <c r="Q60" i="31"/>
  <c r="T37" i="20"/>
  <c r="X60" i="31" s="1"/>
  <c r="U51" i="7"/>
  <c r="Z51" i="7"/>
  <c r="C60" i="31"/>
  <c r="S37" i="20"/>
  <c r="J60" i="31" s="1"/>
  <c r="U36" i="7"/>
  <c r="Z36" i="7"/>
  <c r="U45" i="7"/>
  <c r="Z45" i="7"/>
  <c r="S60" i="31"/>
  <c r="AN37" i="20"/>
  <c r="Z60" i="31" s="1"/>
  <c r="U52" i="7"/>
  <c r="Z52" i="7"/>
  <c r="F58" i="31"/>
  <c r="AW35" i="20"/>
  <c r="M58" i="31" s="1"/>
  <c r="U35" i="7"/>
  <c r="Z35" i="7"/>
  <c r="U43" i="7"/>
  <c r="Z43" i="7"/>
  <c r="D58" i="31"/>
  <c r="K58" i="31"/>
  <c r="U49" i="7"/>
  <c r="Z49" i="7"/>
  <c r="T59" i="31"/>
  <c r="AX36" i="20"/>
  <c r="AA59" i="31" s="1"/>
  <c r="U48" i="7"/>
  <c r="Z48" i="7"/>
  <c r="H37" i="20"/>
  <c r="I36" i="20"/>
  <c r="I59" i="31" s="1"/>
  <c r="J36" i="20"/>
  <c r="W59" i="31" s="1"/>
  <c r="U37" i="7"/>
  <c r="Z37" i="7"/>
  <c r="Z38" i="7"/>
  <c r="V38" i="7"/>
  <c r="B53" i="9"/>
  <c r="A54" i="9"/>
  <c r="N34" i="17"/>
  <c r="Z53" i="7" l="1"/>
  <c r="Q28" i="15" s="1"/>
  <c r="C33" i="17"/>
  <c r="D33" i="17"/>
  <c r="P54" i="7"/>
  <c r="Q54" i="7"/>
  <c r="V54" i="7" s="1"/>
  <c r="I31" i="17"/>
  <c r="J32" i="10"/>
  <c r="K34" i="17"/>
  <c r="G33" i="17"/>
  <c r="F33" i="17"/>
  <c r="E33" i="17"/>
  <c r="J33" i="10" s="1"/>
  <c r="C32" i="10"/>
  <c r="H38" i="20"/>
  <c r="J37" i="20"/>
  <c r="W60" i="31" s="1"/>
  <c r="I37" i="20"/>
  <c r="I60" i="31" s="1"/>
  <c r="D59" i="31"/>
  <c r="K59" i="31"/>
  <c r="Q19" i="14"/>
  <c r="Q18" i="15"/>
  <c r="Q20" i="15"/>
  <c r="Q21" i="14"/>
  <c r="Q27" i="14"/>
  <c r="Q26" i="15"/>
  <c r="R59" i="31"/>
  <c r="AD36" i="20"/>
  <c r="Y59" i="31" s="1"/>
  <c r="E60" i="31"/>
  <c r="AM37" i="20"/>
  <c r="L60" i="31" s="1"/>
  <c r="Q24" i="14"/>
  <c r="Q23" i="15"/>
  <c r="S61" i="31"/>
  <c r="AN38" i="20"/>
  <c r="Z61" i="31" s="1"/>
  <c r="Q22" i="14"/>
  <c r="Q21" i="15"/>
  <c r="Q25" i="14"/>
  <c r="Q24" i="15"/>
  <c r="Q10" i="15"/>
  <c r="Q11" i="14"/>
  <c r="Q11" i="15"/>
  <c r="Q12" i="14"/>
  <c r="Q61" i="31"/>
  <c r="T38" i="20"/>
  <c r="X61" i="31" s="1"/>
  <c r="Q17" i="15"/>
  <c r="Q18" i="14"/>
  <c r="Q23" i="14"/>
  <c r="Q22" i="15"/>
  <c r="Q25" i="15"/>
  <c r="Q26" i="14"/>
  <c r="P68" i="31"/>
  <c r="D46" i="20"/>
  <c r="Q17" i="14"/>
  <c r="Q16" i="15"/>
  <c r="A60" i="31"/>
  <c r="H60" i="31" s="1"/>
  <c r="O60" i="31" s="1"/>
  <c r="V60" i="31" s="1"/>
  <c r="M36" i="17"/>
  <c r="A38" i="20"/>
  <c r="Q13" i="14"/>
  <c r="Q12" i="15"/>
  <c r="T60" i="31"/>
  <c r="AX37" i="20"/>
  <c r="AA60" i="31" s="1"/>
  <c r="C61" i="31"/>
  <c r="S38" i="20"/>
  <c r="J61" i="31" s="1"/>
  <c r="Q14" i="15"/>
  <c r="Q15" i="14"/>
  <c r="F59" i="31"/>
  <c r="AW36" i="20"/>
  <c r="M59" i="31" s="1"/>
  <c r="Q13" i="15"/>
  <c r="Q14" i="14"/>
  <c r="Q27" i="15"/>
  <c r="Q28" i="14"/>
  <c r="Q19" i="15"/>
  <c r="Q20" i="14"/>
  <c r="B68" i="31"/>
  <c r="C46" i="20"/>
  <c r="Q15" i="15"/>
  <c r="Q16" i="14"/>
  <c r="A55" i="9"/>
  <c r="B54" i="9"/>
  <c r="N35" i="17"/>
  <c r="I32" i="17" s="1"/>
  <c r="D34" i="17"/>
  <c r="C34" i="17"/>
  <c r="B34" i="17"/>
  <c r="Q29" i="14" l="1"/>
  <c r="Q56" i="7"/>
  <c r="V56" i="7" s="1"/>
  <c r="P56" i="7"/>
  <c r="U56" i="7" s="1"/>
  <c r="Q55" i="7"/>
  <c r="V55" i="7" s="1"/>
  <c r="P55" i="7"/>
  <c r="U54" i="7"/>
  <c r="Z54" i="7"/>
  <c r="C33" i="10"/>
  <c r="F33" i="10"/>
  <c r="K35" i="17"/>
  <c r="G34" i="17"/>
  <c r="E34" i="17"/>
  <c r="F34" i="10" s="1"/>
  <c r="F34" i="17"/>
  <c r="R60" i="31"/>
  <c r="AD37" i="20"/>
  <c r="Y60" i="31" s="1"/>
  <c r="P69" i="31"/>
  <c r="D47" i="20"/>
  <c r="D60" i="31"/>
  <c r="K60" i="31"/>
  <c r="B69" i="31"/>
  <c r="C47" i="20"/>
  <c r="F60" i="31"/>
  <c r="AW37" i="20"/>
  <c r="M60" i="31" s="1"/>
  <c r="C62" i="31"/>
  <c r="S39" i="20"/>
  <c r="J62" i="31" s="1"/>
  <c r="Q62" i="31"/>
  <c r="T39" i="20"/>
  <c r="X62" i="31" s="1"/>
  <c r="E61" i="31"/>
  <c r="AM38" i="20"/>
  <c r="L61" i="31" s="1"/>
  <c r="T61" i="31"/>
  <c r="AX38" i="20"/>
  <c r="AA61" i="31" s="1"/>
  <c r="A61" i="31"/>
  <c r="H61" i="31" s="1"/>
  <c r="O61" i="31" s="1"/>
  <c r="V61" i="31" s="1"/>
  <c r="A39" i="20"/>
  <c r="M37" i="17"/>
  <c r="S62" i="31"/>
  <c r="AN39" i="20"/>
  <c r="Z62" i="31" s="1"/>
  <c r="H39" i="20"/>
  <c r="J38" i="20"/>
  <c r="W61" i="31" s="1"/>
  <c r="I38" i="20"/>
  <c r="I61" i="31" s="1"/>
  <c r="A56" i="9"/>
  <c r="B55" i="9"/>
  <c r="B35" i="17"/>
  <c r="C35" i="17"/>
  <c r="D35" i="17"/>
  <c r="N36" i="17"/>
  <c r="Z56" i="7" l="1"/>
  <c r="Q32" i="14" s="1"/>
  <c r="Q30" i="14"/>
  <c r="Q29" i="15"/>
  <c r="U55" i="7"/>
  <c r="Z55" i="7"/>
  <c r="C34" i="10"/>
  <c r="K36" i="17"/>
  <c r="B36" i="17" s="1"/>
  <c r="G35" i="17"/>
  <c r="F35" i="17"/>
  <c r="E35" i="17"/>
  <c r="C35" i="10" s="1"/>
  <c r="J34" i="10"/>
  <c r="A62" i="31"/>
  <c r="H62" i="31" s="1"/>
  <c r="O62" i="31" s="1"/>
  <c r="V62" i="31" s="1"/>
  <c r="M38" i="17"/>
  <c r="A40" i="20"/>
  <c r="C63" i="31"/>
  <c r="S40" i="20"/>
  <c r="J63" i="31" s="1"/>
  <c r="R61" i="31"/>
  <c r="AD38" i="20"/>
  <c r="Y61" i="31" s="1"/>
  <c r="E62" i="31"/>
  <c r="AM39" i="20"/>
  <c r="L62" i="31" s="1"/>
  <c r="Q63" i="31"/>
  <c r="T40" i="20"/>
  <c r="X63" i="31" s="1"/>
  <c r="F61" i="31"/>
  <c r="AW38" i="20"/>
  <c r="M61" i="31" s="1"/>
  <c r="S63" i="31"/>
  <c r="AN40" i="20"/>
  <c r="Z63" i="31" s="1"/>
  <c r="H40" i="20"/>
  <c r="I39" i="20"/>
  <c r="I62" i="31" s="1"/>
  <c r="J39" i="20"/>
  <c r="W62" i="31" s="1"/>
  <c r="T62" i="31"/>
  <c r="AX39" i="20"/>
  <c r="AA62" i="31" s="1"/>
  <c r="B70" i="31"/>
  <c r="C48" i="20"/>
  <c r="D61" i="31"/>
  <c r="K61" i="31"/>
  <c r="P70" i="31"/>
  <c r="D48" i="20"/>
  <c r="A57" i="9"/>
  <c r="B56" i="9"/>
  <c r="D36" i="17"/>
  <c r="N37" i="17"/>
  <c r="Q31" i="15" l="1"/>
  <c r="C36" i="17"/>
  <c r="Q30" i="15"/>
  <c r="Q31" i="14"/>
  <c r="J35" i="10"/>
  <c r="K37" i="17"/>
  <c r="G36" i="17"/>
  <c r="F36" i="17"/>
  <c r="E36" i="17"/>
  <c r="F35" i="10"/>
  <c r="P71" i="31"/>
  <c r="D49" i="20"/>
  <c r="S64" i="31"/>
  <c r="AN41" i="20"/>
  <c r="Z64" i="31" s="1"/>
  <c r="C64" i="31"/>
  <c r="S41" i="20"/>
  <c r="J64" i="31" s="1"/>
  <c r="A63" i="31"/>
  <c r="H63" i="31" s="1"/>
  <c r="O63" i="31" s="1"/>
  <c r="V63" i="31" s="1"/>
  <c r="A41" i="20"/>
  <c r="M39" i="17"/>
  <c r="F62" i="31"/>
  <c r="AW39" i="20"/>
  <c r="M62" i="31" s="1"/>
  <c r="E63" i="31"/>
  <c r="AM40" i="20"/>
  <c r="L63" i="31" s="1"/>
  <c r="R62" i="31"/>
  <c r="AD39" i="20"/>
  <c r="Y62" i="31" s="1"/>
  <c r="D62" i="31"/>
  <c r="K62" i="31"/>
  <c r="B71" i="31"/>
  <c r="C49" i="20"/>
  <c r="T63" i="31"/>
  <c r="AX40" i="20"/>
  <c r="AA63" i="31" s="1"/>
  <c r="H41" i="20"/>
  <c r="J40" i="20"/>
  <c r="W63" i="31" s="1"/>
  <c r="I40" i="20"/>
  <c r="I63" i="31" s="1"/>
  <c r="Q64" i="31"/>
  <c r="T41" i="20"/>
  <c r="X64" i="31" s="1"/>
  <c r="A58" i="9"/>
  <c r="B57" i="9"/>
  <c r="B37" i="17"/>
  <c r="N38" i="17"/>
  <c r="C37" i="17"/>
  <c r="D37" i="17"/>
  <c r="F36" i="10" l="1"/>
  <c r="C36" i="10"/>
  <c r="J36" i="10"/>
  <c r="K38" i="17"/>
  <c r="G37" i="17"/>
  <c r="E37" i="17"/>
  <c r="F37" i="10" s="1"/>
  <c r="F37" i="17"/>
  <c r="T64" i="31"/>
  <c r="AX41" i="20"/>
  <c r="AA64" i="31" s="1"/>
  <c r="Q65" i="31"/>
  <c r="T42" i="20"/>
  <c r="X65" i="31" s="1"/>
  <c r="K63" i="31"/>
  <c r="D63" i="31"/>
  <c r="E64" i="31"/>
  <c r="AM41" i="20"/>
  <c r="L64" i="31" s="1"/>
  <c r="F63" i="31"/>
  <c r="AW40" i="20"/>
  <c r="M63" i="31" s="1"/>
  <c r="A64" i="31"/>
  <c r="H64" i="31" s="1"/>
  <c r="O64" i="31" s="1"/>
  <c r="V64" i="31" s="1"/>
  <c r="M40" i="17"/>
  <c r="A42" i="20"/>
  <c r="H42" i="20"/>
  <c r="I41" i="20"/>
  <c r="I64" i="31" s="1"/>
  <c r="J41" i="20"/>
  <c r="W64" i="31" s="1"/>
  <c r="R63" i="31"/>
  <c r="AD40" i="20"/>
  <c r="Y63" i="31" s="1"/>
  <c r="P72" i="31"/>
  <c r="D50" i="20"/>
  <c r="B72" i="31"/>
  <c r="C50" i="20"/>
  <c r="S42" i="20"/>
  <c r="J65" i="31" s="1"/>
  <c r="C65" i="31"/>
  <c r="S65" i="31"/>
  <c r="AN42" i="20"/>
  <c r="Z65" i="31" s="1"/>
  <c r="A59" i="9"/>
  <c r="B58" i="9"/>
  <c r="C38" i="17"/>
  <c r="B38" i="17"/>
  <c r="N39" i="17"/>
  <c r="J37" i="10" l="1"/>
  <c r="C37" i="10"/>
  <c r="K39" i="17"/>
  <c r="E38" i="17"/>
  <c r="J38" i="10" s="1"/>
  <c r="G38" i="17"/>
  <c r="F38" i="17"/>
  <c r="D38" i="17"/>
  <c r="S66" i="31"/>
  <c r="AN43" i="20"/>
  <c r="Z66" i="31" s="1"/>
  <c r="B73" i="31"/>
  <c r="C51" i="20"/>
  <c r="R64" i="31"/>
  <c r="AD41" i="20"/>
  <c r="Y64" i="31" s="1"/>
  <c r="E65" i="31"/>
  <c r="AM42" i="20"/>
  <c r="L65" i="31" s="1"/>
  <c r="D64" i="31"/>
  <c r="K64" i="31"/>
  <c r="Q66" i="31"/>
  <c r="T43" i="20"/>
  <c r="X66" i="31" s="1"/>
  <c r="H43" i="20"/>
  <c r="I42" i="20"/>
  <c r="I65" i="31" s="1"/>
  <c r="J42" i="20"/>
  <c r="W65" i="31" s="1"/>
  <c r="T65" i="31"/>
  <c r="AX42" i="20"/>
  <c r="AA65" i="31" s="1"/>
  <c r="C66" i="31"/>
  <c r="S43" i="20"/>
  <c r="J66" i="31" s="1"/>
  <c r="P73" i="31"/>
  <c r="D51" i="20"/>
  <c r="A65" i="31"/>
  <c r="H65" i="31" s="1"/>
  <c r="O65" i="31" s="1"/>
  <c r="V65" i="31" s="1"/>
  <c r="M41" i="17"/>
  <c r="A43" i="20"/>
  <c r="F64" i="31"/>
  <c r="AW41" i="20"/>
  <c r="M64" i="31" s="1"/>
  <c r="B59" i="9"/>
  <c r="A60" i="9"/>
  <c r="N40" i="17"/>
  <c r="C39" i="17"/>
  <c r="C38" i="10" l="1"/>
  <c r="F38" i="10"/>
  <c r="K40" i="17"/>
  <c r="G39" i="17"/>
  <c r="F39" i="17"/>
  <c r="E39" i="17"/>
  <c r="F39" i="10" s="1"/>
  <c r="B39" i="17"/>
  <c r="D39" i="17"/>
  <c r="A66" i="31"/>
  <c r="H66" i="31" s="1"/>
  <c r="O66" i="31" s="1"/>
  <c r="V66" i="31" s="1"/>
  <c r="A44" i="20"/>
  <c r="M42" i="17"/>
  <c r="C52" i="20"/>
  <c r="S67" i="31"/>
  <c r="AN44" i="20"/>
  <c r="Z67" i="31" s="1"/>
  <c r="F65" i="31"/>
  <c r="AW42" i="20"/>
  <c r="M65" i="31" s="1"/>
  <c r="D52" i="20"/>
  <c r="C67" i="31"/>
  <c r="S44" i="20"/>
  <c r="J67" i="31" s="1"/>
  <c r="Q67" i="31"/>
  <c r="T44" i="20"/>
  <c r="X67" i="31" s="1"/>
  <c r="AX43" i="20"/>
  <c r="AA66" i="31" s="1"/>
  <c r="T66" i="31"/>
  <c r="H44" i="20"/>
  <c r="J43" i="20"/>
  <c r="W66" i="31" s="1"/>
  <c r="I43" i="20"/>
  <c r="I66" i="31" s="1"/>
  <c r="D65" i="31"/>
  <c r="K65" i="31"/>
  <c r="E66" i="31"/>
  <c r="AM43" i="20"/>
  <c r="L66" i="31" s="1"/>
  <c r="R65" i="31"/>
  <c r="AD42" i="20"/>
  <c r="Y65" i="31" s="1"/>
  <c r="A61" i="9"/>
  <c r="B60" i="9"/>
  <c r="D40" i="17"/>
  <c r="B40" i="17"/>
  <c r="C40" i="17"/>
  <c r="N41" i="17"/>
  <c r="C39" i="10" l="1"/>
  <c r="J39" i="10"/>
  <c r="K41" i="17"/>
  <c r="G40" i="17"/>
  <c r="F40" i="17"/>
  <c r="E40" i="17"/>
  <c r="F40" i="10" s="1"/>
  <c r="H45" i="20"/>
  <c r="I44" i="20"/>
  <c r="I67" i="31" s="1"/>
  <c r="J44" i="20"/>
  <c r="W67" i="31" s="1"/>
  <c r="D53" i="20"/>
  <c r="F66" i="31"/>
  <c r="AW43" i="20"/>
  <c r="M66" i="31" s="1"/>
  <c r="E67" i="31"/>
  <c r="AM44" i="20"/>
  <c r="L67" i="31" s="1"/>
  <c r="D66" i="31"/>
  <c r="K66" i="31"/>
  <c r="C53" i="20"/>
  <c r="M43" i="17"/>
  <c r="A67" i="31"/>
  <c r="H67" i="31" s="1"/>
  <c r="O67" i="31" s="1"/>
  <c r="V67" i="31" s="1"/>
  <c r="A45" i="20"/>
  <c r="Q68" i="31"/>
  <c r="T45" i="20"/>
  <c r="X68" i="31" s="1"/>
  <c r="R66" i="31"/>
  <c r="AD43" i="20"/>
  <c r="Y66" i="31" s="1"/>
  <c r="T67" i="31"/>
  <c r="AX44" i="20"/>
  <c r="AA67" i="31" s="1"/>
  <c r="C68" i="31"/>
  <c r="S45" i="20"/>
  <c r="J68" i="31" s="1"/>
  <c r="S68" i="31"/>
  <c r="AN45" i="20"/>
  <c r="Z68" i="31" s="1"/>
  <c r="B61" i="9"/>
  <c r="A62" i="9"/>
  <c r="C41" i="17"/>
  <c r="D41" i="17"/>
  <c r="B41" i="17"/>
  <c r="N42" i="17"/>
  <c r="I39" i="17" s="1"/>
  <c r="Q63" i="7" s="1"/>
  <c r="V63" i="7" s="1"/>
  <c r="K42" i="17" l="1"/>
  <c r="D42" i="17" s="1"/>
  <c r="F41" i="17"/>
  <c r="E41" i="17"/>
  <c r="F41" i="10" s="1"/>
  <c r="G41" i="17"/>
  <c r="J40" i="10"/>
  <c r="C40" i="10"/>
  <c r="P63" i="7"/>
  <c r="U63" i="7" s="1"/>
  <c r="C69" i="31"/>
  <c r="S46" i="20"/>
  <c r="J69" i="31" s="1"/>
  <c r="I33" i="17"/>
  <c r="I34" i="17"/>
  <c r="I35" i="17"/>
  <c r="I36" i="17"/>
  <c r="I37" i="17"/>
  <c r="I38" i="17"/>
  <c r="F67" i="31"/>
  <c r="AW44" i="20"/>
  <c r="M67" i="31" s="1"/>
  <c r="D54" i="20"/>
  <c r="A68" i="31"/>
  <c r="H68" i="31" s="1"/>
  <c r="O68" i="31" s="1"/>
  <c r="V68" i="31" s="1"/>
  <c r="A46" i="20"/>
  <c r="M44" i="17"/>
  <c r="R67" i="31"/>
  <c r="AD44" i="20"/>
  <c r="Y67" i="31" s="1"/>
  <c r="Q69" i="31"/>
  <c r="T46" i="20"/>
  <c r="X69" i="31" s="1"/>
  <c r="D67" i="31"/>
  <c r="K67" i="31"/>
  <c r="E68" i="31"/>
  <c r="AM45" i="20"/>
  <c r="L68" i="31" s="1"/>
  <c r="S69" i="31"/>
  <c r="AN46" i="20"/>
  <c r="Z69" i="31" s="1"/>
  <c r="T68" i="31"/>
  <c r="AX45" i="20"/>
  <c r="AA68" i="31" s="1"/>
  <c r="C54" i="20"/>
  <c r="H46" i="20"/>
  <c r="I45" i="20"/>
  <c r="I68" i="31" s="1"/>
  <c r="J45" i="20"/>
  <c r="W68" i="31" s="1"/>
  <c r="B62" i="9"/>
  <c r="A63" i="9"/>
  <c r="B42" i="17"/>
  <c r="C42" i="17"/>
  <c r="N43" i="17"/>
  <c r="I40" i="17" l="1"/>
  <c r="J41" i="10"/>
  <c r="C41" i="10"/>
  <c r="K43" i="17"/>
  <c r="E42" i="17"/>
  <c r="J42" i="10" s="1"/>
  <c r="F42" i="17"/>
  <c r="G42" i="17"/>
  <c r="Z63" i="7"/>
  <c r="Q39" i="14" s="1"/>
  <c r="D68" i="31"/>
  <c r="K68" i="31"/>
  <c r="Q70" i="31"/>
  <c r="T47" i="20"/>
  <c r="X70" i="31" s="1"/>
  <c r="Q59" i="7"/>
  <c r="V59" i="7" s="1"/>
  <c r="P59" i="7"/>
  <c r="S70" i="31"/>
  <c r="AN47" i="20"/>
  <c r="Z70" i="31" s="1"/>
  <c r="P62" i="7"/>
  <c r="Q62" i="7"/>
  <c r="V62" i="7" s="1"/>
  <c r="Q58" i="7"/>
  <c r="V58" i="7" s="1"/>
  <c r="P58" i="7"/>
  <c r="Q61" i="7"/>
  <c r="V61" i="7" s="1"/>
  <c r="P61" i="7"/>
  <c r="P57" i="7"/>
  <c r="Q57" i="7"/>
  <c r="V57" i="7" s="1"/>
  <c r="C55" i="20"/>
  <c r="E69" i="31"/>
  <c r="AM46" i="20"/>
  <c r="L69" i="31" s="1"/>
  <c r="H47" i="20"/>
  <c r="J46" i="20"/>
  <c r="W69" i="31" s="1"/>
  <c r="I46" i="20"/>
  <c r="I69" i="31" s="1"/>
  <c r="T69" i="31"/>
  <c r="AX46" i="20"/>
  <c r="AA69" i="31" s="1"/>
  <c r="R68" i="31"/>
  <c r="AD45" i="20"/>
  <c r="Y68" i="31" s="1"/>
  <c r="A69" i="31"/>
  <c r="H69" i="31" s="1"/>
  <c r="O69" i="31" s="1"/>
  <c r="V69" i="31" s="1"/>
  <c r="A47" i="20"/>
  <c r="M45" i="17"/>
  <c r="D55" i="20"/>
  <c r="F68" i="31"/>
  <c r="AW45" i="20"/>
  <c r="M68" i="31" s="1"/>
  <c r="P60" i="7"/>
  <c r="Q60" i="7"/>
  <c r="V60" i="7" s="1"/>
  <c r="C70" i="31"/>
  <c r="S47" i="20"/>
  <c r="J70" i="31" s="1"/>
  <c r="A64" i="9"/>
  <c r="B63" i="9"/>
  <c r="D43" i="17"/>
  <c r="C43" i="17"/>
  <c r="B43" i="17"/>
  <c r="N44" i="17"/>
  <c r="P64" i="7" l="1"/>
  <c r="Q64" i="7"/>
  <c r="V64" i="7" s="1"/>
  <c r="I41" i="17"/>
  <c r="K44" i="17"/>
  <c r="F43" i="17"/>
  <c r="G43" i="17"/>
  <c r="E43" i="17"/>
  <c r="J43" i="10" s="1"/>
  <c r="F42" i="10"/>
  <c r="C42" i="10"/>
  <c r="Q38" i="15"/>
  <c r="S71" i="31"/>
  <c r="AN48" i="20"/>
  <c r="Z71" i="31" s="1"/>
  <c r="D69" i="31"/>
  <c r="K69" i="31"/>
  <c r="Z60" i="7"/>
  <c r="U60" i="7"/>
  <c r="T70" i="31"/>
  <c r="AX47" i="20"/>
  <c r="AA70" i="31" s="1"/>
  <c r="E70" i="31"/>
  <c r="AM47" i="20"/>
  <c r="L70" i="31" s="1"/>
  <c r="U61" i="7"/>
  <c r="Z61" i="7"/>
  <c r="C71" i="31"/>
  <c r="S48" i="20"/>
  <c r="J71" i="31" s="1"/>
  <c r="Z58" i="7"/>
  <c r="U58" i="7"/>
  <c r="R69" i="31"/>
  <c r="AD46" i="20"/>
  <c r="Y69" i="31" s="1"/>
  <c r="H48" i="20"/>
  <c r="J47" i="20"/>
  <c r="W70" i="31" s="1"/>
  <c r="I47" i="20"/>
  <c r="I70" i="31" s="1"/>
  <c r="C56" i="20"/>
  <c r="U57" i="7"/>
  <c r="Z57" i="7"/>
  <c r="Q71" i="31"/>
  <c r="T48" i="20"/>
  <c r="X71" i="31" s="1"/>
  <c r="F69" i="31"/>
  <c r="AW46" i="20"/>
  <c r="M69" i="31" s="1"/>
  <c r="D56" i="20"/>
  <c r="A70" i="31"/>
  <c r="H70" i="31" s="1"/>
  <c r="O70" i="31" s="1"/>
  <c r="V70" i="31" s="1"/>
  <c r="M46" i="17"/>
  <c r="A48" i="20"/>
  <c r="U62" i="7"/>
  <c r="Z62" i="7"/>
  <c r="U59" i="7"/>
  <c r="Z59" i="7"/>
  <c r="A65" i="9"/>
  <c r="B64" i="9"/>
  <c r="D44" i="17"/>
  <c r="C44" i="17"/>
  <c r="B44" i="17"/>
  <c r="N45" i="17"/>
  <c r="Q65" i="7" l="1"/>
  <c r="V65" i="7" s="1"/>
  <c r="P65" i="7"/>
  <c r="U64" i="7"/>
  <c r="Z64" i="7"/>
  <c r="I42" i="17"/>
  <c r="C43" i="10"/>
  <c r="K45" i="17"/>
  <c r="G44" i="17"/>
  <c r="F44" i="17"/>
  <c r="E44" i="17"/>
  <c r="F44" i="10" s="1"/>
  <c r="F43" i="10"/>
  <c r="Q34" i="15"/>
  <c r="Q35" i="14"/>
  <c r="Q34" i="14"/>
  <c r="Q33" i="15"/>
  <c r="T71" i="31"/>
  <c r="AX48" i="20"/>
  <c r="AA71" i="31" s="1"/>
  <c r="Q38" i="14"/>
  <c r="Q37" i="15"/>
  <c r="F70" i="31"/>
  <c r="AW47" i="20"/>
  <c r="M70" i="31" s="1"/>
  <c r="Q32" i="15"/>
  <c r="Q33" i="14"/>
  <c r="C72" i="31"/>
  <c r="S49" i="20"/>
  <c r="J72" i="31" s="1"/>
  <c r="Q37" i="14"/>
  <c r="Q36" i="15"/>
  <c r="A71" i="31"/>
  <c r="H71" i="31" s="1"/>
  <c r="O71" i="31" s="1"/>
  <c r="V71" i="31" s="1"/>
  <c r="M47" i="17"/>
  <c r="A49" i="20"/>
  <c r="D57" i="20"/>
  <c r="H49" i="20"/>
  <c r="I48" i="20"/>
  <c r="I71" i="31" s="1"/>
  <c r="J48" i="20"/>
  <c r="W71" i="31" s="1"/>
  <c r="E71" i="31"/>
  <c r="AM48" i="20"/>
  <c r="L71" i="31" s="1"/>
  <c r="Q36" i="14"/>
  <c r="Q35" i="15"/>
  <c r="R70" i="31"/>
  <c r="AD47" i="20"/>
  <c r="Y70" i="31" s="1"/>
  <c r="D70" i="31"/>
  <c r="K70" i="31"/>
  <c r="S72" i="31"/>
  <c r="AN49" i="20"/>
  <c r="Z72" i="31" s="1"/>
  <c r="Q72" i="31"/>
  <c r="T49" i="20"/>
  <c r="X72" i="31" s="1"/>
  <c r="C57" i="20"/>
  <c r="B65" i="9"/>
  <c r="A66" i="9"/>
  <c r="D45" i="17"/>
  <c r="B45" i="17"/>
  <c r="C45" i="17"/>
  <c r="N46" i="17"/>
  <c r="I43" i="17" s="1"/>
  <c r="Q67" i="7" l="1"/>
  <c r="V67" i="7" s="1"/>
  <c r="P67" i="7"/>
  <c r="U67" i="7" s="1"/>
  <c r="Q39" i="15"/>
  <c r="Q40" i="14"/>
  <c r="P66" i="7"/>
  <c r="Q66" i="7"/>
  <c r="V66" i="7" s="1"/>
  <c r="Z65" i="7"/>
  <c r="U65" i="7"/>
  <c r="C44" i="10"/>
  <c r="J44" i="10"/>
  <c r="K46" i="17"/>
  <c r="G45" i="17"/>
  <c r="F45" i="17"/>
  <c r="E45" i="17"/>
  <c r="F45" i="10" s="1"/>
  <c r="R71" i="31"/>
  <c r="AD48" i="20"/>
  <c r="Y71" i="31" s="1"/>
  <c r="S73" i="31"/>
  <c r="AN50" i="20"/>
  <c r="Z73" i="31" s="1"/>
  <c r="E72" i="31"/>
  <c r="AM49" i="20"/>
  <c r="L72" i="31" s="1"/>
  <c r="A72" i="31"/>
  <c r="H72" i="31" s="1"/>
  <c r="O72" i="31" s="1"/>
  <c r="V72" i="31" s="1"/>
  <c r="M48" i="17"/>
  <c r="A50" i="20"/>
  <c r="F71" i="31"/>
  <c r="AW48" i="20"/>
  <c r="M71" i="31" s="1"/>
  <c r="C58" i="20"/>
  <c r="Q73" i="31"/>
  <c r="T50" i="20"/>
  <c r="X73" i="31" s="1"/>
  <c r="D58" i="20"/>
  <c r="C73" i="31"/>
  <c r="S50" i="20"/>
  <c r="J73" i="31" s="1"/>
  <c r="T72" i="31"/>
  <c r="AX49" i="20"/>
  <c r="AA72" i="31" s="1"/>
  <c r="D71" i="31"/>
  <c r="K71" i="31"/>
  <c r="H50" i="20"/>
  <c r="J49" i="20"/>
  <c r="W72" i="31" s="1"/>
  <c r="I49" i="20"/>
  <c r="I72" i="31" s="1"/>
  <c r="A67" i="9"/>
  <c r="B66" i="9"/>
  <c r="C46" i="17"/>
  <c r="D46" i="17"/>
  <c r="B46" i="17"/>
  <c r="N47" i="17"/>
  <c r="Z67" i="7" l="1"/>
  <c r="Q43" i="14" s="1"/>
  <c r="Q41" i="14"/>
  <c r="Q40" i="15"/>
  <c r="U66" i="7"/>
  <c r="Z66" i="7"/>
  <c r="I44" i="17"/>
  <c r="P68" i="7" s="1"/>
  <c r="U68" i="7" s="1"/>
  <c r="K47" i="17"/>
  <c r="B47" i="17" s="1"/>
  <c r="G46" i="17"/>
  <c r="E46" i="17"/>
  <c r="F46" i="10" s="1"/>
  <c r="F46" i="17"/>
  <c r="J45" i="10"/>
  <c r="C45" i="10"/>
  <c r="D59" i="20"/>
  <c r="H51" i="20"/>
  <c r="J50" i="20"/>
  <c r="W73" i="31" s="1"/>
  <c r="I50" i="20"/>
  <c r="I73" i="31" s="1"/>
  <c r="R72" i="31"/>
  <c r="AD49" i="20"/>
  <c r="Y72" i="31" s="1"/>
  <c r="S51" i="20"/>
  <c r="E73" i="31"/>
  <c r="AM50" i="20"/>
  <c r="L73" i="31" s="1"/>
  <c r="AN51" i="20"/>
  <c r="T73" i="31"/>
  <c r="AX50" i="20"/>
  <c r="AA73" i="31" s="1"/>
  <c r="AW49" i="20"/>
  <c r="M72" i="31" s="1"/>
  <c r="F72" i="31"/>
  <c r="D72" i="31"/>
  <c r="K72" i="31"/>
  <c r="T51" i="20"/>
  <c r="C59" i="20"/>
  <c r="A73" i="31"/>
  <c r="H73" i="31" s="1"/>
  <c r="O73" i="31" s="1"/>
  <c r="V73" i="31" s="1"/>
  <c r="M49" i="17"/>
  <c r="A51" i="20"/>
  <c r="B67" i="9"/>
  <c r="A68" i="9"/>
  <c r="C47" i="17"/>
  <c r="D47" i="17"/>
  <c r="N48" i="17"/>
  <c r="Q42" i="15" l="1"/>
  <c r="I45" i="17"/>
  <c r="P69" i="7" s="1"/>
  <c r="U69" i="7" s="1"/>
  <c r="Q68" i="7"/>
  <c r="V68" i="7" s="1"/>
  <c r="Q41" i="15"/>
  <c r="Q42" i="14"/>
  <c r="C46" i="10"/>
  <c r="J46" i="10"/>
  <c r="K48" i="17"/>
  <c r="C48" i="17" s="1"/>
  <c r="E47" i="17"/>
  <c r="J47" i="10" s="1"/>
  <c r="G47" i="17"/>
  <c r="F47" i="17"/>
  <c r="T52" i="20"/>
  <c r="AN52" i="20"/>
  <c r="C60" i="20"/>
  <c r="D60" i="20"/>
  <c r="M50" i="17"/>
  <c r="A52" i="20"/>
  <c r="H52" i="20"/>
  <c r="J51" i="20"/>
  <c r="I51" i="20"/>
  <c r="F73" i="31"/>
  <c r="AW50" i="20"/>
  <c r="M73" i="31" s="1"/>
  <c r="D73" i="31"/>
  <c r="K73" i="31"/>
  <c r="AX51" i="20"/>
  <c r="AM51" i="20"/>
  <c r="S52" i="20"/>
  <c r="R73" i="31"/>
  <c r="AD50" i="20"/>
  <c r="Y73" i="31" s="1"/>
  <c r="B68" i="9"/>
  <c r="A69" i="9"/>
  <c r="D48" i="17"/>
  <c r="N49" i="17"/>
  <c r="Z68" i="7" l="1"/>
  <c r="Q44" i="14" s="1"/>
  <c r="Q69" i="7"/>
  <c r="V69" i="7" s="1"/>
  <c r="B48" i="17"/>
  <c r="I46" i="17"/>
  <c r="C47" i="10"/>
  <c r="K49" i="17"/>
  <c r="F48" i="17"/>
  <c r="G48" i="17"/>
  <c r="E48" i="17"/>
  <c r="C48" i="10" s="1"/>
  <c r="F47" i="10"/>
  <c r="AM52" i="20"/>
  <c r="AN53" i="20"/>
  <c r="AD51" i="20"/>
  <c r="H53" i="20"/>
  <c r="J52" i="20"/>
  <c r="I52" i="20"/>
  <c r="T53" i="20"/>
  <c r="AX52" i="20"/>
  <c r="S53" i="20"/>
  <c r="AW51" i="20"/>
  <c r="A53" i="20"/>
  <c r="M51" i="17"/>
  <c r="B69" i="9"/>
  <c r="A70" i="9"/>
  <c r="B70" i="9" s="1"/>
  <c r="N50" i="17"/>
  <c r="C49" i="17"/>
  <c r="B49" i="17"/>
  <c r="D49" i="17"/>
  <c r="Q43" i="15" l="1"/>
  <c r="Z69" i="7"/>
  <c r="Q45" i="14" s="1"/>
  <c r="P70" i="7"/>
  <c r="Q70" i="7"/>
  <c r="V70" i="7" s="1"/>
  <c r="I47" i="17"/>
  <c r="F48" i="10"/>
  <c r="J48" i="10"/>
  <c r="K50" i="17"/>
  <c r="C50" i="17" s="1"/>
  <c r="G49" i="17"/>
  <c r="F49" i="17"/>
  <c r="E49" i="17"/>
  <c r="C49" i="10" s="1"/>
  <c r="A54" i="20"/>
  <c r="M52" i="17"/>
  <c r="AM53" i="20"/>
  <c r="T54" i="20"/>
  <c r="H54" i="20"/>
  <c r="I53" i="20"/>
  <c r="J53" i="20"/>
  <c r="AD52" i="20"/>
  <c r="AW52" i="20"/>
  <c r="S54" i="20"/>
  <c r="AX53" i="20"/>
  <c r="AN54" i="20"/>
  <c r="B50" i="17"/>
  <c r="N51" i="17"/>
  <c r="I48" i="17" s="1"/>
  <c r="Q44" i="15" l="1"/>
  <c r="P72" i="7"/>
  <c r="Q72" i="7"/>
  <c r="V72" i="7" s="1"/>
  <c r="Q71" i="7"/>
  <c r="V71" i="7" s="1"/>
  <c r="P71" i="7"/>
  <c r="D50" i="17"/>
  <c r="U70" i="7"/>
  <c r="Z70" i="7"/>
  <c r="F49" i="10"/>
  <c r="J49" i="10"/>
  <c r="E50" i="17"/>
  <c r="F50" i="10" s="1"/>
  <c r="F50" i="17"/>
  <c r="G50" i="17"/>
  <c r="AN55" i="20"/>
  <c r="AW53" i="20"/>
  <c r="H55" i="20"/>
  <c r="I54" i="20"/>
  <c r="J54" i="20"/>
  <c r="T55" i="20"/>
  <c r="S55" i="20"/>
  <c r="AD53" i="20"/>
  <c r="AX54" i="20"/>
  <c r="AM54" i="20"/>
  <c r="A55" i="20"/>
  <c r="M53" i="17"/>
  <c r="N52" i="17"/>
  <c r="I49" i="17" s="1"/>
  <c r="Z72" i="7" l="1"/>
  <c r="Q47" i="15" s="1"/>
  <c r="U72" i="7"/>
  <c r="Q46" i="14"/>
  <c r="Q45" i="15"/>
  <c r="U71" i="7"/>
  <c r="Z71" i="7"/>
  <c r="C50" i="10"/>
  <c r="C8" i="10" s="1"/>
  <c r="J50" i="10"/>
  <c r="S56" i="20"/>
  <c r="AW54" i="20"/>
  <c r="AD54" i="20"/>
  <c r="T56" i="20"/>
  <c r="H56" i="20"/>
  <c r="J55" i="20"/>
  <c r="I55" i="20"/>
  <c r="A56" i="20"/>
  <c r="A57" i="20" s="1"/>
  <c r="A58" i="20" s="1"/>
  <c r="A59" i="20" s="1"/>
  <c r="A60" i="20" s="1"/>
  <c r="M54" i="17"/>
  <c r="AM55" i="20"/>
  <c r="AX55" i="20"/>
  <c r="AN56" i="20"/>
  <c r="P73" i="7"/>
  <c r="Q73" i="7"/>
  <c r="N53" i="17"/>
  <c r="I50" i="17" s="1"/>
  <c r="Q48" i="14" l="1"/>
  <c r="Q46" i="15"/>
  <c r="Q47" i="14"/>
  <c r="H57" i="20"/>
  <c r="J56" i="20"/>
  <c r="I56" i="20"/>
  <c r="AX56" i="20"/>
  <c r="T57" i="20"/>
  <c r="N54" i="17"/>
  <c r="AN57" i="20"/>
  <c r="AM56" i="20"/>
  <c r="AW55" i="20"/>
  <c r="AD55" i="20"/>
  <c r="S57" i="20"/>
  <c r="P74" i="7"/>
  <c r="Q74" i="7"/>
  <c r="Q34" i="7" s="1"/>
  <c r="V73" i="7"/>
  <c r="U73" i="7"/>
  <c r="Z73" i="7"/>
  <c r="AN58" i="20" l="1"/>
  <c r="H58" i="20"/>
  <c r="I57" i="20"/>
  <c r="J57" i="20"/>
  <c r="AM57" i="20"/>
  <c r="AW56" i="20"/>
  <c r="AD56" i="20"/>
  <c r="AX57" i="20"/>
  <c r="S58" i="20"/>
  <c r="T58" i="20"/>
  <c r="Q48" i="15"/>
  <c r="Q6" i="15" s="1"/>
  <c r="Q49" i="14"/>
  <c r="Q6" i="14" s="1"/>
  <c r="U74" i="7"/>
  <c r="Z74" i="7"/>
  <c r="P34" i="7"/>
  <c r="M9" i="5" a="1"/>
  <c r="V74" i="7"/>
  <c r="M10" i="5" a="1"/>
  <c r="T59" i="20" l="1"/>
  <c r="T60" i="20"/>
  <c r="AN59" i="20"/>
  <c r="AN60" i="20"/>
  <c r="S59" i="20"/>
  <c r="AX58" i="20"/>
  <c r="AD57" i="20"/>
  <c r="AM58" i="20"/>
  <c r="H59" i="20"/>
  <c r="I58" i="20"/>
  <c r="J58" i="20"/>
  <c r="AW57" i="20"/>
  <c r="V34" i="7"/>
  <c r="Y10" i="5"/>
  <c r="AP10" i="5"/>
  <c r="AS10" i="5"/>
  <c r="W10" i="5"/>
  <c r="AG10" i="5"/>
  <c r="AT10" i="5"/>
  <c r="V10" i="5"/>
  <c r="AE10" i="5"/>
  <c r="AQ10" i="5"/>
  <c r="X10" i="5"/>
  <c r="AV10" i="5"/>
  <c r="M10" i="5"/>
  <c r="Z10" i="5"/>
  <c r="AM10" i="5"/>
  <c r="AK10" i="5"/>
  <c r="AW10" i="5"/>
  <c r="U10" i="5"/>
  <c r="R10" i="5"/>
  <c r="AN10" i="5"/>
  <c r="Q10" i="5"/>
  <c r="AB10" i="5"/>
  <c r="AJ10" i="5"/>
  <c r="AR10" i="5"/>
  <c r="S10" i="5"/>
  <c r="AH10" i="5"/>
  <c r="T10" i="5"/>
  <c r="AF10" i="5"/>
  <c r="AZ10" i="5"/>
  <c r="AC10" i="5"/>
  <c r="AA10" i="5"/>
  <c r="AL10" i="5"/>
  <c r="N10" i="5"/>
  <c r="AI10" i="5"/>
  <c r="AX10" i="5"/>
  <c r="AY10" i="5"/>
  <c r="AD10" i="5"/>
  <c r="AU10" i="5"/>
  <c r="P10" i="5"/>
  <c r="AO10" i="5"/>
  <c r="O10" i="5"/>
  <c r="Z34" i="7"/>
  <c r="Q50" i="14"/>
  <c r="Q49" i="15"/>
  <c r="AJ9" i="5"/>
  <c r="S9" i="5"/>
  <c r="AL9" i="5"/>
  <c r="V9" i="5"/>
  <c r="AK9" i="5"/>
  <c r="AN9" i="5"/>
  <c r="AR9" i="5"/>
  <c r="P9" i="5"/>
  <c r="AY9" i="5"/>
  <c r="AE9" i="5"/>
  <c r="U9" i="5"/>
  <c r="AP9" i="5"/>
  <c r="AZ9" i="5"/>
  <c r="AS9" i="5"/>
  <c r="AF9" i="5"/>
  <c r="Y9" i="5"/>
  <c r="AO9" i="5"/>
  <c r="Z9" i="5"/>
  <c r="AT9" i="5"/>
  <c r="X9" i="5"/>
  <c r="AG9" i="5"/>
  <c r="O9" i="5"/>
  <c r="Q9" i="5"/>
  <c r="AX9" i="5"/>
  <c r="AC9" i="5"/>
  <c r="AU9" i="5"/>
  <c r="AV9" i="5"/>
  <c r="N9" i="5"/>
  <c r="AM9" i="5"/>
  <c r="T9" i="5"/>
  <c r="M9" i="5"/>
  <c r="R9" i="5"/>
  <c r="AQ9" i="5"/>
  <c r="AD9" i="5"/>
  <c r="W9" i="5"/>
  <c r="AA9" i="5"/>
  <c r="AB9" i="5"/>
  <c r="AI9" i="5"/>
  <c r="AW9" i="5"/>
  <c r="AH9" i="5"/>
  <c r="U34" i="7"/>
  <c r="AD58" i="20" l="1"/>
  <c r="S60" i="20"/>
  <c r="H60" i="20"/>
  <c r="I59" i="20"/>
  <c r="J59" i="20"/>
  <c r="AM59" i="20"/>
  <c r="AX60" i="20"/>
  <c r="AX59" i="20"/>
  <c r="AW58" i="20"/>
  <c r="G10" i="5"/>
  <c r="J10" i="5" s="1"/>
  <c r="G9" i="5"/>
  <c r="J9" i="5" s="1"/>
  <c r="AM60" i="20" l="1"/>
  <c r="AD59" i="20"/>
  <c r="AD60" i="20"/>
  <c r="AW60" i="20"/>
  <c r="AW59" i="20"/>
  <c r="J60" i="20"/>
  <c r="I60" i="20"/>
  <c r="B21" i="8"/>
  <c r="C44" i="8" s="1"/>
  <c r="B41" i="8" l="1"/>
  <c r="B44" i="8"/>
  <c r="D41" i="8"/>
  <c r="D44" i="8"/>
  <c r="C41" i="8"/>
  <c r="Z31" i="9" l="1"/>
  <c r="I11" i="10" l="1"/>
  <c r="K11" i="10" s="1"/>
  <c r="C11" i="7" l="1"/>
  <c r="B16" i="8" s="1"/>
  <c r="F26" i="7" l="1"/>
  <c r="L26" i="7" s="1"/>
  <c r="E25" i="7"/>
  <c r="K25" i="7" s="1"/>
  <c r="F27" i="7"/>
  <c r="L27" i="7" s="1"/>
  <c r="E27" i="7"/>
  <c r="K27" i="7" s="1"/>
  <c r="C23" i="7"/>
  <c r="D23" i="7" s="1"/>
  <c r="D26" i="7"/>
  <c r="I26" i="7" s="1"/>
  <c r="E26" i="7"/>
  <c r="K26" i="7" s="1"/>
  <c r="C24" i="7"/>
  <c r="D24" i="7" s="1"/>
  <c r="E23" i="7"/>
  <c r="K23" i="7" s="1"/>
  <c r="C25" i="7"/>
  <c r="D25" i="7" s="1"/>
  <c r="E24" i="7"/>
  <c r="K24" i="7" s="1"/>
  <c r="D27" i="7"/>
  <c r="I27" i="7" s="1"/>
  <c r="C26" i="7"/>
  <c r="AB17" i="7"/>
  <c r="W33" i="7" s="1"/>
  <c r="I11" i="5" s="1"/>
  <c r="C27" i="7"/>
  <c r="B18" i="8"/>
  <c r="B19" i="8"/>
  <c r="I25" i="7" l="1"/>
  <c r="F25" i="7"/>
  <c r="L25" i="7" s="1"/>
  <c r="I24" i="7"/>
  <c r="F24" i="7"/>
  <c r="L24" i="7" s="1"/>
  <c r="F23" i="7"/>
  <c r="L23" i="7" s="1"/>
  <c r="I23" i="7"/>
  <c r="M27" i="7"/>
  <c r="Q27" i="7"/>
  <c r="R27" i="7" s="1"/>
  <c r="S27" i="7" s="1"/>
  <c r="M26" i="7"/>
  <c r="Q26" i="7"/>
  <c r="R26" i="7" s="1"/>
  <c r="S26" i="7" s="1"/>
  <c r="B22" i="8"/>
  <c r="B23" i="8" s="1"/>
  <c r="C29" i="8"/>
  <c r="M23" i="7" l="1"/>
  <c r="J23" i="7"/>
  <c r="Q23" i="7" s="1"/>
  <c r="R23" i="7" s="1"/>
  <c r="S23" i="7" s="1"/>
  <c r="M24" i="7"/>
  <c r="M25" i="7"/>
  <c r="B45" i="8"/>
  <c r="B46" i="8"/>
  <c r="D29" i="8"/>
  <c r="J65" i="8"/>
  <c r="J64" i="8"/>
  <c r="C69" i="8"/>
  <c r="G76" i="8" s="1"/>
  <c r="L3" i="12"/>
  <c r="B69" i="8"/>
  <c r="D76" i="8" s="1"/>
  <c r="L4" i="12"/>
  <c r="P23" i="7" l="1"/>
  <c r="H24" i="7"/>
  <c r="L6" i="12"/>
  <c r="B5" i="12" s="1"/>
  <c r="I76" i="8"/>
  <c r="I78" i="8" s="1"/>
  <c r="B76" i="8"/>
  <c r="N76" i="8" s="1"/>
  <c r="B47" i="8"/>
  <c r="B48" i="8"/>
  <c r="E29" i="8"/>
  <c r="C46" i="8"/>
  <c r="D46" i="8"/>
  <c r="C45" i="8"/>
  <c r="D45" i="8"/>
  <c r="O76" i="8" l="1"/>
  <c r="J24" i="7"/>
  <c r="O24" i="7"/>
  <c r="I46" i="7"/>
  <c r="I45" i="7"/>
  <c r="I68" i="7"/>
  <c r="I42" i="7"/>
  <c r="I53" i="7"/>
  <c r="I70" i="7"/>
  <c r="I37" i="7"/>
  <c r="I65" i="7"/>
  <c r="I43" i="7"/>
  <c r="I62" i="7"/>
  <c r="I51" i="7"/>
  <c r="I39" i="7"/>
  <c r="I49" i="7"/>
  <c r="I57" i="7"/>
  <c r="I38" i="7"/>
  <c r="I52" i="7"/>
  <c r="I66" i="7"/>
  <c r="I44" i="7"/>
  <c r="I58" i="7"/>
  <c r="I63" i="7"/>
  <c r="I50" i="7"/>
  <c r="I72" i="7"/>
  <c r="I41" i="7"/>
  <c r="I61" i="7"/>
  <c r="I71" i="7"/>
  <c r="I64" i="7"/>
  <c r="I69" i="7"/>
  <c r="I67" i="7"/>
  <c r="I40" i="7"/>
  <c r="I56" i="7"/>
  <c r="I59" i="7"/>
  <c r="I47" i="7"/>
  <c r="I60" i="7"/>
  <c r="I73" i="7"/>
  <c r="I54" i="7"/>
  <c r="I74" i="7"/>
  <c r="I35" i="7"/>
  <c r="I36" i="7"/>
  <c r="I48" i="7"/>
  <c r="I55" i="7"/>
  <c r="P76" i="8"/>
  <c r="B50" i="8"/>
  <c r="B49" i="8"/>
  <c r="F29" i="8"/>
  <c r="G29" i="8" s="1"/>
  <c r="B53" i="8" s="1"/>
  <c r="C48" i="8"/>
  <c r="D48" i="8"/>
  <c r="C47" i="8"/>
  <c r="D47" i="8"/>
  <c r="I34" i="7" l="1"/>
  <c r="Q24" i="7"/>
  <c r="R24" i="7" s="1"/>
  <c r="S24" i="7" s="1"/>
  <c r="P24" i="7"/>
  <c r="J40" i="7" s="1"/>
  <c r="H25" i="7"/>
  <c r="B52" i="8"/>
  <c r="B51" i="8"/>
  <c r="C49" i="8"/>
  <c r="D49" i="8"/>
  <c r="C53" i="8"/>
  <c r="D53" i="8"/>
  <c r="C50" i="8"/>
  <c r="D50" i="8"/>
  <c r="J60" i="7" l="1"/>
  <c r="J72" i="7"/>
  <c r="J48" i="7"/>
  <c r="J66" i="7"/>
  <c r="J46" i="7"/>
  <c r="J68" i="7"/>
  <c r="J65" i="7"/>
  <c r="J49" i="7"/>
  <c r="J61" i="7"/>
  <c r="J54" i="7"/>
  <c r="J50" i="7"/>
  <c r="J25" i="7"/>
  <c r="O25" i="7"/>
  <c r="J41" i="7"/>
  <c r="J58" i="7"/>
  <c r="J39" i="7"/>
  <c r="J67" i="7"/>
  <c r="J57" i="7"/>
  <c r="J52" i="7"/>
  <c r="J74" i="7"/>
  <c r="J62" i="7"/>
  <c r="J42" i="7"/>
  <c r="J53" i="7"/>
  <c r="J35" i="7"/>
  <c r="J51" i="7"/>
  <c r="J36" i="7"/>
  <c r="J59" i="7"/>
  <c r="J64" i="7"/>
  <c r="J44" i="7"/>
  <c r="J71" i="7"/>
  <c r="J55" i="7"/>
  <c r="J38" i="7"/>
  <c r="J45" i="7"/>
  <c r="J70" i="7"/>
  <c r="J43" i="7"/>
  <c r="J69" i="7"/>
  <c r="J73" i="7"/>
  <c r="J56" i="7"/>
  <c r="J37" i="7"/>
  <c r="J63" i="7"/>
  <c r="J47" i="7"/>
  <c r="C51" i="8"/>
  <c r="D51" i="8"/>
  <c r="C52" i="8"/>
  <c r="D52" i="8"/>
  <c r="Q25" i="7" l="1"/>
  <c r="R25" i="7" s="1"/>
  <c r="S25" i="7" s="1"/>
  <c r="J34" i="7"/>
  <c r="P25" i="7"/>
  <c r="H26" i="7"/>
  <c r="D55" i="8"/>
  <c r="C55" i="8"/>
  <c r="K38" i="7" l="1"/>
  <c r="K57" i="7"/>
  <c r="K62" i="7"/>
  <c r="K72" i="7"/>
  <c r="K45" i="7"/>
  <c r="K37" i="7"/>
  <c r="K44" i="7"/>
  <c r="K54" i="7"/>
  <c r="K53" i="7"/>
  <c r="K71" i="7"/>
  <c r="K52" i="7"/>
  <c r="K69" i="7"/>
  <c r="K50" i="7"/>
  <c r="K68" i="7"/>
  <c r="O26" i="7"/>
  <c r="J26" i="7"/>
  <c r="K70" i="7"/>
  <c r="K65" i="7"/>
  <c r="K47" i="7"/>
  <c r="K40" i="7"/>
  <c r="K42" i="7"/>
  <c r="K60" i="7"/>
  <c r="K64" i="7"/>
  <c r="K58" i="7"/>
  <c r="K46" i="7"/>
  <c r="K43" i="7"/>
  <c r="K55" i="7"/>
  <c r="K36" i="7"/>
  <c r="K66" i="7"/>
  <c r="K41" i="7"/>
  <c r="K63" i="7"/>
  <c r="K39" i="7"/>
  <c r="K48" i="7"/>
  <c r="K35" i="7"/>
  <c r="K67" i="7"/>
  <c r="K51" i="7"/>
  <c r="K74" i="7"/>
  <c r="K61" i="7"/>
  <c r="K73" i="7"/>
  <c r="K59" i="7"/>
  <c r="K56" i="7"/>
  <c r="K49" i="7"/>
  <c r="H27" i="7" l="1"/>
  <c r="P26" i="7"/>
  <c r="L39" i="7" s="1"/>
  <c r="K34" i="7"/>
  <c r="L67" i="7" l="1"/>
  <c r="L44" i="7"/>
  <c r="L40" i="7"/>
  <c r="L58" i="7"/>
  <c r="L36" i="7"/>
  <c r="L53" i="7"/>
  <c r="L71" i="7"/>
  <c r="L64" i="7"/>
  <c r="L43" i="7"/>
  <c r="L41" i="7"/>
  <c r="L63" i="7"/>
  <c r="L51" i="7"/>
  <c r="L66" i="7"/>
  <c r="L55" i="7"/>
  <c r="L57" i="7"/>
  <c r="L46" i="7"/>
  <c r="L65" i="7"/>
  <c r="L42" i="7"/>
  <c r="L61" i="7"/>
  <c r="L73" i="7"/>
  <c r="L56" i="7"/>
  <c r="L47" i="7"/>
  <c r="L48" i="7"/>
  <c r="L74" i="7"/>
  <c r="L62" i="7"/>
  <c r="L35" i="7"/>
  <c r="L69" i="7"/>
  <c r="L72" i="7"/>
  <c r="L59" i="7"/>
  <c r="L50" i="7"/>
  <c r="L49" i="7"/>
  <c r="L38" i="7"/>
  <c r="L60" i="7"/>
  <c r="L45" i="7"/>
  <c r="L54" i="7"/>
  <c r="L70" i="7"/>
  <c r="L52" i="7"/>
  <c r="L68" i="7"/>
  <c r="L37" i="7"/>
  <c r="J27" i="7"/>
  <c r="B5" i="8" s="1"/>
  <c r="O27" i="7"/>
  <c r="B6" i="8" l="1"/>
  <c r="D10" i="8"/>
  <c r="V22" i="7"/>
  <c r="V27" i="7" s="1"/>
  <c r="F12" i="5"/>
  <c r="L34" i="7"/>
  <c r="V21" i="7"/>
  <c r="L11" i="5" s="1"/>
  <c r="P27" i="7"/>
  <c r="M37" i="7" s="1"/>
  <c r="N37" i="7" s="1"/>
  <c r="R37" i="7" s="1"/>
  <c r="M3" i="2" l="1"/>
  <c r="L12" i="5"/>
  <c r="L20" i="5" s="1"/>
  <c r="L21" i="5" s="1"/>
  <c r="L22" i="5" s="1"/>
  <c r="D9" i="14"/>
  <c r="D9" i="15"/>
  <c r="E10" i="8"/>
  <c r="F10" i="8" s="1"/>
  <c r="G10" i="8" s="1"/>
  <c r="B7" i="8"/>
  <c r="M40" i="7"/>
  <c r="N40" i="7" s="1"/>
  <c r="R40" i="7" s="1"/>
  <c r="W40" i="7" s="1"/>
  <c r="X40" i="7" s="1"/>
  <c r="F15" i="22" s="1"/>
  <c r="V23" i="7"/>
  <c r="S9" i="16" s="1"/>
  <c r="V26" i="7"/>
  <c r="M61" i="7"/>
  <c r="N61" i="7" s="1"/>
  <c r="R61" i="7" s="1"/>
  <c r="M35" i="7"/>
  <c r="M60" i="7"/>
  <c r="N60" i="7" s="1"/>
  <c r="R60" i="7" s="1"/>
  <c r="M67" i="7"/>
  <c r="N67" i="7" s="1"/>
  <c r="R67" i="7" s="1"/>
  <c r="M47" i="7"/>
  <c r="N47" i="7" s="1"/>
  <c r="R47" i="7" s="1"/>
  <c r="M69" i="7"/>
  <c r="N69" i="7" s="1"/>
  <c r="R69" i="7" s="1"/>
  <c r="M57" i="7"/>
  <c r="N57" i="7" s="1"/>
  <c r="R57" i="7" s="1"/>
  <c r="M39" i="7"/>
  <c r="N39" i="7" s="1"/>
  <c r="R39" i="7" s="1"/>
  <c r="M66" i="7"/>
  <c r="N66" i="7" s="1"/>
  <c r="R66" i="7" s="1"/>
  <c r="M71" i="7"/>
  <c r="N71" i="7" s="1"/>
  <c r="R71" i="7" s="1"/>
  <c r="M50" i="7"/>
  <c r="N50" i="7" s="1"/>
  <c r="R50" i="7" s="1"/>
  <c r="M72" i="7"/>
  <c r="N72" i="7" s="1"/>
  <c r="R72" i="7" s="1"/>
  <c r="M41" i="7"/>
  <c r="N41" i="7" s="1"/>
  <c r="R41" i="7" s="1"/>
  <c r="M53" i="7"/>
  <c r="N53" i="7" s="1"/>
  <c r="R53" i="7" s="1"/>
  <c r="M36" i="7"/>
  <c r="N36" i="7" s="1"/>
  <c r="R36" i="7" s="1"/>
  <c r="M65" i="7"/>
  <c r="N65" i="7" s="1"/>
  <c r="R65" i="7" s="1"/>
  <c r="M56" i="7"/>
  <c r="N56" i="7" s="1"/>
  <c r="R56" i="7" s="1"/>
  <c r="M44" i="7"/>
  <c r="N44" i="7" s="1"/>
  <c r="R44" i="7" s="1"/>
  <c r="M74" i="7"/>
  <c r="N74" i="7" s="1"/>
  <c r="R74" i="7" s="1"/>
  <c r="M51" i="7"/>
  <c r="N51" i="7" s="1"/>
  <c r="R51" i="7" s="1"/>
  <c r="M55" i="7"/>
  <c r="N55" i="7" s="1"/>
  <c r="R55" i="7" s="1"/>
  <c r="M46" i="7"/>
  <c r="N46" i="7" s="1"/>
  <c r="R46" i="7" s="1"/>
  <c r="M58" i="7"/>
  <c r="N58" i="7" s="1"/>
  <c r="R58" i="7" s="1"/>
  <c r="M62" i="7"/>
  <c r="N62" i="7" s="1"/>
  <c r="R62" i="7" s="1"/>
  <c r="M52" i="7"/>
  <c r="N52" i="7" s="1"/>
  <c r="R52" i="7" s="1"/>
  <c r="M54" i="7"/>
  <c r="N54" i="7" s="1"/>
  <c r="R54" i="7" s="1"/>
  <c r="M70" i="7"/>
  <c r="N70" i="7" s="1"/>
  <c r="R70" i="7" s="1"/>
  <c r="M63" i="7"/>
  <c r="N63" i="7" s="1"/>
  <c r="R63" i="7" s="1"/>
  <c r="W37" i="7"/>
  <c r="X37" i="7" s="1"/>
  <c r="F12" i="22" s="1"/>
  <c r="S37" i="7"/>
  <c r="M64" i="7"/>
  <c r="N64" i="7" s="1"/>
  <c r="R64" i="7" s="1"/>
  <c r="M59" i="7"/>
  <c r="N59" i="7" s="1"/>
  <c r="R59" i="7" s="1"/>
  <c r="M38" i="7"/>
  <c r="N38" i="7" s="1"/>
  <c r="R38" i="7" s="1"/>
  <c r="M48" i="7"/>
  <c r="N48" i="7" s="1"/>
  <c r="R48" i="7" s="1"/>
  <c r="M68" i="7"/>
  <c r="N68" i="7" s="1"/>
  <c r="R68" i="7" s="1"/>
  <c r="M43" i="7"/>
  <c r="N43" i="7" s="1"/>
  <c r="R43" i="7" s="1"/>
  <c r="M49" i="7"/>
  <c r="N49" i="7" s="1"/>
  <c r="R49" i="7" s="1"/>
  <c r="M73" i="7"/>
  <c r="N73" i="7" s="1"/>
  <c r="R73" i="7" s="1"/>
  <c r="M45" i="7"/>
  <c r="N45" i="7" s="1"/>
  <c r="R45" i="7" s="1"/>
  <c r="M42" i="7"/>
  <c r="N42" i="7" s="1"/>
  <c r="R42" i="7" s="1"/>
  <c r="M71" i="2" l="1"/>
  <c r="M72" i="2" s="1"/>
  <c r="B96" i="8"/>
  <c r="AK96" i="8" s="1"/>
  <c r="AV96" i="8" s="1"/>
  <c r="B113" i="8"/>
  <c r="AK113" i="8" s="1"/>
  <c r="AV113" i="8" s="1"/>
  <c r="B119" i="8"/>
  <c r="AK119" i="8" s="1"/>
  <c r="AV119" i="8" s="1"/>
  <c r="B129" i="8"/>
  <c r="AK129" i="8" s="1"/>
  <c r="AV129" i="8" s="1"/>
  <c r="B92" i="8"/>
  <c r="AK92" i="8" s="1"/>
  <c r="AV92" i="8" s="1"/>
  <c r="B117" i="8"/>
  <c r="AK117" i="8" s="1"/>
  <c r="AV117" i="8" s="1"/>
  <c r="B111" i="8"/>
  <c r="AK111" i="8" s="1"/>
  <c r="AV111" i="8" s="1"/>
  <c r="B103" i="8"/>
  <c r="AK103" i="8" s="1"/>
  <c r="AV103" i="8" s="1"/>
  <c r="B98" i="8"/>
  <c r="AK98" i="8" s="1"/>
  <c r="AV98" i="8" s="1"/>
  <c r="B115" i="8"/>
  <c r="AK115" i="8" s="1"/>
  <c r="AV115" i="8" s="1"/>
  <c r="B123" i="8"/>
  <c r="AK123" i="8" s="1"/>
  <c r="AV123" i="8" s="1"/>
  <c r="B8" i="8"/>
  <c r="C6" i="8"/>
  <c r="D6" i="8"/>
  <c r="B127" i="8"/>
  <c r="AK127" i="8" s="1"/>
  <c r="AV127" i="8" s="1"/>
  <c r="B118" i="8"/>
  <c r="AK118" i="8" s="1"/>
  <c r="AV118" i="8" s="1"/>
  <c r="B91" i="8"/>
  <c r="B106" i="8"/>
  <c r="AK106" i="8" s="1"/>
  <c r="AV106" i="8" s="1"/>
  <c r="B114" i="8"/>
  <c r="AK114" i="8" s="1"/>
  <c r="AV114" i="8" s="1"/>
  <c r="B99" i="8"/>
  <c r="AK99" i="8" s="1"/>
  <c r="AV99" i="8" s="1"/>
  <c r="B124" i="8"/>
  <c r="AK124" i="8" s="1"/>
  <c r="AV124" i="8" s="1"/>
  <c r="B102" i="8"/>
  <c r="AK102" i="8" s="1"/>
  <c r="AV102" i="8" s="1"/>
  <c r="B120" i="8"/>
  <c r="AK120" i="8" s="1"/>
  <c r="AV120" i="8" s="1"/>
  <c r="B112" i="8"/>
  <c r="AK112" i="8" s="1"/>
  <c r="AV112" i="8" s="1"/>
  <c r="B97" i="8"/>
  <c r="AK97" i="8" s="1"/>
  <c r="AV97" i="8" s="1"/>
  <c r="B101" i="8"/>
  <c r="AK101" i="8" s="1"/>
  <c r="AV101" i="8" s="1"/>
  <c r="B109" i="8"/>
  <c r="AK109" i="8" s="1"/>
  <c r="AV109" i="8" s="1"/>
  <c r="B107" i="8"/>
  <c r="AK107" i="8" s="1"/>
  <c r="AV107" i="8" s="1"/>
  <c r="B121" i="8"/>
  <c r="AK121" i="8" s="1"/>
  <c r="AV121" i="8" s="1"/>
  <c r="B95" i="8"/>
  <c r="AK95" i="8" s="1"/>
  <c r="AV95" i="8" s="1"/>
  <c r="B104" i="8"/>
  <c r="AK104" i="8" s="1"/>
  <c r="AV104" i="8" s="1"/>
  <c r="B108" i="8"/>
  <c r="AK108" i="8" s="1"/>
  <c r="AV108" i="8" s="1"/>
  <c r="B100" i="8"/>
  <c r="AK100" i="8" s="1"/>
  <c r="AV100" i="8" s="1"/>
  <c r="B122" i="8"/>
  <c r="AK122" i="8" s="1"/>
  <c r="AV122" i="8" s="1"/>
  <c r="B105" i="8"/>
  <c r="AK105" i="8" s="1"/>
  <c r="AV105" i="8" s="1"/>
  <c r="B130" i="8"/>
  <c r="AK130" i="8" s="1"/>
  <c r="AV130" i="8" s="1"/>
  <c r="B126" i="8"/>
  <c r="AK126" i="8" s="1"/>
  <c r="AV126" i="8" s="1"/>
  <c r="B116" i="8"/>
  <c r="AK116" i="8" s="1"/>
  <c r="AV116" i="8" s="1"/>
  <c r="B93" i="8"/>
  <c r="AK93" i="8" s="1"/>
  <c r="AV93" i="8" s="1"/>
  <c r="B128" i="8"/>
  <c r="AK128" i="8" s="1"/>
  <c r="AV128" i="8" s="1"/>
  <c r="B110" i="8"/>
  <c r="AK110" i="8" s="1"/>
  <c r="AV110" i="8" s="1"/>
  <c r="B94" i="8"/>
  <c r="AK94" i="8" s="1"/>
  <c r="AV94" i="8" s="1"/>
  <c r="B125" i="8"/>
  <c r="AK125" i="8" s="1"/>
  <c r="AV125" i="8" s="1"/>
  <c r="O9" i="15"/>
  <c r="O9" i="14"/>
  <c r="S40" i="7"/>
  <c r="AB40" i="7" s="1"/>
  <c r="S73" i="7"/>
  <c r="W73" i="7"/>
  <c r="X73" i="7" s="1"/>
  <c r="F48" i="22" s="1"/>
  <c r="W48" i="7"/>
  <c r="X48" i="7" s="1"/>
  <c r="F23" i="22" s="1"/>
  <c r="S48" i="7"/>
  <c r="W70" i="7"/>
  <c r="X70" i="7" s="1"/>
  <c r="F45" i="22" s="1"/>
  <c r="S70" i="7"/>
  <c r="S58" i="7"/>
  <c r="W58" i="7"/>
  <c r="X58" i="7" s="1"/>
  <c r="F33" i="22" s="1"/>
  <c r="W74" i="7"/>
  <c r="X74" i="7" s="1"/>
  <c r="F49" i="22" s="1"/>
  <c r="S74" i="7"/>
  <c r="S36" i="7"/>
  <c r="W36" i="7"/>
  <c r="X36" i="7" s="1"/>
  <c r="F11" i="22" s="1"/>
  <c r="W50" i="7"/>
  <c r="X50" i="7" s="1"/>
  <c r="F25" i="22" s="1"/>
  <c r="S50" i="7"/>
  <c r="S69" i="7"/>
  <c r="W69" i="7"/>
  <c r="X69" i="7" s="1"/>
  <c r="F44" i="22" s="1"/>
  <c r="M34" i="7"/>
  <c r="N35" i="7"/>
  <c r="W49" i="7"/>
  <c r="X49" i="7" s="1"/>
  <c r="F24" i="22" s="1"/>
  <c r="S49" i="7"/>
  <c r="W38" i="7"/>
  <c r="X38" i="7" s="1"/>
  <c r="F13" i="22" s="1"/>
  <c r="S38" i="7"/>
  <c r="F12" i="16"/>
  <c r="AB37" i="7"/>
  <c r="S54" i="7"/>
  <c r="W54" i="7"/>
  <c r="X54" i="7" s="1"/>
  <c r="F29" i="22" s="1"/>
  <c r="W46" i="7"/>
  <c r="X46" i="7" s="1"/>
  <c r="F21" i="22" s="1"/>
  <c r="S46" i="7"/>
  <c r="W44" i="7"/>
  <c r="X44" i="7" s="1"/>
  <c r="F19" i="22" s="1"/>
  <c r="S44" i="7"/>
  <c r="W53" i="7"/>
  <c r="X53" i="7" s="1"/>
  <c r="F28" i="22" s="1"/>
  <c r="S53" i="7"/>
  <c r="S71" i="7"/>
  <c r="W71" i="7"/>
  <c r="X71" i="7" s="1"/>
  <c r="F46" i="22" s="1"/>
  <c r="W66" i="7"/>
  <c r="X66" i="7" s="1"/>
  <c r="F41" i="22" s="1"/>
  <c r="S66" i="7"/>
  <c r="S47" i="7"/>
  <c r="W47" i="7"/>
  <c r="X47" i="7" s="1"/>
  <c r="F22" i="22" s="1"/>
  <c r="W61" i="7"/>
  <c r="X61" i="7" s="1"/>
  <c r="F36" i="22" s="1"/>
  <c r="S61" i="7"/>
  <c r="W42" i="7"/>
  <c r="X42" i="7" s="1"/>
  <c r="F17" i="22" s="1"/>
  <c r="S42" i="7"/>
  <c r="W43" i="7"/>
  <c r="X43" i="7" s="1"/>
  <c r="F18" i="22" s="1"/>
  <c r="S43" i="7"/>
  <c r="S59" i="7"/>
  <c r="W59" i="7"/>
  <c r="X59" i="7" s="1"/>
  <c r="F34" i="22" s="1"/>
  <c r="W52" i="7"/>
  <c r="X52" i="7" s="1"/>
  <c r="F27" i="22" s="1"/>
  <c r="S52" i="7"/>
  <c r="S55" i="7"/>
  <c r="W55" i="7"/>
  <c r="X55" i="7" s="1"/>
  <c r="F30" i="22" s="1"/>
  <c r="W56" i="7"/>
  <c r="X56" i="7" s="1"/>
  <c r="F31" i="22" s="1"/>
  <c r="S56" i="7"/>
  <c r="W41" i="7"/>
  <c r="X41" i="7" s="1"/>
  <c r="F16" i="22" s="1"/>
  <c r="S41" i="7"/>
  <c r="S39" i="7"/>
  <c r="W39" i="7"/>
  <c r="X39" i="7" s="1"/>
  <c r="F14" i="22" s="1"/>
  <c r="S67" i="7"/>
  <c r="W67" i="7"/>
  <c r="X67" i="7" s="1"/>
  <c r="F42" i="22" s="1"/>
  <c r="W45" i="7"/>
  <c r="X45" i="7" s="1"/>
  <c r="F20" i="22" s="1"/>
  <c r="S45" i="7"/>
  <c r="W68" i="7"/>
  <c r="X68" i="7" s="1"/>
  <c r="F43" i="22" s="1"/>
  <c r="S68" i="7"/>
  <c r="S64" i="7"/>
  <c r="W64" i="7"/>
  <c r="X64" i="7" s="1"/>
  <c r="F39" i="22" s="1"/>
  <c r="W63" i="7"/>
  <c r="X63" i="7" s="1"/>
  <c r="F38" i="22" s="1"/>
  <c r="S63" i="7"/>
  <c r="S62" i="7"/>
  <c r="W62" i="7"/>
  <c r="X62" i="7" s="1"/>
  <c r="F37" i="22" s="1"/>
  <c r="W51" i="7"/>
  <c r="X51" i="7" s="1"/>
  <c r="F26" i="22" s="1"/>
  <c r="S51" i="7"/>
  <c r="W65" i="7"/>
  <c r="X65" i="7" s="1"/>
  <c r="F40" i="22" s="1"/>
  <c r="S65" i="7"/>
  <c r="S72" i="7"/>
  <c r="W72" i="7"/>
  <c r="X72" i="7" s="1"/>
  <c r="F47" i="22" s="1"/>
  <c r="S57" i="7"/>
  <c r="W57" i="7"/>
  <c r="X57" i="7" s="1"/>
  <c r="F32" i="22" s="1"/>
  <c r="S60" i="7"/>
  <c r="W60" i="7"/>
  <c r="X60" i="7" s="1"/>
  <c r="F35" i="22" s="1"/>
  <c r="BO128" i="8" l="1"/>
  <c r="BO130" i="8"/>
  <c r="BO108" i="8"/>
  <c r="BO107" i="8"/>
  <c r="BO112" i="8"/>
  <c r="BO99" i="8"/>
  <c r="BO118" i="8"/>
  <c r="BO103" i="8"/>
  <c r="BO129" i="8"/>
  <c r="BO125" i="8"/>
  <c r="BO93" i="8"/>
  <c r="BO105" i="8"/>
  <c r="BO104" i="8"/>
  <c r="BO109" i="8"/>
  <c r="BO120" i="8"/>
  <c r="BO114" i="8"/>
  <c r="BO127" i="8"/>
  <c r="BO123" i="8"/>
  <c r="BO111" i="8"/>
  <c r="BO119" i="8"/>
  <c r="BO94" i="8"/>
  <c r="BO116" i="8"/>
  <c r="BO122" i="8"/>
  <c r="BO95" i="8"/>
  <c r="BO101" i="8"/>
  <c r="BO102" i="8"/>
  <c r="BO106" i="8"/>
  <c r="BO115" i="8"/>
  <c r="BO117" i="8"/>
  <c r="BO113" i="8"/>
  <c r="BO110" i="8"/>
  <c r="BO126" i="8"/>
  <c r="BO100" i="8"/>
  <c r="BO121" i="8"/>
  <c r="BO97" i="8"/>
  <c r="BO124" i="8"/>
  <c r="BO98" i="8"/>
  <c r="BO92" i="8"/>
  <c r="BO96" i="8"/>
  <c r="AA91" i="8"/>
  <c r="AA92" i="8" s="1"/>
  <c r="AA93" i="8" s="1"/>
  <c r="AA94" i="8" s="1"/>
  <c r="AA95" i="8" s="1"/>
  <c r="AA96" i="8" s="1"/>
  <c r="E74" i="8"/>
  <c r="T23" i="9"/>
  <c r="F74" i="8"/>
  <c r="AK91" i="8"/>
  <c r="B90" i="8"/>
  <c r="B3" i="12"/>
  <c r="J12" i="13"/>
  <c r="F15" i="16"/>
  <c r="AB65" i="7"/>
  <c r="F40" i="16"/>
  <c r="F26" i="16"/>
  <c r="AB51" i="7"/>
  <c r="F42" i="16"/>
  <c r="AB67" i="7"/>
  <c r="F18" i="16"/>
  <c r="AB43" i="7"/>
  <c r="F46" i="16"/>
  <c r="AB71" i="7"/>
  <c r="AB44" i="7"/>
  <c r="F19" i="16"/>
  <c r="F29" i="16"/>
  <c r="AB54" i="7"/>
  <c r="F44" i="16"/>
  <c r="AB69" i="7"/>
  <c r="F25" i="16"/>
  <c r="AB50" i="7"/>
  <c r="F11" i="16"/>
  <c r="AB36" i="7"/>
  <c r="AB41" i="7"/>
  <c r="F16" i="16"/>
  <c r="F38" i="16"/>
  <c r="AB63" i="7"/>
  <c r="F39" i="16"/>
  <c r="AB64" i="7"/>
  <c r="F31" i="16"/>
  <c r="AB56" i="7"/>
  <c r="F30" i="16"/>
  <c r="AB55" i="7"/>
  <c r="AB61" i="7"/>
  <c r="F36" i="16"/>
  <c r="AB53" i="7"/>
  <c r="F28" i="16"/>
  <c r="R35" i="7"/>
  <c r="N34" i="7"/>
  <c r="F45" i="16"/>
  <c r="AB70" i="7"/>
  <c r="F23" i="16"/>
  <c r="AB48" i="7"/>
  <c r="F48" i="16"/>
  <c r="AB73" i="7"/>
  <c r="F32" i="16"/>
  <c r="AB57" i="7"/>
  <c r="F34" i="16"/>
  <c r="AB59" i="7"/>
  <c r="F22" i="16"/>
  <c r="AB47" i="7"/>
  <c r="F49" i="16"/>
  <c r="AB74" i="7"/>
  <c r="F33" i="16"/>
  <c r="AB58" i="7"/>
  <c r="F35" i="16"/>
  <c r="AB60" i="7"/>
  <c r="F20" i="16"/>
  <c r="AB45" i="7"/>
  <c r="F14" i="16"/>
  <c r="AB39" i="7"/>
  <c r="F17" i="16"/>
  <c r="AB42" i="7"/>
  <c r="AB72" i="7"/>
  <c r="F47" i="16"/>
  <c r="F37" i="16"/>
  <c r="AB62" i="7"/>
  <c r="F43" i="16"/>
  <c r="AB68" i="7"/>
  <c r="AB52" i="7"/>
  <c r="F27" i="16"/>
  <c r="AB66" i="7"/>
  <c r="F41" i="16"/>
  <c r="F21" i="16"/>
  <c r="AB46" i="7"/>
  <c r="F13" i="16"/>
  <c r="AB38" i="7"/>
  <c r="F24" i="16"/>
  <c r="AB49" i="7"/>
  <c r="AV91" i="8" l="1"/>
  <c r="AK90" i="8"/>
  <c r="E44" i="8"/>
  <c r="H74" i="8"/>
  <c r="F75" i="8" s="1"/>
  <c r="H77" i="8"/>
  <c r="F77" i="8" s="1"/>
  <c r="E77" i="8" s="1"/>
  <c r="H76" i="8"/>
  <c r="F76" i="8" s="1"/>
  <c r="E76" i="8" s="1"/>
  <c r="S31" i="9"/>
  <c r="S32" i="9" s="1"/>
  <c r="S33" i="9" s="1"/>
  <c r="S34" i="9" s="1"/>
  <c r="S35" i="9" s="1"/>
  <c r="S36" i="9" s="1"/>
  <c r="M74" i="8"/>
  <c r="K74" i="8"/>
  <c r="L74" i="8" s="1"/>
  <c r="R74" i="8"/>
  <c r="AA97" i="8"/>
  <c r="AA85" i="8"/>
  <c r="S35" i="7"/>
  <c r="W35" i="7"/>
  <c r="M11" i="5" a="1"/>
  <c r="R34" i="7"/>
  <c r="V74" i="8" l="1"/>
  <c r="S37" i="9"/>
  <c r="E75" i="8"/>
  <c r="H75" i="8"/>
  <c r="E41" i="8" s="1"/>
  <c r="T21" i="9"/>
  <c r="T22" i="9" s="1"/>
  <c r="I21" i="11" s="1"/>
  <c r="AB86" i="8"/>
  <c r="AF93" i="8" s="1"/>
  <c r="AA98" i="8"/>
  <c r="H44" i="8"/>
  <c r="F44" i="8"/>
  <c r="G44" i="8" s="1"/>
  <c r="K76" i="8"/>
  <c r="L76" i="8" s="1"/>
  <c r="R76" i="8"/>
  <c r="M76" i="8"/>
  <c r="S74" i="8"/>
  <c r="R77" i="8"/>
  <c r="K77" i="8"/>
  <c r="L77" i="8" s="1"/>
  <c r="M77" i="8"/>
  <c r="M12" i="5" a="1"/>
  <c r="BO91" i="8"/>
  <c r="BO90" i="8" s="1"/>
  <c r="AV90" i="8"/>
  <c r="W11" i="5"/>
  <c r="AM11" i="5"/>
  <c r="P11" i="5"/>
  <c r="AF11" i="5"/>
  <c r="AV11" i="5"/>
  <c r="U11" i="5"/>
  <c r="AK11" i="5"/>
  <c r="N11" i="5"/>
  <c r="AD11" i="5"/>
  <c r="AT11" i="5"/>
  <c r="AA11" i="5"/>
  <c r="AQ11" i="5"/>
  <c r="T11" i="5"/>
  <c r="AJ11" i="5"/>
  <c r="AZ11" i="5"/>
  <c r="Y11" i="5"/>
  <c r="AO11" i="5"/>
  <c r="R11" i="5"/>
  <c r="AH11" i="5"/>
  <c r="AX11" i="5"/>
  <c r="AG11" i="5"/>
  <c r="Z11" i="5"/>
  <c r="O11" i="5"/>
  <c r="AE11" i="5"/>
  <c r="AU11" i="5"/>
  <c r="X11" i="5"/>
  <c r="AN11" i="5"/>
  <c r="M11" i="5"/>
  <c r="AC11" i="5"/>
  <c r="AS11" i="5"/>
  <c r="V11" i="5"/>
  <c r="AL11" i="5"/>
  <c r="S11" i="5"/>
  <c r="AI11" i="5"/>
  <c r="AY11" i="5"/>
  <c r="AB11" i="5"/>
  <c r="AR11" i="5"/>
  <c r="Q11" i="5"/>
  <c r="AW11" i="5"/>
  <c r="AP11" i="5"/>
  <c r="X35" i="7"/>
  <c r="W34" i="7"/>
  <c r="S34" i="7"/>
  <c r="AB35" i="7"/>
  <c r="AB34" i="7" s="1"/>
  <c r="F10" i="16"/>
  <c r="U31" i="9" l="1"/>
  <c r="I20" i="11"/>
  <c r="T31" i="9"/>
  <c r="AI92" i="8"/>
  <c r="AF91" i="8"/>
  <c r="AB91" i="8"/>
  <c r="I19" i="11"/>
  <c r="T32" i="9"/>
  <c r="AC92" i="8"/>
  <c r="AD91" i="8"/>
  <c r="AG92" i="8"/>
  <c r="V31" i="9"/>
  <c r="V32" i="9"/>
  <c r="Z32" i="9" s="1"/>
  <c r="AG91" i="8"/>
  <c r="AH92" i="8"/>
  <c r="AC91" i="8"/>
  <c r="AH91" i="8"/>
  <c r="U32" i="9"/>
  <c r="AF92" i="8"/>
  <c r="AD92" i="8"/>
  <c r="AE91" i="8"/>
  <c r="AI91" i="8"/>
  <c r="AE92" i="8"/>
  <c r="AB92" i="8"/>
  <c r="AE95" i="8"/>
  <c r="AC96" i="8"/>
  <c r="V35" i="9"/>
  <c r="Z35" i="9" s="1"/>
  <c r="I15" i="10" s="1"/>
  <c r="K15" i="10" s="1"/>
  <c r="AE96" i="8"/>
  <c r="AI96" i="8"/>
  <c r="AG96" i="8"/>
  <c r="AC95" i="8"/>
  <c r="AG97" i="8"/>
  <c r="AH96" i="8"/>
  <c r="AD96" i="8"/>
  <c r="AB95" i="8"/>
  <c r="AG95" i="8"/>
  <c r="AF97" i="8"/>
  <c r="AE97" i="8"/>
  <c r="AB97" i="8"/>
  <c r="AH95" i="8"/>
  <c r="AF95" i="8"/>
  <c r="AC97" i="8"/>
  <c r="T33" i="9"/>
  <c r="V34" i="9"/>
  <c r="Z34" i="9" s="1"/>
  <c r="I14" i="10" s="1"/>
  <c r="K14" i="10" s="1"/>
  <c r="V33" i="9"/>
  <c r="Z33" i="9" s="1"/>
  <c r="I13" i="10" s="1"/>
  <c r="K13" i="10" s="1"/>
  <c r="U33" i="9"/>
  <c r="AG94" i="8"/>
  <c r="AC94" i="8"/>
  <c r="AI94" i="8"/>
  <c r="U34" i="9"/>
  <c r="AF94" i="8"/>
  <c r="AB94" i="8"/>
  <c r="AD94" i="8"/>
  <c r="AB93" i="8"/>
  <c r="T34" i="9"/>
  <c r="AE93" i="8"/>
  <c r="AI93" i="8"/>
  <c r="AD93" i="8"/>
  <c r="AG93" i="8"/>
  <c r="I22" i="11"/>
  <c r="AH93" i="8"/>
  <c r="AC93" i="8"/>
  <c r="AH94" i="8"/>
  <c r="AE94" i="8"/>
  <c r="O44" i="8"/>
  <c r="V76" i="8"/>
  <c r="I23" i="11"/>
  <c r="T35" i="9"/>
  <c r="U35" i="9"/>
  <c r="AD97" i="8"/>
  <c r="AI97" i="8"/>
  <c r="AH97" i="8"/>
  <c r="M75" i="8"/>
  <c r="R75" i="8"/>
  <c r="K75" i="8"/>
  <c r="L75" i="8" s="1"/>
  <c r="F13" i="5"/>
  <c r="P3" i="2" s="1"/>
  <c r="P71" i="2" s="1"/>
  <c r="P72" i="2" s="1"/>
  <c r="I12" i="10"/>
  <c r="K12" i="10" s="1"/>
  <c r="U36" i="9"/>
  <c r="S77" i="8"/>
  <c r="T77" i="8" s="1"/>
  <c r="AG98" i="8"/>
  <c r="AI98" i="8"/>
  <c r="AH98" i="8"/>
  <c r="AF98" i="8"/>
  <c r="AD98" i="8"/>
  <c r="AB98" i="8"/>
  <c r="AE98" i="8"/>
  <c r="AC98" i="8"/>
  <c r="AA99" i="8"/>
  <c r="AI95" i="8"/>
  <c r="T36" i="9"/>
  <c r="S76" i="8"/>
  <c r="I44" i="8"/>
  <c r="AB96" i="8"/>
  <c r="AD95" i="8"/>
  <c r="V37" i="9"/>
  <c r="Z37" i="9" s="1"/>
  <c r="I17" i="10" s="1"/>
  <c r="K17" i="10" s="1"/>
  <c r="I25" i="11"/>
  <c r="U37" i="9"/>
  <c r="T37" i="9"/>
  <c r="S38" i="9"/>
  <c r="V36" i="9"/>
  <c r="Z36" i="9" s="1"/>
  <c r="I16" i="10" s="1"/>
  <c r="K16" i="10" s="1"/>
  <c r="AF12" i="5"/>
  <c r="AP12" i="5"/>
  <c r="V12" i="5"/>
  <c r="AT12" i="5"/>
  <c r="AO12" i="5"/>
  <c r="AD12" i="5"/>
  <c r="Q12" i="5"/>
  <c r="AX12" i="5"/>
  <c r="X12" i="5"/>
  <c r="AK12" i="5"/>
  <c r="N12" i="5"/>
  <c r="AN12" i="5"/>
  <c r="AE12" i="5"/>
  <c r="AU12" i="5"/>
  <c r="P12" i="5"/>
  <c r="W12" i="5"/>
  <c r="AJ12" i="5"/>
  <c r="AV12" i="5"/>
  <c r="U12" i="5"/>
  <c r="R12" i="5"/>
  <c r="AI12" i="5"/>
  <c r="T12" i="5"/>
  <c r="Y12" i="5"/>
  <c r="AB12" i="5"/>
  <c r="O12" i="5"/>
  <c r="AA12" i="5"/>
  <c r="AM12" i="5"/>
  <c r="AG12" i="5"/>
  <c r="AS12" i="5"/>
  <c r="AZ12" i="5"/>
  <c r="Z12" i="5"/>
  <c r="AC12" i="5"/>
  <c r="AR12" i="5"/>
  <c r="M12" i="5"/>
  <c r="AW12" i="5"/>
  <c r="AQ12" i="5"/>
  <c r="AH12" i="5"/>
  <c r="S12" i="5"/>
  <c r="AY12" i="5"/>
  <c r="AL12" i="5"/>
  <c r="T74" i="8"/>
  <c r="W74" i="8"/>
  <c r="F41" i="8"/>
  <c r="H41" i="8"/>
  <c r="I24" i="11"/>
  <c r="AF96" i="8"/>
  <c r="F10" i="22"/>
  <c r="X34" i="7"/>
  <c r="F8" i="16"/>
  <c r="F7" i="16"/>
  <c r="G11" i="5"/>
  <c r="J11" i="5" s="1"/>
  <c r="O41" i="8" l="1"/>
  <c r="I41" i="8"/>
  <c r="T38" i="9"/>
  <c r="I26" i="11"/>
  <c r="U38" i="9"/>
  <c r="V38" i="9"/>
  <c r="Z38" i="9" s="1"/>
  <c r="I18" i="10" s="1"/>
  <c r="K18" i="10" s="1"/>
  <c r="S39" i="9"/>
  <c r="T76" i="8"/>
  <c r="W76" i="8"/>
  <c r="S75" i="8"/>
  <c r="G41" i="8"/>
  <c r="E42" i="8"/>
  <c r="G12" i="5"/>
  <c r="J12" i="5" s="1"/>
  <c r="U74" i="8"/>
  <c r="R111" i="8" s="1"/>
  <c r="X74" i="8"/>
  <c r="P44" i="8"/>
  <c r="J44" i="8"/>
  <c r="U77" i="8"/>
  <c r="X77" i="8"/>
  <c r="V75" i="8"/>
  <c r="AI99" i="8"/>
  <c r="AD99" i="8"/>
  <c r="AB99" i="8"/>
  <c r="AC99" i="8"/>
  <c r="AE99" i="8"/>
  <c r="AH99" i="8"/>
  <c r="AG99" i="8"/>
  <c r="AF99" i="8"/>
  <c r="AA100" i="8"/>
  <c r="F7" i="22"/>
  <c r="R95" i="8" l="1"/>
  <c r="AM95" i="8" s="1"/>
  <c r="R114" i="8"/>
  <c r="R101" i="8"/>
  <c r="R103" i="8"/>
  <c r="R122" i="8"/>
  <c r="R108" i="8"/>
  <c r="R125" i="8"/>
  <c r="R100" i="8"/>
  <c r="R130" i="8"/>
  <c r="R116" i="8"/>
  <c r="R104" i="8"/>
  <c r="R119" i="8"/>
  <c r="R117" i="8"/>
  <c r="R123" i="8"/>
  <c r="R112" i="8"/>
  <c r="R120" i="8"/>
  <c r="R102" i="8"/>
  <c r="R91" i="8"/>
  <c r="AM91" i="8" s="1"/>
  <c r="R118" i="8"/>
  <c r="R126" i="8"/>
  <c r="R92" i="8"/>
  <c r="AM92" i="8" s="1"/>
  <c r="R109" i="8"/>
  <c r="R127" i="8"/>
  <c r="R105" i="8"/>
  <c r="R113" i="8"/>
  <c r="R129" i="8"/>
  <c r="R124" i="8"/>
  <c r="R106" i="8"/>
  <c r="R107" i="8"/>
  <c r="R115" i="8"/>
  <c r="R128" i="8"/>
  <c r="R121" i="8"/>
  <c r="R110" i="8"/>
  <c r="Y74" i="8"/>
  <c r="R96" i="8" s="1"/>
  <c r="AM96" i="8" s="1"/>
  <c r="R93" i="8"/>
  <c r="AB100" i="8"/>
  <c r="AC100" i="8"/>
  <c r="AG100" i="8"/>
  <c r="AD100" i="8"/>
  <c r="AI100" i="8"/>
  <c r="AE100" i="8"/>
  <c r="AF100" i="8"/>
  <c r="AH100" i="8"/>
  <c r="AA101" i="8"/>
  <c r="Y77" i="8"/>
  <c r="U99" i="8" s="1"/>
  <c r="AP99" i="8" s="1"/>
  <c r="U104" i="8"/>
  <c r="AP104" i="8" s="1"/>
  <c r="U124" i="8"/>
  <c r="AP124" i="8" s="1"/>
  <c r="U128" i="8"/>
  <c r="AP128" i="8" s="1"/>
  <c r="U101" i="8"/>
  <c r="AP101" i="8" s="1"/>
  <c r="U108" i="8"/>
  <c r="AP108" i="8" s="1"/>
  <c r="U122" i="8"/>
  <c r="AP122" i="8" s="1"/>
  <c r="U110" i="8"/>
  <c r="AP110" i="8" s="1"/>
  <c r="U118" i="8"/>
  <c r="AP118" i="8" s="1"/>
  <c r="U119" i="8"/>
  <c r="AP119" i="8" s="1"/>
  <c r="U125" i="8"/>
  <c r="AP125" i="8" s="1"/>
  <c r="U103" i="8"/>
  <c r="AP103" i="8" s="1"/>
  <c r="U129" i="8"/>
  <c r="AP129" i="8" s="1"/>
  <c r="U120" i="8"/>
  <c r="AP120" i="8" s="1"/>
  <c r="U113" i="8"/>
  <c r="AP113" i="8" s="1"/>
  <c r="U115" i="8"/>
  <c r="AP115" i="8" s="1"/>
  <c r="U114" i="8"/>
  <c r="AP114" i="8" s="1"/>
  <c r="U126" i="8"/>
  <c r="AP126" i="8" s="1"/>
  <c r="U121" i="8"/>
  <c r="AP121" i="8" s="1"/>
  <c r="U127" i="8"/>
  <c r="AP127" i="8" s="1"/>
  <c r="U112" i="8"/>
  <c r="AP112" i="8" s="1"/>
  <c r="U123" i="8"/>
  <c r="AP123" i="8" s="1"/>
  <c r="U117" i="8"/>
  <c r="AP117" i="8" s="1"/>
  <c r="U106" i="8"/>
  <c r="AP106" i="8" s="1"/>
  <c r="U109" i="8"/>
  <c r="AP109" i="8" s="1"/>
  <c r="U111" i="8"/>
  <c r="AP111" i="8" s="1"/>
  <c r="U105" i="8"/>
  <c r="AP105" i="8" s="1"/>
  <c r="U130" i="8"/>
  <c r="AP130" i="8" s="1"/>
  <c r="U107" i="8"/>
  <c r="AP107" i="8" s="1"/>
  <c r="U116" i="8"/>
  <c r="AP116" i="8" s="1"/>
  <c r="U102" i="8"/>
  <c r="AP102" i="8" s="1"/>
  <c r="U91" i="8"/>
  <c r="AP91" i="8" s="1"/>
  <c r="V39" i="9"/>
  <c r="U39" i="9"/>
  <c r="T39" i="9"/>
  <c r="I27" i="11"/>
  <c r="S40" i="9"/>
  <c r="J41" i="8"/>
  <c r="P41" i="8"/>
  <c r="T75" i="8"/>
  <c r="W75" i="8"/>
  <c r="U76" i="8"/>
  <c r="T112" i="8" s="1"/>
  <c r="AO112" i="8" s="1"/>
  <c r="X76" i="8"/>
  <c r="K44" i="8"/>
  <c r="Q44" i="8"/>
  <c r="H42" i="8"/>
  <c r="F42" i="8"/>
  <c r="R94" i="8" l="1"/>
  <c r="AM94" i="8" s="1"/>
  <c r="R97" i="8"/>
  <c r="AM97" i="8" s="1"/>
  <c r="AM100" i="8"/>
  <c r="U100" i="8"/>
  <c r="AP100" i="8" s="1"/>
  <c r="T96" i="8"/>
  <c r="AO96" i="8" s="1"/>
  <c r="R99" i="8"/>
  <c r="AM99" i="8" s="1"/>
  <c r="T116" i="8"/>
  <c r="AO116" i="8" s="1"/>
  <c r="T119" i="8"/>
  <c r="AO119" i="8" s="1"/>
  <c r="T108" i="8"/>
  <c r="AO108" i="8" s="1"/>
  <c r="T117" i="8"/>
  <c r="AO117" i="8" s="1"/>
  <c r="O42" i="8"/>
  <c r="T93" i="8"/>
  <c r="AO93" i="8" s="1"/>
  <c r="T113" i="8"/>
  <c r="AO113" i="8" s="1"/>
  <c r="T107" i="8"/>
  <c r="AO107" i="8" s="1"/>
  <c r="T104" i="8"/>
  <c r="AO104" i="8" s="1"/>
  <c r="T110" i="8"/>
  <c r="AO110" i="8" s="1"/>
  <c r="T105" i="8"/>
  <c r="AO105" i="8" s="1"/>
  <c r="T114" i="8"/>
  <c r="AO114" i="8" s="1"/>
  <c r="T103" i="8"/>
  <c r="AO103" i="8" s="1"/>
  <c r="T101" i="8"/>
  <c r="AO101" i="8" s="1"/>
  <c r="T109" i="8"/>
  <c r="AO109" i="8" s="1"/>
  <c r="K41" i="8"/>
  <c r="Q41" i="8"/>
  <c r="AM93" i="8"/>
  <c r="Z74" i="8"/>
  <c r="R98" i="8"/>
  <c r="T125" i="8"/>
  <c r="AO125" i="8" s="1"/>
  <c r="Y76" i="8"/>
  <c r="T99" i="8" s="1"/>
  <c r="AO99" i="8" s="1"/>
  <c r="T40" i="9"/>
  <c r="U40" i="9"/>
  <c r="I28" i="11"/>
  <c r="V40" i="9"/>
  <c r="Z40" i="9" s="1"/>
  <c r="I20" i="10" s="1"/>
  <c r="K20" i="10" s="1"/>
  <c r="S41" i="9"/>
  <c r="Z39" i="9"/>
  <c r="G42" i="8"/>
  <c r="B57" i="8"/>
  <c r="E43" i="8"/>
  <c r="L44" i="8"/>
  <c r="R44" i="8"/>
  <c r="T126" i="8"/>
  <c r="AO126" i="8" s="1"/>
  <c r="T121" i="8"/>
  <c r="AO121" i="8" s="1"/>
  <c r="T129" i="8"/>
  <c r="AO129" i="8" s="1"/>
  <c r="T123" i="8"/>
  <c r="AO123" i="8" s="1"/>
  <c r="T91" i="8"/>
  <c r="T106" i="8"/>
  <c r="AO106" i="8" s="1"/>
  <c r="T122" i="8"/>
  <c r="AO122" i="8" s="1"/>
  <c r="T127" i="8"/>
  <c r="AO127" i="8" s="1"/>
  <c r="T102" i="8"/>
  <c r="AO102" i="8" s="1"/>
  <c r="AE101" i="8"/>
  <c r="AB101" i="8"/>
  <c r="AG101" i="8"/>
  <c r="AF101" i="8"/>
  <c r="AC101" i="8"/>
  <c r="AD101" i="8"/>
  <c r="AI101" i="8"/>
  <c r="AH101" i="8"/>
  <c r="AA102" i="8"/>
  <c r="I42" i="8"/>
  <c r="T124" i="8"/>
  <c r="AO124" i="8" s="1"/>
  <c r="T111" i="8"/>
  <c r="AO111" i="8" s="1"/>
  <c r="T118" i="8"/>
  <c r="AO118" i="8" s="1"/>
  <c r="T92" i="8"/>
  <c r="AO92" i="8" s="1"/>
  <c r="T130" i="8"/>
  <c r="AO130" i="8" s="1"/>
  <c r="T128" i="8"/>
  <c r="AO128" i="8" s="1"/>
  <c r="T120" i="8"/>
  <c r="AO120" i="8" s="1"/>
  <c r="T115" i="8"/>
  <c r="AO115" i="8" s="1"/>
  <c r="U75" i="8"/>
  <c r="S115" i="8" s="1"/>
  <c r="X75" i="8"/>
  <c r="T94" i="8" l="1"/>
  <c r="AO94" i="8" s="1"/>
  <c r="T95" i="8"/>
  <c r="AO95" i="8" s="1"/>
  <c r="T98" i="8"/>
  <c r="AO98" i="8" s="1"/>
  <c r="T100" i="8"/>
  <c r="AO100" i="8" s="1"/>
  <c r="R90" i="8"/>
  <c r="S108" i="8"/>
  <c r="AN108" i="8" s="1"/>
  <c r="S107" i="8"/>
  <c r="AN107" i="8" s="1"/>
  <c r="S111" i="8"/>
  <c r="AN111" i="8" s="1"/>
  <c r="S126" i="8"/>
  <c r="AN126" i="8" s="1"/>
  <c r="S128" i="8"/>
  <c r="AN128" i="8" s="1"/>
  <c r="S130" i="8"/>
  <c r="V130" i="8" s="1"/>
  <c r="AQ130" i="8" s="1"/>
  <c r="S102" i="8"/>
  <c r="AN102" i="8" s="1"/>
  <c r="S129" i="8"/>
  <c r="AN129" i="8" s="1"/>
  <c r="S103" i="8"/>
  <c r="AN103" i="8" s="1"/>
  <c r="S109" i="8"/>
  <c r="AN109" i="8" s="1"/>
  <c r="S101" i="8"/>
  <c r="V101" i="8" s="1"/>
  <c r="AQ101" i="8" s="1"/>
  <c r="S121" i="8"/>
  <c r="AN121" i="8" s="1"/>
  <c r="S114" i="8"/>
  <c r="V114" i="8" s="1"/>
  <c r="AQ114" i="8" s="1"/>
  <c r="S113" i="8"/>
  <c r="AN113" i="8" s="1"/>
  <c r="S116" i="8"/>
  <c r="AN116" i="8" s="1"/>
  <c r="S125" i="8"/>
  <c r="AN125" i="8" s="1"/>
  <c r="S91" i="8"/>
  <c r="AN91" i="8" s="1"/>
  <c r="S92" i="8"/>
  <c r="S112" i="8"/>
  <c r="AN112" i="8" s="1"/>
  <c r="S117" i="8"/>
  <c r="AN117" i="8" s="1"/>
  <c r="S104" i="8"/>
  <c r="AN104" i="8" s="1"/>
  <c r="S118" i="8"/>
  <c r="V118" i="8" s="1"/>
  <c r="AQ118" i="8" s="1"/>
  <c r="S124" i="8"/>
  <c r="V124" i="8" s="1"/>
  <c r="AQ124" i="8" s="1"/>
  <c r="S119" i="8"/>
  <c r="AN119" i="8" s="1"/>
  <c r="S105" i="8"/>
  <c r="AN105" i="8" s="1"/>
  <c r="S120" i="8"/>
  <c r="V120" i="8" s="1"/>
  <c r="AQ120" i="8" s="1"/>
  <c r="S110" i="8"/>
  <c r="AN110" i="8" s="1"/>
  <c r="Z76" i="8"/>
  <c r="S93" i="8"/>
  <c r="AN93" i="8" s="1"/>
  <c r="T97" i="8"/>
  <c r="AO97" i="8" s="1"/>
  <c r="AN115" i="8"/>
  <c r="V115" i="8"/>
  <c r="AQ115" i="8" s="1"/>
  <c r="AO91" i="8"/>
  <c r="AM98" i="8"/>
  <c r="F43" i="8"/>
  <c r="H43" i="8"/>
  <c r="I19" i="10"/>
  <c r="K19" i="10" s="1"/>
  <c r="S106" i="8"/>
  <c r="Y75" i="8"/>
  <c r="S99" i="8" s="1"/>
  <c r="S127" i="8"/>
  <c r="J42" i="8"/>
  <c r="P42" i="8"/>
  <c r="W109" i="8"/>
  <c r="AR109" i="8" s="1"/>
  <c r="W99" i="8"/>
  <c r="AR99" i="8" s="1"/>
  <c r="W130" i="8"/>
  <c r="AR130" i="8" s="1"/>
  <c r="W103" i="8"/>
  <c r="AR103" i="8" s="1"/>
  <c r="W94" i="8"/>
  <c r="AR94" i="8" s="1"/>
  <c r="E53" i="8"/>
  <c r="W121" i="8"/>
  <c r="AR121" i="8" s="1"/>
  <c r="W110" i="8"/>
  <c r="AR110" i="8" s="1"/>
  <c r="W92" i="8"/>
  <c r="AR92" i="8" s="1"/>
  <c r="W128" i="8"/>
  <c r="AR128" i="8" s="1"/>
  <c r="W107" i="8"/>
  <c r="AR107" i="8" s="1"/>
  <c r="E47" i="8"/>
  <c r="W117" i="8"/>
  <c r="AR117" i="8" s="1"/>
  <c r="W106" i="8"/>
  <c r="AR106" i="8" s="1"/>
  <c r="W124" i="8"/>
  <c r="AR124" i="8" s="1"/>
  <c r="W111" i="8"/>
  <c r="AR111" i="8" s="1"/>
  <c r="W100" i="8"/>
  <c r="AR100" i="8" s="1"/>
  <c r="W91" i="8"/>
  <c r="W129" i="8"/>
  <c r="AR129" i="8" s="1"/>
  <c r="W118" i="8"/>
  <c r="AR118" i="8" s="1"/>
  <c r="W98" i="8"/>
  <c r="AR98" i="8" s="1"/>
  <c r="E45" i="8"/>
  <c r="W123" i="8"/>
  <c r="AR123" i="8" s="1"/>
  <c r="E51" i="8"/>
  <c r="W125" i="8"/>
  <c r="AR125" i="8" s="1"/>
  <c r="W114" i="8"/>
  <c r="AR114" i="8" s="1"/>
  <c r="E49" i="8"/>
  <c r="W119" i="8"/>
  <c r="AR119" i="8" s="1"/>
  <c r="W108" i="8"/>
  <c r="AR108" i="8" s="1"/>
  <c r="W105" i="8"/>
  <c r="AR105" i="8" s="1"/>
  <c r="W97" i="8"/>
  <c r="AR97" i="8" s="1"/>
  <c r="W126" i="8"/>
  <c r="AR126" i="8" s="1"/>
  <c r="W104" i="8"/>
  <c r="AR104" i="8" s="1"/>
  <c r="B3" i="9"/>
  <c r="W112" i="8"/>
  <c r="AR112" i="8" s="1"/>
  <c r="W101" i="8"/>
  <c r="AR101" i="8" s="1"/>
  <c r="W93" i="8"/>
  <c r="AR93" i="8" s="1"/>
  <c r="W122" i="8"/>
  <c r="AR122" i="8" s="1"/>
  <c r="W96" i="8"/>
  <c r="AR96" i="8" s="1"/>
  <c r="W127" i="8"/>
  <c r="AR127" i="8" s="1"/>
  <c r="W116" i="8"/>
  <c r="AR116" i="8" s="1"/>
  <c r="W113" i="8"/>
  <c r="AR113" i="8" s="1"/>
  <c r="W102" i="8"/>
  <c r="AR102" i="8" s="1"/>
  <c r="W115" i="8"/>
  <c r="AR115" i="8" s="1"/>
  <c r="W120" i="8"/>
  <c r="AR120" i="8" s="1"/>
  <c r="W95" i="8"/>
  <c r="AR95" i="8" s="1"/>
  <c r="T41" i="9"/>
  <c r="V41" i="9"/>
  <c r="I29" i="11"/>
  <c r="U41" i="9"/>
  <c r="S42" i="9"/>
  <c r="L41" i="8"/>
  <c r="R41" i="8"/>
  <c r="S96" i="8"/>
  <c r="S122" i="8"/>
  <c r="AI102" i="8"/>
  <c r="AG102" i="8"/>
  <c r="AC102" i="8"/>
  <c r="AM102" i="8" s="1"/>
  <c r="AE102" i="8"/>
  <c r="AB102" i="8"/>
  <c r="AH102" i="8"/>
  <c r="AD102" i="8"/>
  <c r="AF102" i="8"/>
  <c r="AA103" i="8"/>
  <c r="AM101" i="8"/>
  <c r="S95" i="8"/>
  <c r="AN95" i="8" s="1"/>
  <c r="M44" i="8"/>
  <c r="S44" i="8"/>
  <c r="S123" i="8"/>
  <c r="S94" i="8" l="1"/>
  <c r="AN94" i="8" s="1"/>
  <c r="S98" i="8"/>
  <c r="AN98" i="8" s="1"/>
  <c r="AN114" i="8"/>
  <c r="V103" i="8"/>
  <c r="AQ103" i="8" s="1"/>
  <c r="S100" i="8"/>
  <c r="AN100" i="8" s="1"/>
  <c r="V128" i="8"/>
  <c r="AQ128" i="8" s="1"/>
  <c r="V108" i="8"/>
  <c r="AQ108" i="8" s="1"/>
  <c r="AN101" i="8"/>
  <c r="V107" i="8"/>
  <c r="AQ107" i="8" s="1"/>
  <c r="AN92" i="8"/>
  <c r="AN118" i="8"/>
  <c r="V111" i="8"/>
  <c r="AQ111" i="8" s="1"/>
  <c r="V125" i="8"/>
  <c r="AQ125" i="8" s="1"/>
  <c r="V117" i="8"/>
  <c r="AQ117" i="8" s="1"/>
  <c r="AN130" i="8"/>
  <c r="V102" i="8"/>
  <c r="AQ102" i="8" s="1"/>
  <c r="V105" i="8"/>
  <c r="AQ105" i="8" s="1"/>
  <c r="V126" i="8"/>
  <c r="AQ126" i="8" s="1"/>
  <c r="V116" i="8"/>
  <c r="AQ116" i="8" s="1"/>
  <c r="AN120" i="8"/>
  <c r="AN124" i="8"/>
  <c r="V121" i="8"/>
  <c r="AQ121" i="8" s="1"/>
  <c r="T90" i="8"/>
  <c r="V129" i="8"/>
  <c r="AQ129" i="8" s="1"/>
  <c r="V112" i="8"/>
  <c r="AQ112" i="8" s="1"/>
  <c r="V109" i="8"/>
  <c r="AQ109" i="8" s="1"/>
  <c r="V91" i="8"/>
  <c r="AQ91" i="8" s="1"/>
  <c r="V113" i="8"/>
  <c r="AQ113" i="8" s="1"/>
  <c r="V104" i="8"/>
  <c r="AQ104" i="8" s="1"/>
  <c r="V119" i="8"/>
  <c r="AQ119" i="8" s="1"/>
  <c r="V110" i="8"/>
  <c r="AQ110" i="8" s="1"/>
  <c r="AO90" i="8"/>
  <c r="O43" i="8"/>
  <c r="Z75" i="8"/>
  <c r="S97" i="8"/>
  <c r="AN97" i="8" s="1"/>
  <c r="X101" i="8"/>
  <c r="AS101" i="8" s="1"/>
  <c r="X130" i="8"/>
  <c r="AS130" i="8" s="1"/>
  <c r="X114" i="8"/>
  <c r="AS114" i="8" s="1"/>
  <c r="X115" i="8"/>
  <c r="AS115" i="8" s="1"/>
  <c r="X118" i="8"/>
  <c r="AS118" i="8" s="1"/>
  <c r="X120" i="8"/>
  <c r="AS120" i="8" s="1"/>
  <c r="I30" i="11"/>
  <c r="V42" i="9"/>
  <c r="Z42" i="9" s="1"/>
  <c r="I22" i="10" s="1"/>
  <c r="K22" i="10" s="1"/>
  <c r="T42" i="9"/>
  <c r="U42" i="9"/>
  <c r="S43" i="9"/>
  <c r="H49" i="8"/>
  <c r="F49" i="8"/>
  <c r="AN122" i="8"/>
  <c r="V122" i="8"/>
  <c r="AQ122" i="8" s="1"/>
  <c r="X124" i="8"/>
  <c r="AS124" i="8" s="1"/>
  <c r="B5" i="9"/>
  <c r="B20" i="9"/>
  <c r="F4" i="5"/>
  <c r="F5" i="5" s="1"/>
  <c r="F15" i="5" s="1"/>
  <c r="B4" i="9"/>
  <c r="H11" i="2"/>
  <c r="F45" i="8"/>
  <c r="H45" i="8"/>
  <c r="AR91" i="8"/>
  <c r="AR90" i="8" s="1"/>
  <c r="W90" i="8"/>
  <c r="H53" i="8"/>
  <c r="F53" i="8"/>
  <c r="AN127" i="8"/>
  <c r="V127" i="8"/>
  <c r="AQ127" i="8" s="1"/>
  <c r="I43" i="8"/>
  <c r="AN96" i="8"/>
  <c r="M41" i="8"/>
  <c r="S41" i="8"/>
  <c r="AN99" i="8"/>
  <c r="V99" i="8"/>
  <c r="AQ99" i="8" s="1"/>
  <c r="G43" i="8"/>
  <c r="AN123" i="8"/>
  <c r="V123" i="8"/>
  <c r="AQ123" i="8" s="1"/>
  <c r="N44" i="8"/>
  <c r="F116" i="8" s="1"/>
  <c r="T44" i="8"/>
  <c r="F98" i="8" s="1"/>
  <c r="AC103" i="8"/>
  <c r="AM103" i="8" s="1"/>
  <c r="AI103" i="8"/>
  <c r="AG103" i="8"/>
  <c r="AF103" i="8"/>
  <c r="AB103" i="8"/>
  <c r="AE103" i="8"/>
  <c r="AH103" i="8"/>
  <c r="AD103" i="8"/>
  <c r="AA104" i="8"/>
  <c r="Z41" i="9"/>
  <c r="H51" i="8"/>
  <c r="F51" i="8"/>
  <c r="F47" i="8"/>
  <c r="H47" i="8"/>
  <c r="K42" i="8"/>
  <c r="Q42" i="8"/>
  <c r="AN106" i="8"/>
  <c r="V106" i="8"/>
  <c r="AQ106" i="8" s="1"/>
  <c r="X103" i="8" l="1"/>
  <c r="AS103" i="8" s="1"/>
  <c r="V100" i="8"/>
  <c r="AQ100" i="8" s="1"/>
  <c r="X108" i="8"/>
  <c r="AS108" i="8" s="1"/>
  <c r="X128" i="8"/>
  <c r="AS128" i="8" s="1"/>
  <c r="X107" i="8"/>
  <c r="AS107" i="8" s="1"/>
  <c r="X126" i="8"/>
  <c r="AS126" i="8" s="1"/>
  <c r="X117" i="8"/>
  <c r="AS117" i="8" s="1"/>
  <c r="X111" i="8"/>
  <c r="AS111" i="8" s="1"/>
  <c r="X105" i="8"/>
  <c r="AS105" i="8" s="1"/>
  <c r="X125" i="8"/>
  <c r="AS125" i="8" s="1"/>
  <c r="X129" i="8"/>
  <c r="AS129" i="8" s="1"/>
  <c r="X116" i="8"/>
  <c r="AS116" i="8" s="1"/>
  <c r="X102" i="8"/>
  <c r="AS102" i="8" s="1"/>
  <c r="X121" i="8"/>
  <c r="AS121" i="8" s="1"/>
  <c r="X91" i="8"/>
  <c r="AS91" i="8" s="1"/>
  <c r="X104" i="8"/>
  <c r="AS104" i="8" s="1"/>
  <c r="X113" i="8"/>
  <c r="AS113" i="8" s="1"/>
  <c r="X110" i="8"/>
  <c r="AS110" i="8" s="1"/>
  <c r="X112" i="8"/>
  <c r="AS112" i="8" s="1"/>
  <c r="X109" i="8"/>
  <c r="AS109" i="8" s="1"/>
  <c r="X119" i="8"/>
  <c r="AS119" i="8" s="1"/>
  <c r="S90" i="8"/>
  <c r="O49" i="8"/>
  <c r="O45" i="8"/>
  <c r="X106" i="8"/>
  <c r="AS106" i="8" s="1"/>
  <c r="O47" i="8"/>
  <c r="X127" i="8"/>
  <c r="AS127" i="8" s="1"/>
  <c r="O53" i="8"/>
  <c r="O51" i="8"/>
  <c r="AN90" i="8"/>
  <c r="I51" i="8"/>
  <c r="AC104" i="8"/>
  <c r="AM104" i="8" s="1"/>
  <c r="AF104" i="8"/>
  <c r="AG104" i="8"/>
  <c r="AE104" i="8"/>
  <c r="AH104" i="8"/>
  <c r="AB104" i="8"/>
  <c r="AD104" i="8"/>
  <c r="AI104" i="8"/>
  <c r="AA105" i="8"/>
  <c r="E10" i="15"/>
  <c r="F10" i="15" s="1"/>
  <c r="I14" i="15"/>
  <c r="I23" i="14"/>
  <c r="I25" i="15"/>
  <c r="I39" i="15"/>
  <c r="I45" i="14"/>
  <c r="I10" i="15"/>
  <c r="I15" i="14"/>
  <c r="I24" i="15"/>
  <c r="I30" i="14"/>
  <c r="I32" i="15"/>
  <c r="I49" i="14"/>
  <c r="I11" i="14"/>
  <c r="I12" i="15"/>
  <c r="I21" i="14"/>
  <c r="I27" i="15"/>
  <c r="I41" i="15"/>
  <c r="I29" i="14"/>
  <c r="R12" i="13"/>
  <c r="I15" i="15"/>
  <c r="I20" i="14"/>
  <c r="I34" i="14"/>
  <c r="I38" i="15"/>
  <c r="I44" i="14"/>
  <c r="E11" i="14"/>
  <c r="I12" i="14"/>
  <c r="I27" i="14"/>
  <c r="I29" i="15"/>
  <c r="I35" i="14"/>
  <c r="I48" i="15"/>
  <c r="M33" i="9"/>
  <c r="I13" i="15"/>
  <c r="I18" i="14"/>
  <c r="I32" i="14"/>
  <c r="I36" i="15"/>
  <c r="I46" i="14"/>
  <c r="I25" i="14"/>
  <c r="I30" i="15"/>
  <c r="I33" i="14"/>
  <c r="I46" i="15"/>
  <c r="M32" i="9"/>
  <c r="I13" i="14"/>
  <c r="I18" i="15"/>
  <c r="I24" i="14"/>
  <c r="I38" i="14"/>
  <c r="I42" i="15"/>
  <c r="I48" i="14"/>
  <c r="I34" i="15"/>
  <c r="M31" i="9"/>
  <c r="I16" i="14"/>
  <c r="I17" i="15"/>
  <c r="I31" i="15"/>
  <c r="I39" i="14"/>
  <c r="I45" i="15"/>
  <c r="R14" i="13"/>
  <c r="R15" i="13" s="1"/>
  <c r="R16" i="13" s="1"/>
  <c r="R17" i="13" s="1"/>
  <c r="R18" i="13" s="1"/>
  <c r="R19" i="13" s="1"/>
  <c r="R20" i="13" s="1"/>
  <c r="R21" i="13" s="1"/>
  <c r="R22" i="13" s="1"/>
  <c r="R23" i="13" s="1"/>
  <c r="R24" i="13" s="1"/>
  <c r="R25" i="13" s="1"/>
  <c r="R26" i="13" s="1"/>
  <c r="R27" i="13" s="1"/>
  <c r="R28" i="13" s="1"/>
  <c r="R29" i="13" s="1"/>
  <c r="R30" i="13" s="1"/>
  <c r="I16" i="15"/>
  <c r="I22" i="14"/>
  <c r="I36" i="14"/>
  <c r="I40" i="15"/>
  <c r="I50" i="14"/>
  <c r="I14" i="14"/>
  <c r="I19" i="15"/>
  <c r="I33" i="15"/>
  <c r="I37" i="14"/>
  <c r="I43" i="15"/>
  <c r="I22" i="15"/>
  <c r="I28" i="14"/>
  <c r="I42" i="14"/>
  <c r="I44" i="15"/>
  <c r="I11" i="15"/>
  <c r="I31" i="14"/>
  <c r="I47" i="14"/>
  <c r="E11" i="15"/>
  <c r="I19" i="14"/>
  <c r="I21" i="15"/>
  <c r="I35" i="15"/>
  <c r="I43" i="14"/>
  <c r="I49" i="15"/>
  <c r="E12" i="14"/>
  <c r="I20" i="15"/>
  <c r="I26" i="14"/>
  <c r="I40" i="14"/>
  <c r="I28" i="15"/>
  <c r="R13" i="13"/>
  <c r="I17" i="14"/>
  <c r="I23" i="15"/>
  <c r="I37" i="15"/>
  <c r="I41" i="14"/>
  <c r="I47" i="15"/>
  <c r="I26" i="15"/>
  <c r="F118" i="8"/>
  <c r="F92" i="8"/>
  <c r="X123" i="8"/>
  <c r="AS123" i="8" s="1"/>
  <c r="J43" i="8"/>
  <c r="P43" i="8"/>
  <c r="I45" i="8"/>
  <c r="E50" i="8"/>
  <c r="G49" i="8"/>
  <c r="F91" i="8"/>
  <c r="L42" i="8"/>
  <c r="R42" i="8"/>
  <c r="I47" i="8"/>
  <c r="I21" i="10"/>
  <c r="K21" i="10" s="1"/>
  <c r="F100" i="8"/>
  <c r="X99" i="8"/>
  <c r="AS99" i="8" s="1"/>
  <c r="G53" i="8"/>
  <c r="E54" i="8"/>
  <c r="G45" i="8"/>
  <c r="E46" i="8"/>
  <c r="D20" i="9"/>
  <c r="X122" i="8"/>
  <c r="AS122" i="8" s="1"/>
  <c r="I49" i="8"/>
  <c r="F124" i="8"/>
  <c r="E48" i="8"/>
  <c r="G47" i="8"/>
  <c r="E52" i="8"/>
  <c r="G51" i="8"/>
  <c r="F121" i="8"/>
  <c r="U44" i="8"/>
  <c r="F102" i="8" s="1"/>
  <c r="F105" i="8"/>
  <c r="F126" i="8"/>
  <c r="F119" i="8"/>
  <c r="F104" i="8"/>
  <c r="F128" i="8"/>
  <c r="F117" i="8"/>
  <c r="F114" i="8"/>
  <c r="F120" i="8"/>
  <c r="F93" i="8"/>
  <c r="F107" i="8"/>
  <c r="F113" i="8"/>
  <c r="F122" i="8"/>
  <c r="F106" i="8"/>
  <c r="F123" i="8"/>
  <c r="F108" i="8"/>
  <c r="F115" i="8"/>
  <c r="F111" i="8"/>
  <c r="F109" i="8"/>
  <c r="F96" i="8"/>
  <c r="F129" i="8"/>
  <c r="F130" i="8"/>
  <c r="F125" i="8"/>
  <c r="N41" i="8"/>
  <c r="C129" i="8" s="1"/>
  <c r="T41" i="8"/>
  <c r="I53" i="8"/>
  <c r="U43" i="9"/>
  <c r="V43" i="9"/>
  <c r="Z43" i="9" s="1"/>
  <c r="I23" i="10" s="1"/>
  <c r="K23" i="10" s="1"/>
  <c r="I31" i="11"/>
  <c r="T43" i="9"/>
  <c r="S44" i="9"/>
  <c r="F112" i="8"/>
  <c r="F127" i="8"/>
  <c r="C100" i="8" l="1"/>
  <c r="F99" i="8"/>
  <c r="C98" i="8"/>
  <c r="F103" i="8"/>
  <c r="X100" i="8"/>
  <c r="AS100" i="8" s="1"/>
  <c r="C97" i="8"/>
  <c r="V44" i="8"/>
  <c r="F101" i="8"/>
  <c r="H52" i="8"/>
  <c r="F52" i="8"/>
  <c r="G52" i="8" s="1"/>
  <c r="J45" i="8"/>
  <c r="P45" i="8"/>
  <c r="D19" i="11"/>
  <c r="H31" i="9"/>
  <c r="K31" i="9"/>
  <c r="F19" i="11" s="1"/>
  <c r="N31" i="9"/>
  <c r="J11" i="14"/>
  <c r="I6" i="14"/>
  <c r="C111" i="8"/>
  <c r="C116" i="8"/>
  <c r="U41" i="8"/>
  <c r="V41" i="8" s="1"/>
  <c r="C112" i="8"/>
  <c r="C125" i="8"/>
  <c r="C124" i="8"/>
  <c r="C118" i="8"/>
  <c r="C122" i="8"/>
  <c r="C114" i="8"/>
  <c r="C91" i="8"/>
  <c r="C110" i="8"/>
  <c r="C96" i="8"/>
  <c r="C92" i="8"/>
  <c r="C128" i="8"/>
  <c r="C93" i="8"/>
  <c r="C127" i="8"/>
  <c r="C94" i="8"/>
  <c r="C107" i="8"/>
  <c r="C108" i="8"/>
  <c r="C106" i="8"/>
  <c r="C117" i="8"/>
  <c r="C115" i="8"/>
  <c r="C95" i="8"/>
  <c r="C130" i="8"/>
  <c r="C123" i="8"/>
  <c r="C113" i="8"/>
  <c r="C105" i="8"/>
  <c r="H54" i="8"/>
  <c r="F54" i="8"/>
  <c r="G54" i="8" s="1"/>
  <c r="K32" i="9"/>
  <c r="F20" i="11" s="1"/>
  <c r="H32" i="9"/>
  <c r="D20" i="11"/>
  <c r="N32" i="9"/>
  <c r="D21" i="11"/>
  <c r="N33" i="9"/>
  <c r="C119" i="8"/>
  <c r="C126" i="8"/>
  <c r="T44" i="9"/>
  <c r="I32" i="11"/>
  <c r="V44" i="9"/>
  <c r="Z44" i="9" s="1"/>
  <c r="I24" i="10" s="1"/>
  <c r="K24" i="10" s="1"/>
  <c r="U44" i="9"/>
  <c r="S45" i="9"/>
  <c r="F48" i="8"/>
  <c r="G48" i="8" s="1"/>
  <c r="H48" i="8"/>
  <c r="C31" i="9"/>
  <c r="C32" i="9"/>
  <c r="H50" i="8"/>
  <c r="F50" i="8"/>
  <c r="G50" i="8" s="1"/>
  <c r="K43" i="8"/>
  <c r="Q43" i="8"/>
  <c r="AB13" i="13"/>
  <c r="AC13" i="13"/>
  <c r="AE13" i="13"/>
  <c r="AD13" i="13"/>
  <c r="AD12" i="13"/>
  <c r="AE12" i="13"/>
  <c r="AB12" i="13"/>
  <c r="AC12" i="13"/>
  <c r="I6" i="15"/>
  <c r="J10" i="15"/>
  <c r="C109" i="8"/>
  <c r="AC105" i="8"/>
  <c r="AM105" i="8" s="1"/>
  <c r="AH105" i="8"/>
  <c r="AE105" i="8"/>
  <c r="AB105" i="8"/>
  <c r="AG105" i="8"/>
  <c r="AD105" i="8"/>
  <c r="AI105" i="8"/>
  <c r="AF105" i="8"/>
  <c r="AA106" i="8"/>
  <c r="J53" i="8"/>
  <c r="P53" i="8"/>
  <c r="J49" i="8"/>
  <c r="P49" i="8"/>
  <c r="F46" i="8"/>
  <c r="H46" i="8"/>
  <c r="F14" i="5"/>
  <c r="J47" i="8"/>
  <c r="P47" i="8"/>
  <c r="M42" i="8"/>
  <c r="S42" i="8"/>
  <c r="C120" i="8"/>
  <c r="F12" i="14"/>
  <c r="F11" i="14"/>
  <c r="C104" i="8"/>
  <c r="C121" i="8"/>
  <c r="J51" i="8"/>
  <c r="P51" i="8"/>
  <c r="R31" i="13"/>
  <c r="C99" i="8" l="1"/>
  <c r="C101" i="8"/>
  <c r="C102" i="8"/>
  <c r="O52" i="8"/>
  <c r="O54" i="8"/>
  <c r="O46" i="8"/>
  <c r="O48" i="8"/>
  <c r="O50" i="8"/>
  <c r="K51" i="8"/>
  <c r="Q51" i="8"/>
  <c r="I46" i="8"/>
  <c r="AI106" i="8"/>
  <c r="AB106" i="8"/>
  <c r="AC106" i="8"/>
  <c r="AM106" i="8" s="1"/>
  <c r="AG106" i="8"/>
  <c r="AF106" i="8"/>
  <c r="AE106" i="8"/>
  <c r="AH106" i="8"/>
  <c r="AD106" i="8"/>
  <c r="AA107" i="8"/>
  <c r="C21" i="11"/>
  <c r="E21" i="11"/>
  <c r="E20" i="11"/>
  <c r="C20" i="11"/>
  <c r="E19" i="11"/>
  <c r="C19" i="11"/>
  <c r="C103" i="8"/>
  <c r="I52" i="8"/>
  <c r="N42" i="8"/>
  <c r="D128" i="8" s="1"/>
  <c r="T42" i="8"/>
  <c r="D98" i="8" s="1"/>
  <c r="G46" i="8"/>
  <c r="G55" i="8" s="1"/>
  <c r="B58" i="8" s="1"/>
  <c r="B9" i="9" s="1"/>
  <c r="B59" i="8"/>
  <c r="B7" i="9" s="1"/>
  <c r="K53" i="8"/>
  <c r="Q53" i="8"/>
  <c r="AF13" i="13"/>
  <c r="L43" i="8"/>
  <c r="R43" i="8"/>
  <c r="I33" i="11"/>
  <c r="U45" i="9"/>
  <c r="T45" i="9"/>
  <c r="V45" i="9"/>
  <c r="Z45" i="9" s="1"/>
  <c r="I25" i="10" s="1"/>
  <c r="K25" i="10" s="1"/>
  <c r="S46" i="9"/>
  <c r="I50" i="8"/>
  <c r="K45" i="8"/>
  <c r="Q45" i="8"/>
  <c r="K47" i="8"/>
  <c r="Q47" i="8"/>
  <c r="K49" i="8"/>
  <c r="Q49" i="8"/>
  <c r="AF12" i="13"/>
  <c r="I48" i="8"/>
  <c r="I54" i="8"/>
  <c r="R32" i="13"/>
  <c r="D97" i="8" l="1"/>
  <c r="C90" i="8"/>
  <c r="D129" i="8"/>
  <c r="D115" i="8"/>
  <c r="D95" i="8"/>
  <c r="C21" i="9"/>
  <c r="J54" i="8"/>
  <c r="P54" i="8"/>
  <c r="L49" i="8"/>
  <c r="R49" i="8"/>
  <c r="J50" i="8"/>
  <c r="P50" i="8"/>
  <c r="D96" i="8"/>
  <c r="J48" i="8"/>
  <c r="P48" i="8"/>
  <c r="L47" i="8"/>
  <c r="R47" i="8"/>
  <c r="M43" i="8"/>
  <c r="S43" i="8"/>
  <c r="L53" i="8"/>
  <c r="R53" i="8"/>
  <c r="J46" i="8"/>
  <c r="P46" i="8"/>
  <c r="I34" i="11"/>
  <c r="U46" i="9"/>
  <c r="T46" i="9"/>
  <c r="V46" i="9"/>
  <c r="Z46" i="9" s="1"/>
  <c r="I26" i="10" s="1"/>
  <c r="K26" i="10" s="1"/>
  <c r="S47" i="9"/>
  <c r="B14" i="9"/>
  <c r="B8" i="9" s="1"/>
  <c r="D100" i="8"/>
  <c r="AF107" i="8"/>
  <c r="AD107" i="8"/>
  <c r="AG107" i="8"/>
  <c r="AH107" i="8"/>
  <c r="AI107" i="8"/>
  <c r="AE107" i="8"/>
  <c r="AB107" i="8"/>
  <c r="AC107" i="8"/>
  <c r="AM107" i="8" s="1"/>
  <c r="AA108" i="8"/>
  <c r="L45" i="8"/>
  <c r="R45" i="8"/>
  <c r="D126" i="8"/>
  <c r="U42" i="8"/>
  <c r="V42" i="8" s="1"/>
  <c r="D108" i="8"/>
  <c r="D116" i="8"/>
  <c r="D113" i="8"/>
  <c r="D94" i="8"/>
  <c r="D92" i="8"/>
  <c r="D106" i="8"/>
  <c r="D91" i="8"/>
  <c r="D112" i="8"/>
  <c r="D119" i="8"/>
  <c r="D123" i="8"/>
  <c r="D109" i="8"/>
  <c r="D121" i="8"/>
  <c r="D114" i="8"/>
  <c r="D120" i="8"/>
  <c r="D117" i="8"/>
  <c r="D118" i="8"/>
  <c r="D105" i="8"/>
  <c r="D122" i="8"/>
  <c r="D93" i="8"/>
  <c r="D130" i="8"/>
  <c r="D127" i="8"/>
  <c r="D111" i="8"/>
  <c r="D110" i="8"/>
  <c r="J52" i="8"/>
  <c r="P52" i="8"/>
  <c r="L51" i="8"/>
  <c r="R51" i="8"/>
  <c r="R33" i="13"/>
  <c r="D99" i="8" l="1"/>
  <c r="D104" i="8"/>
  <c r="D101" i="8"/>
  <c r="D102" i="8"/>
  <c r="M51" i="8"/>
  <c r="S51" i="8"/>
  <c r="K52" i="8"/>
  <c r="Q52" i="8"/>
  <c r="B11" i="9"/>
  <c r="M53" i="8"/>
  <c r="S53" i="8"/>
  <c r="K48" i="8"/>
  <c r="Q48" i="8"/>
  <c r="M45" i="8"/>
  <c r="S45" i="8"/>
  <c r="U47" i="9"/>
  <c r="V47" i="9"/>
  <c r="Z47" i="9" s="1"/>
  <c r="I27" i="10" s="1"/>
  <c r="K27" i="10" s="1"/>
  <c r="I35" i="11"/>
  <c r="T47" i="9"/>
  <c r="S48" i="9"/>
  <c r="K46" i="8"/>
  <c r="Q46" i="8"/>
  <c r="M49" i="8"/>
  <c r="S49" i="8"/>
  <c r="D103" i="8"/>
  <c r="AH108" i="8"/>
  <c r="AF108" i="8"/>
  <c r="AE108" i="8"/>
  <c r="AI108" i="8"/>
  <c r="AC108" i="8"/>
  <c r="AM108" i="8" s="1"/>
  <c r="AD108" i="8"/>
  <c r="AB108" i="8"/>
  <c r="AG108" i="8"/>
  <c r="AA109" i="8"/>
  <c r="B21" i="9"/>
  <c r="N43" i="8"/>
  <c r="E95" i="8" s="1"/>
  <c r="T43" i="8"/>
  <c r="E98" i="8" s="1"/>
  <c r="M47" i="8"/>
  <c r="S47" i="8"/>
  <c r="K50" i="8"/>
  <c r="Q50" i="8"/>
  <c r="K54" i="8"/>
  <c r="Q54" i="8"/>
  <c r="R34" i="13"/>
  <c r="E97" i="8" l="1"/>
  <c r="E96" i="8"/>
  <c r="E115" i="8"/>
  <c r="B13" i="9"/>
  <c r="B15" i="9" s="1"/>
  <c r="L52" i="8"/>
  <c r="R52" i="8"/>
  <c r="AF109" i="8"/>
  <c r="AB109" i="8"/>
  <c r="AC109" i="8"/>
  <c r="AM109" i="8" s="1"/>
  <c r="AG109" i="8"/>
  <c r="AD109" i="8"/>
  <c r="AI109" i="8"/>
  <c r="AH109" i="8"/>
  <c r="AE109" i="8"/>
  <c r="AA110" i="8"/>
  <c r="B22" i="9"/>
  <c r="D22" i="9" s="1"/>
  <c r="D21" i="9"/>
  <c r="N49" i="8"/>
  <c r="T49" i="8"/>
  <c r="L48" i="8"/>
  <c r="R48" i="8"/>
  <c r="N53" i="8"/>
  <c r="T53" i="8"/>
  <c r="O98" i="8" s="1"/>
  <c r="L50" i="8"/>
  <c r="R50" i="8"/>
  <c r="E100" i="8"/>
  <c r="V48" i="9"/>
  <c r="Z48" i="9" s="1"/>
  <c r="I28" i="10" s="1"/>
  <c r="K28" i="10" s="1"/>
  <c r="U48" i="9"/>
  <c r="T48" i="9"/>
  <c r="I36" i="11"/>
  <c r="S49" i="9"/>
  <c r="L54" i="8"/>
  <c r="R54" i="8"/>
  <c r="N47" i="8"/>
  <c r="T47" i="8"/>
  <c r="E107" i="8"/>
  <c r="U43" i="8"/>
  <c r="E103" i="8" s="1"/>
  <c r="E121" i="8"/>
  <c r="E93" i="8"/>
  <c r="E130" i="8"/>
  <c r="E108" i="8"/>
  <c r="E111" i="8"/>
  <c r="E109" i="8"/>
  <c r="E92" i="8"/>
  <c r="E122" i="8"/>
  <c r="E119" i="8"/>
  <c r="E123" i="8"/>
  <c r="E94" i="8"/>
  <c r="E120" i="8"/>
  <c r="E113" i="8"/>
  <c r="E126" i="8"/>
  <c r="E117" i="8"/>
  <c r="E129" i="8"/>
  <c r="E91" i="8"/>
  <c r="E118" i="8"/>
  <c r="E106" i="8"/>
  <c r="E114" i="8"/>
  <c r="E110" i="8"/>
  <c r="E105" i="8"/>
  <c r="E127" i="8"/>
  <c r="E116" i="8"/>
  <c r="E125" i="8"/>
  <c r="L46" i="8"/>
  <c r="R46" i="8"/>
  <c r="N45" i="8"/>
  <c r="G108" i="8" s="1"/>
  <c r="T45" i="8"/>
  <c r="N51" i="8"/>
  <c r="M95" i="8" s="1"/>
  <c r="T51" i="8"/>
  <c r="M98" i="8" s="1"/>
  <c r="R35" i="13"/>
  <c r="E99" i="8" l="1"/>
  <c r="C33" i="9"/>
  <c r="C34" i="9"/>
  <c r="E104" i="8"/>
  <c r="M97" i="8"/>
  <c r="G97" i="8"/>
  <c r="I93" i="8"/>
  <c r="I97" i="8"/>
  <c r="K97" i="8"/>
  <c r="C36" i="9"/>
  <c r="C35" i="9"/>
  <c r="E101" i="8"/>
  <c r="K95" i="8"/>
  <c r="K96" i="8"/>
  <c r="O96" i="8"/>
  <c r="G96" i="8"/>
  <c r="G95" i="8"/>
  <c r="K118" i="8"/>
  <c r="O116" i="8"/>
  <c r="K126" i="8"/>
  <c r="K125" i="8"/>
  <c r="K120" i="8"/>
  <c r="K111" i="8"/>
  <c r="K105" i="8"/>
  <c r="K117" i="8"/>
  <c r="K107" i="8"/>
  <c r="K113" i="8"/>
  <c r="K128" i="8"/>
  <c r="K106" i="8"/>
  <c r="O125" i="8"/>
  <c r="K119" i="8"/>
  <c r="K109" i="8"/>
  <c r="K108" i="8"/>
  <c r="K112" i="8"/>
  <c r="K94" i="8"/>
  <c r="K123" i="8"/>
  <c r="K124" i="8"/>
  <c r="K129" i="8"/>
  <c r="G126" i="8"/>
  <c r="G127" i="8"/>
  <c r="I121" i="8"/>
  <c r="E102" i="8"/>
  <c r="I112" i="8"/>
  <c r="I130" i="8"/>
  <c r="I95" i="8"/>
  <c r="I107" i="8"/>
  <c r="M116" i="8"/>
  <c r="U51" i="8"/>
  <c r="M101" i="8" s="1"/>
  <c r="M130" i="8"/>
  <c r="M117" i="8"/>
  <c r="M110" i="8"/>
  <c r="M126" i="8"/>
  <c r="M111" i="8"/>
  <c r="M122" i="8"/>
  <c r="M113" i="8"/>
  <c r="M129" i="8"/>
  <c r="M128" i="8"/>
  <c r="M120" i="8"/>
  <c r="M92" i="8"/>
  <c r="M112" i="8"/>
  <c r="M121" i="8"/>
  <c r="M107" i="8"/>
  <c r="M106" i="8"/>
  <c r="M105" i="8"/>
  <c r="M94" i="8"/>
  <c r="M119" i="8"/>
  <c r="M127" i="8"/>
  <c r="M93" i="8"/>
  <c r="M96" i="8"/>
  <c r="M118" i="8"/>
  <c r="M125" i="8"/>
  <c r="M91" i="8"/>
  <c r="M123" i="8"/>
  <c r="M108" i="8"/>
  <c r="M114" i="8"/>
  <c r="M109" i="8"/>
  <c r="V43" i="8"/>
  <c r="M50" i="8"/>
  <c r="S50" i="8"/>
  <c r="C51" i="9"/>
  <c r="C46" i="9"/>
  <c r="C68" i="9"/>
  <c r="C41" i="9"/>
  <c r="C38" i="9"/>
  <c r="C40" i="9"/>
  <c r="C59" i="9"/>
  <c r="C64" i="9"/>
  <c r="C49" i="9"/>
  <c r="C45" i="9"/>
  <c r="C42" i="9"/>
  <c r="C60" i="9"/>
  <c r="C65" i="9"/>
  <c r="C63" i="9"/>
  <c r="C47" i="9"/>
  <c r="C53" i="9"/>
  <c r="C67" i="9"/>
  <c r="C66" i="9"/>
  <c r="C61" i="9"/>
  <c r="C52" i="9"/>
  <c r="C54" i="9"/>
  <c r="C69" i="9"/>
  <c r="C39" i="9"/>
  <c r="C56" i="9"/>
  <c r="C43" i="9"/>
  <c r="C55" i="9"/>
  <c r="C70" i="9"/>
  <c r="C57" i="9"/>
  <c r="C44" i="9"/>
  <c r="C48" i="9"/>
  <c r="C37" i="9"/>
  <c r="C50" i="9"/>
  <c r="C58" i="9"/>
  <c r="C62" i="9"/>
  <c r="D63" i="9"/>
  <c r="D65" i="9"/>
  <c r="D62" i="9"/>
  <c r="D70" i="9"/>
  <c r="D61" i="9"/>
  <c r="D53" i="9"/>
  <c r="D60" i="9"/>
  <c r="D69" i="9"/>
  <c r="D64" i="9"/>
  <c r="D59" i="9"/>
  <c r="D35" i="9"/>
  <c r="D46" i="9"/>
  <c r="D34" i="9"/>
  <c r="D45" i="9"/>
  <c r="D38" i="9"/>
  <c r="D43" i="9"/>
  <c r="D33" i="9"/>
  <c r="D67" i="9"/>
  <c r="D52" i="9"/>
  <c r="D37" i="9"/>
  <c r="D66" i="9"/>
  <c r="D58" i="9"/>
  <c r="D50" i="9"/>
  <c r="D57" i="9"/>
  <c r="D68" i="9"/>
  <c r="D44" i="9"/>
  <c r="D47" i="9"/>
  <c r="D31" i="9"/>
  <c r="D49" i="9"/>
  <c r="D32" i="9"/>
  <c r="D39" i="9"/>
  <c r="D40" i="9"/>
  <c r="D56" i="9"/>
  <c r="D51" i="9"/>
  <c r="D42" i="9"/>
  <c r="D54" i="9"/>
  <c r="D41" i="9"/>
  <c r="D48" i="9"/>
  <c r="D55" i="9"/>
  <c r="D36" i="9"/>
  <c r="AB110" i="8"/>
  <c r="AG110" i="8"/>
  <c r="AF110" i="8"/>
  <c r="AC110" i="8"/>
  <c r="AM110" i="8" s="1"/>
  <c r="AE110" i="8"/>
  <c r="AD110" i="8"/>
  <c r="AH110" i="8"/>
  <c r="AI110" i="8"/>
  <c r="AA111" i="8"/>
  <c r="B16" i="9"/>
  <c r="G123" i="8"/>
  <c r="U45" i="8"/>
  <c r="G100" i="8" s="1"/>
  <c r="G113" i="8"/>
  <c r="G91" i="8"/>
  <c r="G107" i="8"/>
  <c r="G117" i="8"/>
  <c r="G110" i="8"/>
  <c r="G129" i="8"/>
  <c r="G93" i="8"/>
  <c r="G109" i="8"/>
  <c r="G124" i="8"/>
  <c r="G94" i="8"/>
  <c r="G128" i="8"/>
  <c r="G114" i="8"/>
  <c r="G120" i="8"/>
  <c r="G118" i="8"/>
  <c r="G111" i="8"/>
  <c r="G106" i="8"/>
  <c r="G115" i="8"/>
  <c r="G92" i="8"/>
  <c r="I125" i="8"/>
  <c r="U47" i="8"/>
  <c r="I100" i="8" s="1"/>
  <c r="I108" i="8"/>
  <c r="I116" i="8"/>
  <c r="I105" i="8"/>
  <c r="I106" i="8"/>
  <c r="I127" i="8"/>
  <c r="I114" i="8"/>
  <c r="I126" i="8"/>
  <c r="I113" i="8"/>
  <c r="I109" i="8"/>
  <c r="I128" i="8"/>
  <c r="I118" i="8"/>
  <c r="I129" i="8"/>
  <c r="I122" i="8"/>
  <c r="I124" i="8"/>
  <c r="I120" i="8"/>
  <c r="M54" i="8"/>
  <c r="S54" i="8"/>
  <c r="M48" i="8"/>
  <c r="S48" i="8"/>
  <c r="E33" i="9"/>
  <c r="E35" i="9"/>
  <c r="E31" i="9"/>
  <c r="F31" i="9" s="1"/>
  <c r="E32" i="9"/>
  <c r="E36" i="9"/>
  <c r="E34" i="9"/>
  <c r="I110" i="8"/>
  <c r="U49" i="9"/>
  <c r="T49" i="9"/>
  <c r="I37" i="11"/>
  <c r="V49" i="9"/>
  <c r="Z49" i="9" s="1"/>
  <c r="I29" i="10" s="1"/>
  <c r="K29" i="10" s="1"/>
  <c r="S50" i="9"/>
  <c r="O100" i="8"/>
  <c r="I96" i="8"/>
  <c r="K121" i="8"/>
  <c r="U49" i="8"/>
  <c r="K100" i="8" s="1"/>
  <c r="K127" i="8"/>
  <c r="K91" i="8"/>
  <c r="K122" i="8"/>
  <c r="K114" i="8"/>
  <c r="I115" i="8"/>
  <c r="M100" i="8"/>
  <c r="M46" i="8"/>
  <c r="S46" i="8"/>
  <c r="M124" i="8"/>
  <c r="O110" i="8"/>
  <c r="U53" i="8"/>
  <c r="O101" i="8" s="1"/>
  <c r="O127" i="8"/>
  <c r="O119" i="8"/>
  <c r="O120" i="8"/>
  <c r="O121" i="8"/>
  <c r="O114" i="8"/>
  <c r="O105" i="8"/>
  <c r="O94" i="8"/>
  <c r="O93" i="8"/>
  <c r="O124" i="8"/>
  <c r="O108" i="8"/>
  <c r="O106" i="8"/>
  <c r="O128" i="8"/>
  <c r="O126" i="8"/>
  <c r="O113" i="8"/>
  <c r="O91" i="8"/>
  <c r="O107" i="8"/>
  <c r="O122" i="8"/>
  <c r="O118" i="8"/>
  <c r="O109" i="8"/>
  <c r="O111" i="8"/>
  <c r="O115" i="8"/>
  <c r="O123" i="8"/>
  <c r="O112" i="8"/>
  <c r="O129" i="8"/>
  <c r="O92" i="8"/>
  <c r="O117" i="8"/>
  <c r="G121" i="8"/>
  <c r="K115" i="8"/>
  <c r="I92" i="8"/>
  <c r="M52" i="8"/>
  <c r="S52" i="8"/>
  <c r="R36" i="13"/>
  <c r="M35" i="9" l="1"/>
  <c r="D23" i="11" s="1"/>
  <c r="M34" i="9"/>
  <c r="D22" i="11" s="1"/>
  <c r="E37" i="9"/>
  <c r="E38" i="9" s="1"/>
  <c r="E39" i="9" s="1"/>
  <c r="E40" i="9" s="1"/>
  <c r="F40" i="9" s="1"/>
  <c r="G40" i="9" s="1"/>
  <c r="J40" i="9" s="1"/>
  <c r="P40" i="9" s="1"/>
  <c r="Q40" i="9" s="1"/>
  <c r="Y40" i="9" s="1"/>
  <c r="E20" i="10" s="1"/>
  <c r="H20" i="10" s="1"/>
  <c r="G98" i="8"/>
  <c r="K98" i="8"/>
  <c r="I98" i="8"/>
  <c r="K99" i="8"/>
  <c r="I99" i="8"/>
  <c r="G99" i="8"/>
  <c r="M99" i="8"/>
  <c r="O99" i="8"/>
  <c r="G102" i="8"/>
  <c r="K102" i="8"/>
  <c r="I102" i="8"/>
  <c r="M104" i="8"/>
  <c r="K104" i="8"/>
  <c r="O104" i="8"/>
  <c r="I104" i="8"/>
  <c r="M36" i="9"/>
  <c r="N36" i="9" s="1"/>
  <c r="O103" i="8"/>
  <c r="M103" i="8"/>
  <c r="M102" i="8"/>
  <c r="F34" i="9"/>
  <c r="G34" i="9" s="1"/>
  <c r="O102" i="8"/>
  <c r="I101" i="8"/>
  <c r="F35" i="9"/>
  <c r="G35" i="9" s="1"/>
  <c r="G101" i="8"/>
  <c r="K101" i="8"/>
  <c r="F32" i="9"/>
  <c r="G32" i="9" s="1"/>
  <c r="F33" i="9"/>
  <c r="G33" i="9" s="1"/>
  <c r="I103" i="8"/>
  <c r="N52" i="8"/>
  <c r="N119" i="8" s="1"/>
  <c r="T52" i="8"/>
  <c r="N98" i="8" s="1"/>
  <c r="I38" i="11"/>
  <c r="U50" i="9"/>
  <c r="T50" i="9"/>
  <c r="V50" i="9"/>
  <c r="Z50" i="9" s="1"/>
  <c r="I30" i="10" s="1"/>
  <c r="K30" i="10" s="1"/>
  <c r="S51" i="9"/>
  <c r="F36" i="9"/>
  <c r="G36" i="9" s="1"/>
  <c r="C29" i="9"/>
  <c r="N46" i="8"/>
  <c r="H116" i="8" s="1"/>
  <c r="T46" i="8"/>
  <c r="N48" i="8"/>
  <c r="T48" i="8"/>
  <c r="N54" i="8"/>
  <c r="P97" i="8" s="1"/>
  <c r="T54" i="8"/>
  <c r="P98" i="8" s="1"/>
  <c r="D29" i="9"/>
  <c r="G31" i="9"/>
  <c r="AG111" i="8"/>
  <c r="AH111" i="8"/>
  <c r="AI111" i="8"/>
  <c r="AC111" i="8"/>
  <c r="AM111" i="8" s="1"/>
  <c r="AD111" i="8"/>
  <c r="AE111" i="8"/>
  <c r="AF111" i="8"/>
  <c r="AB111" i="8"/>
  <c r="AA112" i="8"/>
  <c r="N50" i="8"/>
  <c r="L121" i="8" s="1"/>
  <c r="T50" i="8"/>
  <c r="R37" i="13"/>
  <c r="M38" i="9" l="1"/>
  <c r="D26" i="11" s="1"/>
  <c r="H35" i="9"/>
  <c r="N34" i="9"/>
  <c r="B22" i="11" s="1"/>
  <c r="M37" i="9"/>
  <c r="N37" i="9" s="1"/>
  <c r="F38" i="9"/>
  <c r="G38" i="9" s="1"/>
  <c r="J38" i="9" s="1"/>
  <c r="F37" i="9"/>
  <c r="G37" i="9" s="1"/>
  <c r="J37" i="9" s="1"/>
  <c r="P37" i="9" s="1"/>
  <c r="Q37" i="9" s="1"/>
  <c r="Y37" i="9" s="1"/>
  <c r="E17" i="10" s="1"/>
  <c r="H17" i="10" s="1"/>
  <c r="N35" i="9"/>
  <c r="C23" i="11" s="1"/>
  <c r="J97" i="8"/>
  <c r="H34" i="9"/>
  <c r="B21" i="11"/>
  <c r="H33" i="9"/>
  <c r="F39" i="9"/>
  <c r="G39" i="9" s="1"/>
  <c r="J39" i="9" s="1"/>
  <c r="P39" i="9" s="1"/>
  <c r="Q39" i="9" s="1"/>
  <c r="Y39" i="9" s="1"/>
  <c r="E19" i="10" s="1"/>
  <c r="H19" i="10" s="1"/>
  <c r="N97" i="8"/>
  <c r="L97" i="8"/>
  <c r="P109" i="8"/>
  <c r="F97" i="8"/>
  <c r="O97" i="8"/>
  <c r="H97" i="8"/>
  <c r="D24" i="11"/>
  <c r="J33" i="9"/>
  <c r="H36" i="9"/>
  <c r="M39" i="9"/>
  <c r="N39" i="9" s="1"/>
  <c r="M40" i="9"/>
  <c r="N40" i="9" s="1"/>
  <c r="E41" i="9"/>
  <c r="M41" i="9" s="1"/>
  <c r="N41" i="9" s="1"/>
  <c r="E29" i="11" s="1"/>
  <c r="J35" i="9"/>
  <c r="K35" i="9" s="1"/>
  <c r="F23" i="11" s="1"/>
  <c r="L115" i="8"/>
  <c r="H119" i="8"/>
  <c r="N114" i="8"/>
  <c r="J34" i="9"/>
  <c r="N109" i="8"/>
  <c r="N106" i="8"/>
  <c r="N128" i="8"/>
  <c r="N94" i="8"/>
  <c r="N127" i="8"/>
  <c r="N107" i="8"/>
  <c r="P116" i="8"/>
  <c r="N108" i="8"/>
  <c r="N120" i="8"/>
  <c r="N123" i="8"/>
  <c r="N95" i="8"/>
  <c r="N125" i="8"/>
  <c r="N113" i="8"/>
  <c r="P108" i="8"/>
  <c r="P123" i="8"/>
  <c r="P91" i="8"/>
  <c r="P125" i="8"/>
  <c r="H93" i="8"/>
  <c r="P113" i="8"/>
  <c r="P126" i="8"/>
  <c r="P130" i="8"/>
  <c r="P95" i="8"/>
  <c r="P112" i="8"/>
  <c r="P110" i="8"/>
  <c r="L107" i="8"/>
  <c r="AD112" i="8"/>
  <c r="AC112" i="8"/>
  <c r="AM112" i="8" s="1"/>
  <c r="AH112" i="8"/>
  <c r="AE112" i="8"/>
  <c r="AI112" i="8"/>
  <c r="AB112" i="8"/>
  <c r="AG112" i="8"/>
  <c r="AF112" i="8"/>
  <c r="AA113" i="8"/>
  <c r="P100" i="8"/>
  <c r="J36" i="9"/>
  <c r="N100" i="8"/>
  <c r="J31" i="9"/>
  <c r="P31" i="9" s="1"/>
  <c r="Q31" i="9" s="1"/>
  <c r="Y31" i="9" s="1"/>
  <c r="E11" i="10" s="1"/>
  <c r="H11" i="10" s="1"/>
  <c r="B19" i="11"/>
  <c r="G19" i="11" s="1"/>
  <c r="F110" i="8"/>
  <c r="F95" i="8"/>
  <c r="F94" i="8"/>
  <c r="U54" i="8"/>
  <c r="D125" i="8"/>
  <c r="D124" i="8"/>
  <c r="D107" i="8"/>
  <c r="E128" i="8"/>
  <c r="O95" i="8"/>
  <c r="K110" i="8"/>
  <c r="K92" i="8"/>
  <c r="E112" i="8"/>
  <c r="I117" i="8"/>
  <c r="I111" i="8"/>
  <c r="E124" i="8"/>
  <c r="K103" i="8"/>
  <c r="G105" i="8"/>
  <c r="K130" i="8"/>
  <c r="I91" i="8"/>
  <c r="K93" i="8"/>
  <c r="I119" i="8"/>
  <c r="O130" i="8"/>
  <c r="I94" i="8"/>
  <c r="G119" i="8"/>
  <c r="I123" i="8"/>
  <c r="K116" i="8"/>
  <c r="N110" i="8"/>
  <c r="H124" i="8"/>
  <c r="G104" i="8"/>
  <c r="G125" i="8"/>
  <c r="G122" i="8"/>
  <c r="P129" i="8"/>
  <c r="G103" i="8"/>
  <c r="P121" i="8"/>
  <c r="M115" i="8"/>
  <c r="M90" i="8" s="1"/>
  <c r="G112" i="8"/>
  <c r="G116" i="8"/>
  <c r="G130" i="8"/>
  <c r="P120" i="8"/>
  <c r="P94" i="8"/>
  <c r="H120" i="8"/>
  <c r="J125" i="8"/>
  <c r="H94" i="8"/>
  <c r="P107" i="8"/>
  <c r="P119" i="8"/>
  <c r="P92" i="8"/>
  <c r="P114" i="8"/>
  <c r="H130" i="8"/>
  <c r="H123" i="8"/>
  <c r="P122" i="8"/>
  <c r="H92" i="8"/>
  <c r="P105" i="8"/>
  <c r="P106" i="8"/>
  <c r="P124" i="8"/>
  <c r="P117" i="8"/>
  <c r="P93" i="8"/>
  <c r="P96" i="8"/>
  <c r="P127" i="8"/>
  <c r="P111" i="8"/>
  <c r="P115" i="8"/>
  <c r="P128" i="8"/>
  <c r="P118" i="8"/>
  <c r="H111" i="8"/>
  <c r="U46" i="8"/>
  <c r="H100" i="8" s="1"/>
  <c r="H112" i="8"/>
  <c r="H126" i="8"/>
  <c r="H114" i="8"/>
  <c r="H115" i="8"/>
  <c r="H128" i="8"/>
  <c r="H117" i="8"/>
  <c r="H95" i="8"/>
  <c r="H113" i="8"/>
  <c r="H108" i="8"/>
  <c r="H129" i="8"/>
  <c r="H105" i="8"/>
  <c r="H122" i="8"/>
  <c r="H96" i="8"/>
  <c r="H110" i="8"/>
  <c r="H109" i="8"/>
  <c r="H121" i="8"/>
  <c r="H107" i="8"/>
  <c r="H125" i="8"/>
  <c r="H118" i="8"/>
  <c r="B24" i="11"/>
  <c r="C24" i="11"/>
  <c r="E24" i="11"/>
  <c r="H106" i="8"/>
  <c r="N111" i="8"/>
  <c r="U52" i="8"/>
  <c r="N102" i="8" s="1"/>
  <c r="N115" i="8"/>
  <c r="N124" i="8"/>
  <c r="N130" i="8"/>
  <c r="N126" i="8"/>
  <c r="N121" i="8"/>
  <c r="N122" i="8"/>
  <c r="N129" i="8"/>
  <c r="N96" i="8"/>
  <c r="N118" i="8"/>
  <c r="N93" i="8"/>
  <c r="N117" i="8"/>
  <c r="N92" i="8"/>
  <c r="N112" i="8"/>
  <c r="N105" i="8"/>
  <c r="N91" i="8"/>
  <c r="N116" i="8"/>
  <c r="J32" i="9"/>
  <c r="P32" i="9" s="1"/>
  <c r="Q32" i="9" s="1"/>
  <c r="Y32" i="9" s="1"/>
  <c r="E12" i="10" s="1"/>
  <c r="H12" i="10" s="1"/>
  <c r="B20" i="11"/>
  <c r="G20" i="11" s="1"/>
  <c r="H91" i="8"/>
  <c r="L112" i="8"/>
  <c r="U50" i="8"/>
  <c r="L100" i="8" s="1"/>
  <c r="L105" i="8"/>
  <c r="L127" i="8"/>
  <c r="L120" i="8"/>
  <c r="L110" i="8"/>
  <c r="L129" i="8"/>
  <c r="L111" i="8"/>
  <c r="L128" i="8"/>
  <c r="L92" i="8"/>
  <c r="L108" i="8"/>
  <c r="L93" i="8"/>
  <c r="L117" i="8"/>
  <c r="L106" i="8"/>
  <c r="L125" i="8"/>
  <c r="L118" i="8"/>
  <c r="L114" i="8"/>
  <c r="L130" i="8"/>
  <c r="L123" i="8"/>
  <c r="L91" i="8"/>
  <c r="L119" i="8"/>
  <c r="L113" i="8"/>
  <c r="L122" i="8"/>
  <c r="L126" i="8"/>
  <c r="L124" i="8"/>
  <c r="L94" i="8"/>
  <c r="L95" i="8"/>
  <c r="L116" i="8"/>
  <c r="L109" i="8"/>
  <c r="L96" i="8"/>
  <c r="X40" i="9"/>
  <c r="B20" i="10" s="1"/>
  <c r="D20" i="10" s="1"/>
  <c r="L20" i="10" s="1"/>
  <c r="B25" i="12" s="1"/>
  <c r="J111" i="8"/>
  <c r="U48" i="8"/>
  <c r="J100" i="8" s="1"/>
  <c r="J124" i="8"/>
  <c r="J123" i="8"/>
  <c r="J122" i="8"/>
  <c r="J109" i="8"/>
  <c r="J106" i="8"/>
  <c r="J120" i="8"/>
  <c r="J130" i="8"/>
  <c r="J128" i="8"/>
  <c r="J108" i="8"/>
  <c r="J91" i="8"/>
  <c r="J116" i="8"/>
  <c r="J112" i="8"/>
  <c r="J107" i="8"/>
  <c r="J126" i="8"/>
  <c r="J96" i="8"/>
  <c r="J105" i="8"/>
  <c r="J127" i="8"/>
  <c r="J93" i="8"/>
  <c r="J110" i="8"/>
  <c r="J92" i="8"/>
  <c r="J119" i="8"/>
  <c r="J129" i="8"/>
  <c r="J104" i="8"/>
  <c r="J113" i="8"/>
  <c r="J118" i="8"/>
  <c r="J94" i="8"/>
  <c r="J115" i="8"/>
  <c r="J114" i="8"/>
  <c r="J121" i="8"/>
  <c r="J95" i="8"/>
  <c r="J117" i="8"/>
  <c r="V51" i="9"/>
  <c r="Z51" i="9" s="1"/>
  <c r="I31" i="10" s="1"/>
  <c r="K31" i="10" s="1"/>
  <c r="T51" i="9"/>
  <c r="I39" i="11"/>
  <c r="U51" i="9"/>
  <c r="S52" i="9"/>
  <c r="H127" i="8"/>
  <c r="R38" i="13"/>
  <c r="K37" i="9" l="1"/>
  <c r="F25" i="11" s="1"/>
  <c r="N38" i="9"/>
  <c r="C26" i="11" s="1"/>
  <c r="K38" i="9"/>
  <c r="F26" i="11" s="1"/>
  <c r="X37" i="9"/>
  <c r="B17" i="10" s="1"/>
  <c r="D17" i="10" s="1"/>
  <c r="L17" i="10" s="1"/>
  <c r="B22" i="12" s="1"/>
  <c r="D25" i="11"/>
  <c r="C22" i="11"/>
  <c r="E22" i="11"/>
  <c r="P38" i="9"/>
  <c r="Q38" i="9" s="1"/>
  <c r="Y38" i="9" s="1"/>
  <c r="E18" i="10" s="1"/>
  <c r="H18" i="10" s="1"/>
  <c r="H38" i="9"/>
  <c r="H37" i="9"/>
  <c r="B23" i="11"/>
  <c r="E23" i="11"/>
  <c r="L98" i="8"/>
  <c r="H98" i="8"/>
  <c r="J98" i="8"/>
  <c r="N99" i="8"/>
  <c r="L99" i="8"/>
  <c r="J99" i="8"/>
  <c r="P102" i="8"/>
  <c r="P99" i="8"/>
  <c r="P33" i="9"/>
  <c r="Q33" i="9" s="1"/>
  <c r="Y33" i="9" s="1"/>
  <c r="E13" i="10" s="1"/>
  <c r="H13" i="10" s="1"/>
  <c r="K33" i="9"/>
  <c r="F21" i="11" s="1"/>
  <c r="G21" i="11" s="1"/>
  <c r="H99" i="8"/>
  <c r="P34" i="9"/>
  <c r="Q34" i="9" s="1"/>
  <c r="Y34" i="9" s="1"/>
  <c r="E14" i="10" s="1"/>
  <c r="H14" i="10" s="1"/>
  <c r="K34" i="9"/>
  <c r="F22" i="11" s="1"/>
  <c r="L103" i="8"/>
  <c r="J103" i="8"/>
  <c r="H102" i="8"/>
  <c r="L102" i="8"/>
  <c r="J102" i="8"/>
  <c r="P104" i="8"/>
  <c r="N104" i="8"/>
  <c r="L104" i="8"/>
  <c r="H104" i="8"/>
  <c r="H40" i="9"/>
  <c r="Q97" i="8"/>
  <c r="AL97" i="8" s="1"/>
  <c r="H103" i="8"/>
  <c r="D28" i="11"/>
  <c r="K40" i="9"/>
  <c r="F28" i="11" s="1"/>
  <c r="F41" i="9"/>
  <c r="G41" i="9" s="1"/>
  <c r="H41" i="9" s="1"/>
  <c r="D27" i="11"/>
  <c r="C29" i="11"/>
  <c r="H39" i="9"/>
  <c r="E42" i="9"/>
  <c r="M42" i="9" s="1"/>
  <c r="N42" i="9" s="1"/>
  <c r="D29" i="11"/>
  <c r="P35" i="9"/>
  <c r="E26" i="11"/>
  <c r="B26" i="11"/>
  <c r="Q113" i="8"/>
  <c r="Y113" i="8" s="1"/>
  <c r="Q109" i="8"/>
  <c r="AL109" i="8" s="1"/>
  <c r="AT109" i="8" s="1"/>
  <c r="C34" i="12" s="1"/>
  <c r="C25" i="11"/>
  <c r="E25" i="11"/>
  <c r="B25" i="11"/>
  <c r="H101" i="8"/>
  <c r="P36" i="9"/>
  <c r="Q36" i="9" s="1"/>
  <c r="Y36" i="9" s="1"/>
  <c r="E16" i="10" s="1"/>
  <c r="H16" i="10" s="1"/>
  <c r="K36" i="9"/>
  <c r="F24" i="11" s="1"/>
  <c r="G24" i="11" s="1"/>
  <c r="K24" i="11" s="1"/>
  <c r="D21" i="12" s="1"/>
  <c r="L101" i="8"/>
  <c r="J101" i="8"/>
  <c r="Q95" i="8"/>
  <c r="AL95" i="8" s="1"/>
  <c r="Q108" i="8"/>
  <c r="AL108" i="8" s="1"/>
  <c r="AT108" i="8" s="1"/>
  <c r="C33" i="12" s="1"/>
  <c r="Q126" i="8"/>
  <c r="Y126" i="8" s="1"/>
  <c r="Q130" i="8"/>
  <c r="AL130" i="8" s="1"/>
  <c r="Q123" i="8"/>
  <c r="AL123" i="8" s="1"/>
  <c r="Q116" i="8"/>
  <c r="AL116" i="8" s="1"/>
  <c r="Q110" i="8"/>
  <c r="Y110" i="8" s="1"/>
  <c r="U52" i="9"/>
  <c r="V52" i="9"/>
  <c r="Z52" i="9" s="1"/>
  <c r="I32" i="10" s="1"/>
  <c r="K32" i="10" s="1"/>
  <c r="I40" i="11"/>
  <c r="T52" i="9"/>
  <c r="S53" i="9"/>
  <c r="X39" i="9"/>
  <c r="B19" i="10" s="1"/>
  <c r="D19" i="10" s="1"/>
  <c r="L19" i="10" s="1"/>
  <c r="B24" i="12" s="1"/>
  <c r="N101" i="8"/>
  <c r="N103" i="8"/>
  <c r="Q118" i="8"/>
  <c r="Q117" i="8"/>
  <c r="Q94" i="8"/>
  <c r="AL94" i="8" s="1"/>
  <c r="Q129" i="8"/>
  <c r="Q112" i="8"/>
  <c r="E90" i="8"/>
  <c r="Q128" i="8"/>
  <c r="P101" i="8"/>
  <c r="P103" i="8"/>
  <c r="AE113" i="8"/>
  <c r="AD113" i="8"/>
  <c r="AC113" i="8"/>
  <c r="AM113" i="8" s="1"/>
  <c r="AH113" i="8"/>
  <c r="AG113" i="8"/>
  <c r="AF113" i="8"/>
  <c r="AI113" i="8"/>
  <c r="AB113" i="8"/>
  <c r="AA114" i="8"/>
  <c r="K20" i="11"/>
  <c r="D17" i="12" s="1"/>
  <c r="S20" i="11"/>
  <c r="E13" i="13" s="1"/>
  <c r="K39" i="9"/>
  <c r="F27" i="11" s="1"/>
  <c r="Q127" i="8"/>
  <c r="Q114" i="8"/>
  <c r="Q120" i="8"/>
  <c r="I90" i="8"/>
  <c r="K90" i="8"/>
  <c r="Q107" i="8"/>
  <c r="D90" i="8"/>
  <c r="F90" i="8"/>
  <c r="X31" i="9"/>
  <c r="B11" i="10" s="1"/>
  <c r="D11" i="10" s="1"/>
  <c r="L11" i="10" s="1"/>
  <c r="B16" i="12" s="1"/>
  <c r="Q115" i="8"/>
  <c r="Q96" i="8"/>
  <c r="Q106" i="8"/>
  <c r="Q122" i="8"/>
  <c r="Q92" i="8"/>
  <c r="Q121" i="8"/>
  <c r="Q124" i="8"/>
  <c r="Q111" i="8"/>
  <c r="Q91" i="8"/>
  <c r="C28" i="11"/>
  <c r="E28" i="11"/>
  <c r="B28" i="11"/>
  <c r="X32" i="9"/>
  <c r="B12" i="10" s="1"/>
  <c r="D12" i="10" s="1"/>
  <c r="L12" i="10" s="1"/>
  <c r="B17" i="12" s="1"/>
  <c r="C27" i="11"/>
  <c r="B27" i="11"/>
  <c r="E27" i="11"/>
  <c r="Q93" i="8"/>
  <c r="Q105" i="8"/>
  <c r="Q119" i="8"/>
  <c r="G90" i="8"/>
  <c r="O90" i="8"/>
  <c r="Q125" i="8"/>
  <c r="S19" i="11"/>
  <c r="E12" i="13" s="1"/>
  <c r="K19" i="11"/>
  <c r="D16" i="12" s="1"/>
  <c r="Q100" i="8"/>
  <c r="R39" i="13"/>
  <c r="G22" i="11" l="1"/>
  <c r="G23" i="11"/>
  <c r="K23" i="11" s="1"/>
  <c r="D20" i="12" s="1"/>
  <c r="X34" i="9"/>
  <c r="B14" i="10" s="1"/>
  <c r="D14" i="10" s="1"/>
  <c r="L14" i="10" s="1"/>
  <c r="B19" i="12" s="1"/>
  <c r="X38" i="9"/>
  <c r="B18" i="10" s="1"/>
  <c r="D18" i="10" s="1"/>
  <c r="L18" i="10" s="1"/>
  <c r="B23" i="12" s="1"/>
  <c r="Q98" i="8"/>
  <c r="AL98" i="8" s="1"/>
  <c r="Q99" i="8"/>
  <c r="AL99" i="8" s="1"/>
  <c r="AT99" i="8" s="1"/>
  <c r="C24" i="12" s="1"/>
  <c r="X33" i="9"/>
  <c r="B13" i="10" s="1"/>
  <c r="D13" i="10" s="1"/>
  <c r="L13" i="10" s="1"/>
  <c r="B18" i="12" s="1"/>
  <c r="K21" i="11"/>
  <c r="D18" i="12" s="1"/>
  <c r="K22" i="11"/>
  <c r="D19" i="12" s="1"/>
  <c r="J90" i="8"/>
  <c r="Q102" i="8"/>
  <c r="AL102" i="8" s="1"/>
  <c r="AT102" i="8" s="1"/>
  <c r="C27" i="12" s="1"/>
  <c r="B29" i="11"/>
  <c r="E43" i="9"/>
  <c r="F43" i="9" s="1"/>
  <c r="G43" i="9" s="1"/>
  <c r="J43" i="9" s="1"/>
  <c r="P43" i="9" s="1"/>
  <c r="Q43" i="9" s="1"/>
  <c r="Y43" i="9" s="1"/>
  <c r="E23" i="10" s="1"/>
  <c r="H23" i="10" s="1"/>
  <c r="Q104" i="8"/>
  <c r="Y104" i="8" s="1"/>
  <c r="L90" i="8"/>
  <c r="H90" i="8"/>
  <c r="J41" i="9"/>
  <c r="K41" i="9" s="1"/>
  <c r="F29" i="11" s="1"/>
  <c r="D30" i="11"/>
  <c r="F42" i="9"/>
  <c r="G42" i="9" s="1"/>
  <c r="H42" i="9" s="1"/>
  <c r="AL113" i="8"/>
  <c r="AT113" i="8" s="1"/>
  <c r="C38" i="12" s="1"/>
  <c r="G26" i="11"/>
  <c r="K26" i="11" s="1"/>
  <c r="D23" i="12" s="1"/>
  <c r="Q35" i="9"/>
  <c r="Y35" i="9" s="1"/>
  <c r="E15" i="10" s="1"/>
  <c r="H15" i="10" s="1"/>
  <c r="X35" i="9"/>
  <c r="B15" i="10" s="1"/>
  <c r="D15" i="10" s="1"/>
  <c r="AL126" i="8"/>
  <c r="Y109" i="8"/>
  <c r="X36" i="9"/>
  <c r="B16" i="10" s="1"/>
  <c r="D16" i="10" s="1"/>
  <c r="L16" i="10" s="1"/>
  <c r="B21" i="12" s="1"/>
  <c r="Y123" i="8"/>
  <c r="Q103" i="8"/>
  <c r="Y103" i="8" s="1"/>
  <c r="Y130" i="8"/>
  <c r="G25" i="11"/>
  <c r="K25" i="11" s="1"/>
  <c r="D22" i="12" s="1"/>
  <c r="Y108" i="8"/>
  <c r="Y116" i="8"/>
  <c r="AL110" i="8"/>
  <c r="AT110" i="8" s="1"/>
  <c r="C35" i="12" s="1"/>
  <c r="N90" i="8"/>
  <c r="Y100" i="8"/>
  <c r="AL100" i="8"/>
  <c r="AT100" i="8" s="1"/>
  <c r="C25" i="12" s="1"/>
  <c r="AL93" i="8"/>
  <c r="G27" i="11"/>
  <c r="K27" i="11" s="1"/>
  <c r="D24" i="12" s="1"/>
  <c r="Y111" i="8"/>
  <c r="AL111" i="8"/>
  <c r="AT111" i="8" s="1"/>
  <c r="C36" i="12" s="1"/>
  <c r="Y121" i="8"/>
  <c r="AL121" i="8"/>
  <c r="AL96" i="8"/>
  <c r="AB114" i="8"/>
  <c r="AC114" i="8"/>
  <c r="AM114" i="8" s="1"/>
  <c r="AF114" i="8"/>
  <c r="AD114" i="8"/>
  <c r="AI114" i="8"/>
  <c r="AE114" i="8"/>
  <c r="AH114" i="8"/>
  <c r="AG114" i="8"/>
  <c r="AA115" i="8"/>
  <c r="Y112" i="8"/>
  <c r="AL112" i="8"/>
  <c r="AT112" i="8" s="1"/>
  <c r="C37" i="12" s="1"/>
  <c r="AL118" i="8"/>
  <c r="Y118" i="8"/>
  <c r="AL92" i="8"/>
  <c r="AL115" i="8"/>
  <c r="Y115" i="8"/>
  <c r="AL120" i="8"/>
  <c r="Y120" i="8"/>
  <c r="Q101" i="8"/>
  <c r="P90" i="8"/>
  <c r="AL129" i="8"/>
  <c r="Y129" i="8"/>
  <c r="AL125" i="8"/>
  <c r="Y125" i="8"/>
  <c r="AL119" i="8"/>
  <c r="Y119" i="8"/>
  <c r="Y122" i="8"/>
  <c r="AL122" i="8"/>
  <c r="E30" i="11"/>
  <c r="C30" i="11"/>
  <c r="AL107" i="8"/>
  <c r="AT107" i="8" s="1"/>
  <c r="C32" i="12" s="1"/>
  <c r="Y107" i="8"/>
  <c r="AL114" i="8"/>
  <c r="Y114" i="8"/>
  <c r="AL128" i="8"/>
  <c r="Y128" i="8"/>
  <c r="V53" i="9"/>
  <c r="Z53" i="9" s="1"/>
  <c r="I33" i="10" s="1"/>
  <c r="K33" i="10" s="1"/>
  <c r="I41" i="11"/>
  <c r="T53" i="9"/>
  <c r="U53" i="9"/>
  <c r="S54" i="9"/>
  <c r="AL105" i="8"/>
  <c r="AT105" i="8" s="1"/>
  <c r="C30" i="12" s="1"/>
  <c r="Y105" i="8"/>
  <c r="G28" i="11"/>
  <c r="K28" i="11" s="1"/>
  <c r="D25" i="12" s="1"/>
  <c r="AL91" i="8"/>
  <c r="Y91" i="8"/>
  <c r="Y124" i="8"/>
  <c r="AL124" i="8"/>
  <c r="AL106" i="8"/>
  <c r="AT106" i="8" s="1"/>
  <c r="C31" i="12" s="1"/>
  <c r="Y106" i="8"/>
  <c r="Y127" i="8"/>
  <c r="AL127" i="8"/>
  <c r="Y117" i="8"/>
  <c r="AL117" i="8"/>
  <c r="R40" i="13"/>
  <c r="Y99" i="8" l="1"/>
  <c r="Y102" i="8"/>
  <c r="E44" i="9"/>
  <c r="F44" i="9" s="1"/>
  <c r="G44" i="9" s="1"/>
  <c r="J44" i="9" s="1"/>
  <c r="P44" i="9" s="1"/>
  <c r="Q44" i="9" s="1"/>
  <c r="Y44" i="9" s="1"/>
  <c r="E24" i="10" s="1"/>
  <c r="H24" i="10" s="1"/>
  <c r="G29" i="11"/>
  <c r="K29" i="11" s="1"/>
  <c r="D26" i="12" s="1"/>
  <c r="X43" i="9"/>
  <c r="B23" i="10" s="1"/>
  <c r="D23" i="10" s="1"/>
  <c r="L23" i="10" s="1"/>
  <c r="B28" i="12" s="1"/>
  <c r="M43" i="9"/>
  <c r="H43" i="9" s="1"/>
  <c r="AL104" i="8"/>
  <c r="AT104" i="8" s="1"/>
  <c r="C29" i="12" s="1"/>
  <c r="P41" i="9"/>
  <c r="Q41" i="9" s="1"/>
  <c r="Y41" i="9" s="1"/>
  <c r="E21" i="10" s="1"/>
  <c r="H21" i="10" s="1"/>
  <c r="J42" i="9"/>
  <c r="K42" i="9" s="1"/>
  <c r="F30" i="11" s="1"/>
  <c r="B30" i="11"/>
  <c r="AL103" i="8"/>
  <c r="AT103" i="8" s="1"/>
  <c r="C28" i="12" s="1"/>
  <c r="L15" i="10"/>
  <c r="B20" i="12" s="1"/>
  <c r="Q90" i="8"/>
  <c r="AT114" i="8"/>
  <c r="C39" i="12" s="1"/>
  <c r="E24" i="12"/>
  <c r="E25" i="12"/>
  <c r="AT91" i="8"/>
  <c r="C16" i="12" s="1"/>
  <c r="E16" i="12" s="1"/>
  <c r="F16" i="12" s="1"/>
  <c r="T54" i="9"/>
  <c r="U54" i="9"/>
  <c r="I42" i="11"/>
  <c r="V54" i="9"/>
  <c r="Z54" i="9" s="1"/>
  <c r="I34" i="10" s="1"/>
  <c r="K34" i="10" s="1"/>
  <c r="S55" i="9"/>
  <c r="Y101" i="8"/>
  <c r="AL101" i="8"/>
  <c r="AT101" i="8" s="1"/>
  <c r="C26" i="12" s="1"/>
  <c r="AH115" i="8"/>
  <c r="AE115" i="8"/>
  <c r="AC115" i="8"/>
  <c r="AM115" i="8" s="1"/>
  <c r="AT115" i="8" s="1"/>
  <c r="C40" i="12" s="1"/>
  <c r="AB115" i="8"/>
  <c r="AF115" i="8"/>
  <c r="AI115" i="8"/>
  <c r="AD115" i="8"/>
  <c r="AG115" i="8"/>
  <c r="AA116" i="8"/>
  <c r="R41" i="13"/>
  <c r="M44" i="9" l="1"/>
  <c r="N44" i="9" s="1"/>
  <c r="E32" i="11" s="1"/>
  <c r="X44" i="9"/>
  <c r="B24" i="10" s="1"/>
  <c r="D24" i="10" s="1"/>
  <c r="L24" i="10" s="1"/>
  <c r="B29" i="12" s="1"/>
  <c r="E45" i="9"/>
  <c r="E46" i="9" s="1"/>
  <c r="F46" i="9" s="1"/>
  <c r="G46" i="9" s="1"/>
  <c r="J46" i="9" s="1"/>
  <c r="P46" i="9" s="1"/>
  <c r="Q46" i="9" s="1"/>
  <c r="Y46" i="9" s="1"/>
  <c r="E26" i="10" s="1"/>
  <c r="H26" i="10" s="1"/>
  <c r="N43" i="9"/>
  <c r="C31" i="11" s="1"/>
  <c r="K43" i="9"/>
  <c r="F31" i="11" s="1"/>
  <c r="D31" i="11"/>
  <c r="X41" i="9"/>
  <c r="B21" i="10" s="1"/>
  <c r="D21" i="10" s="1"/>
  <c r="L21" i="10" s="1"/>
  <c r="B26" i="12" s="1"/>
  <c r="E26" i="12" s="1"/>
  <c r="G30" i="11"/>
  <c r="K30" i="11" s="1"/>
  <c r="D27" i="12" s="1"/>
  <c r="P42" i="9"/>
  <c r="Q42" i="9" s="1"/>
  <c r="Y42" i="9" s="1"/>
  <c r="E22" i="10" s="1"/>
  <c r="H22" i="10" s="1"/>
  <c r="AL90" i="8"/>
  <c r="AH116" i="8"/>
  <c r="AE116" i="8"/>
  <c r="AC116" i="8"/>
  <c r="AM116" i="8" s="1"/>
  <c r="AT116" i="8" s="1"/>
  <c r="C41" i="12" s="1"/>
  <c r="AF116" i="8"/>
  <c r="AB116" i="8"/>
  <c r="AG116" i="8"/>
  <c r="AD116" i="8"/>
  <c r="AI116" i="8"/>
  <c r="AA117" i="8"/>
  <c r="U55" i="9"/>
  <c r="V55" i="9"/>
  <c r="Z55" i="9" s="1"/>
  <c r="I35" i="10" s="1"/>
  <c r="K35" i="10" s="1"/>
  <c r="I43" i="11"/>
  <c r="T55" i="9"/>
  <c r="S56" i="9"/>
  <c r="R42" i="13"/>
  <c r="C32" i="11" l="1"/>
  <c r="B32" i="11"/>
  <c r="H44" i="9"/>
  <c r="D32" i="11"/>
  <c r="K44" i="9"/>
  <c r="F32" i="11" s="1"/>
  <c r="E47" i="9"/>
  <c r="E48" i="9" s="1"/>
  <c r="F48" i="9" s="1"/>
  <c r="G48" i="9" s="1"/>
  <c r="M46" i="9"/>
  <c r="H46" i="9" s="1"/>
  <c r="B31" i="11"/>
  <c r="F45" i="9"/>
  <c r="G45" i="9" s="1"/>
  <c r="J45" i="9" s="1"/>
  <c r="P45" i="9" s="1"/>
  <c r="Q45" i="9" s="1"/>
  <c r="Y45" i="9" s="1"/>
  <c r="E25" i="10" s="1"/>
  <c r="H25" i="10" s="1"/>
  <c r="M45" i="9"/>
  <c r="N45" i="9" s="1"/>
  <c r="E33" i="11" s="1"/>
  <c r="E31" i="11"/>
  <c r="X42" i="9"/>
  <c r="B22" i="10" s="1"/>
  <c r="D22" i="10" s="1"/>
  <c r="L22" i="10" s="1"/>
  <c r="B27" i="12" s="1"/>
  <c r="E27" i="12" s="1"/>
  <c r="V56" i="9"/>
  <c r="Z56" i="9" s="1"/>
  <c r="I36" i="10" s="1"/>
  <c r="K36" i="10" s="1"/>
  <c r="U56" i="9"/>
  <c r="T56" i="9"/>
  <c r="I44" i="11"/>
  <c r="S57" i="9"/>
  <c r="AF117" i="8"/>
  <c r="AG117" i="8"/>
  <c r="AH117" i="8"/>
  <c r="AE117" i="8"/>
  <c r="AB117" i="8"/>
  <c r="AI117" i="8"/>
  <c r="AD117" i="8"/>
  <c r="AC117" i="8"/>
  <c r="AM117" i="8" s="1"/>
  <c r="AT117" i="8" s="1"/>
  <c r="C42" i="12" s="1"/>
  <c r="AA118" i="8"/>
  <c r="X46" i="9"/>
  <c r="B26" i="10" s="1"/>
  <c r="D26" i="10" s="1"/>
  <c r="L26" i="10" s="1"/>
  <c r="B31" i="12" s="1"/>
  <c r="R43" i="13"/>
  <c r="D34" i="11" l="1"/>
  <c r="G32" i="11"/>
  <c r="K32" i="11" s="1"/>
  <c r="D29" i="12" s="1"/>
  <c r="E29" i="12" s="1"/>
  <c r="M47" i="9"/>
  <c r="N47" i="9" s="1"/>
  <c r="F47" i="9"/>
  <c r="G47" i="9" s="1"/>
  <c r="J47" i="9" s="1"/>
  <c r="P47" i="9" s="1"/>
  <c r="Q47" i="9" s="1"/>
  <c r="Y47" i="9" s="1"/>
  <c r="E27" i="10" s="1"/>
  <c r="H27" i="10" s="1"/>
  <c r="C33" i="11"/>
  <c r="N46" i="9"/>
  <c r="C34" i="11" s="1"/>
  <c r="K46" i="9"/>
  <c r="F34" i="11" s="1"/>
  <c r="G31" i="11"/>
  <c r="K31" i="11" s="1"/>
  <c r="D28" i="12" s="1"/>
  <c r="E28" i="12" s="1"/>
  <c r="D33" i="11"/>
  <c r="B33" i="11"/>
  <c r="H45" i="9"/>
  <c r="X45" i="9"/>
  <c r="B25" i="10" s="1"/>
  <c r="D25" i="10" s="1"/>
  <c r="L25" i="10" s="1"/>
  <c r="B30" i="12" s="1"/>
  <c r="K45" i="9"/>
  <c r="F33" i="11" s="1"/>
  <c r="J48" i="9"/>
  <c r="P48" i="9" s="1"/>
  <c r="Q48" i="9" s="1"/>
  <c r="Y48" i="9" s="1"/>
  <c r="E28" i="10" s="1"/>
  <c r="H28" i="10" s="1"/>
  <c r="V57" i="9"/>
  <c r="Z57" i="9" s="1"/>
  <c r="I37" i="10" s="1"/>
  <c r="K37" i="10" s="1"/>
  <c r="I45" i="11"/>
  <c r="U57" i="9"/>
  <c r="T57" i="9"/>
  <c r="S58" i="9"/>
  <c r="M48" i="9"/>
  <c r="E49" i="9"/>
  <c r="AC118" i="8"/>
  <c r="AM118" i="8" s="1"/>
  <c r="AT118" i="8" s="1"/>
  <c r="C43" i="12" s="1"/>
  <c r="AF118" i="8"/>
  <c r="AD118" i="8"/>
  <c r="AE118" i="8"/>
  <c r="AH118" i="8"/>
  <c r="AG118" i="8"/>
  <c r="AI118" i="8"/>
  <c r="AB118" i="8"/>
  <c r="AA119" i="8"/>
  <c r="R44" i="13"/>
  <c r="D35" i="11" l="1"/>
  <c r="H47" i="9"/>
  <c r="B34" i="11"/>
  <c r="E34" i="11"/>
  <c r="G33" i="11"/>
  <c r="K33" i="11" s="1"/>
  <c r="D30" i="12" s="1"/>
  <c r="E30" i="12" s="1"/>
  <c r="E50" i="9"/>
  <c r="F50" i="9" s="1"/>
  <c r="G50" i="9" s="1"/>
  <c r="M49" i="9"/>
  <c r="B35" i="11"/>
  <c r="C35" i="11"/>
  <c r="E35" i="11"/>
  <c r="H48" i="9"/>
  <c r="D36" i="11"/>
  <c r="N48" i="9"/>
  <c r="AD119" i="8"/>
  <c r="AB119" i="8"/>
  <c r="AI119" i="8"/>
  <c r="AH119" i="8"/>
  <c r="AE119" i="8"/>
  <c r="AC119" i="8"/>
  <c r="AM119" i="8" s="1"/>
  <c r="AT119" i="8" s="1"/>
  <c r="C44" i="12" s="1"/>
  <c r="AF119" i="8"/>
  <c r="AG119" i="8"/>
  <c r="AA120" i="8"/>
  <c r="K48" i="9"/>
  <c r="F36" i="11" s="1"/>
  <c r="X48" i="9"/>
  <c r="B28" i="10" s="1"/>
  <c r="D28" i="10" s="1"/>
  <c r="L28" i="10" s="1"/>
  <c r="B33" i="12" s="1"/>
  <c r="F49" i="9"/>
  <c r="G49" i="9" s="1"/>
  <c r="U58" i="9"/>
  <c r="I46" i="11"/>
  <c r="V58" i="9"/>
  <c r="Z58" i="9" s="1"/>
  <c r="I38" i="10" s="1"/>
  <c r="K38" i="10" s="1"/>
  <c r="T58" i="9"/>
  <c r="S59" i="9"/>
  <c r="K47" i="9"/>
  <c r="F35" i="11" s="1"/>
  <c r="X47" i="9"/>
  <c r="B27" i="10" s="1"/>
  <c r="D27" i="10" s="1"/>
  <c r="L27" i="10" s="1"/>
  <c r="B32" i="12" s="1"/>
  <c r="R45" i="13"/>
  <c r="G34" i="11" l="1"/>
  <c r="K34" i="11" s="1"/>
  <c r="D31" i="12" s="1"/>
  <c r="E31" i="12" s="1"/>
  <c r="G35" i="11"/>
  <c r="K35" i="11" s="1"/>
  <c r="D32" i="12" s="1"/>
  <c r="E32" i="12" s="1"/>
  <c r="J50" i="9"/>
  <c r="P50" i="9" s="1"/>
  <c r="Q50" i="9" s="1"/>
  <c r="Y50" i="9" s="1"/>
  <c r="E30" i="10" s="1"/>
  <c r="H30" i="10" s="1"/>
  <c r="J49" i="9"/>
  <c r="P49" i="9" s="1"/>
  <c r="Q49" i="9" s="1"/>
  <c r="Y49" i="9" s="1"/>
  <c r="E29" i="10" s="1"/>
  <c r="H29" i="10" s="1"/>
  <c r="U59" i="9"/>
  <c r="I47" i="11"/>
  <c r="T59" i="9"/>
  <c r="V59" i="9"/>
  <c r="Z59" i="9" s="1"/>
  <c r="I39" i="10" s="1"/>
  <c r="K39" i="10" s="1"/>
  <c r="S60" i="9"/>
  <c r="AI120" i="8"/>
  <c r="AG120" i="8"/>
  <c r="AF120" i="8"/>
  <c r="AC120" i="8"/>
  <c r="AM120" i="8" s="1"/>
  <c r="AT120" i="8" s="1"/>
  <c r="C45" i="12" s="1"/>
  <c r="AE120" i="8"/>
  <c r="AH120" i="8"/>
  <c r="AB120" i="8"/>
  <c r="AD120" i="8"/>
  <c r="AA121" i="8"/>
  <c r="D37" i="11"/>
  <c r="H49" i="9"/>
  <c r="N49" i="9"/>
  <c r="C36" i="11"/>
  <c r="E36" i="11"/>
  <c r="B36" i="11"/>
  <c r="E51" i="9"/>
  <c r="M50" i="9"/>
  <c r="R46" i="13"/>
  <c r="K49" i="9" l="1"/>
  <c r="F37" i="11" s="1"/>
  <c r="X50" i="9"/>
  <c r="B30" i="10" s="1"/>
  <c r="D30" i="10" s="1"/>
  <c r="L30" i="10" s="1"/>
  <c r="B35" i="12" s="1"/>
  <c r="G36" i="11"/>
  <c r="K36" i="11" s="1"/>
  <c r="D33" i="12" s="1"/>
  <c r="E33" i="12" s="1"/>
  <c r="N50" i="9"/>
  <c r="D38" i="11"/>
  <c r="H50" i="9"/>
  <c r="K50" i="9"/>
  <c r="F38" i="11" s="1"/>
  <c r="M51" i="9"/>
  <c r="E52" i="9"/>
  <c r="F52" i="9" s="1"/>
  <c r="G52" i="9" s="1"/>
  <c r="B37" i="11"/>
  <c r="C37" i="11"/>
  <c r="E37" i="11"/>
  <c r="AD121" i="8"/>
  <c r="AH121" i="8"/>
  <c r="AE121" i="8"/>
  <c r="AI121" i="8"/>
  <c r="AF121" i="8"/>
  <c r="AB121" i="8"/>
  <c r="AG121" i="8"/>
  <c r="AC121" i="8"/>
  <c r="AM121" i="8" s="1"/>
  <c r="AT121" i="8" s="1"/>
  <c r="C46" i="12" s="1"/>
  <c r="AA122" i="8"/>
  <c r="X49" i="9"/>
  <c r="B29" i="10" s="1"/>
  <c r="D29" i="10" s="1"/>
  <c r="L29" i="10" s="1"/>
  <c r="B34" i="12" s="1"/>
  <c r="F51" i="9"/>
  <c r="G51" i="9" s="1"/>
  <c r="U60" i="9"/>
  <c r="V60" i="9"/>
  <c r="Z60" i="9" s="1"/>
  <c r="I40" i="10" s="1"/>
  <c r="K40" i="10" s="1"/>
  <c r="T60" i="9"/>
  <c r="I48" i="11"/>
  <c r="S61" i="9"/>
  <c r="R47" i="13"/>
  <c r="J52" i="9" l="1"/>
  <c r="P52" i="9" s="1"/>
  <c r="Q52" i="9" s="1"/>
  <c r="Y52" i="9" s="1"/>
  <c r="E32" i="10" s="1"/>
  <c r="H32" i="10" s="1"/>
  <c r="U61" i="9"/>
  <c r="V61" i="9"/>
  <c r="Z61" i="9" s="1"/>
  <c r="I41" i="10" s="1"/>
  <c r="K41" i="10" s="1"/>
  <c r="T61" i="9"/>
  <c r="I49" i="11"/>
  <c r="S62" i="9"/>
  <c r="AC122" i="8"/>
  <c r="AM122" i="8" s="1"/>
  <c r="AT122" i="8" s="1"/>
  <c r="C47" i="12" s="1"/>
  <c r="AF122" i="8"/>
  <c r="AB122" i="8"/>
  <c r="AI122" i="8"/>
  <c r="AG122" i="8"/>
  <c r="AH122" i="8"/>
  <c r="AE122" i="8"/>
  <c r="AD122" i="8"/>
  <c r="AA123" i="8"/>
  <c r="J51" i="9"/>
  <c r="P51" i="9" s="1"/>
  <c r="Q51" i="9" s="1"/>
  <c r="Y51" i="9" s="1"/>
  <c r="E31" i="10" s="1"/>
  <c r="H31" i="10" s="1"/>
  <c r="M52" i="9"/>
  <c r="E53" i="9"/>
  <c r="F53" i="9" s="1"/>
  <c r="G53" i="9" s="1"/>
  <c r="N51" i="9"/>
  <c r="H51" i="9"/>
  <c r="D39" i="11"/>
  <c r="E38" i="11"/>
  <c r="B38" i="11"/>
  <c r="C38" i="11"/>
  <c r="G37" i="11"/>
  <c r="K37" i="11" s="1"/>
  <c r="D34" i="12" s="1"/>
  <c r="E34" i="12" s="1"/>
  <c r="R48" i="13"/>
  <c r="G38" i="11" l="1"/>
  <c r="K38" i="11" s="1"/>
  <c r="D35" i="12" s="1"/>
  <c r="E35" i="12" s="1"/>
  <c r="J53" i="9"/>
  <c r="P53" i="9" s="1"/>
  <c r="Q53" i="9" s="1"/>
  <c r="Y53" i="9" s="1"/>
  <c r="E33" i="10" s="1"/>
  <c r="H33" i="10" s="1"/>
  <c r="D40" i="11"/>
  <c r="H52" i="9"/>
  <c r="N52" i="9"/>
  <c r="I50" i="11"/>
  <c r="V62" i="9"/>
  <c r="Z62" i="9" s="1"/>
  <c r="I42" i="10" s="1"/>
  <c r="K42" i="10" s="1"/>
  <c r="U62" i="9"/>
  <c r="T62" i="9"/>
  <c r="S63" i="9"/>
  <c r="E39" i="11"/>
  <c r="B39" i="11"/>
  <c r="C39" i="11"/>
  <c r="K51" i="9"/>
  <c r="F39" i="11" s="1"/>
  <c r="X51" i="9"/>
  <c r="B31" i="10" s="1"/>
  <c r="D31" i="10" s="1"/>
  <c r="L31" i="10" s="1"/>
  <c r="B36" i="12" s="1"/>
  <c r="E54" i="9"/>
  <c r="F54" i="9" s="1"/>
  <c r="G54" i="9" s="1"/>
  <c r="M53" i="9"/>
  <c r="AE123" i="8"/>
  <c r="AF123" i="8"/>
  <c r="AC123" i="8"/>
  <c r="AM123" i="8" s="1"/>
  <c r="AT123" i="8" s="1"/>
  <c r="C48" i="12" s="1"/>
  <c r="AG123" i="8"/>
  <c r="AH123" i="8"/>
  <c r="AB123" i="8"/>
  <c r="AD123" i="8"/>
  <c r="AI123" i="8"/>
  <c r="AA124" i="8"/>
  <c r="K52" i="9"/>
  <c r="F40" i="11" s="1"/>
  <c r="X52" i="9"/>
  <c r="B32" i="10" s="1"/>
  <c r="D32" i="10" s="1"/>
  <c r="L32" i="10" s="1"/>
  <c r="B37" i="12" s="1"/>
  <c r="R49" i="13"/>
  <c r="J54" i="9" l="1"/>
  <c r="P54" i="9" s="1"/>
  <c r="Q54" i="9" s="1"/>
  <c r="Y54" i="9" s="1"/>
  <c r="E34" i="10" s="1"/>
  <c r="H34" i="10" s="1"/>
  <c r="N53" i="9"/>
  <c r="H53" i="9"/>
  <c r="D41" i="11"/>
  <c r="I51" i="11"/>
  <c r="V63" i="9"/>
  <c r="Z63" i="9" s="1"/>
  <c r="I43" i="10" s="1"/>
  <c r="K43" i="10" s="1"/>
  <c r="U63" i="9"/>
  <c r="T63" i="9"/>
  <c r="S64" i="9"/>
  <c r="M54" i="9"/>
  <c r="E55" i="9"/>
  <c r="F55" i="9" s="1"/>
  <c r="G55" i="9" s="1"/>
  <c r="E40" i="11"/>
  <c r="C40" i="11"/>
  <c r="B40" i="11"/>
  <c r="AF124" i="8"/>
  <c r="AB124" i="8"/>
  <c r="AG124" i="8"/>
  <c r="AI124" i="8"/>
  <c r="AC124" i="8"/>
  <c r="AM124" i="8" s="1"/>
  <c r="AT124" i="8" s="1"/>
  <c r="C49" i="12" s="1"/>
  <c r="AH124" i="8"/>
  <c r="AE124" i="8"/>
  <c r="AD124" i="8"/>
  <c r="AA125" i="8"/>
  <c r="G39" i="11"/>
  <c r="K39" i="11" s="1"/>
  <c r="D36" i="12" s="1"/>
  <c r="E36" i="12" s="1"/>
  <c r="K53" i="9"/>
  <c r="F41" i="11" s="1"/>
  <c r="X53" i="9"/>
  <c r="B33" i="10" s="1"/>
  <c r="D33" i="10" s="1"/>
  <c r="L33" i="10" s="1"/>
  <c r="B38" i="12" s="1"/>
  <c r="R50" i="13"/>
  <c r="G40" i="11" l="1"/>
  <c r="K40" i="11" s="1"/>
  <c r="D37" i="12" s="1"/>
  <c r="E37" i="12" s="1"/>
  <c r="J55" i="9"/>
  <c r="P55" i="9" s="1"/>
  <c r="Q55" i="9" s="1"/>
  <c r="Y55" i="9" s="1"/>
  <c r="E35" i="10" s="1"/>
  <c r="H35" i="10" s="1"/>
  <c r="AE125" i="8"/>
  <c r="AB125" i="8"/>
  <c r="AD125" i="8"/>
  <c r="AF125" i="8"/>
  <c r="AC125" i="8"/>
  <c r="AM125" i="8" s="1"/>
  <c r="AT125" i="8" s="1"/>
  <c r="C50" i="12" s="1"/>
  <c r="AI125" i="8"/>
  <c r="AH125" i="8"/>
  <c r="AG125" i="8"/>
  <c r="AA126" i="8"/>
  <c r="T64" i="9"/>
  <c r="V64" i="9"/>
  <c r="Z64" i="9" s="1"/>
  <c r="I44" i="10" s="1"/>
  <c r="K44" i="10" s="1"/>
  <c r="U64" i="9"/>
  <c r="I52" i="11"/>
  <c r="S65" i="9"/>
  <c r="E56" i="9"/>
  <c r="F56" i="9" s="1"/>
  <c r="G56" i="9" s="1"/>
  <c r="M55" i="9"/>
  <c r="H54" i="9"/>
  <c r="N54" i="9"/>
  <c r="D42" i="11"/>
  <c r="K54" i="9"/>
  <c r="F42" i="11" s="1"/>
  <c r="C41" i="11"/>
  <c r="B41" i="11"/>
  <c r="E41" i="11"/>
  <c r="X54" i="9"/>
  <c r="B34" i="10" s="1"/>
  <c r="D34" i="10" s="1"/>
  <c r="L34" i="10" s="1"/>
  <c r="B39" i="12" s="1"/>
  <c r="R51" i="13"/>
  <c r="X55" i="9" l="1"/>
  <c r="B35" i="10" s="1"/>
  <c r="D35" i="10" s="1"/>
  <c r="L35" i="10" s="1"/>
  <c r="B40" i="12" s="1"/>
  <c r="J56" i="9"/>
  <c r="P56" i="9" s="1"/>
  <c r="Q56" i="9" s="1"/>
  <c r="Y56" i="9" s="1"/>
  <c r="E36" i="10" s="1"/>
  <c r="H36" i="10" s="1"/>
  <c r="AE126" i="8"/>
  <c r="AI126" i="8"/>
  <c r="AG126" i="8"/>
  <c r="AB126" i="8"/>
  <c r="AC126" i="8"/>
  <c r="AM126" i="8" s="1"/>
  <c r="AT126" i="8" s="1"/>
  <c r="C51" i="12" s="1"/>
  <c r="AH126" i="8"/>
  <c r="AF126" i="8"/>
  <c r="AD126" i="8"/>
  <c r="AA127" i="8"/>
  <c r="G41" i="11"/>
  <c r="K41" i="11" s="1"/>
  <c r="D38" i="12" s="1"/>
  <c r="E38" i="12" s="1"/>
  <c r="C42" i="11"/>
  <c r="B42" i="11"/>
  <c r="E42" i="11"/>
  <c r="H55" i="9"/>
  <c r="D43" i="11"/>
  <c r="N55" i="9"/>
  <c r="K55" i="9"/>
  <c r="F43" i="11" s="1"/>
  <c r="M56" i="9"/>
  <c r="E57" i="9"/>
  <c r="F57" i="9" s="1"/>
  <c r="G57" i="9" s="1"/>
  <c r="U65" i="9"/>
  <c r="I53" i="11"/>
  <c r="V65" i="9"/>
  <c r="Z65" i="9" s="1"/>
  <c r="I45" i="10" s="1"/>
  <c r="K45" i="10" s="1"/>
  <c r="T65" i="9"/>
  <c r="S66" i="9"/>
  <c r="J57" i="9" l="1"/>
  <c r="P57" i="9" s="1"/>
  <c r="Q57" i="9" s="1"/>
  <c r="Y57" i="9" s="1"/>
  <c r="E37" i="10" s="1"/>
  <c r="H37" i="10" s="1"/>
  <c r="AI127" i="8"/>
  <c r="AF127" i="8"/>
  <c r="AH127" i="8"/>
  <c r="AE127" i="8"/>
  <c r="AG127" i="8"/>
  <c r="AB127" i="8"/>
  <c r="AC127" i="8"/>
  <c r="AM127" i="8" s="1"/>
  <c r="AT127" i="8" s="1"/>
  <c r="C52" i="12" s="1"/>
  <c r="AD127" i="8"/>
  <c r="AA128" i="8"/>
  <c r="E43" i="11"/>
  <c r="C43" i="11"/>
  <c r="B43" i="11"/>
  <c r="G42" i="11"/>
  <c r="K42" i="11" s="1"/>
  <c r="D39" i="12" s="1"/>
  <c r="E39" i="12" s="1"/>
  <c r="E58" i="9"/>
  <c r="F58" i="9" s="1"/>
  <c r="G58" i="9" s="1"/>
  <c r="M57" i="9"/>
  <c r="X56" i="9"/>
  <c r="B36" i="10" s="1"/>
  <c r="D36" i="10" s="1"/>
  <c r="L36" i="10" s="1"/>
  <c r="B41" i="12" s="1"/>
  <c r="T66" i="9"/>
  <c r="I54" i="11"/>
  <c r="V66" i="9"/>
  <c r="Z66" i="9" s="1"/>
  <c r="I46" i="10" s="1"/>
  <c r="K46" i="10" s="1"/>
  <c r="U66" i="9"/>
  <c r="S67" i="9"/>
  <c r="N56" i="9"/>
  <c r="D44" i="11"/>
  <c r="H56" i="9"/>
  <c r="K56" i="9"/>
  <c r="F44" i="11" s="1"/>
  <c r="AB128" i="8" l="1"/>
  <c r="AC128" i="8"/>
  <c r="AM128" i="8" s="1"/>
  <c r="AT128" i="8" s="1"/>
  <c r="C53" i="12" s="1"/>
  <c r="AI128" i="8"/>
  <c r="AD128" i="8"/>
  <c r="AH128" i="8"/>
  <c r="AF128" i="8"/>
  <c r="AG128" i="8"/>
  <c r="AE128" i="8"/>
  <c r="AA129" i="8"/>
  <c r="J58" i="9"/>
  <c r="P58" i="9" s="1"/>
  <c r="Q58" i="9" s="1"/>
  <c r="Y58" i="9" s="1"/>
  <c r="E38" i="10" s="1"/>
  <c r="H38" i="10" s="1"/>
  <c r="G43" i="11"/>
  <c r="K43" i="11" s="1"/>
  <c r="D40" i="12" s="1"/>
  <c r="E40" i="12" s="1"/>
  <c r="D45" i="11"/>
  <c r="N57" i="9"/>
  <c r="H57" i="9"/>
  <c r="K57" i="9"/>
  <c r="F45" i="11" s="1"/>
  <c r="E44" i="11"/>
  <c r="C44" i="11"/>
  <c r="B44" i="11"/>
  <c r="I55" i="11"/>
  <c r="U67" i="9"/>
  <c r="V67" i="9"/>
  <c r="Z67" i="9" s="1"/>
  <c r="I47" i="10" s="1"/>
  <c r="K47" i="10" s="1"/>
  <c r="T67" i="9"/>
  <c r="S68" i="9"/>
  <c r="E59" i="9"/>
  <c r="M58" i="9"/>
  <c r="X57" i="9"/>
  <c r="B37" i="10" s="1"/>
  <c r="D37" i="10" s="1"/>
  <c r="L37" i="10" s="1"/>
  <c r="B42" i="12" s="1"/>
  <c r="N58" i="9" l="1"/>
  <c r="D46" i="11"/>
  <c r="H58" i="9"/>
  <c r="K58" i="9"/>
  <c r="F46" i="11" s="1"/>
  <c r="M59" i="9"/>
  <c r="E60" i="9"/>
  <c r="B45" i="11"/>
  <c r="E45" i="11"/>
  <c r="C45" i="11"/>
  <c r="X58" i="9"/>
  <c r="B38" i="10" s="1"/>
  <c r="D38" i="10" s="1"/>
  <c r="L38" i="10" s="1"/>
  <c r="B43" i="12" s="1"/>
  <c r="V68" i="9"/>
  <c r="Z68" i="9" s="1"/>
  <c r="I48" i="10" s="1"/>
  <c r="K48" i="10" s="1"/>
  <c r="U68" i="9"/>
  <c r="T68" i="9"/>
  <c r="I56" i="11"/>
  <c r="S69" i="9"/>
  <c r="AF129" i="8"/>
  <c r="AC129" i="8"/>
  <c r="AM129" i="8" s="1"/>
  <c r="AT129" i="8" s="1"/>
  <c r="C54" i="12" s="1"/>
  <c r="AI129" i="8"/>
  <c r="AE129" i="8"/>
  <c r="AD129" i="8"/>
  <c r="AH129" i="8"/>
  <c r="AB129" i="8"/>
  <c r="AG129" i="8"/>
  <c r="AA130" i="8"/>
  <c r="F59" i="9"/>
  <c r="G59" i="9" s="1"/>
  <c r="G44" i="11"/>
  <c r="K44" i="11" s="1"/>
  <c r="D41" i="12" s="1"/>
  <c r="E41" i="12" s="1"/>
  <c r="J59" i="9" l="1"/>
  <c r="P59" i="9" s="1"/>
  <c r="Q59" i="9" s="1"/>
  <c r="Y59" i="9" s="1"/>
  <c r="E39" i="10" s="1"/>
  <c r="H39" i="10" s="1"/>
  <c r="M60" i="9"/>
  <c r="E61" i="9"/>
  <c r="F61" i="9" s="1"/>
  <c r="G61" i="9" s="1"/>
  <c r="AI130" i="8"/>
  <c r="AI90" i="8" s="1"/>
  <c r="AC130" i="8"/>
  <c r="AE130" i="8"/>
  <c r="AE90" i="8" s="1"/>
  <c r="AB130" i="8"/>
  <c r="AB90" i="8" s="1"/>
  <c r="AD130" i="8"/>
  <c r="AD90" i="8" s="1"/>
  <c r="AH130" i="8"/>
  <c r="AH90" i="8" s="1"/>
  <c r="AF130" i="8"/>
  <c r="AF90" i="8" s="1"/>
  <c r="AG130" i="8"/>
  <c r="AG90" i="8" s="1"/>
  <c r="D47" i="11"/>
  <c r="N59" i="9"/>
  <c r="H59" i="9"/>
  <c r="C46" i="11"/>
  <c r="E46" i="11"/>
  <c r="B46" i="11"/>
  <c r="V69" i="9"/>
  <c r="Z69" i="9" s="1"/>
  <c r="I49" i="10" s="1"/>
  <c r="K49" i="10" s="1"/>
  <c r="I57" i="11"/>
  <c r="T69" i="9"/>
  <c r="U69" i="9"/>
  <c r="S70" i="9"/>
  <c r="G45" i="11"/>
  <c r="K45" i="11" s="1"/>
  <c r="D42" i="12" s="1"/>
  <c r="E42" i="12" s="1"/>
  <c r="F60" i="9"/>
  <c r="G60" i="9" s="1"/>
  <c r="G46" i="11" l="1"/>
  <c r="K46" i="11" s="1"/>
  <c r="D43" i="12" s="1"/>
  <c r="E43" i="12" s="1"/>
  <c r="B47" i="11"/>
  <c r="E47" i="11"/>
  <c r="C47" i="11"/>
  <c r="AM130" i="8"/>
  <c r="AC90" i="8"/>
  <c r="N60" i="9"/>
  <c r="H60" i="9"/>
  <c r="D48" i="11"/>
  <c r="J60" i="9"/>
  <c r="P60" i="9" s="1"/>
  <c r="Q60" i="9" s="1"/>
  <c r="Y60" i="9" s="1"/>
  <c r="E40" i="10" s="1"/>
  <c r="H40" i="10" s="1"/>
  <c r="J61" i="9"/>
  <c r="P61" i="9" s="1"/>
  <c r="Q61" i="9" s="1"/>
  <c r="Y61" i="9" s="1"/>
  <c r="E41" i="10" s="1"/>
  <c r="H41" i="10" s="1"/>
  <c r="K59" i="9"/>
  <c r="F47" i="11" s="1"/>
  <c r="X59" i="9"/>
  <c r="B39" i="10" s="1"/>
  <c r="D39" i="10" s="1"/>
  <c r="L39" i="10" s="1"/>
  <c r="B44" i="12" s="1"/>
  <c r="V70" i="9"/>
  <c r="I58" i="11"/>
  <c r="I18" i="11" s="1"/>
  <c r="T70" i="9"/>
  <c r="T29" i="9" s="1"/>
  <c r="U70" i="9"/>
  <c r="U29" i="9" s="1"/>
  <c r="M61" i="9"/>
  <c r="E62" i="9"/>
  <c r="X60" i="9" l="1"/>
  <c r="B40" i="10" s="1"/>
  <c r="D40" i="10" s="1"/>
  <c r="L40" i="10" s="1"/>
  <c r="B45" i="12" s="1"/>
  <c r="K60" i="9"/>
  <c r="F48" i="11" s="1"/>
  <c r="C48" i="11"/>
  <c r="E48" i="11"/>
  <c r="B48" i="11"/>
  <c r="G47" i="11"/>
  <c r="K47" i="11" s="1"/>
  <c r="D44" i="12" s="1"/>
  <c r="E44" i="12" s="1"/>
  <c r="F62" i="9"/>
  <c r="G62" i="9" s="1"/>
  <c r="E63" i="9"/>
  <c r="F63" i="9" s="1"/>
  <c r="G63" i="9" s="1"/>
  <c r="M62" i="9"/>
  <c r="H61" i="9"/>
  <c r="D49" i="11"/>
  <c r="N61" i="9"/>
  <c r="Z70" i="9"/>
  <c r="V29" i="9"/>
  <c r="K61" i="9"/>
  <c r="F49" i="11" s="1"/>
  <c r="X61" i="9"/>
  <c r="B41" i="10" s="1"/>
  <c r="D41" i="10" s="1"/>
  <c r="L41" i="10" s="1"/>
  <c r="B46" i="12" s="1"/>
  <c r="AM90" i="8"/>
  <c r="AT130" i="8"/>
  <c r="C55" i="12" s="1"/>
  <c r="M63" i="9" l="1"/>
  <c r="E64" i="9"/>
  <c r="F64" i="9" s="1"/>
  <c r="G64" i="9" s="1"/>
  <c r="J62" i="9"/>
  <c r="K62" i="9" s="1"/>
  <c r="F50" i="11" s="1"/>
  <c r="I50" i="10"/>
  <c r="K50" i="10" s="1"/>
  <c r="Z29" i="9"/>
  <c r="J63" i="9"/>
  <c r="C49" i="11"/>
  <c r="B49" i="11"/>
  <c r="E49" i="11"/>
  <c r="N62" i="9"/>
  <c r="H62" i="9"/>
  <c r="D50" i="11"/>
  <c r="G48" i="11"/>
  <c r="K48" i="11" s="1"/>
  <c r="D45" i="12" s="1"/>
  <c r="E45" i="12" s="1"/>
  <c r="G49" i="11" l="1"/>
  <c r="K49" i="11" s="1"/>
  <c r="D46" i="12" s="1"/>
  <c r="E46" i="12" s="1"/>
  <c r="J64" i="9"/>
  <c r="B50" i="11"/>
  <c r="C50" i="11"/>
  <c r="E50" i="11"/>
  <c r="E65" i="9"/>
  <c r="F65" i="9" s="1"/>
  <c r="M64" i="9"/>
  <c r="P63" i="9"/>
  <c r="Q63" i="9" s="1"/>
  <c r="Y63" i="9" s="1"/>
  <c r="E43" i="10" s="1"/>
  <c r="H43" i="10" s="1"/>
  <c r="P62" i="9"/>
  <c r="Q62" i="9" s="1"/>
  <c r="Y62" i="9" s="1"/>
  <c r="E42" i="10" s="1"/>
  <c r="H42" i="10" s="1"/>
  <c r="N63" i="9"/>
  <c r="K63" i="9"/>
  <c r="F51" i="11" s="1"/>
  <c r="D51" i="11"/>
  <c r="H63" i="9"/>
  <c r="G65" i="9" l="1"/>
  <c r="X62" i="9"/>
  <c r="B42" i="10" s="1"/>
  <c r="D42" i="10" s="1"/>
  <c r="L42" i="10" s="1"/>
  <c r="B47" i="12" s="1"/>
  <c r="E51" i="11"/>
  <c r="B51" i="11"/>
  <c r="C51" i="11"/>
  <c r="K64" i="9"/>
  <c r="D52" i="11"/>
  <c r="H64" i="9"/>
  <c r="N64" i="9"/>
  <c r="G50" i="11"/>
  <c r="K50" i="11" s="1"/>
  <c r="D47" i="12" s="1"/>
  <c r="X63" i="9"/>
  <c r="B43" i="10" s="1"/>
  <c r="D43" i="10" s="1"/>
  <c r="L43" i="10" s="1"/>
  <c r="B48" i="12" s="1"/>
  <c r="M65" i="9"/>
  <c r="E66" i="9"/>
  <c r="F66" i="9" s="1"/>
  <c r="P64" i="9"/>
  <c r="Q64" i="9" s="1"/>
  <c r="Y64" i="9" s="1"/>
  <c r="E44" i="10" s="1"/>
  <c r="H44" i="10" s="1"/>
  <c r="E47" i="12" l="1"/>
  <c r="G66" i="9"/>
  <c r="H65" i="9"/>
  <c r="D53" i="11"/>
  <c r="N65" i="9"/>
  <c r="C52" i="11"/>
  <c r="E52" i="11"/>
  <c r="B52" i="11"/>
  <c r="G51" i="11"/>
  <c r="J65" i="9"/>
  <c r="K65" i="9" s="1"/>
  <c r="F53" i="11" s="1"/>
  <c r="X64" i="9"/>
  <c r="B44" i="10" s="1"/>
  <c r="D44" i="10" s="1"/>
  <c r="L44" i="10" s="1"/>
  <c r="B49" i="12" s="1"/>
  <c r="M66" i="9"/>
  <c r="E67" i="9"/>
  <c r="F67" i="9" s="1"/>
  <c r="G67" i="9" s="1"/>
  <c r="F52" i="11"/>
  <c r="K66" i="9" l="1"/>
  <c r="N66" i="9"/>
  <c r="H66" i="9"/>
  <c r="D54" i="11"/>
  <c r="K51" i="11"/>
  <c r="D48" i="12" s="1"/>
  <c r="E48" i="12" s="1"/>
  <c r="J67" i="9"/>
  <c r="P67" i="9" s="1"/>
  <c r="Q67" i="9" s="1"/>
  <c r="Y67" i="9" s="1"/>
  <c r="E47" i="10" s="1"/>
  <c r="H47" i="10" s="1"/>
  <c r="G52" i="11"/>
  <c r="E53" i="11"/>
  <c r="B53" i="11"/>
  <c r="C53" i="11"/>
  <c r="E68" i="9"/>
  <c r="M67" i="9"/>
  <c r="P65" i="9"/>
  <c r="J66" i="9"/>
  <c r="P66" i="9" s="1"/>
  <c r="Q66" i="9" s="1"/>
  <c r="Y66" i="9" s="1"/>
  <c r="E46" i="10" s="1"/>
  <c r="H46" i="10" s="1"/>
  <c r="H67" i="9" l="1"/>
  <c r="D55" i="11"/>
  <c r="N67" i="9"/>
  <c r="K67" i="9"/>
  <c r="F55" i="11" s="1"/>
  <c r="G53" i="11"/>
  <c r="X66" i="9"/>
  <c r="B46" i="10" s="1"/>
  <c r="D46" i="10" s="1"/>
  <c r="L46" i="10" s="1"/>
  <c r="B51" i="12" s="1"/>
  <c r="M68" i="9"/>
  <c r="E69" i="9"/>
  <c r="F69" i="9" s="1"/>
  <c r="G69" i="9" s="1"/>
  <c r="X67" i="9"/>
  <c r="B47" i="10" s="1"/>
  <c r="D47" i="10" s="1"/>
  <c r="L47" i="10" s="1"/>
  <c r="B52" i="12" s="1"/>
  <c r="E54" i="11"/>
  <c r="B54" i="11"/>
  <c r="C54" i="11"/>
  <c r="Q65" i="9"/>
  <c r="F68" i="9"/>
  <c r="K52" i="11"/>
  <c r="X65" i="9"/>
  <c r="F54" i="11"/>
  <c r="J69" i="9" l="1"/>
  <c r="P69" i="9" s="1"/>
  <c r="Q69" i="9" s="1"/>
  <c r="Y69" i="9" s="1"/>
  <c r="E49" i="10" s="1"/>
  <c r="H49" i="10" s="1"/>
  <c r="D49" i="12"/>
  <c r="E49" i="12" s="1"/>
  <c r="K68" i="9"/>
  <c r="D56" i="11"/>
  <c r="N68" i="9"/>
  <c r="H68" i="9"/>
  <c r="E55" i="11"/>
  <c r="B55" i="11"/>
  <c r="C55" i="11"/>
  <c r="B45" i="10"/>
  <c r="G68" i="9"/>
  <c r="G54" i="11"/>
  <c r="K53" i="11"/>
  <c r="D50" i="12" s="1"/>
  <c r="Y65" i="9"/>
  <c r="M69" i="9"/>
  <c r="E70" i="9"/>
  <c r="M70" i="9" s="1"/>
  <c r="X69" i="9" l="1"/>
  <c r="B49" i="10" s="1"/>
  <c r="D49" i="10" s="1"/>
  <c r="L49" i="10" s="1"/>
  <c r="B54" i="12" s="1"/>
  <c r="H70" i="9"/>
  <c r="N70" i="9"/>
  <c r="K70" i="9"/>
  <c r="F58" i="11" s="1"/>
  <c r="D58" i="11"/>
  <c r="D57" i="11"/>
  <c r="N69" i="9"/>
  <c r="H69" i="9"/>
  <c r="K69" i="9"/>
  <c r="F57" i="11" s="1"/>
  <c r="J68" i="9"/>
  <c r="P68" i="9" s="1"/>
  <c r="G55" i="11"/>
  <c r="F56" i="11"/>
  <c r="F70" i="9"/>
  <c r="E45" i="10"/>
  <c r="K54" i="11"/>
  <c r="D51" i="12" s="1"/>
  <c r="E51" i="12" s="1"/>
  <c r="S54" i="11"/>
  <c r="E47" i="13" s="1"/>
  <c r="D45" i="10"/>
  <c r="B56" i="11"/>
  <c r="E56" i="11"/>
  <c r="C56" i="11"/>
  <c r="K68" i="8" l="1"/>
  <c r="J67" i="8" s="1"/>
  <c r="J69" i="8" s="1"/>
  <c r="F18" i="11"/>
  <c r="G56" i="11"/>
  <c r="H45" i="10"/>
  <c r="S55" i="11"/>
  <c r="E48" i="13" s="1"/>
  <c r="K55" i="11"/>
  <c r="G70" i="9"/>
  <c r="B58" i="11" s="1"/>
  <c r="F29" i="9"/>
  <c r="Q68" i="9"/>
  <c r="B57" i="11"/>
  <c r="C57" i="11"/>
  <c r="E57" i="11"/>
  <c r="E58" i="11"/>
  <c r="C58" i="11"/>
  <c r="X68" i="9"/>
  <c r="J70" i="8" l="1"/>
  <c r="B77" i="8" s="1"/>
  <c r="G58" i="11"/>
  <c r="S58" i="11" s="1"/>
  <c r="E51" i="13" s="1"/>
  <c r="B18" i="11"/>
  <c r="E18" i="11"/>
  <c r="B48" i="10"/>
  <c r="Y68" i="9"/>
  <c r="J70" i="9"/>
  <c r="J29" i="9" s="1"/>
  <c r="G29" i="9"/>
  <c r="L45" i="10"/>
  <c r="D52" i="12"/>
  <c r="E52" i="12" s="1"/>
  <c r="C18" i="11"/>
  <c r="G57" i="11"/>
  <c r="S56" i="11"/>
  <c r="E49" i="13" s="1"/>
  <c r="K56" i="11"/>
  <c r="D53" i="12" s="1"/>
  <c r="P77" i="8" l="1"/>
  <c r="B78" i="8"/>
  <c r="B80" i="8" s="1"/>
  <c r="N77" i="8"/>
  <c r="O77" i="8"/>
  <c r="G18" i="11"/>
  <c r="K58" i="11"/>
  <c r="D55" i="12" s="1"/>
  <c r="P70" i="9"/>
  <c r="P29" i="9" s="1"/>
  <c r="K57" i="11"/>
  <c r="D54" i="12" s="1"/>
  <c r="E54" i="12" s="1"/>
  <c r="S57" i="11"/>
  <c r="E50" i="13" s="1"/>
  <c r="E48" i="10"/>
  <c r="B50" i="12"/>
  <c r="D48" i="10"/>
  <c r="V77" i="8" l="1"/>
  <c r="W77" i="8"/>
  <c r="U93" i="8" s="1"/>
  <c r="X70" i="9"/>
  <c r="B50" i="10" s="1"/>
  <c r="Q70" i="9"/>
  <c r="Y70" i="9" s="1"/>
  <c r="D14" i="12"/>
  <c r="K18" i="11"/>
  <c r="U94" i="8"/>
  <c r="E50" i="12"/>
  <c r="H48" i="10"/>
  <c r="U95" i="8"/>
  <c r="AP93" i="8" l="1"/>
  <c r="V93" i="8"/>
  <c r="AQ93" i="8" s="1"/>
  <c r="U96" i="8"/>
  <c r="V96" i="8" s="1"/>
  <c r="AQ96" i="8" s="1"/>
  <c r="U92" i="8"/>
  <c r="Z77" i="8"/>
  <c r="U98" i="8"/>
  <c r="U97" i="8"/>
  <c r="AP97" i="8" s="1"/>
  <c r="X29" i="9"/>
  <c r="Q29" i="9"/>
  <c r="D50" i="10"/>
  <c r="D8" i="10" s="1"/>
  <c r="B8" i="10"/>
  <c r="V95" i="8"/>
  <c r="AQ95" i="8" s="1"/>
  <c r="AP95" i="8"/>
  <c r="L48" i="10"/>
  <c r="E50" i="10"/>
  <c r="Y29" i="9"/>
  <c r="AP94" i="8"/>
  <c r="V94" i="8"/>
  <c r="X94" i="8" s="1"/>
  <c r="X93" i="8" l="1"/>
  <c r="AS93" i="8" s="1"/>
  <c r="AT93" i="8" s="1"/>
  <c r="C18" i="12" s="1"/>
  <c r="E18" i="12" s="1"/>
  <c r="AP92" i="8"/>
  <c r="V92" i="8"/>
  <c r="AQ92" i="8" s="1"/>
  <c r="AP96" i="8"/>
  <c r="AP98" i="8"/>
  <c r="V98" i="8"/>
  <c r="AQ98" i="8" s="1"/>
  <c r="U90" i="8"/>
  <c r="V97" i="8"/>
  <c r="AQ97" i="8" s="1"/>
  <c r="X96" i="8"/>
  <c r="AS96" i="8" s="1"/>
  <c r="X95" i="8"/>
  <c r="AS95" i="8" s="1"/>
  <c r="AT95" i="8" s="1"/>
  <c r="C20" i="12" s="1"/>
  <c r="E20" i="12" s="1"/>
  <c r="Y94" i="8"/>
  <c r="B53" i="12"/>
  <c r="AS94" i="8"/>
  <c r="AQ94" i="8"/>
  <c r="H50" i="10"/>
  <c r="E8" i="10"/>
  <c r="Y93" i="8" l="1"/>
  <c r="X92" i="8"/>
  <c r="AS92" i="8" s="1"/>
  <c r="AT92" i="8" s="1"/>
  <c r="C17" i="12" s="1"/>
  <c r="E17" i="12" s="1"/>
  <c r="F17" i="12" s="1"/>
  <c r="F18" i="12" s="1"/>
  <c r="AT96" i="8"/>
  <c r="C21" i="12" s="1"/>
  <c r="E21" i="12" s="1"/>
  <c r="AP90" i="8"/>
  <c r="AQ90" i="8"/>
  <c r="X98" i="8"/>
  <c r="AS98" i="8" s="1"/>
  <c r="AT98" i="8" s="1"/>
  <c r="C23" i="12" s="1"/>
  <c r="E23" i="12" s="1"/>
  <c r="V90" i="8"/>
  <c r="X97" i="8"/>
  <c r="AS97" i="8" s="1"/>
  <c r="AT97" i="8" s="1"/>
  <c r="C22" i="12" s="1"/>
  <c r="E22" i="12" s="1"/>
  <c r="Y96" i="8"/>
  <c r="Y95" i="8"/>
  <c r="L50" i="10"/>
  <c r="H8" i="10"/>
  <c r="E53" i="12"/>
  <c r="AT94" i="8"/>
  <c r="Y92" i="8" l="1"/>
  <c r="X90" i="8"/>
  <c r="Y97" i="8"/>
  <c r="AS90" i="8"/>
  <c r="Y98" i="8"/>
  <c r="C19" i="12"/>
  <c r="AT90" i="8"/>
  <c r="B55" i="12"/>
  <c r="L8" i="10"/>
  <c r="Y90" i="8" l="1"/>
  <c r="E55" i="12"/>
  <c r="B14" i="12"/>
  <c r="C14" i="12"/>
  <c r="E19" i="12"/>
  <c r="F19" i="12" l="1"/>
  <c r="E14" i="12"/>
  <c r="F20" i="12" l="1"/>
  <c r="F21" i="12" s="1"/>
  <c r="F22" i="12" s="1"/>
  <c r="F23" i="12" s="1"/>
  <c r="F24" i="12" s="1"/>
  <c r="F25" i="12" s="1"/>
  <c r="F26" i="12" s="1"/>
  <c r="F27" i="12" s="1"/>
  <c r="F28" i="12" s="1"/>
  <c r="F29" i="12" s="1"/>
  <c r="F30" i="12" s="1"/>
  <c r="F31" i="12" s="1"/>
  <c r="F32" i="12" s="1"/>
  <c r="F33" i="12" s="1"/>
  <c r="F34" i="12" s="1"/>
  <c r="F35" i="12" s="1"/>
  <c r="F36" i="12" s="1"/>
  <c r="F37" i="12" s="1"/>
  <c r="F38" i="12" s="1"/>
  <c r="F39" i="12" s="1"/>
  <c r="F40" i="12" s="1"/>
  <c r="F41" i="12" s="1"/>
  <c r="F42" i="12" s="1"/>
  <c r="F43" i="12" s="1"/>
  <c r="F44" i="12" s="1"/>
  <c r="F45" i="12" s="1"/>
  <c r="F46" i="12" s="1"/>
  <c r="F47" i="12" s="1"/>
  <c r="F48" i="12" s="1"/>
  <c r="F49" i="12" s="1"/>
  <c r="F50" i="12" s="1"/>
  <c r="F51" i="12" s="1"/>
  <c r="F52" i="12" s="1"/>
  <c r="F53" i="12" s="1"/>
  <c r="F54" i="12" s="1"/>
  <c r="F55" i="12" s="1"/>
  <c r="B4" i="12" l="1"/>
  <c r="AL31" i="13" s="1"/>
  <c r="AG15" i="13" l="1"/>
  <c r="AL32" i="13"/>
  <c r="G32" i="12"/>
  <c r="K32" i="12" s="1"/>
  <c r="H26" i="22" s="1"/>
  <c r="H29" i="12"/>
  <c r="AX104" i="8" s="1"/>
  <c r="G11" i="14"/>
  <c r="K48" i="13"/>
  <c r="AG49" i="13"/>
  <c r="AG23" i="13"/>
  <c r="C4" i="12"/>
  <c r="C37" i="13" s="1"/>
  <c r="AL21" i="13"/>
  <c r="G35" i="12"/>
  <c r="F31" i="13" s="1"/>
  <c r="AG46" i="13"/>
  <c r="H21" i="12"/>
  <c r="AZ96" i="8" s="1"/>
  <c r="BS96" i="8" s="1"/>
  <c r="G34" i="12"/>
  <c r="F30" i="13" s="1"/>
  <c r="AL45" i="13"/>
  <c r="G33" i="12"/>
  <c r="H27" i="16" s="1"/>
  <c r="H37" i="12"/>
  <c r="O32" i="10" s="1"/>
  <c r="AG33" i="13"/>
  <c r="G37" i="12"/>
  <c r="H31" i="16" s="1"/>
  <c r="H16" i="12"/>
  <c r="AW91" i="8" s="1"/>
  <c r="AL49" i="13"/>
  <c r="AL27" i="13"/>
  <c r="K47" i="13"/>
  <c r="M47" i="13" s="1"/>
  <c r="AL46" i="13"/>
  <c r="K51" i="13"/>
  <c r="N51" i="13" s="1"/>
  <c r="G27" i="12"/>
  <c r="K27" i="12" s="1"/>
  <c r="H21" i="22" s="1"/>
  <c r="G36" i="12"/>
  <c r="H30" i="16" s="1"/>
  <c r="B6" i="12"/>
  <c r="G17" i="12" s="1"/>
  <c r="K17" i="12" s="1"/>
  <c r="H11" i="22" s="1"/>
  <c r="H40" i="12"/>
  <c r="P35" i="10" s="1"/>
  <c r="AL50" i="13"/>
  <c r="H18" i="12"/>
  <c r="AM33" i="9" s="1"/>
  <c r="AG24" i="13"/>
  <c r="H31" i="12"/>
  <c r="AX106" i="8" s="1"/>
  <c r="AG31" i="13"/>
  <c r="G23" i="12"/>
  <c r="H17" i="16" s="1"/>
  <c r="AG30" i="13"/>
  <c r="AL23" i="13"/>
  <c r="H39" i="12"/>
  <c r="BA114" i="8" s="1"/>
  <c r="BT114" i="8" s="1"/>
  <c r="AL33" i="13"/>
  <c r="G44" i="12"/>
  <c r="F40" i="13" s="1"/>
  <c r="AL26" i="13"/>
  <c r="AL19" i="13"/>
  <c r="H43" i="12"/>
  <c r="BC118" i="8" s="1"/>
  <c r="BV118" i="8" s="1"/>
  <c r="G54" i="12"/>
  <c r="F50" i="13" s="1"/>
  <c r="G28" i="12"/>
  <c r="K28" i="12" s="1"/>
  <c r="H22" i="22" s="1"/>
  <c r="H53" i="12"/>
  <c r="BD128" i="8" s="1"/>
  <c r="BW128" i="8" s="1"/>
  <c r="AG51" i="13"/>
  <c r="H36" i="12"/>
  <c r="AM51" i="9" s="1"/>
  <c r="AG45" i="13"/>
  <c r="H52" i="12"/>
  <c r="BD127" i="8" s="1"/>
  <c r="BW127" i="8" s="1"/>
  <c r="AG35" i="13"/>
  <c r="G20" i="12"/>
  <c r="H14" i="16" s="1"/>
  <c r="H44" i="12"/>
  <c r="M47" i="11" s="1"/>
  <c r="AG18" i="13"/>
  <c r="H33" i="12"/>
  <c r="BC108" i="8" s="1"/>
  <c r="BV108" i="8" s="1"/>
  <c r="AL20" i="13"/>
  <c r="H27" i="12"/>
  <c r="BC102" i="8" s="1"/>
  <c r="BV102" i="8" s="1"/>
  <c r="G16" i="12"/>
  <c r="H10" i="16" s="1"/>
  <c r="G31" i="12"/>
  <c r="F27" i="13" s="1"/>
  <c r="H55" i="12"/>
  <c r="AM70" i="9" s="1"/>
  <c r="H49" i="12"/>
  <c r="BD124" i="8" s="1"/>
  <c r="BW124" i="8" s="1"/>
  <c r="K50" i="13"/>
  <c r="N50" i="13" s="1"/>
  <c r="A11" i="16"/>
  <c r="A12" i="16" s="1"/>
  <c r="A13" i="16" s="1"/>
  <c r="A14" i="16" s="1"/>
  <c r="A15" i="16" s="1"/>
  <c r="A16" i="16" s="1"/>
  <c r="A17" i="16" s="1"/>
  <c r="A18" i="16" s="1"/>
  <c r="A19" i="16" s="1"/>
  <c r="A20" i="16" s="1"/>
  <c r="A21" i="16" s="1"/>
  <c r="A22" i="16" s="1"/>
  <c r="A23" i="16" s="1"/>
  <c r="A24" i="16" s="1"/>
  <c r="A25" i="16" s="1"/>
  <c r="A26" i="16" s="1"/>
  <c r="A27" i="16" s="1"/>
  <c r="A28" i="16" s="1"/>
  <c r="A29" i="16" s="1"/>
  <c r="A30" i="16" s="1"/>
  <c r="A31" i="16" s="1"/>
  <c r="A32" i="16" s="1"/>
  <c r="A33" i="16" s="1"/>
  <c r="A34" i="16" s="1"/>
  <c r="A35" i="16" s="1"/>
  <c r="A36" i="16" s="1"/>
  <c r="A37" i="16" s="1"/>
  <c r="A38" i="16" s="1"/>
  <c r="A39" i="16" s="1"/>
  <c r="A40" i="16" s="1"/>
  <c r="A41" i="16" s="1"/>
  <c r="A42" i="16" s="1"/>
  <c r="A43" i="16" s="1"/>
  <c r="A44" i="16" s="1"/>
  <c r="A45" i="16" s="1"/>
  <c r="A46" i="16" s="1"/>
  <c r="A47" i="16" s="1"/>
  <c r="A48" i="16" s="1"/>
  <c r="A49" i="16" s="1"/>
  <c r="A50" i="16" s="1"/>
  <c r="H32" i="12"/>
  <c r="BC107" i="8" s="1"/>
  <c r="BV107" i="8" s="1"/>
  <c r="G10" i="15"/>
  <c r="F11" i="15" s="1"/>
  <c r="G11" i="15" s="1"/>
  <c r="B7" i="12"/>
  <c r="K5" i="15" s="1"/>
  <c r="K10" i="15" s="1"/>
  <c r="J11" i="15" s="1"/>
  <c r="K11" i="15" s="1"/>
  <c r="J12" i="15" s="1"/>
  <c r="K12" i="15" s="1"/>
  <c r="J13" i="15" s="1"/>
  <c r="K13" i="15" s="1"/>
  <c r="J14" i="15" s="1"/>
  <c r="K14" i="15" s="1"/>
  <c r="J15" i="15" s="1"/>
  <c r="K15" i="15" s="1"/>
  <c r="J16" i="15" s="1"/>
  <c r="H28" i="12"/>
  <c r="AC43" i="9" s="1"/>
  <c r="AH43" i="9" s="1"/>
  <c r="G49" i="12"/>
  <c r="H26" i="12"/>
  <c r="AX101" i="8" s="1"/>
  <c r="AL29" i="13"/>
  <c r="H35" i="12"/>
  <c r="M38" i="11" s="1"/>
  <c r="AG29" i="13"/>
  <c r="AG25" i="13"/>
  <c r="G30" i="12"/>
  <c r="H24" i="16" s="1"/>
  <c r="AL12" i="13"/>
  <c r="AM12" i="13" s="1"/>
  <c r="L10" i="22" s="1"/>
  <c r="AL22" i="13"/>
  <c r="AL48" i="13"/>
  <c r="G24" i="12"/>
  <c r="H18" i="16" s="1"/>
  <c r="G29" i="12"/>
  <c r="K29" i="12" s="1"/>
  <c r="H23" i="22" s="1"/>
  <c r="AG17" i="13"/>
  <c r="AG12" i="13"/>
  <c r="A11" i="22"/>
  <c r="H34" i="12"/>
  <c r="AK49" i="9" s="1"/>
  <c r="G21" i="12"/>
  <c r="H15" i="16" s="1"/>
  <c r="AL35" i="13"/>
  <c r="AG47" i="13"/>
  <c r="H38" i="12"/>
  <c r="AK53" i="9" s="1"/>
  <c r="G25" i="12"/>
  <c r="H19" i="16" s="1"/>
  <c r="AG22" i="13"/>
  <c r="H17" i="12"/>
  <c r="O12" i="10" s="1"/>
  <c r="AG32" i="13"/>
  <c r="G22" i="12"/>
  <c r="F18" i="13" s="1"/>
  <c r="F19" i="5"/>
  <c r="H12" i="2" s="1"/>
  <c r="H30" i="12"/>
  <c r="BC105" i="8" s="1"/>
  <c r="BV105" i="8" s="1"/>
  <c r="G52" i="12"/>
  <c r="H46" i="16" s="1"/>
  <c r="AG28" i="13"/>
  <c r="H50" i="12"/>
  <c r="AD65" i="9" s="1"/>
  <c r="AI65" i="9" s="1"/>
  <c r="H47" i="12"/>
  <c r="M50" i="11" s="1"/>
  <c r="H22" i="12"/>
  <c r="P17" i="10" s="1"/>
  <c r="G18" i="12"/>
  <c r="H12" i="16" s="1"/>
  <c r="G53" i="12"/>
  <c r="AG14" i="13"/>
  <c r="G12" i="14"/>
  <c r="AG21" i="13"/>
  <c r="H41" i="12"/>
  <c r="M44" i="11" s="1"/>
  <c r="AL18" i="13"/>
  <c r="G51" i="12"/>
  <c r="K51" i="12" s="1"/>
  <c r="H45" i="22" s="1"/>
  <c r="K49" i="13"/>
  <c r="N49" i="13" s="1"/>
  <c r="AL24" i="13"/>
  <c r="AG50" i="13"/>
  <c r="H42" i="12"/>
  <c r="BB117" i="8" s="1"/>
  <c r="BU117" i="8" s="1"/>
  <c r="H25" i="12"/>
  <c r="AB40" i="9" s="1"/>
  <c r="AG40" i="9" s="1"/>
  <c r="G55" i="12"/>
  <c r="H49" i="16" s="1"/>
  <c r="AG26" i="13"/>
  <c r="AL28" i="13"/>
  <c r="H19" i="12"/>
  <c r="AZ94" i="8" s="1"/>
  <c r="BS94" i="8" s="1"/>
  <c r="AL25" i="13"/>
  <c r="AL47" i="13"/>
  <c r="H54" i="12"/>
  <c r="AZ129" i="8" s="1"/>
  <c r="BS129" i="8" s="1"/>
  <c r="H20" i="12"/>
  <c r="AL35" i="9" s="1"/>
  <c r="G19" i="12"/>
  <c r="F15" i="13" s="1"/>
  <c r="AL17" i="13"/>
  <c r="G50" i="12"/>
  <c r="H44" i="16" s="1"/>
  <c r="AL51" i="13"/>
  <c r="AG27" i="13"/>
  <c r="G26" i="12"/>
  <c r="AL30" i="13"/>
  <c r="H24" i="12"/>
  <c r="AC39" i="9" s="1"/>
  <c r="AH39" i="9" s="1"/>
  <c r="AG16" i="13"/>
  <c r="AG19" i="13"/>
  <c r="AG48" i="13"/>
  <c r="H45" i="12"/>
  <c r="AM60" i="9" s="1"/>
  <c r="H46" i="12"/>
  <c r="N41" i="10" s="1"/>
  <c r="AG20" i="13"/>
  <c r="H51" i="12"/>
  <c r="M54" i="11" s="1"/>
  <c r="G39" i="12"/>
  <c r="H33" i="16" s="1"/>
  <c r="H48" i="12"/>
  <c r="AW123" i="8" s="1"/>
  <c r="K45" i="13"/>
  <c r="M45" i="13" s="1"/>
  <c r="H23" i="12"/>
  <c r="BB98" i="8" s="1"/>
  <c r="BU98" i="8" s="1"/>
  <c r="AL14" i="13"/>
  <c r="K46" i="13"/>
  <c r="M46" i="13" s="1"/>
  <c r="AL15" i="13"/>
  <c r="AL16" i="13"/>
  <c r="AG13" i="13"/>
  <c r="G38" i="12" l="1"/>
  <c r="H32" i="16" s="1"/>
  <c r="G40" i="12"/>
  <c r="H34" i="16" s="1"/>
  <c r="G46" i="12"/>
  <c r="K46" i="12" s="1"/>
  <c r="H40" i="22" s="1"/>
  <c r="G41" i="12"/>
  <c r="K41" i="12" s="1"/>
  <c r="H35" i="22" s="1"/>
  <c r="G42" i="12"/>
  <c r="H36" i="16" s="1"/>
  <c r="G43" i="12"/>
  <c r="K43" i="12" s="1"/>
  <c r="H37" i="22" s="1"/>
  <c r="BQ11" i="22"/>
  <c r="AF11" i="22"/>
  <c r="C17" i="13"/>
  <c r="G48" i="12"/>
  <c r="H42" i="16" s="1"/>
  <c r="AD31" i="9"/>
  <c r="AI31" i="9" s="1"/>
  <c r="G47" i="12"/>
  <c r="C41" i="15" s="1"/>
  <c r="M29" i="11"/>
  <c r="I20" i="16" s="1"/>
  <c r="AZ107" i="8"/>
  <c r="BS107" i="8" s="1"/>
  <c r="H38" i="16"/>
  <c r="C31" i="13"/>
  <c r="AD70" i="9"/>
  <c r="AI70" i="9" s="1"/>
  <c r="AC58" i="9"/>
  <c r="AH58" i="9" s="1"/>
  <c r="BB110" i="8"/>
  <c r="BU110" i="8" s="1"/>
  <c r="F51" i="13"/>
  <c r="O14" i="10"/>
  <c r="C13" i="16" s="1"/>
  <c r="AD57" i="9"/>
  <c r="AI57" i="9" s="1"/>
  <c r="O23" i="10"/>
  <c r="C22" i="16" s="1"/>
  <c r="AD50" i="9"/>
  <c r="AI50" i="9" s="1"/>
  <c r="C14" i="13"/>
  <c r="H11" i="16"/>
  <c r="BD110" i="8"/>
  <c r="BW110" i="8" s="1"/>
  <c r="AL43" i="9"/>
  <c r="BD107" i="8"/>
  <c r="BW107" i="8" s="1"/>
  <c r="C29" i="13"/>
  <c r="K21" i="12"/>
  <c r="H15" i="22" s="1"/>
  <c r="F13" i="13"/>
  <c r="P40" i="10"/>
  <c r="D39" i="16" s="1"/>
  <c r="AZ110" i="8"/>
  <c r="BS110" i="8" s="1"/>
  <c r="AL50" i="9"/>
  <c r="AW103" i="8"/>
  <c r="BG103" i="8" s="1"/>
  <c r="P23" i="10"/>
  <c r="U23" i="10" s="1"/>
  <c r="D22" i="22" s="1"/>
  <c r="AC47" i="9"/>
  <c r="AH47" i="9" s="1"/>
  <c r="AY130" i="8"/>
  <c r="BR130" i="8" s="1"/>
  <c r="C48" i="13"/>
  <c r="C32" i="13"/>
  <c r="AX117" i="8"/>
  <c r="BQ117" i="8" s="1"/>
  <c r="AB50" i="9"/>
  <c r="AG50" i="9" s="1"/>
  <c r="M31" i="11"/>
  <c r="I22" i="16" s="1"/>
  <c r="BA130" i="8"/>
  <c r="G49" i="16" s="1"/>
  <c r="BC110" i="8"/>
  <c r="BV110" i="8" s="1"/>
  <c r="AC50" i="9"/>
  <c r="AH50" i="9" s="1"/>
  <c r="P30" i="10"/>
  <c r="U30" i="10" s="1"/>
  <c r="D29" i="22" s="1"/>
  <c r="AK43" i="9"/>
  <c r="AC70" i="9"/>
  <c r="AH70" i="9" s="1"/>
  <c r="N45" i="10"/>
  <c r="B44" i="16" s="1"/>
  <c r="C13" i="13"/>
  <c r="AW95" i="8"/>
  <c r="BP95" i="8" s="1"/>
  <c r="BD116" i="8"/>
  <c r="BW116" i="8" s="1"/>
  <c r="M50" i="13"/>
  <c r="M19" i="11"/>
  <c r="P19" i="11" s="1"/>
  <c r="O44" i="10"/>
  <c r="C43" i="16" s="1"/>
  <c r="BD121" i="8"/>
  <c r="BW121" i="8" s="1"/>
  <c r="M55" i="11"/>
  <c r="I46" i="16" s="1"/>
  <c r="AB42" i="9"/>
  <c r="AG42" i="9" s="1"/>
  <c r="N43" i="10"/>
  <c r="B42" i="16" s="1"/>
  <c r="AC62" i="9"/>
  <c r="AH62" i="9" s="1"/>
  <c r="N45" i="13"/>
  <c r="N47" i="13"/>
  <c r="L50" i="13"/>
  <c r="AY91" i="8"/>
  <c r="BR91" i="8" s="1"/>
  <c r="AC41" i="9"/>
  <c r="AH41" i="9" s="1"/>
  <c r="BB114" i="8"/>
  <c r="BU114" i="8" s="1"/>
  <c r="AK59" i="9"/>
  <c r="AB31" i="9"/>
  <c r="AG31" i="9" s="1"/>
  <c r="BC91" i="8"/>
  <c r="BV91" i="8" s="1"/>
  <c r="AZ101" i="8"/>
  <c r="BS101" i="8" s="1"/>
  <c r="F32" i="13"/>
  <c r="AK54" i="9"/>
  <c r="BA99" i="8"/>
  <c r="BT99" i="8" s="1"/>
  <c r="BC120" i="8"/>
  <c r="BV120" i="8" s="1"/>
  <c r="BD99" i="8"/>
  <c r="BW99" i="8" s="1"/>
  <c r="O40" i="10"/>
  <c r="T40" i="10" s="1"/>
  <c r="C39" i="22" s="1"/>
  <c r="BC94" i="8"/>
  <c r="BV94" i="8" s="1"/>
  <c r="AM48" i="9"/>
  <c r="N11" i="10"/>
  <c r="S11" i="10" s="1"/>
  <c r="AM31" i="9"/>
  <c r="L47" i="13"/>
  <c r="K55" i="12"/>
  <c r="H49" i="22" s="1"/>
  <c r="AD41" i="9"/>
  <c r="AI41" i="9" s="1"/>
  <c r="BA101" i="8"/>
  <c r="BT101" i="8" s="1"/>
  <c r="K34" i="12"/>
  <c r="H28" i="22" s="1"/>
  <c r="N15" i="10"/>
  <c r="S15" i="10" s="1"/>
  <c r="M42" i="11"/>
  <c r="C33" i="15" s="1"/>
  <c r="F24" i="13"/>
  <c r="BB116" i="8"/>
  <c r="G35" i="16" s="1"/>
  <c r="BB119" i="8"/>
  <c r="BU119" i="8" s="1"/>
  <c r="L45" i="13"/>
  <c r="K52" i="12"/>
  <c r="H46" i="22" s="1"/>
  <c r="X11" i="10"/>
  <c r="BA91" i="8"/>
  <c r="BT91" i="8" s="1"/>
  <c r="AK31" i="9"/>
  <c r="X21" i="10"/>
  <c r="AY101" i="8"/>
  <c r="BR101" i="8" s="1"/>
  <c r="H28" i="16"/>
  <c r="M23" i="11"/>
  <c r="C15" i="14" s="1"/>
  <c r="BC114" i="8"/>
  <c r="BV114" i="8" s="1"/>
  <c r="H26" i="16"/>
  <c r="AZ108" i="8"/>
  <c r="BS108" i="8" s="1"/>
  <c r="BB101" i="8"/>
  <c r="BU101" i="8" s="1"/>
  <c r="AL41" i="9"/>
  <c r="K36" i="12"/>
  <c r="H30" i="22" s="1"/>
  <c r="O15" i="10"/>
  <c r="T15" i="10" s="1"/>
  <c r="C14" i="22" s="1"/>
  <c r="BD95" i="8"/>
  <c r="BW95" i="8" s="1"/>
  <c r="AZ95" i="8"/>
  <c r="BS95" i="8" s="1"/>
  <c r="AB34" i="9"/>
  <c r="AG34" i="9" s="1"/>
  <c r="BB94" i="8"/>
  <c r="BU94" i="8" s="1"/>
  <c r="F25" i="13"/>
  <c r="AY114" i="8"/>
  <c r="BR114" i="8" s="1"/>
  <c r="AW114" i="8"/>
  <c r="BG114" i="8" s="1"/>
  <c r="AB54" i="9"/>
  <c r="AG54" i="9" s="1"/>
  <c r="N34" i="10"/>
  <c r="S34" i="10" s="1"/>
  <c r="AX114" i="8"/>
  <c r="BQ114" i="8" s="1"/>
  <c r="F28" i="13"/>
  <c r="AC56" i="9"/>
  <c r="AH56" i="9" s="1"/>
  <c r="O36" i="10"/>
  <c r="C35" i="16" s="1"/>
  <c r="H16" i="16"/>
  <c r="AK48" i="9"/>
  <c r="AC59" i="9"/>
  <c r="AH59" i="9" s="1"/>
  <c r="BC119" i="8"/>
  <c r="BV119" i="8" s="1"/>
  <c r="F48" i="13"/>
  <c r="BD91" i="8"/>
  <c r="BW91" i="8" s="1"/>
  <c r="AL31" i="9"/>
  <c r="O11" i="10"/>
  <c r="C10" i="16" s="1"/>
  <c r="P11" i="10"/>
  <c r="U11" i="10" s="1"/>
  <c r="AX91" i="8"/>
  <c r="BQ91" i="8" s="1"/>
  <c r="AW101" i="8"/>
  <c r="BP101" i="8" s="1"/>
  <c r="AK41" i="9"/>
  <c r="N21" i="10"/>
  <c r="B20" i="16" s="1"/>
  <c r="AM41" i="9"/>
  <c r="P21" i="10"/>
  <c r="D20" i="16" s="1"/>
  <c r="K5" i="14"/>
  <c r="K11" i="14" s="1"/>
  <c r="J12" i="14" s="1"/>
  <c r="K12" i="14" s="1"/>
  <c r="J13" i="14" s="1"/>
  <c r="K13" i="14" s="1"/>
  <c r="J14" i="14" s="1"/>
  <c r="K14" i="14" s="1"/>
  <c r="J15" i="14" s="1"/>
  <c r="K15" i="14" s="1"/>
  <c r="J16" i="14" s="1"/>
  <c r="K16" i="14" s="1"/>
  <c r="J17" i="14" s="1"/>
  <c r="K17" i="14" s="1"/>
  <c r="J18" i="14" s="1"/>
  <c r="K18" i="14" s="1"/>
  <c r="J19" i="14" s="1"/>
  <c r="K19" i="14" s="1"/>
  <c r="J20" i="14" s="1"/>
  <c r="K20" i="14" s="1"/>
  <c r="J21" i="14" s="1"/>
  <c r="K50" i="12"/>
  <c r="H44" i="22" s="1"/>
  <c r="X15" i="10"/>
  <c r="AM35" i="9"/>
  <c r="AW94" i="8"/>
  <c r="BP94" i="8" s="1"/>
  <c r="N14" i="10"/>
  <c r="S14" i="10" s="1"/>
  <c r="AD34" i="9"/>
  <c r="AI34" i="9" s="1"/>
  <c r="H23" i="16"/>
  <c r="O34" i="10"/>
  <c r="T34" i="10" s="1"/>
  <c r="C33" i="22" s="1"/>
  <c r="AD54" i="9"/>
  <c r="AI54" i="9" s="1"/>
  <c r="AM54" i="9"/>
  <c r="AZ114" i="8"/>
  <c r="BS114" i="8" s="1"/>
  <c r="BD114" i="8"/>
  <c r="BW114" i="8" s="1"/>
  <c r="H22" i="16"/>
  <c r="AX116" i="8"/>
  <c r="BQ116" i="8" s="1"/>
  <c r="K16" i="12"/>
  <c r="H10" i="22" s="1"/>
  <c r="AD48" i="9"/>
  <c r="AI48" i="9" s="1"/>
  <c r="AB48" i="9"/>
  <c r="AG48" i="9" s="1"/>
  <c r="AY119" i="8"/>
  <c r="BR119" i="8" s="1"/>
  <c r="AZ119" i="8"/>
  <c r="BS119" i="8" s="1"/>
  <c r="AZ91" i="8"/>
  <c r="BS91" i="8" s="1"/>
  <c r="BB91" i="8"/>
  <c r="AC31" i="9"/>
  <c r="AH31" i="9" s="1"/>
  <c r="BC101" i="8"/>
  <c r="BV101" i="8" s="1"/>
  <c r="BD101" i="8"/>
  <c r="BW101" i="8" s="1"/>
  <c r="AB41" i="9"/>
  <c r="AG41" i="9" s="1"/>
  <c r="O21" i="10"/>
  <c r="C20" i="16" s="1"/>
  <c r="F46" i="13"/>
  <c r="AK35" i="9"/>
  <c r="BB95" i="8"/>
  <c r="BU95" i="8" s="1"/>
  <c r="M22" i="11"/>
  <c r="AK34" i="9"/>
  <c r="AC54" i="9"/>
  <c r="AH54" i="9" s="1"/>
  <c r="AL54" i="9"/>
  <c r="X34" i="10"/>
  <c r="P34" i="10"/>
  <c r="U34" i="10" s="1"/>
  <c r="D33" i="22" s="1"/>
  <c r="X36" i="10"/>
  <c r="K22" i="12"/>
  <c r="H16" i="22" s="1"/>
  <c r="BA108" i="8"/>
  <c r="BT108" i="8" s="1"/>
  <c r="X39" i="10"/>
  <c r="AW119" i="8"/>
  <c r="BP119" i="8" s="1"/>
  <c r="F21" i="13"/>
  <c r="C24" i="13"/>
  <c r="C11" i="13"/>
  <c r="H11" i="13" s="1"/>
  <c r="I11" i="13" s="1"/>
  <c r="P15" i="10"/>
  <c r="D14" i="16" s="1"/>
  <c r="BC95" i="8"/>
  <c r="BV95" i="8" s="1"/>
  <c r="AC35" i="9"/>
  <c r="AH35" i="9" s="1"/>
  <c r="AB35" i="9"/>
  <c r="AG35" i="9" s="1"/>
  <c r="BA94" i="8"/>
  <c r="BT94" i="8" s="1"/>
  <c r="AX94" i="8"/>
  <c r="BQ94" i="8" s="1"/>
  <c r="AM34" i="9"/>
  <c r="AY94" i="8"/>
  <c r="BR94" i="8" s="1"/>
  <c r="AL34" i="9"/>
  <c r="N36" i="10"/>
  <c r="B35" i="16" s="1"/>
  <c r="P36" i="10"/>
  <c r="D35" i="16" s="1"/>
  <c r="BC116" i="8"/>
  <c r="BV116" i="8" s="1"/>
  <c r="BA116" i="8"/>
  <c r="BT116" i="8" s="1"/>
  <c r="F12" i="13"/>
  <c r="N28" i="10"/>
  <c r="S28" i="10" s="1"/>
  <c r="AL48" i="9"/>
  <c r="AC48" i="9"/>
  <c r="AH48" i="9" s="1"/>
  <c r="AW108" i="8"/>
  <c r="BP108" i="8" s="1"/>
  <c r="BA119" i="8"/>
  <c r="G38" i="16" s="1"/>
  <c r="AD59" i="9"/>
  <c r="AI59" i="9" s="1"/>
  <c r="P39" i="10"/>
  <c r="U39" i="10" s="1"/>
  <c r="D38" i="22" s="1"/>
  <c r="BA95" i="8"/>
  <c r="BT95" i="8" s="1"/>
  <c r="AX95" i="8"/>
  <c r="BQ95" i="8" s="1"/>
  <c r="AD35" i="9"/>
  <c r="AI35" i="9" s="1"/>
  <c r="AY95" i="8"/>
  <c r="BR95" i="8" s="1"/>
  <c r="AC34" i="9"/>
  <c r="AH34" i="9" s="1"/>
  <c r="X14" i="10"/>
  <c r="BD94" i="8"/>
  <c r="BW94" i="8" s="1"/>
  <c r="P14" i="10"/>
  <c r="AW116" i="8"/>
  <c r="BG116" i="8" s="1"/>
  <c r="AY116" i="8"/>
  <c r="BR116" i="8" s="1"/>
  <c r="AD56" i="9"/>
  <c r="AI56" i="9" s="1"/>
  <c r="AM56" i="9"/>
  <c r="BD108" i="8"/>
  <c r="BW108" i="8" s="1"/>
  <c r="BB108" i="8"/>
  <c r="BU108" i="8" s="1"/>
  <c r="AY108" i="8"/>
  <c r="BR108" i="8" s="1"/>
  <c r="M36" i="11"/>
  <c r="P36" i="11" s="1"/>
  <c r="I27" i="22" s="1"/>
  <c r="AX119" i="8"/>
  <c r="AM59" i="9"/>
  <c r="AB59" i="9"/>
  <c r="AG59" i="9" s="1"/>
  <c r="BC109" i="8"/>
  <c r="BV109" i="8" s="1"/>
  <c r="AW125" i="8"/>
  <c r="BP125" i="8" s="1"/>
  <c r="F19" i="13"/>
  <c r="BC98" i="8"/>
  <c r="BV98" i="8" s="1"/>
  <c r="BA93" i="8"/>
  <c r="BT93" i="8" s="1"/>
  <c r="N48" i="10"/>
  <c r="S48" i="10" s="1"/>
  <c r="AZ104" i="8"/>
  <c r="BS104" i="8" s="1"/>
  <c r="M51" i="13"/>
  <c r="BD126" i="8"/>
  <c r="BW126" i="8" s="1"/>
  <c r="M11" i="14"/>
  <c r="AB65" i="9"/>
  <c r="AG65" i="9" s="1"/>
  <c r="AZ118" i="8"/>
  <c r="BS118" i="8" s="1"/>
  <c r="M20" i="11"/>
  <c r="P20" i="11" s="1"/>
  <c r="I11" i="22" s="1"/>
  <c r="BD98" i="8"/>
  <c r="BW98" i="8" s="1"/>
  <c r="N29" i="10"/>
  <c r="S29" i="10" s="1"/>
  <c r="BB109" i="8"/>
  <c r="BU109" i="8" s="1"/>
  <c r="F26" i="13"/>
  <c r="AY93" i="8"/>
  <c r="BR93" i="8" s="1"/>
  <c r="AX128" i="8"/>
  <c r="BQ128" i="8" s="1"/>
  <c r="BB104" i="8"/>
  <c r="BU104" i="8" s="1"/>
  <c r="AM66" i="9"/>
  <c r="AX109" i="8"/>
  <c r="BQ109" i="8" s="1"/>
  <c r="AC33" i="9"/>
  <c r="AH33" i="9" s="1"/>
  <c r="P48" i="10"/>
  <c r="U48" i="10" s="1"/>
  <c r="D47" i="22" s="1"/>
  <c r="AB44" i="9"/>
  <c r="AG44" i="9" s="1"/>
  <c r="AX98" i="8"/>
  <c r="BQ98" i="8" s="1"/>
  <c r="AZ126" i="8"/>
  <c r="BS126" i="8" s="1"/>
  <c r="M37" i="11"/>
  <c r="I28" i="16" s="1"/>
  <c r="K24" i="12"/>
  <c r="H18" i="22" s="1"/>
  <c r="K37" i="12"/>
  <c r="H31" i="22" s="1"/>
  <c r="K19" i="12"/>
  <c r="H13" i="22" s="1"/>
  <c r="AK33" i="9"/>
  <c r="AC68" i="9"/>
  <c r="AH68" i="9" s="1"/>
  <c r="AZ128" i="8"/>
  <c r="BS128" i="8" s="1"/>
  <c r="P24" i="10"/>
  <c r="U24" i="10" s="1"/>
  <c r="D23" i="22" s="1"/>
  <c r="H29" i="16"/>
  <c r="N12" i="10"/>
  <c r="S12" i="10" s="1"/>
  <c r="BA98" i="8"/>
  <c r="BT98" i="8" s="1"/>
  <c r="P18" i="10"/>
  <c r="U18" i="10" s="1"/>
  <c r="D17" i="22" s="1"/>
  <c r="AB66" i="9"/>
  <c r="AG66" i="9" s="1"/>
  <c r="AX113" i="8"/>
  <c r="BQ113" i="8" s="1"/>
  <c r="BA113" i="8"/>
  <c r="BT113" i="8" s="1"/>
  <c r="X33" i="10"/>
  <c r="AW113" i="8"/>
  <c r="BP113" i="8" s="1"/>
  <c r="BD97" i="8"/>
  <c r="BW97" i="8" s="1"/>
  <c r="AL37" i="9"/>
  <c r="AY113" i="8"/>
  <c r="BR113" i="8" s="1"/>
  <c r="O17" i="10"/>
  <c r="C16" i="16" s="1"/>
  <c r="BC97" i="8"/>
  <c r="BV97" i="8" s="1"/>
  <c r="BB97" i="8"/>
  <c r="BU97" i="8" s="1"/>
  <c r="O18" i="10"/>
  <c r="T18" i="10" s="1"/>
  <c r="C17" i="22" s="1"/>
  <c r="AM38" i="9"/>
  <c r="AD38" i="9"/>
  <c r="AI38" i="9" s="1"/>
  <c r="AZ98" i="8"/>
  <c r="BS98" i="8" s="1"/>
  <c r="AL66" i="9"/>
  <c r="X46" i="10"/>
  <c r="AX126" i="8"/>
  <c r="BA126" i="8"/>
  <c r="G45" i="16" s="1"/>
  <c r="AY126" i="8"/>
  <c r="BR126" i="8" s="1"/>
  <c r="AC49" i="9"/>
  <c r="AH49" i="9" s="1"/>
  <c r="AB49" i="9"/>
  <c r="AG49" i="9" s="1"/>
  <c r="AD49" i="9"/>
  <c r="AI49" i="9" s="1"/>
  <c r="P29" i="10"/>
  <c r="D28" i="16" s="1"/>
  <c r="AZ109" i="8"/>
  <c r="BS109" i="8" s="1"/>
  <c r="F20" i="13"/>
  <c r="H13" i="16"/>
  <c r="K31" i="12"/>
  <c r="H25" i="22" s="1"/>
  <c r="X13" i="10"/>
  <c r="AX93" i="8"/>
  <c r="AD33" i="9"/>
  <c r="AI33" i="9" s="1"/>
  <c r="BC93" i="8"/>
  <c r="BV93" i="8" s="1"/>
  <c r="BD93" i="8"/>
  <c r="BW93" i="8" s="1"/>
  <c r="BB128" i="8"/>
  <c r="BU128" i="8" s="1"/>
  <c r="AB68" i="9"/>
  <c r="AG68" i="9" s="1"/>
  <c r="AK68" i="9"/>
  <c r="X48" i="10"/>
  <c r="AM68" i="9"/>
  <c r="AL44" i="9"/>
  <c r="X24" i="10"/>
  <c r="AD44" i="9"/>
  <c r="AI44" i="9" s="1"/>
  <c r="BA104" i="8"/>
  <c r="BT104" i="8" s="1"/>
  <c r="AY104" i="8"/>
  <c r="BR104" i="8" s="1"/>
  <c r="K35" i="12"/>
  <c r="H29" i="22" s="1"/>
  <c r="AB53" i="9"/>
  <c r="AG53" i="9" s="1"/>
  <c r="N33" i="10"/>
  <c r="B32" i="16" s="1"/>
  <c r="M41" i="11"/>
  <c r="AD53" i="9"/>
  <c r="AI53" i="9" s="1"/>
  <c r="BC113" i="8"/>
  <c r="BV113" i="8" s="1"/>
  <c r="AX97" i="8"/>
  <c r="BQ97" i="8" s="1"/>
  <c r="BA97" i="8"/>
  <c r="BT97" i="8" s="1"/>
  <c r="AY97" i="8"/>
  <c r="BR97" i="8" s="1"/>
  <c r="AW97" i="8"/>
  <c r="BP97" i="8" s="1"/>
  <c r="N18" i="10"/>
  <c r="S18" i="10" s="1"/>
  <c r="AK38" i="9"/>
  <c r="AC38" i="9"/>
  <c r="AH38" i="9" s="1"/>
  <c r="X18" i="10"/>
  <c r="M26" i="11"/>
  <c r="C17" i="15" s="1"/>
  <c r="AW126" i="8"/>
  <c r="BG126" i="8" s="1"/>
  <c r="AK66" i="9"/>
  <c r="O46" i="10"/>
  <c r="T46" i="10" s="1"/>
  <c r="C45" i="22" s="1"/>
  <c r="AD66" i="9"/>
  <c r="AI66" i="9" s="1"/>
  <c r="P46" i="10"/>
  <c r="U46" i="10" s="1"/>
  <c r="D45" i="22" s="1"/>
  <c r="BD109" i="8"/>
  <c r="BW109" i="8" s="1"/>
  <c r="AL49" i="9"/>
  <c r="O29" i="10"/>
  <c r="T29" i="10" s="1"/>
  <c r="C28" i="22" s="1"/>
  <c r="X29" i="10"/>
  <c r="AM49" i="9"/>
  <c r="K30" i="12"/>
  <c r="H24" i="22" s="1"/>
  <c r="F33" i="13"/>
  <c r="H25" i="16"/>
  <c r="AB33" i="9"/>
  <c r="AG33" i="9" s="1"/>
  <c r="O13" i="10"/>
  <c r="T13" i="10" s="1"/>
  <c r="C12" i="22" s="1"/>
  <c r="M21" i="11"/>
  <c r="P13" i="10"/>
  <c r="U13" i="10" s="1"/>
  <c r="D12" i="22" s="1"/>
  <c r="AZ93" i="8"/>
  <c r="BS93" i="8" s="1"/>
  <c r="BA128" i="8"/>
  <c r="AY128" i="8"/>
  <c r="BR128" i="8" s="1"/>
  <c r="AW128" i="8"/>
  <c r="BP128" i="8" s="1"/>
  <c r="AL68" i="9"/>
  <c r="AW104" i="8"/>
  <c r="BG104" i="8" s="1"/>
  <c r="AK44" i="9"/>
  <c r="O24" i="10"/>
  <c r="T24" i="10" s="1"/>
  <c r="C23" i="22" s="1"/>
  <c r="AM44" i="9"/>
  <c r="M32" i="11"/>
  <c r="C23" i="15" s="1"/>
  <c r="BD113" i="8"/>
  <c r="BW113" i="8" s="1"/>
  <c r="AL53" i="9"/>
  <c r="O33" i="10"/>
  <c r="C32" i="16" s="1"/>
  <c r="AM53" i="9"/>
  <c r="P33" i="10"/>
  <c r="D32" i="16" s="1"/>
  <c r="N17" i="10"/>
  <c r="B16" i="16" s="1"/>
  <c r="X17" i="10"/>
  <c r="M25" i="11"/>
  <c r="C16" i="15" s="1"/>
  <c r="AD37" i="9"/>
  <c r="AI37" i="9" s="1"/>
  <c r="AZ97" i="8"/>
  <c r="BS97" i="8" s="1"/>
  <c r="K23" i="12"/>
  <c r="H17" i="22" s="1"/>
  <c r="AL38" i="9"/>
  <c r="AY98" i="8"/>
  <c r="BR98" i="8" s="1"/>
  <c r="AW98" i="8"/>
  <c r="BG98" i="8" s="1"/>
  <c r="AB38" i="9"/>
  <c r="AG38" i="9" s="1"/>
  <c r="BC126" i="8"/>
  <c r="BV126" i="8" s="1"/>
  <c r="BB126" i="8"/>
  <c r="BU126" i="8" s="1"/>
  <c r="AC66" i="9"/>
  <c r="AH66" i="9" s="1"/>
  <c r="N46" i="10"/>
  <c r="B45" i="16" s="1"/>
  <c r="BA109" i="8"/>
  <c r="BT109" i="8" s="1"/>
  <c r="AY109" i="8"/>
  <c r="BR109" i="8" s="1"/>
  <c r="AW109" i="8"/>
  <c r="BG109" i="8" s="1"/>
  <c r="BB93" i="8"/>
  <c r="BU93" i="8" s="1"/>
  <c r="AL33" i="9"/>
  <c r="AW93" i="8"/>
  <c r="BG93" i="8" s="1"/>
  <c r="N13" i="10"/>
  <c r="S13" i="10" s="1"/>
  <c r="O48" i="10"/>
  <c r="T48" i="10" s="1"/>
  <c r="C47" i="22" s="1"/>
  <c r="AD68" i="9"/>
  <c r="AI68" i="9" s="1"/>
  <c r="M56" i="11"/>
  <c r="C48" i="14" s="1"/>
  <c r="BC128" i="8"/>
  <c r="BV128" i="8" s="1"/>
  <c r="BC104" i="8"/>
  <c r="BV104" i="8" s="1"/>
  <c r="BD104" i="8"/>
  <c r="BW104" i="8" s="1"/>
  <c r="AC44" i="9"/>
  <c r="AH44" i="9" s="1"/>
  <c r="N24" i="10"/>
  <c r="S24" i="10" s="1"/>
  <c r="AZ113" i="8"/>
  <c r="BS113" i="8" s="1"/>
  <c r="BB113" i="8"/>
  <c r="BU113" i="8" s="1"/>
  <c r="AC53" i="9"/>
  <c r="AH53" i="9" s="1"/>
  <c r="AB37" i="9"/>
  <c r="AG37" i="9" s="1"/>
  <c r="AC37" i="9"/>
  <c r="AH37" i="9" s="1"/>
  <c r="AK37" i="9"/>
  <c r="AM37" i="9"/>
  <c r="G45" i="12"/>
  <c r="H39" i="16" s="1"/>
  <c r="AY125" i="8"/>
  <c r="BR125" i="8" s="1"/>
  <c r="AW92" i="8"/>
  <c r="BG92" i="8" s="1"/>
  <c r="BC92" i="8"/>
  <c r="BV92" i="8" s="1"/>
  <c r="BB118" i="8"/>
  <c r="BU118" i="8" s="1"/>
  <c r="AY99" i="8"/>
  <c r="BR99" i="8" s="1"/>
  <c r="AL47" i="9"/>
  <c r="X50" i="10"/>
  <c r="M53" i="11"/>
  <c r="AZ116" i="8"/>
  <c r="BS116" i="8" s="1"/>
  <c r="AL56" i="9"/>
  <c r="AB56" i="9"/>
  <c r="AG56" i="9" s="1"/>
  <c r="AK56" i="9"/>
  <c r="AD32" i="9"/>
  <c r="AI32" i="9" s="1"/>
  <c r="O28" i="10"/>
  <c r="T28" i="10" s="1"/>
  <c r="C27" i="22" s="1"/>
  <c r="X28" i="10"/>
  <c r="P28" i="10"/>
  <c r="AX108" i="8"/>
  <c r="BD119" i="8"/>
  <c r="BW119" i="8" s="1"/>
  <c r="AL59" i="9"/>
  <c r="O39" i="10"/>
  <c r="N39" i="10"/>
  <c r="B38" i="16" s="1"/>
  <c r="O38" i="10"/>
  <c r="T38" i="10" s="1"/>
  <c r="C37" i="22" s="1"/>
  <c r="C41" i="13"/>
  <c r="C43" i="13"/>
  <c r="X23" i="10"/>
  <c r="AM43" i="9"/>
  <c r="BA103" i="8"/>
  <c r="BT103" i="8" s="1"/>
  <c r="AY103" i="8"/>
  <c r="BR103" i="8" s="1"/>
  <c r="K33" i="12"/>
  <c r="H27" i="22" s="1"/>
  <c r="BB107" i="8"/>
  <c r="BU107" i="8" s="1"/>
  <c r="AB47" i="9"/>
  <c r="AG47" i="9" s="1"/>
  <c r="O27" i="10"/>
  <c r="T27" i="10" s="1"/>
  <c r="C26" i="22" s="1"/>
  <c r="AX107" i="8"/>
  <c r="BQ107" i="8" s="1"/>
  <c r="AM47" i="9"/>
  <c r="L10" i="16"/>
  <c r="P50" i="10"/>
  <c r="D49" i="16" s="1"/>
  <c r="AZ130" i="8"/>
  <c r="BS130" i="8" s="1"/>
  <c r="BB130" i="8"/>
  <c r="BU130" i="8" s="1"/>
  <c r="AK70" i="9"/>
  <c r="BD125" i="8"/>
  <c r="BW125" i="8" s="1"/>
  <c r="AC65" i="9"/>
  <c r="AH65" i="9" s="1"/>
  <c r="O45" i="10"/>
  <c r="C44" i="16" s="1"/>
  <c r="AZ125" i="8"/>
  <c r="BS125" i="8" s="1"/>
  <c r="AK65" i="9"/>
  <c r="X12" i="10"/>
  <c r="P12" i="10"/>
  <c r="U12" i="10" s="1"/>
  <c r="D11" i="22" s="1"/>
  <c r="BA92" i="8"/>
  <c r="BT92" i="8" s="1"/>
  <c r="AY92" i="8"/>
  <c r="BR92" i="8" s="1"/>
  <c r="AC32" i="9"/>
  <c r="AH32" i="9" s="1"/>
  <c r="L51" i="13"/>
  <c r="BD118" i="8"/>
  <c r="BW118" i="8" s="1"/>
  <c r="AL58" i="9"/>
  <c r="AB58" i="9"/>
  <c r="AG58" i="9" s="1"/>
  <c r="AX118" i="8"/>
  <c r="BQ118" i="8" s="1"/>
  <c r="AD58" i="9"/>
  <c r="AI58" i="9" s="1"/>
  <c r="C34" i="13"/>
  <c r="C50" i="13"/>
  <c r="C19" i="13"/>
  <c r="C42" i="13"/>
  <c r="C51" i="13"/>
  <c r="C27" i="13"/>
  <c r="C22" i="13"/>
  <c r="C25" i="13"/>
  <c r="C30" i="13"/>
  <c r="C39" i="13"/>
  <c r="AM57" i="9"/>
  <c r="F17" i="13"/>
  <c r="K44" i="12"/>
  <c r="H38" i="22" s="1"/>
  <c r="K38" i="12"/>
  <c r="H32" i="22" s="1"/>
  <c r="AX99" i="8"/>
  <c r="BQ99" i="8" s="1"/>
  <c r="BB120" i="8"/>
  <c r="BU120" i="8" s="1"/>
  <c r="O30" i="10"/>
  <c r="T30" i="10" s="1"/>
  <c r="C29" i="22" s="1"/>
  <c r="X30" i="10"/>
  <c r="AM50" i="9"/>
  <c r="BA110" i="8"/>
  <c r="BT110" i="8" s="1"/>
  <c r="AY110" i="8"/>
  <c r="BR110" i="8" s="1"/>
  <c r="BC103" i="8"/>
  <c r="BV103" i="8" s="1"/>
  <c r="BD103" i="8"/>
  <c r="BW103" i="8" s="1"/>
  <c r="AB43" i="9"/>
  <c r="AG43" i="9" s="1"/>
  <c r="N23" i="10"/>
  <c r="B22" i="16" s="1"/>
  <c r="AX103" i="8"/>
  <c r="BQ103" i="8" s="1"/>
  <c r="F29" i="13"/>
  <c r="X27" i="10"/>
  <c r="M35" i="11"/>
  <c r="C27" i="14" s="1"/>
  <c r="BA107" i="8"/>
  <c r="BT107" i="8" s="1"/>
  <c r="AY107" i="8"/>
  <c r="BR107" i="8" s="1"/>
  <c r="AW107" i="8"/>
  <c r="BP107" i="8" s="1"/>
  <c r="M10" i="15"/>
  <c r="AW130" i="8"/>
  <c r="BP130" i="8" s="1"/>
  <c r="N50" i="10"/>
  <c r="B49" i="16" s="1"/>
  <c r="O50" i="10"/>
  <c r="C49" i="16" s="1"/>
  <c r="AX130" i="8"/>
  <c r="BQ130" i="8" s="1"/>
  <c r="M58" i="11"/>
  <c r="P58" i="11" s="1"/>
  <c r="I49" i="22" s="1"/>
  <c r="AL65" i="9"/>
  <c r="AM65" i="9"/>
  <c r="BC125" i="8"/>
  <c r="BV125" i="8" s="1"/>
  <c r="BB125" i="8"/>
  <c r="BU125" i="8" s="1"/>
  <c r="K25" i="12"/>
  <c r="H19" i="22" s="1"/>
  <c r="BD92" i="8"/>
  <c r="BW92" i="8" s="1"/>
  <c r="AB32" i="9"/>
  <c r="AG32" i="9" s="1"/>
  <c r="AK32" i="9"/>
  <c r="AM32" i="9"/>
  <c r="AX92" i="8"/>
  <c r="BQ92" i="8" s="1"/>
  <c r="F36" i="13"/>
  <c r="X38" i="10"/>
  <c r="M46" i="11"/>
  <c r="BA118" i="8"/>
  <c r="G37" i="16" s="1"/>
  <c r="AY118" i="8"/>
  <c r="BR118" i="8" s="1"/>
  <c r="AW118" i="8"/>
  <c r="BP118" i="8" s="1"/>
  <c r="C33" i="13"/>
  <c r="C49" i="13"/>
  <c r="C38" i="13"/>
  <c r="C23" i="13"/>
  <c r="C28" i="13"/>
  <c r="C26" i="13"/>
  <c r="C35" i="13"/>
  <c r="C21" i="13"/>
  <c r="C12" i="13"/>
  <c r="C45" i="13"/>
  <c r="K39" i="12"/>
  <c r="H33" i="22" s="1"/>
  <c r="N37" i="10"/>
  <c r="B36" i="16" s="1"/>
  <c r="AZ117" i="8"/>
  <c r="BS117" i="8" s="1"/>
  <c r="AZ99" i="8"/>
  <c r="BS99" i="8" s="1"/>
  <c r="AC60" i="9"/>
  <c r="AH60" i="9" s="1"/>
  <c r="AW110" i="8"/>
  <c r="BP110" i="8" s="1"/>
  <c r="AK50" i="9"/>
  <c r="N30" i="10"/>
  <c r="S30" i="10" s="1"/>
  <c r="AX110" i="8"/>
  <c r="AD43" i="9"/>
  <c r="AI43" i="9" s="1"/>
  <c r="AZ103" i="8"/>
  <c r="BS103" i="8" s="1"/>
  <c r="BB103" i="8"/>
  <c r="BU103" i="8" s="1"/>
  <c r="AK47" i="9"/>
  <c r="N27" i="10"/>
  <c r="B26" i="16" s="1"/>
  <c r="AD47" i="9"/>
  <c r="AI47" i="9" s="1"/>
  <c r="P27" i="10"/>
  <c r="U27" i="10" s="1"/>
  <c r="D26" i="22" s="1"/>
  <c r="H45" i="16"/>
  <c r="BC130" i="8"/>
  <c r="BV130" i="8" s="1"/>
  <c r="BD130" i="8"/>
  <c r="BW130" i="8" s="1"/>
  <c r="AB70" i="9"/>
  <c r="AG70" i="9" s="1"/>
  <c r="AL70" i="9"/>
  <c r="X45" i="10"/>
  <c r="BA125" i="8"/>
  <c r="BT125" i="8" s="1"/>
  <c r="AX125" i="8"/>
  <c r="P45" i="10"/>
  <c r="U45" i="10" s="1"/>
  <c r="D44" i="22" s="1"/>
  <c r="AZ92" i="8"/>
  <c r="BS92" i="8" s="1"/>
  <c r="BB92" i="8"/>
  <c r="BU92" i="8" s="1"/>
  <c r="AL32" i="9"/>
  <c r="AK58" i="9"/>
  <c r="N38" i="10"/>
  <c r="B37" i="16" s="1"/>
  <c r="AM58" i="9"/>
  <c r="P38" i="10"/>
  <c r="D37" i="16" s="1"/>
  <c r="C44" i="13"/>
  <c r="C15" i="13"/>
  <c r="C18" i="13"/>
  <c r="C40" i="13"/>
  <c r="C20" i="13"/>
  <c r="C46" i="13"/>
  <c r="C47" i="13"/>
  <c r="C36" i="13"/>
  <c r="C16" i="13"/>
  <c r="AX123" i="8"/>
  <c r="BQ123" i="8" s="1"/>
  <c r="P41" i="10"/>
  <c r="U41" i="10" s="1"/>
  <c r="D40" i="22" s="1"/>
  <c r="AK62" i="9"/>
  <c r="AD67" i="9"/>
  <c r="AI67" i="9" s="1"/>
  <c r="X31" i="10"/>
  <c r="AD64" i="9"/>
  <c r="AI64" i="9" s="1"/>
  <c r="AL69" i="9"/>
  <c r="AK67" i="9"/>
  <c r="AC51" i="9"/>
  <c r="AH51" i="9" s="1"/>
  <c r="BD105" i="8"/>
  <c r="BW105" i="8" s="1"/>
  <c r="AJ11" i="22"/>
  <c r="BC115" i="8"/>
  <c r="BV115" i="8" s="1"/>
  <c r="AD63" i="9"/>
  <c r="AI63" i="9" s="1"/>
  <c r="AM61" i="9"/>
  <c r="AB62" i="9"/>
  <c r="AG62" i="9" s="1"/>
  <c r="AB63" i="9"/>
  <c r="AG63" i="9" s="1"/>
  <c r="BC123" i="8"/>
  <c r="BV123" i="8" s="1"/>
  <c r="AD61" i="9"/>
  <c r="AI61" i="9" s="1"/>
  <c r="F23" i="13"/>
  <c r="AK45" i="9"/>
  <c r="BU11" i="22"/>
  <c r="AX11" i="22"/>
  <c r="BB129" i="8"/>
  <c r="BU129" i="8" s="1"/>
  <c r="BC129" i="8"/>
  <c r="BV129" i="8" s="1"/>
  <c r="M57" i="11"/>
  <c r="C49" i="14" s="1"/>
  <c r="AM69" i="9"/>
  <c r="X49" i="10"/>
  <c r="AB69" i="9"/>
  <c r="AG69" i="9" s="1"/>
  <c r="AW129" i="8"/>
  <c r="BG129" i="8" s="1"/>
  <c r="AY129" i="8"/>
  <c r="BR129" i="8" s="1"/>
  <c r="BA129" i="8"/>
  <c r="BT129" i="8" s="1"/>
  <c r="P49" i="10"/>
  <c r="U49" i="10" s="1"/>
  <c r="D48" i="22" s="1"/>
  <c r="N49" i="10"/>
  <c r="B48" i="16" s="1"/>
  <c r="O49" i="10"/>
  <c r="AC69" i="9"/>
  <c r="AH69" i="9" s="1"/>
  <c r="BD129" i="8"/>
  <c r="BW129" i="8" s="1"/>
  <c r="AZ100" i="8"/>
  <c r="BS100" i="8" s="1"/>
  <c r="M28" i="11"/>
  <c r="C19" i="15" s="1"/>
  <c r="O20" i="10"/>
  <c r="T20" i="10" s="1"/>
  <c r="C19" i="22" s="1"/>
  <c r="AC40" i="9"/>
  <c r="AH40" i="9" s="1"/>
  <c r="X20" i="10"/>
  <c r="AW100" i="8"/>
  <c r="BP100" i="8" s="1"/>
  <c r="AM40" i="9"/>
  <c r="AX100" i="8"/>
  <c r="BQ100" i="8" s="1"/>
  <c r="N20" i="10"/>
  <c r="B19" i="16" s="1"/>
  <c r="BC100" i="8"/>
  <c r="BV100" i="8" s="1"/>
  <c r="AD40" i="9"/>
  <c r="AI40" i="9" s="1"/>
  <c r="AY100" i="8"/>
  <c r="BR100" i="8" s="1"/>
  <c r="BA100" i="8"/>
  <c r="BT100" i="8" s="1"/>
  <c r="BB100" i="8"/>
  <c r="BU100" i="8" s="1"/>
  <c r="AK40" i="9"/>
  <c r="H47" i="16"/>
  <c r="K53" i="12"/>
  <c r="H47" i="22" s="1"/>
  <c r="BK11" i="22"/>
  <c r="BZ11" i="22"/>
  <c r="AS11" i="22"/>
  <c r="AM11" i="22"/>
  <c r="AP11" i="22"/>
  <c r="BX11" i="22"/>
  <c r="BO11" i="22"/>
  <c r="AK11" i="22"/>
  <c r="BA11" i="22"/>
  <c r="BR11" i="22"/>
  <c r="A12" i="22"/>
  <c r="BB11" i="22"/>
  <c r="AY11" i="22"/>
  <c r="AI11" i="22"/>
  <c r="CH11" i="22"/>
  <c r="AR11" i="22"/>
  <c r="AV11" i="22"/>
  <c r="BF11" i="22"/>
  <c r="AZ11" i="22"/>
  <c r="BS11" i="22"/>
  <c r="AW11" i="22"/>
  <c r="BP11" i="22"/>
  <c r="CB11" i="22"/>
  <c r="AL11" i="22"/>
  <c r="BH11" i="22"/>
  <c r="BI11" i="22"/>
  <c r="BD11" i="22"/>
  <c r="BW11" i="22"/>
  <c r="BN11" i="22"/>
  <c r="BJ11" i="22"/>
  <c r="CA11" i="22"/>
  <c r="AO11" i="22"/>
  <c r="BG11" i="22"/>
  <c r="AN11" i="22"/>
  <c r="CC11" i="22"/>
  <c r="BV11" i="22"/>
  <c r="AU11" i="22"/>
  <c r="AQ11" i="22"/>
  <c r="BT11" i="22"/>
  <c r="BL11" i="22"/>
  <c r="BM11" i="22"/>
  <c r="H43" i="16"/>
  <c r="K49" i="12"/>
  <c r="H43" i="22" s="1"/>
  <c r="BC124" i="8"/>
  <c r="BV124" i="8" s="1"/>
  <c r="AX124" i="8"/>
  <c r="BQ124" i="8" s="1"/>
  <c r="M52" i="11"/>
  <c r="I43" i="16" s="1"/>
  <c r="X44" i="10"/>
  <c r="AB64" i="9"/>
  <c r="AG64" i="9" s="1"/>
  <c r="AK64" i="9"/>
  <c r="AL64" i="9"/>
  <c r="BB124" i="8"/>
  <c r="BU124" i="8" s="1"/>
  <c r="AZ124" i="8"/>
  <c r="BS124" i="8" s="1"/>
  <c r="AW102" i="8"/>
  <c r="BG102" i="8" s="1"/>
  <c r="AY102" i="8"/>
  <c r="BR102" i="8" s="1"/>
  <c r="BA102" i="8"/>
  <c r="BT102" i="8" s="1"/>
  <c r="AM42" i="9"/>
  <c r="X22" i="10"/>
  <c r="AK42" i="9"/>
  <c r="AC42" i="9"/>
  <c r="AH42" i="9" s="1"/>
  <c r="BD102" i="8"/>
  <c r="BW102" i="8" s="1"/>
  <c r="AZ102" i="8"/>
  <c r="BS102" i="8" s="1"/>
  <c r="P22" i="10"/>
  <c r="U22" i="10" s="1"/>
  <c r="D21" i="22" s="1"/>
  <c r="AX102" i="8"/>
  <c r="O22" i="10"/>
  <c r="T22" i="10" s="1"/>
  <c r="C21" i="22" s="1"/>
  <c r="AL42" i="9"/>
  <c r="BB102" i="8"/>
  <c r="BU102" i="8" s="1"/>
  <c r="F16" i="13"/>
  <c r="K20" i="12"/>
  <c r="H14" i="22" s="1"/>
  <c r="AD51" i="9"/>
  <c r="AI51" i="9" s="1"/>
  <c r="M39" i="11"/>
  <c r="P39" i="11" s="1"/>
  <c r="I30" i="22" s="1"/>
  <c r="N31" i="10"/>
  <c r="B30" i="16" s="1"/>
  <c r="AK51" i="9"/>
  <c r="AW111" i="8"/>
  <c r="BP111" i="8" s="1"/>
  <c r="AL51" i="9"/>
  <c r="BB111" i="8"/>
  <c r="BU111" i="8" s="1"/>
  <c r="AW106" i="8"/>
  <c r="BG106" i="8" s="1"/>
  <c r="BC106" i="8"/>
  <c r="BV106" i="8" s="1"/>
  <c r="BA106" i="8"/>
  <c r="BT106" i="8" s="1"/>
  <c r="AM46" i="9"/>
  <c r="X26" i="10"/>
  <c r="AB46" i="9"/>
  <c r="AG46" i="9" s="1"/>
  <c r="AL46" i="9"/>
  <c r="BD106" i="8"/>
  <c r="BW106" i="8" s="1"/>
  <c r="AY106" i="8"/>
  <c r="BR106" i="8" s="1"/>
  <c r="AD46" i="9"/>
  <c r="AI46" i="9" s="1"/>
  <c r="M34" i="11"/>
  <c r="I25" i="16" s="1"/>
  <c r="O26" i="10"/>
  <c r="AC46" i="9"/>
  <c r="AH46" i="9" s="1"/>
  <c r="BB106" i="8"/>
  <c r="BU106" i="8" s="1"/>
  <c r="AX115" i="8"/>
  <c r="BQ115" i="8" s="1"/>
  <c r="AW115" i="8"/>
  <c r="BG115" i="8" s="1"/>
  <c r="BB115" i="8"/>
  <c r="BU115" i="8" s="1"/>
  <c r="BD115" i="8"/>
  <c r="BW115" i="8" s="1"/>
  <c r="AD55" i="9"/>
  <c r="AI55" i="9" s="1"/>
  <c r="O35" i="10"/>
  <c r="T35" i="10" s="1"/>
  <c r="C34" i="22" s="1"/>
  <c r="AK55" i="9"/>
  <c r="AL55" i="9"/>
  <c r="AB55" i="9"/>
  <c r="AG55" i="9" s="1"/>
  <c r="AC55" i="9"/>
  <c r="AH55" i="9" s="1"/>
  <c r="M43" i="11"/>
  <c r="I34" i="16" s="1"/>
  <c r="AM55" i="9"/>
  <c r="N35" i="10"/>
  <c r="B34" i="16" s="1"/>
  <c r="X35" i="10"/>
  <c r="AY112" i="8"/>
  <c r="BR112" i="8" s="1"/>
  <c r="BA112" i="8"/>
  <c r="BT112" i="8" s="1"/>
  <c r="P32" i="10"/>
  <c r="D31" i="16" s="1"/>
  <c r="X32" i="10"/>
  <c r="AC52" i="9"/>
  <c r="AH52" i="9" s="1"/>
  <c r="AB52" i="9"/>
  <c r="AG52" i="9" s="1"/>
  <c r="BD112" i="8"/>
  <c r="BW112" i="8" s="1"/>
  <c r="AZ112" i="8"/>
  <c r="BS112" i="8" s="1"/>
  <c r="AX112" i="8"/>
  <c r="BQ112" i="8" s="1"/>
  <c r="AD52" i="9"/>
  <c r="AI52" i="9" s="1"/>
  <c r="N32" i="10"/>
  <c r="AL52" i="9"/>
  <c r="BB112" i="8"/>
  <c r="BU112" i="8" s="1"/>
  <c r="BC112" i="8"/>
  <c r="BV112" i="8" s="1"/>
  <c r="AM36" i="9"/>
  <c r="AB36" i="9"/>
  <c r="AG36" i="9" s="1"/>
  <c r="AL36" i="9"/>
  <c r="BD96" i="8"/>
  <c r="BW96" i="8" s="1"/>
  <c r="AY96" i="8"/>
  <c r="BR96" i="8" s="1"/>
  <c r="P16" i="10"/>
  <c r="U16" i="10" s="1"/>
  <c r="D15" i="22" s="1"/>
  <c r="M24" i="11"/>
  <c r="S24" i="11" s="1"/>
  <c r="E17" i="13" s="1"/>
  <c r="N16" i="10"/>
  <c r="AK36" i="9"/>
  <c r="AW96" i="8"/>
  <c r="BP96" i="8" s="1"/>
  <c r="BC96" i="8"/>
  <c r="BV96" i="8" s="1"/>
  <c r="BA96" i="8"/>
  <c r="BT96" i="8" s="1"/>
  <c r="AX96" i="8"/>
  <c r="BQ96" i="8" s="1"/>
  <c r="X16" i="10"/>
  <c r="O16" i="10"/>
  <c r="T16" i="10" s="1"/>
  <c r="C15" i="22" s="1"/>
  <c r="L48" i="13"/>
  <c r="M48" i="13"/>
  <c r="N46" i="13"/>
  <c r="BD123" i="8"/>
  <c r="BW123" i="8" s="1"/>
  <c r="AL63" i="9"/>
  <c r="AK63" i="9"/>
  <c r="P43" i="10"/>
  <c r="AM63" i="9"/>
  <c r="M49" i="11"/>
  <c r="S49" i="11" s="1"/>
  <c r="E42" i="13" s="1"/>
  <c r="AX121" i="8"/>
  <c r="BQ121" i="8" s="1"/>
  <c r="AW122" i="8"/>
  <c r="BP122" i="8" s="1"/>
  <c r="BB122" i="8"/>
  <c r="BU122" i="8" s="1"/>
  <c r="BD122" i="8"/>
  <c r="BW122" i="8" s="1"/>
  <c r="N47" i="10"/>
  <c r="S47" i="10" s="1"/>
  <c r="O47" i="10"/>
  <c r="AW127" i="8"/>
  <c r="BP127" i="8" s="1"/>
  <c r="O31" i="10"/>
  <c r="C30" i="16" s="1"/>
  <c r="BD111" i="8"/>
  <c r="BW111" i="8" s="1"/>
  <c r="BA111" i="8"/>
  <c r="BT111" i="8" s="1"/>
  <c r="AB45" i="9"/>
  <c r="AG45" i="9" s="1"/>
  <c r="AD45" i="9"/>
  <c r="AI45" i="9" s="1"/>
  <c r="AM64" i="9"/>
  <c r="AY124" i="8"/>
  <c r="BR124" i="8" s="1"/>
  <c r="BB96" i="8"/>
  <c r="BU96" i="8" s="1"/>
  <c r="AM52" i="9"/>
  <c r="AK69" i="9"/>
  <c r="N22" i="10"/>
  <c r="S22" i="10" s="1"/>
  <c r="P26" i="10"/>
  <c r="D25" i="16" s="1"/>
  <c r="CF11" i="22"/>
  <c r="CE11" i="22"/>
  <c r="BE11" i="22"/>
  <c r="BD100" i="8"/>
  <c r="BW100" i="8" s="1"/>
  <c r="AZ115" i="8"/>
  <c r="BS115" i="8" s="1"/>
  <c r="N48" i="13"/>
  <c r="AK61" i="9"/>
  <c r="AW121" i="8"/>
  <c r="BG121" i="8" s="1"/>
  <c r="AY121" i="8"/>
  <c r="BR121" i="8" s="1"/>
  <c r="BA121" i="8"/>
  <c r="BT121" i="8" s="1"/>
  <c r="AY122" i="8"/>
  <c r="BR122" i="8" s="1"/>
  <c r="BA122" i="8"/>
  <c r="G41" i="16" s="1"/>
  <c r="AM62" i="9"/>
  <c r="X42" i="10"/>
  <c r="AL62" i="9"/>
  <c r="P25" i="10"/>
  <c r="D24" i="16" s="1"/>
  <c r="M33" i="11"/>
  <c r="P33" i="11" s="1"/>
  <c r="I24" i="22" s="1"/>
  <c r="O25" i="10"/>
  <c r="T25" i="10" s="1"/>
  <c r="C24" i="22" s="1"/>
  <c r="AC45" i="9"/>
  <c r="AH45" i="9" s="1"/>
  <c r="BB105" i="8"/>
  <c r="BU105" i="8" s="1"/>
  <c r="AW105" i="8"/>
  <c r="BP105" i="8" s="1"/>
  <c r="AY105" i="8"/>
  <c r="BR105" i="8" s="1"/>
  <c r="BA105" i="8"/>
  <c r="BT105" i="8" s="1"/>
  <c r="AM45" i="9"/>
  <c r="X25" i="10"/>
  <c r="AM67" i="9"/>
  <c r="X47" i="10"/>
  <c r="AB67" i="9"/>
  <c r="AG67" i="9" s="1"/>
  <c r="AC67" i="9"/>
  <c r="AH67" i="9" s="1"/>
  <c r="BB127" i="8"/>
  <c r="BU127" i="8" s="1"/>
  <c r="L46" i="13"/>
  <c r="AC63" i="9"/>
  <c r="AH63" i="9" s="1"/>
  <c r="X41" i="10"/>
  <c r="O41" i="10"/>
  <c r="AB61" i="9"/>
  <c r="AG61" i="9" s="1"/>
  <c r="BB121" i="8"/>
  <c r="BU121" i="8" s="1"/>
  <c r="BC122" i="8"/>
  <c r="BV122" i="8" s="1"/>
  <c r="AZ122" i="8"/>
  <c r="BS122" i="8" s="1"/>
  <c r="P42" i="10"/>
  <c r="D41" i="16" s="1"/>
  <c r="AD62" i="9"/>
  <c r="AI62" i="9" s="1"/>
  <c r="AL67" i="9"/>
  <c r="AY127" i="8"/>
  <c r="BR127" i="8" s="1"/>
  <c r="BC127" i="8"/>
  <c r="BV127" i="8" s="1"/>
  <c r="AZ127" i="8"/>
  <c r="BS127" i="8" s="1"/>
  <c r="BC111" i="8"/>
  <c r="BV111" i="8" s="1"/>
  <c r="AZ111" i="8"/>
  <c r="BS111" i="8" s="1"/>
  <c r="AB51" i="9"/>
  <c r="AG51" i="9" s="1"/>
  <c r="AZ105" i="8"/>
  <c r="BS105" i="8" s="1"/>
  <c r="AL45" i="9"/>
  <c r="L49" i="13"/>
  <c r="AC64" i="9"/>
  <c r="AH64" i="9" s="1"/>
  <c r="P44" i="10"/>
  <c r="D43" i="16" s="1"/>
  <c r="AC36" i="9"/>
  <c r="AH36" i="9" s="1"/>
  <c r="AW112" i="8"/>
  <c r="BP112" i="8" s="1"/>
  <c r="M40" i="11"/>
  <c r="C32" i="14" s="1"/>
  <c r="AD69" i="9"/>
  <c r="AI69" i="9" s="1"/>
  <c r="AD42" i="9"/>
  <c r="AI42" i="9" s="1"/>
  <c r="AK46" i="9"/>
  <c r="AZ106" i="8"/>
  <c r="BS106" i="8" s="1"/>
  <c r="BC11" i="22"/>
  <c r="CD11" i="22"/>
  <c r="AH11" i="22"/>
  <c r="AL40" i="9"/>
  <c r="BA115" i="8"/>
  <c r="BT115" i="8" s="1"/>
  <c r="K26" i="12"/>
  <c r="H20" i="22" s="1"/>
  <c r="H20" i="16"/>
  <c r="H48" i="16"/>
  <c r="K54" i="12"/>
  <c r="H48" i="22" s="1"/>
  <c r="AZ123" i="8"/>
  <c r="BS123" i="8" s="1"/>
  <c r="BB123" i="8"/>
  <c r="BU123" i="8" s="1"/>
  <c r="O43" i="10"/>
  <c r="C42" i="16" s="1"/>
  <c r="X43" i="10"/>
  <c r="M51" i="11"/>
  <c r="BA123" i="8"/>
  <c r="G42" i="16" s="1"/>
  <c r="AY123" i="8"/>
  <c r="BR123" i="8" s="1"/>
  <c r="AL61" i="9"/>
  <c r="AC61" i="9"/>
  <c r="AH61" i="9" s="1"/>
  <c r="BC121" i="8"/>
  <c r="BV121" i="8" s="1"/>
  <c r="AZ121" i="8"/>
  <c r="BS121" i="8" s="1"/>
  <c r="AX122" i="8"/>
  <c r="N42" i="10"/>
  <c r="B41" i="16" s="1"/>
  <c r="O42" i="10"/>
  <c r="C41" i="16" s="1"/>
  <c r="H21" i="16"/>
  <c r="BA127" i="8"/>
  <c r="G46" i="16" s="1"/>
  <c r="AX127" i="8"/>
  <c r="BQ127" i="8" s="1"/>
  <c r="P47" i="10"/>
  <c r="U47" i="10" s="1"/>
  <c r="D46" i="22" s="1"/>
  <c r="AX111" i="8"/>
  <c r="BQ111" i="8" s="1"/>
  <c r="P31" i="10"/>
  <c r="D30" i="16" s="1"/>
  <c r="AY111" i="8"/>
  <c r="BR111" i="8" s="1"/>
  <c r="F22" i="13"/>
  <c r="N25" i="10"/>
  <c r="S25" i="10" s="1"/>
  <c r="AX105" i="8"/>
  <c r="M49" i="13"/>
  <c r="N44" i="10"/>
  <c r="S44" i="10" s="1"/>
  <c r="BA124" i="8"/>
  <c r="G43" i="16" s="1"/>
  <c r="AW124" i="8"/>
  <c r="BP124" i="8" s="1"/>
  <c r="F45" i="13"/>
  <c r="AD36" i="9"/>
  <c r="AI36" i="9" s="1"/>
  <c r="AK52" i="9"/>
  <c r="AX129" i="8"/>
  <c r="BQ129" i="8" s="1"/>
  <c r="F49" i="13"/>
  <c r="M30" i="11"/>
  <c r="S30" i="11" s="1"/>
  <c r="E23" i="13" s="1"/>
  <c r="N26" i="10"/>
  <c r="S26" i="10" s="1"/>
  <c r="CG11" i="22"/>
  <c r="BY11" i="22"/>
  <c r="AG11" i="22"/>
  <c r="AT11" i="22"/>
  <c r="P20" i="10"/>
  <c r="U20" i="10" s="1"/>
  <c r="D19" i="22" s="1"/>
  <c r="AY115" i="8"/>
  <c r="BR115" i="8" s="1"/>
  <c r="P19" i="10"/>
  <c r="U19" i="10" s="1"/>
  <c r="D18" i="22" s="1"/>
  <c r="AX120" i="8"/>
  <c r="AZ120" i="8"/>
  <c r="BS120" i="8" s="1"/>
  <c r="BD120" i="8"/>
  <c r="BW120" i="8" s="1"/>
  <c r="AL60" i="9"/>
  <c r="K18" i="12"/>
  <c r="H12" i="22" s="1"/>
  <c r="F35" i="13"/>
  <c r="AB57" i="9"/>
  <c r="AG57" i="9" s="1"/>
  <c r="O37" i="10"/>
  <c r="C36" i="16" s="1"/>
  <c r="X19" i="10"/>
  <c r="N19" i="10"/>
  <c r="B18" i="16" s="1"/>
  <c r="BD117" i="8"/>
  <c r="BW117" i="8" s="1"/>
  <c r="AL57" i="9"/>
  <c r="AW117" i="8"/>
  <c r="BG117" i="8" s="1"/>
  <c r="AK57" i="9"/>
  <c r="M45" i="11"/>
  <c r="S45" i="11" s="1"/>
  <c r="E38" i="13" s="1"/>
  <c r="AM39" i="9"/>
  <c r="AW99" i="8"/>
  <c r="BP99" i="8" s="1"/>
  <c r="AK39" i="9"/>
  <c r="O19" i="10"/>
  <c r="M27" i="11"/>
  <c r="C19" i="14" s="1"/>
  <c r="AB60" i="9"/>
  <c r="AG60" i="9" s="1"/>
  <c r="X40" i="10"/>
  <c r="M48" i="11"/>
  <c r="I39" i="16" s="1"/>
  <c r="BA120" i="8"/>
  <c r="G39" i="16" s="1"/>
  <c r="AY120" i="8"/>
  <c r="BR120" i="8" s="1"/>
  <c r="F14" i="13"/>
  <c r="F47" i="13"/>
  <c r="AC57" i="9"/>
  <c r="AH57" i="9" s="1"/>
  <c r="X37" i="10"/>
  <c r="P37" i="10"/>
  <c r="U37" i="10" s="1"/>
  <c r="D36" i="22" s="1"/>
  <c r="AB39" i="9"/>
  <c r="AG39" i="9" s="1"/>
  <c r="AD39" i="9"/>
  <c r="AI39" i="9" s="1"/>
  <c r="BA117" i="8"/>
  <c r="G36" i="16" s="1"/>
  <c r="AY117" i="8"/>
  <c r="BR117" i="8" s="1"/>
  <c r="BC117" i="8"/>
  <c r="BV117" i="8" s="1"/>
  <c r="AL39" i="9"/>
  <c r="BC99" i="8"/>
  <c r="BV99" i="8" s="1"/>
  <c r="BB99" i="8"/>
  <c r="BU99" i="8" s="1"/>
  <c r="AW120" i="8"/>
  <c r="BG120" i="8" s="1"/>
  <c r="AK60" i="9"/>
  <c r="N40" i="10"/>
  <c r="B39" i="16" s="1"/>
  <c r="AD60" i="9"/>
  <c r="AI60" i="9" s="1"/>
  <c r="BP91" i="8"/>
  <c r="BG91" i="8"/>
  <c r="B40" i="16"/>
  <c r="S41" i="10"/>
  <c r="P50" i="11"/>
  <c r="I41" i="22" s="1"/>
  <c r="I41" i="16"/>
  <c r="S50" i="11"/>
  <c r="E43" i="13" s="1"/>
  <c r="BQ104" i="8"/>
  <c r="BG123" i="8"/>
  <c r="BP123" i="8"/>
  <c r="I45" i="16"/>
  <c r="P54" i="11"/>
  <c r="I45" i="22" s="1"/>
  <c r="C45" i="15"/>
  <c r="C46" i="14"/>
  <c r="T32" i="10"/>
  <c r="C31" i="22" s="1"/>
  <c r="C31" i="16"/>
  <c r="BQ106" i="8"/>
  <c r="D16" i="16"/>
  <c r="U17" i="10"/>
  <c r="D16" i="22" s="1"/>
  <c r="C11" i="16"/>
  <c r="T12" i="10"/>
  <c r="C11" i="22" s="1"/>
  <c r="P47" i="11"/>
  <c r="I38" i="22" s="1"/>
  <c r="I38" i="16"/>
  <c r="C38" i="15"/>
  <c r="S47" i="11"/>
  <c r="E40" i="13" s="1"/>
  <c r="C39" i="14"/>
  <c r="M3" i="5" a="1"/>
  <c r="U35" i="10"/>
  <c r="D34" i="22" s="1"/>
  <c r="D34" i="16"/>
  <c r="P38" i="11"/>
  <c r="I29" i="22" s="1"/>
  <c r="C30" i="14"/>
  <c r="C29" i="15"/>
  <c r="S38" i="11"/>
  <c r="E31" i="13" s="1"/>
  <c r="I29" i="16"/>
  <c r="BQ101" i="8"/>
  <c r="I35" i="16"/>
  <c r="P44" i="11"/>
  <c r="I35" i="22" s="1"/>
  <c r="S44" i="11"/>
  <c r="E37" i="13" s="1"/>
  <c r="K16" i="15"/>
  <c r="J17" i="15" s="1"/>
  <c r="F42" i="13" l="1"/>
  <c r="F37" i="13"/>
  <c r="H35" i="16"/>
  <c r="C35" i="15"/>
  <c r="C36" i="14"/>
  <c r="H40" i="16"/>
  <c r="C33" i="14"/>
  <c r="K40" i="12"/>
  <c r="H34" i="22" s="1"/>
  <c r="F34" i="13"/>
  <c r="H37" i="16"/>
  <c r="F39" i="13"/>
  <c r="C37" i="15"/>
  <c r="F38" i="13"/>
  <c r="K42" i="12"/>
  <c r="H36" i="22" s="1"/>
  <c r="P11" i="13"/>
  <c r="P21" i="11"/>
  <c r="I12" i="22" s="1"/>
  <c r="S21" i="11"/>
  <c r="E14" i="13" s="1"/>
  <c r="C13" i="15"/>
  <c r="S22" i="11"/>
  <c r="E15" i="13" s="1"/>
  <c r="AR12" i="22"/>
  <c r="AF12" i="22"/>
  <c r="K48" i="12"/>
  <c r="H42" i="22" s="1"/>
  <c r="AN59" i="9"/>
  <c r="AO59" i="9" s="1"/>
  <c r="F44" i="13"/>
  <c r="C43" i="14"/>
  <c r="I44" i="16"/>
  <c r="S53" i="11"/>
  <c r="E46" i="13" s="1"/>
  <c r="H41" i="16"/>
  <c r="F43" i="13"/>
  <c r="C42" i="14"/>
  <c r="D29" i="16"/>
  <c r="K47" i="12"/>
  <c r="H41" i="22" s="1"/>
  <c r="D22" i="16"/>
  <c r="E22" i="16" s="1"/>
  <c r="B24" i="13" s="1"/>
  <c r="S29" i="11"/>
  <c r="E22" i="13" s="1"/>
  <c r="P29" i="11"/>
  <c r="I20" i="22" s="1"/>
  <c r="BT130" i="8"/>
  <c r="BX130" i="8" s="1"/>
  <c r="G49" i="22" s="1"/>
  <c r="U40" i="10"/>
  <c r="D39" i="22" s="1"/>
  <c r="C21" i="14"/>
  <c r="T14" i="10"/>
  <c r="C13" i="22" s="1"/>
  <c r="C20" i="15"/>
  <c r="BG95" i="8"/>
  <c r="N14" i="15" s="1"/>
  <c r="BU116" i="8"/>
  <c r="P31" i="11"/>
  <c r="I22" i="22" s="1"/>
  <c r="BP103" i="8"/>
  <c r="BX103" i="8" s="1"/>
  <c r="G22" i="22" s="1"/>
  <c r="B14" i="16"/>
  <c r="P22" i="11"/>
  <c r="I13" i="22" s="1"/>
  <c r="T23" i="10"/>
  <c r="C22" i="22" s="1"/>
  <c r="T21" i="10"/>
  <c r="C20" i="22" s="1"/>
  <c r="BT119" i="8"/>
  <c r="S45" i="10"/>
  <c r="B44" i="22" s="1"/>
  <c r="C23" i="14"/>
  <c r="S31" i="11"/>
  <c r="E24" i="13" s="1"/>
  <c r="C22" i="15"/>
  <c r="AN43" i="9"/>
  <c r="AO43" i="9" s="1"/>
  <c r="Q32" i="10"/>
  <c r="B32" i="14" s="1"/>
  <c r="S21" i="10"/>
  <c r="B20" i="22" s="1"/>
  <c r="D10" i="16"/>
  <c r="BP114" i="8"/>
  <c r="BX114" i="8" s="1"/>
  <c r="G33" i="22" s="1"/>
  <c r="T44" i="10"/>
  <c r="C43" i="22" s="1"/>
  <c r="C10" i="15"/>
  <c r="C11" i="14"/>
  <c r="C27" i="15"/>
  <c r="U15" i="10"/>
  <c r="D14" i="22" s="1"/>
  <c r="I10" i="16"/>
  <c r="BG94" i="8"/>
  <c r="N13" i="15" s="1"/>
  <c r="T11" i="10"/>
  <c r="C10" i="22" s="1"/>
  <c r="P55" i="11"/>
  <c r="I46" i="22" s="1"/>
  <c r="C28" i="14"/>
  <c r="C47" i="14"/>
  <c r="C18" i="14"/>
  <c r="S36" i="11"/>
  <c r="E29" i="13" s="1"/>
  <c r="C33" i="16"/>
  <c r="C46" i="15"/>
  <c r="BG119" i="8"/>
  <c r="N38" i="15" s="1"/>
  <c r="I27" i="16"/>
  <c r="U36" i="10"/>
  <c r="D35" i="22" s="1"/>
  <c r="S43" i="10"/>
  <c r="B42" i="22" s="1"/>
  <c r="B12" i="16"/>
  <c r="I13" i="16"/>
  <c r="C14" i="16"/>
  <c r="B27" i="16"/>
  <c r="C14" i="14"/>
  <c r="AN54" i="9"/>
  <c r="AO54" i="9" s="1"/>
  <c r="BZ114" i="8"/>
  <c r="Q34" i="10"/>
  <c r="B33" i="15" s="1"/>
  <c r="B28" i="16"/>
  <c r="P42" i="11"/>
  <c r="I33" i="22" s="1"/>
  <c r="B33" i="16"/>
  <c r="P23" i="11"/>
  <c r="I14" i="22" s="1"/>
  <c r="S23" i="11"/>
  <c r="E16" i="13" s="1"/>
  <c r="BH91" i="8"/>
  <c r="D11" i="14" s="1"/>
  <c r="Q21" i="10"/>
  <c r="B21" i="14" s="1"/>
  <c r="BZ91" i="8"/>
  <c r="S36" i="10"/>
  <c r="B35" i="22" s="1"/>
  <c r="B13" i="16"/>
  <c r="BU91" i="8"/>
  <c r="BX91" i="8" s="1"/>
  <c r="I37" i="16"/>
  <c r="AN35" i="9"/>
  <c r="AO35" i="9" s="1"/>
  <c r="AN31" i="9"/>
  <c r="AO31" i="9" s="1"/>
  <c r="BZ101" i="8"/>
  <c r="U21" i="10"/>
  <c r="D20" i="22" s="1"/>
  <c r="BG101" i="8"/>
  <c r="N20" i="15" s="1"/>
  <c r="C14" i="15"/>
  <c r="C39" i="16"/>
  <c r="E39" i="16" s="1"/>
  <c r="B10" i="16"/>
  <c r="C34" i="14"/>
  <c r="I33" i="16"/>
  <c r="BE114" i="8"/>
  <c r="D33" i="16"/>
  <c r="BE101" i="8"/>
  <c r="Q11" i="10"/>
  <c r="B10" i="15" s="1"/>
  <c r="I14" i="16"/>
  <c r="S42" i="11"/>
  <c r="E35" i="13" s="1"/>
  <c r="T33" i="10"/>
  <c r="C32" i="22" s="1"/>
  <c r="BH114" i="8"/>
  <c r="D34" i="14" s="1"/>
  <c r="E34" i="14" s="1"/>
  <c r="BH101" i="8"/>
  <c r="D21" i="14" s="1"/>
  <c r="E21" i="14" s="1"/>
  <c r="T36" i="10"/>
  <c r="C35" i="22" s="1"/>
  <c r="BP102" i="8"/>
  <c r="AN34" i="9"/>
  <c r="AO34" i="9" s="1"/>
  <c r="AN41" i="9"/>
  <c r="AO41" i="9" s="1"/>
  <c r="BT126" i="8"/>
  <c r="C49" i="15"/>
  <c r="D38" i="16"/>
  <c r="BE91" i="8"/>
  <c r="S52" i="11"/>
  <c r="E45" i="13" s="1"/>
  <c r="S51" i="11"/>
  <c r="E44" i="13" s="1"/>
  <c r="Q14" i="10"/>
  <c r="B13" i="15" s="1"/>
  <c r="AN48" i="9"/>
  <c r="AO48" i="9" s="1"/>
  <c r="Q15" i="10"/>
  <c r="B15" i="14" s="1"/>
  <c r="BH119" i="8"/>
  <c r="D38" i="15" s="1"/>
  <c r="E38" i="15" s="1"/>
  <c r="BG97" i="8"/>
  <c r="N16" i="15" s="1"/>
  <c r="B25" i="16"/>
  <c r="O11" i="13"/>
  <c r="BG105" i="8"/>
  <c r="N25" i="14" s="1"/>
  <c r="BZ116" i="8"/>
  <c r="Q11" i="13"/>
  <c r="C47" i="16"/>
  <c r="D13" i="16"/>
  <c r="BE94" i="8"/>
  <c r="S32" i="11"/>
  <c r="E25" i="13" s="1"/>
  <c r="D15" i="16"/>
  <c r="U14" i="10"/>
  <c r="D13" i="22" s="1"/>
  <c r="P25" i="11"/>
  <c r="I16" i="22" s="1"/>
  <c r="BP104" i="8"/>
  <c r="BX104" i="8" s="1"/>
  <c r="G23" i="22" s="1"/>
  <c r="S33" i="10"/>
  <c r="B32" i="22" s="1"/>
  <c r="BH94" i="8"/>
  <c r="D13" i="15" s="1"/>
  <c r="E13" i="15" s="1"/>
  <c r="S35" i="10"/>
  <c r="V35" i="10" s="1"/>
  <c r="BQ119" i="8"/>
  <c r="I11" i="16"/>
  <c r="BE119" i="8"/>
  <c r="P41" i="11"/>
  <c r="I32" i="22" s="1"/>
  <c r="Q36" i="10"/>
  <c r="B36" i="14" s="1"/>
  <c r="BP116" i="8"/>
  <c r="BG108" i="8"/>
  <c r="N27" i="15" s="1"/>
  <c r="D23" i="16"/>
  <c r="BZ94" i="8"/>
  <c r="BE95" i="8"/>
  <c r="AN12" i="22"/>
  <c r="BZ95" i="8"/>
  <c r="I12" i="16"/>
  <c r="BP126" i="8"/>
  <c r="U33" i="10"/>
  <c r="D32" i="22" s="1"/>
  <c r="C17" i="16"/>
  <c r="C27" i="16"/>
  <c r="P34" i="11"/>
  <c r="I25" i="22" s="1"/>
  <c r="U29" i="10"/>
  <c r="D28" i="22" s="1"/>
  <c r="S27" i="10"/>
  <c r="B26" i="22" s="1"/>
  <c r="E26" i="22" s="1"/>
  <c r="D17" i="16"/>
  <c r="BF12" i="22"/>
  <c r="BG125" i="8"/>
  <c r="N45" i="14" s="1"/>
  <c r="I47" i="16"/>
  <c r="BH95" i="8"/>
  <c r="D15" i="14" s="1"/>
  <c r="BE108" i="8"/>
  <c r="P57" i="11"/>
  <c r="I48" i="22" s="1"/>
  <c r="U44" i="10"/>
  <c r="D43" i="22" s="1"/>
  <c r="B23" i="16"/>
  <c r="BP109" i="8"/>
  <c r="BX109" i="8" s="1"/>
  <c r="G28" i="22" s="1"/>
  <c r="S49" i="10"/>
  <c r="C12" i="14"/>
  <c r="C12" i="15"/>
  <c r="S50" i="10"/>
  <c r="B49" i="22" s="1"/>
  <c r="S38" i="10"/>
  <c r="B37" i="22" s="1"/>
  <c r="I32" i="16"/>
  <c r="S19" i="10"/>
  <c r="B18" i="22" s="1"/>
  <c r="C38" i="14"/>
  <c r="B47" i="16"/>
  <c r="U50" i="10"/>
  <c r="D49" i="22" s="1"/>
  <c r="C31" i="15"/>
  <c r="C37" i="16"/>
  <c r="E37" i="16" s="1"/>
  <c r="B39" i="13" s="1"/>
  <c r="CD12" i="22"/>
  <c r="AY12" i="22"/>
  <c r="P56" i="11"/>
  <c r="I47" i="22" s="1"/>
  <c r="BP93" i="8"/>
  <c r="P52" i="11"/>
  <c r="I43" i="22" s="1"/>
  <c r="S37" i="10"/>
  <c r="B36" i="22" s="1"/>
  <c r="D45" i="16"/>
  <c r="BG110" i="8"/>
  <c r="N30" i="14" s="1"/>
  <c r="BZ119" i="8"/>
  <c r="C11" i="15"/>
  <c r="C13" i="14"/>
  <c r="Q18" i="10"/>
  <c r="B17" i="15" s="1"/>
  <c r="S41" i="11"/>
  <c r="E34" i="13" s="1"/>
  <c r="D21" i="16"/>
  <c r="S46" i="11"/>
  <c r="E39" i="13" s="1"/>
  <c r="BM12" i="22"/>
  <c r="A13" i="22"/>
  <c r="C47" i="15"/>
  <c r="I30" i="16"/>
  <c r="AN50" i="9"/>
  <c r="AO50" i="9" s="1"/>
  <c r="Q50" i="10"/>
  <c r="B49" i="15" s="1"/>
  <c r="AN66" i="9"/>
  <c r="AO66" i="9" s="1"/>
  <c r="C32" i="15"/>
  <c r="P46" i="11"/>
  <c r="I37" i="22" s="1"/>
  <c r="AH12" i="22"/>
  <c r="Q12" i="10"/>
  <c r="B12" i="14" s="1"/>
  <c r="C45" i="14"/>
  <c r="B11" i="16"/>
  <c r="U38" i="10"/>
  <c r="D37" i="22" s="1"/>
  <c r="B29" i="16"/>
  <c r="Q30" i="10"/>
  <c r="B29" i="15" s="1"/>
  <c r="Q23" i="10"/>
  <c r="B22" i="15" s="1"/>
  <c r="C45" i="16"/>
  <c r="S20" i="10"/>
  <c r="V20" i="10" s="1"/>
  <c r="T17" i="10"/>
  <c r="C16" i="22" s="1"/>
  <c r="P30" i="11"/>
  <c r="I21" i="22" s="1"/>
  <c r="BZ109" i="8"/>
  <c r="BG128" i="8"/>
  <c r="N47" i="15" s="1"/>
  <c r="BZ125" i="8"/>
  <c r="BG113" i="8"/>
  <c r="N33" i="14" s="1"/>
  <c r="BP129" i="8"/>
  <c r="BX129" i="8" s="1"/>
  <c r="G48" i="22" s="1"/>
  <c r="S37" i="11"/>
  <c r="E30" i="13" s="1"/>
  <c r="M19" i="5" a="1"/>
  <c r="X19" i="5" s="1"/>
  <c r="K45" i="12"/>
  <c r="H39" i="22" s="1"/>
  <c r="Q41" i="10"/>
  <c r="B41" i="14" s="1"/>
  <c r="BH92" i="8"/>
  <c r="D12" i="14" s="1"/>
  <c r="AN65" i="9"/>
  <c r="AO65" i="9" s="1"/>
  <c r="Q24" i="10"/>
  <c r="B24" i="14" s="1"/>
  <c r="C23" i="16"/>
  <c r="D12" i="16"/>
  <c r="T50" i="10"/>
  <c r="C49" i="22" s="1"/>
  <c r="Q17" i="10"/>
  <c r="B17" i="14" s="1"/>
  <c r="G44" i="16"/>
  <c r="J44" i="16" s="1"/>
  <c r="C48" i="15"/>
  <c r="D40" i="16"/>
  <c r="BT118" i="8"/>
  <c r="BX118" i="8" s="1"/>
  <c r="G37" i="22" s="1"/>
  <c r="D47" i="16"/>
  <c r="C28" i="15"/>
  <c r="C29" i="14"/>
  <c r="BZ92" i="8"/>
  <c r="S17" i="10"/>
  <c r="B16" i="22" s="1"/>
  <c r="BG107" i="8"/>
  <c r="N26" i="15" s="1"/>
  <c r="BP98" i="8"/>
  <c r="BX98" i="8" s="1"/>
  <c r="G17" i="22" s="1"/>
  <c r="F41" i="13"/>
  <c r="AN47" i="9"/>
  <c r="AO47" i="9" s="1"/>
  <c r="AN33" i="9"/>
  <c r="AO33" i="9" s="1"/>
  <c r="BE92" i="8"/>
  <c r="BT117" i="8"/>
  <c r="BZ107" i="8"/>
  <c r="I48" i="16"/>
  <c r="BZ103" i="8"/>
  <c r="P37" i="11"/>
  <c r="I28" i="22" s="1"/>
  <c r="C40" i="14"/>
  <c r="BP115" i="8"/>
  <c r="BX115" i="8" s="1"/>
  <c r="G34" i="22" s="1"/>
  <c r="P51" i="11"/>
  <c r="I42" i="22" s="1"/>
  <c r="U42" i="10"/>
  <c r="D41" i="22" s="1"/>
  <c r="S43" i="11"/>
  <c r="E36" i="13" s="1"/>
  <c r="S23" i="10"/>
  <c r="B22" i="22" s="1"/>
  <c r="C21" i="16"/>
  <c r="B21" i="16"/>
  <c r="C26" i="15"/>
  <c r="C25" i="15"/>
  <c r="BP117" i="8"/>
  <c r="BX12" i="22"/>
  <c r="AO12" i="22"/>
  <c r="AU12" i="22"/>
  <c r="BB12" i="22"/>
  <c r="AI12" i="22"/>
  <c r="CC12" i="22"/>
  <c r="AV12" i="22"/>
  <c r="C30" i="15"/>
  <c r="S34" i="11"/>
  <c r="E27" i="13" s="1"/>
  <c r="BJ12" i="22"/>
  <c r="CB12" i="22"/>
  <c r="AW12" i="22"/>
  <c r="BW12" i="22"/>
  <c r="BD12" i="22"/>
  <c r="CH12" i="22"/>
  <c r="BC12" i="22"/>
  <c r="D48" i="16"/>
  <c r="C16" i="14"/>
  <c r="AN36" i="9"/>
  <c r="AO36" i="9" s="1"/>
  <c r="C26" i="14"/>
  <c r="C15" i="16"/>
  <c r="CA12" i="22"/>
  <c r="BR12" i="22"/>
  <c r="BT12" i="22"/>
  <c r="AK12" i="22"/>
  <c r="BL12" i="22"/>
  <c r="BA12" i="22"/>
  <c r="AM12" i="22"/>
  <c r="C43" i="15"/>
  <c r="T43" i="10"/>
  <c r="C42" i="22" s="1"/>
  <c r="P24" i="11"/>
  <c r="I15" i="22" s="1"/>
  <c r="C31" i="14"/>
  <c r="AN53" i="9"/>
  <c r="AO53" i="9" s="1"/>
  <c r="AZ12" i="22"/>
  <c r="AQ12" i="22"/>
  <c r="BE12" i="22"/>
  <c r="BU12" i="22"/>
  <c r="BO12" i="22"/>
  <c r="BQ12" i="22"/>
  <c r="CG12" i="22"/>
  <c r="BS12" i="22"/>
  <c r="BY12" i="22"/>
  <c r="AP12" i="22"/>
  <c r="BP12" i="22"/>
  <c r="BZ12" i="22"/>
  <c r="AL12" i="22"/>
  <c r="C44" i="14"/>
  <c r="C24" i="15"/>
  <c r="I15" i="16"/>
  <c r="S39" i="11"/>
  <c r="E32" i="13" s="1"/>
  <c r="BE110" i="8"/>
  <c r="AN38" i="9"/>
  <c r="AO38" i="9" s="1"/>
  <c r="Q29" i="10"/>
  <c r="B28" i="15" s="1"/>
  <c r="AN51" i="9"/>
  <c r="AO51" i="9" s="1"/>
  <c r="Q28" i="10"/>
  <c r="B27" i="15" s="1"/>
  <c r="AN56" i="9"/>
  <c r="AO56" i="9" s="1"/>
  <c r="P45" i="11"/>
  <c r="I36" i="22" s="1"/>
  <c r="Q37" i="10"/>
  <c r="B37" i="14" s="1"/>
  <c r="BK12" i="22"/>
  <c r="AJ12" i="22"/>
  <c r="AX12" i="22"/>
  <c r="CF12" i="22"/>
  <c r="AS12" i="22"/>
  <c r="BV12" i="22"/>
  <c r="BN12" i="22"/>
  <c r="CE12" i="22"/>
  <c r="BH12" i="22"/>
  <c r="BI12" i="22"/>
  <c r="AT12" i="22"/>
  <c r="AG12" i="22"/>
  <c r="BG12" i="22"/>
  <c r="C15" i="15"/>
  <c r="B24" i="16"/>
  <c r="AN46" i="9"/>
  <c r="AO46" i="9" s="1"/>
  <c r="AN44" i="9"/>
  <c r="AO44" i="9" s="1"/>
  <c r="AN49" i="9"/>
  <c r="AO49" i="9" s="1"/>
  <c r="B43" i="16"/>
  <c r="E43" i="16" s="1"/>
  <c r="Q45" i="10"/>
  <c r="B45" i="14" s="1"/>
  <c r="BZ128" i="8"/>
  <c r="BZ97" i="8"/>
  <c r="BH93" i="8"/>
  <c r="D12" i="15" s="1"/>
  <c r="AN37" i="9"/>
  <c r="AO37" i="9" s="1"/>
  <c r="BT128" i="8"/>
  <c r="BX128" i="8" s="1"/>
  <c r="G47" i="22" s="1"/>
  <c r="AD47" i="22" s="1"/>
  <c r="C28" i="16"/>
  <c r="BH108" i="8"/>
  <c r="D27" i="15" s="1"/>
  <c r="E27" i="15" s="1"/>
  <c r="BE116" i="8"/>
  <c r="BQ93" i="8"/>
  <c r="C26" i="16"/>
  <c r="T31" i="10"/>
  <c r="C30" i="22" s="1"/>
  <c r="I40" i="16"/>
  <c r="BG118" i="8"/>
  <c r="N38" i="14" s="1"/>
  <c r="S39" i="10"/>
  <c r="B38" i="22" s="1"/>
  <c r="BH128" i="8"/>
  <c r="D47" i="15" s="1"/>
  <c r="E47" i="15" s="1"/>
  <c r="G48" i="16"/>
  <c r="BH109" i="8"/>
  <c r="D28" i="15" s="1"/>
  <c r="E28" i="15" s="1"/>
  <c r="BH98" i="8"/>
  <c r="D17" i="15" s="1"/>
  <c r="C17" i="14"/>
  <c r="BE98" i="8"/>
  <c r="P26" i="11"/>
  <c r="I17" i="22" s="1"/>
  <c r="BG130" i="8"/>
  <c r="N49" i="15" s="1"/>
  <c r="BG111" i="8"/>
  <c r="N31" i="14" s="1"/>
  <c r="B17" i="16"/>
  <c r="BQ108" i="8"/>
  <c r="BX108" i="8" s="1"/>
  <c r="G27" i="22" s="1"/>
  <c r="D11" i="16"/>
  <c r="D44" i="16"/>
  <c r="E44" i="16" s="1"/>
  <c r="BH107" i="8"/>
  <c r="D27" i="14" s="1"/>
  <c r="E27" i="14" s="1"/>
  <c r="Q16" i="10"/>
  <c r="B15" i="15" s="1"/>
  <c r="BH116" i="8"/>
  <c r="D35" i="15" s="1"/>
  <c r="E35" i="15" s="1"/>
  <c r="S25" i="11"/>
  <c r="E18" i="13" s="1"/>
  <c r="I16" i="16"/>
  <c r="C19" i="16"/>
  <c r="BZ104" i="8"/>
  <c r="T45" i="10"/>
  <c r="C44" i="22" s="1"/>
  <c r="I23" i="16"/>
  <c r="BE104" i="8"/>
  <c r="C12" i="16"/>
  <c r="I49" i="16"/>
  <c r="J49" i="16" s="1"/>
  <c r="BP92" i="8"/>
  <c r="BX92" i="8" s="1"/>
  <c r="G11" i="22" s="1"/>
  <c r="J11" i="22" s="1"/>
  <c r="BH97" i="8"/>
  <c r="D16" i="15" s="1"/>
  <c r="P32" i="11"/>
  <c r="I23" i="22" s="1"/>
  <c r="G47" i="16"/>
  <c r="Q13" i="10"/>
  <c r="B13" i="14" s="1"/>
  <c r="C50" i="14"/>
  <c r="C24" i="14"/>
  <c r="BE128" i="8"/>
  <c r="BZ108" i="8"/>
  <c r="BE113" i="8"/>
  <c r="U26" i="10"/>
  <c r="D25" i="22" s="1"/>
  <c r="Q44" i="10"/>
  <c r="B44" i="14" s="1"/>
  <c r="BZ98" i="8"/>
  <c r="BE107" i="8"/>
  <c r="AN42" i="9"/>
  <c r="AO42" i="9" s="1"/>
  <c r="AN32" i="9"/>
  <c r="AO32" i="9" s="1"/>
  <c r="AN70" i="9"/>
  <c r="AO70" i="9" s="1"/>
  <c r="BE93" i="8"/>
  <c r="BZ105" i="8"/>
  <c r="C41" i="14"/>
  <c r="C22" i="14"/>
  <c r="BP121" i="8"/>
  <c r="BX121" i="8" s="1"/>
  <c r="G40" i="22" s="1"/>
  <c r="AD40" i="22" s="1"/>
  <c r="BE109" i="8"/>
  <c r="BG96" i="8"/>
  <c r="N16" i="14" s="1"/>
  <c r="S26" i="11"/>
  <c r="E19" i="13" s="1"/>
  <c r="AN60" i="9"/>
  <c r="AO60" i="9" s="1"/>
  <c r="Q20" i="10"/>
  <c r="B20" i="14" s="1"/>
  <c r="AN40" i="9"/>
  <c r="AO40" i="9" s="1"/>
  <c r="BZ96" i="8"/>
  <c r="AN55" i="9"/>
  <c r="AO55" i="9" s="1"/>
  <c r="BE125" i="8"/>
  <c r="Q39" i="10"/>
  <c r="B38" i="15" s="1"/>
  <c r="AN68" i="9"/>
  <c r="AO68" i="9" s="1"/>
  <c r="BT122" i="8"/>
  <c r="J38" i="16"/>
  <c r="D46" i="16"/>
  <c r="C40" i="15"/>
  <c r="P49" i="11"/>
  <c r="I40" i="22" s="1"/>
  <c r="C21" i="15"/>
  <c r="I21" i="16"/>
  <c r="T42" i="10"/>
  <c r="C41" i="22" s="1"/>
  <c r="BE121" i="8"/>
  <c r="BT123" i="8"/>
  <c r="BX123" i="8" s="1"/>
  <c r="G42" i="22" s="1"/>
  <c r="U25" i="10"/>
  <c r="D24" i="22" s="1"/>
  <c r="I17" i="16"/>
  <c r="Q40" i="10"/>
  <c r="B39" i="15" s="1"/>
  <c r="BQ110" i="8"/>
  <c r="BX110" i="8" s="1"/>
  <c r="G29" i="22" s="1"/>
  <c r="BE130" i="8"/>
  <c r="C9" i="13"/>
  <c r="AN58" i="9"/>
  <c r="AO58" i="9" s="1"/>
  <c r="BZ126" i="8"/>
  <c r="BH118" i="8"/>
  <c r="D38" i="14" s="1"/>
  <c r="E38" i="14" s="1"/>
  <c r="P43" i="11"/>
  <c r="I34" i="22" s="1"/>
  <c r="BE97" i="8"/>
  <c r="Q33" i="10"/>
  <c r="B32" i="15" s="1"/>
  <c r="BH130" i="8"/>
  <c r="D49" i="15" s="1"/>
  <c r="E49" i="15" s="1"/>
  <c r="D27" i="16"/>
  <c r="BH125" i="8"/>
  <c r="D45" i="14" s="1"/>
  <c r="E45" i="14" s="1"/>
  <c r="BZ93" i="8"/>
  <c r="Q22" i="10"/>
  <c r="B22" i="14" s="1"/>
  <c r="Q27" i="10"/>
  <c r="B26" i="15" s="1"/>
  <c r="C29" i="16"/>
  <c r="D18" i="16"/>
  <c r="BE118" i="8"/>
  <c r="C38" i="16"/>
  <c r="BZ113" i="8"/>
  <c r="S40" i="11"/>
  <c r="E33" i="13" s="1"/>
  <c r="P40" i="11"/>
  <c r="I31" i="22" s="1"/>
  <c r="BX112" i="8"/>
  <c r="G31" i="22" s="1"/>
  <c r="AD31" i="22" s="1"/>
  <c r="AD29" i="9"/>
  <c r="Q42" i="10"/>
  <c r="B41" i="15" s="1"/>
  <c r="BE123" i="8"/>
  <c r="C42" i="15"/>
  <c r="Q38" i="10"/>
  <c r="B37" i="15" s="1"/>
  <c r="P53" i="11"/>
  <c r="I44" i="22" s="1"/>
  <c r="BP106" i="8"/>
  <c r="BX106" i="8" s="1"/>
  <c r="G25" i="22" s="1"/>
  <c r="S35" i="11"/>
  <c r="E28" i="13" s="1"/>
  <c r="U32" i="10"/>
  <c r="D31" i="22" s="1"/>
  <c r="S42" i="10"/>
  <c r="B41" i="22" s="1"/>
  <c r="Q46" i="10"/>
  <c r="B46" i="14" s="1"/>
  <c r="BH110" i="8"/>
  <c r="D29" i="15" s="1"/>
  <c r="E29" i="15" s="1"/>
  <c r="BH126" i="8"/>
  <c r="D45" i="15" s="1"/>
  <c r="E45" i="15" s="1"/>
  <c r="C35" i="14"/>
  <c r="C34" i="15"/>
  <c r="BZ130" i="8"/>
  <c r="S32" i="10"/>
  <c r="B31" i="22" s="1"/>
  <c r="T39" i="10"/>
  <c r="C38" i="22" s="1"/>
  <c r="BH113" i="8"/>
  <c r="D32" i="15" s="1"/>
  <c r="E32" i="15" s="1"/>
  <c r="D19" i="16"/>
  <c r="BH106" i="8"/>
  <c r="D25" i="15" s="1"/>
  <c r="E25" i="15" s="1"/>
  <c r="D26" i="16"/>
  <c r="I31" i="16"/>
  <c r="BH103" i="8"/>
  <c r="D22" i="15" s="1"/>
  <c r="E22" i="15" s="1"/>
  <c r="S46" i="10"/>
  <c r="V46" i="10" s="1"/>
  <c r="I42" i="16"/>
  <c r="J42" i="16" s="1"/>
  <c r="S28" i="11"/>
  <c r="E21" i="13" s="1"/>
  <c r="C44" i="15"/>
  <c r="BH104" i="8"/>
  <c r="D23" i="15" s="1"/>
  <c r="E23" i="15" s="1"/>
  <c r="Q48" i="10"/>
  <c r="B47" i="15" s="1"/>
  <c r="P35" i="11"/>
  <c r="I26" i="22" s="1"/>
  <c r="BE103" i="8"/>
  <c r="BG127" i="8"/>
  <c r="N46" i="15" s="1"/>
  <c r="BE126" i="8"/>
  <c r="BQ126" i="8"/>
  <c r="AN69" i="9"/>
  <c r="AO69" i="9" s="1"/>
  <c r="BZ118" i="8"/>
  <c r="BH129" i="8"/>
  <c r="D49" i="14" s="1"/>
  <c r="E49" i="14" s="1"/>
  <c r="J45" i="16"/>
  <c r="U28" i="10"/>
  <c r="D27" i="22" s="1"/>
  <c r="BQ125" i="8"/>
  <c r="BX125" i="8" s="1"/>
  <c r="G44" i="22" s="1"/>
  <c r="BZ102" i="8"/>
  <c r="B31" i="16"/>
  <c r="E31" i="16" s="1"/>
  <c r="BH122" i="8"/>
  <c r="D42" i="14" s="1"/>
  <c r="E42" i="14" s="1"/>
  <c r="BH123" i="8"/>
  <c r="D43" i="14" s="1"/>
  <c r="E43" i="14" s="1"/>
  <c r="BE102" i="8"/>
  <c r="I26" i="16"/>
  <c r="BZ110" i="8"/>
  <c r="AN61" i="9"/>
  <c r="AO61" i="9" s="1"/>
  <c r="BE112" i="8"/>
  <c r="BG99" i="8"/>
  <c r="N19" i="14" s="1"/>
  <c r="C24" i="16"/>
  <c r="C40" i="16"/>
  <c r="BH127" i="8"/>
  <c r="D47" i="14" s="1"/>
  <c r="E47" i="14" s="1"/>
  <c r="BE124" i="8"/>
  <c r="BT127" i="8"/>
  <c r="BX127" i="8" s="1"/>
  <c r="G46" i="22" s="1"/>
  <c r="AN45" i="9"/>
  <c r="AO45" i="9" s="1"/>
  <c r="AN62" i="9"/>
  <c r="AO62" i="9" s="1"/>
  <c r="M7" i="5" a="1"/>
  <c r="Q7" i="5" s="1"/>
  <c r="BH120" i="8"/>
  <c r="D39" i="15" s="1"/>
  <c r="E39" i="15" s="1"/>
  <c r="AK29" i="9"/>
  <c r="AN63" i="9"/>
  <c r="AO63" i="9" s="1"/>
  <c r="C39" i="15"/>
  <c r="C36" i="15"/>
  <c r="C37" i="14"/>
  <c r="BZ123" i="8"/>
  <c r="BZ115" i="8"/>
  <c r="AN52" i="9"/>
  <c r="AO52" i="9" s="1"/>
  <c r="T37" i="10"/>
  <c r="C36" i="22" s="1"/>
  <c r="S33" i="11"/>
  <c r="E26" i="13" s="1"/>
  <c r="I24" i="16"/>
  <c r="BE122" i="8"/>
  <c r="BT124" i="8"/>
  <c r="BZ121" i="8"/>
  <c r="P48" i="11"/>
  <c r="I39" i="22" s="1"/>
  <c r="BX111" i="8"/>
  <c r="G30" i="22" s="1"/>
  <c r="AD30" i="22" s="1"/>
  <c r="BQ120" i="8"/>
  <c r="I36" i="16"/>
  <c r="J36" i="16" s="1"/>
  <c r="B46" i="16"/>
  <c r="D36" i="16"/>
  <c r="C25" i="14"/>
  <c r="S48" i="11"/>
  <c r="E41" i="13" s="1"/>
  <c r="BH115" i="8"/>
  <c r="D35" i="14" s="1"/>
  <c r="E35" i="14" s="1"/>
  <c r="S40" i="10"/>
  <c r="B39" i="22" s="1"/>
  <c r="AM29" i="9"/>
  <c r="BH105" i="8"/>
  <c r="D25" i="14" s="1"/>
  <c r="E25" i="14" s="1"/>
  <c r="BZ122" i="8"/>
  <c r="AN67" i="9"/>
  <c r="AO67" i="9" s="1"/>
  <c r="AN64" i="9"/>
  <c r="AO64" i="9" s="1"/>
  <c r="Q35" i="10"/>
  <c r="B34" i="15" s="1"/>
  <c r="P8" i="10"/>
  <c r="BP120" i="8"/>
  <c r="Q19" i="10"/>
  <c r="B18" i="15" s="1"/>
  <c r="P27" i="11"/>
  <c r="I18" i="22" s="1"/>
  <c r="BX97" i="8"/>
  <c r="G16" i="22" s="1"/>
  <c r="AD16" i="22" s="1"/>
  <c r="Q47" i="10"/>
  <c r="B47" i="14" s="1"/>
  <c r="Q43" i="10"/>
  <c r="B42" i="15" s="1"/>
  <c r="N8" i="10"/>
  <c r="Q26" i="10"/>
  <c r="B26" i="14" s="1"/>
  <c r="Q31" i="10"/>
  <c r="B31" i="14" s="1"/>
  <c r="AX90" i="8"/>
  <c r="AW90" i="8"/>
  <c r="Q49" i="10"/>
  <c r="B49" i="14" s="1"/>
  <c r="BH100" i="8"/>
  <c r="D19" i="15" s="1"/>
  <c r="E19" i="15" s="1"/>
  <c r="BZ129" i="8"/>
  <c r="BQ105" i="8"/>
  <c r="BX105" i="8" s="1"/>
  <c r="G24" i="22" s="1"/>
  <c r="S31" i="10"/>
  <c r="B30" i="22" s="1"/>
  <c r="M5" i="5" a="1"/>
  <c r="O5" i="5" s="1"/>
  <c r="C25" i="16"/>
  <c r="BH102" i="8"/>
  <c r="D22" i="14" s="1"/>
  <c r="E22" i="14" s="1"/>
  <c r="BE105" i="8"/>
  <c r="U31" i="10"/>
  <c r="D30" i="22" s="1"/>
  <c r="O8" i="10"/>
  <c r="BW90" i="8"/>
  <c r="C46" i="16"/>
  <c r="BE115" i="8"/>
  <c r="BE129" i="8"/>
  <c r="BG112" i="8"/>
  <c r="N32" i="14" s="1"/>
  <c r="BH99" i="8"/>
  <c r="D19" i="14" s="1"/>
  <c r="E19" i="14" s="1"/>
  <c r="BC90" i="8"/>
  <c r="C34" i="16"/>
  <c r="E34" i="16" s="1"/>
  <c r="B36" i="13" s="1"/>
  <c r="P28" i="11"/>
  <c r="I19" i="22" s="1"/>
  <c r="BE106" i="8"/>
  <c r="C48" i="16"/>
  <c r="BZ124" i="8"/>
  <c r="Q25" i="10"/>
  <c r="B24" i="15" s="1"/>
  <c r="BE127" i="8"/>
  <c r="S16" i="10"/>
  <c r="B15" i="22" s="1"/>
  <c r="E15" i="22" s="1"/>
  <c r="BE96" i="8"/>
  <c r="BE99" i="8"/>
  <c r="BH121" i="8"/>
  <c r="D41" i="14" s="1"/>
  <c r="E41" i="14" s="1"/>
  <c r="T41" i="10"/>
  <c r="C40" i="22" s="1"/>
  <c r="D42" i="16"/>
  <c r="E42" i="16" s="1"/>
  <c r="B44" i="13" s="1"/>
  <c r="BG100" i="8"/>
  <c r="N20" i="14" s="1"/>
  <c r="BZ100" i="8"/>
  <c r="AH29" i="9"/>
  <c r="T26" i="10"/>
  <c r="C25" i="22" s="1"/>
  <c r="BQ102" i="8"/>
  <c r="BD90" i="8"/>
  <c r="T47" i="10"/>
  <c r="C46" i="22" s="1"/>
  <c r="BQ122" i="8"/>
  <c r="BE117" i="8"/>
  <c r="BH111" i="8"/>
  <c r="D31" i="14" s="1"/>
  <c r="E31" i="14" s="1"/>
  <c r="BV90" i="8"/>
  <c r="M6" i="5" a="1"/>
  <c r="AQ6" i="5" s="1"/>
  <c r="BZ127" i="8"/>
  <c r="G40" i="16"/>
  <c r="I19" i="16"/>
  <c r="C20" i="14"/>
  <c r="T49" i="10"/>
  <c r="C48" i="22" s="1"/>
  <c r="BH124" i="8"/>
  <c r="D44" i="14" s="1"/>
  <c r="E44" i="14" s="1"/>
  <c r="BG122" i="8"/>
  <c r="N41" i="15" s="1"/>
  <c r="BH112" i="8"/>
  <c r="D31" i="15" s="1"/>
  <c r="E31" i="15" s="1"/>
  <c r="B15" i="16"/>
  <c r="BG124" i="8"/>
  <c r="N44" i="14" s="1"/>
  <c r="M14" i="5" a="1"/>
  <c r="AS14" i="5" s="1"/>
  <c r="U43" i="10"/>
  <c r="D42" i="22" s="1"/>
  <c r="BE100" i="8"/>
  <c r="BE111" i="8"/>
  <c r="AC29" i="9"/>
  <c r="BH96" i="8"/>
  <c r="D15" i="15" s="1"/>
  <c r="BZ106" i="8"/>
  <c r="BZ111" i="8"/>
  <c r="BZ112" i="8"/>
  <c r="I18" i="16"/>
  <c r="BH117" i="8"/>
  <c r="D37" i="14" s="1"/>
  <c r="E37" i="14" s="1"/>
  <c r="C18" i="16"/>
  <c r="AN57" i="9"/>
  <c r="AO57" i="9" s="1"/>
  <c r="X8" i="10"/>
  <c r="T19" i="10"/>
  <c r="C18" i="22" s="1"/>
  <c r="AN39" i="9"/>
  <c r="AO39" i="9" s="1"/>
  <c r="AL29" i="9"/>
  <c r="BX113" i="8"/>
  <c r="G32" i="22" s="1"/>
  <c r="AG29" i="9"/>
  <c r="BR90" i="8"/>
  <c r="M18" i="11"/>
  <c r="M15" i="5" a="1"/>
  <c r="M15" i="5" s="1"/>
  <c r="S27" i="11"/>
  <c r="E20" i="13" s="1"/>
  <c r="AZ90" i="8"/>
  <c r="AB29" i="9"/>
  <c r="BE120" i="8"/>
  <c r="AY90" i="8"/>
  <c r="BZ117" i="8"/>
  <c r="BT120" i="8"/>
  <c r="C18" i="15"/>
  <c r="BB90" i="8"/>
  <c r="BZ120" i="8"/>
  <c r="BX95" i="8"/>
  <c r="G14" i="22" s="1"/>
  <c r="BZ99" i="8"/>
  <c r="AI29" i="9"/>
  <c r="M4" i="5" a="1"/>
  <c r="X4" i="5" s="1"/>
  <c r="BA90" i="8"/>
  <c r="BS90" i="8"/>
  <c r="BX100" i="8"/>
  <c r="G19" i="22" s="1"/>
  <c r="AD19" i="22" s="1"/>
  <c r="B11" i="22"/>
  <c r="E11" i="22" s="1"/>
  <c r="V12" i="10"/>
  <c r="B17" i="22"/>
  <c r="E17" i="22" s="1"/>
  <c r="V18" i="10"/>
  <c r="V34" i="10"/>
  <c r="B33" i="22"/>
  <c r="E33" i="22" s="1"/>
  <c r="E49" i="16"/>
  <c r="AO3" i="5"/>
  <c r="AD3" i="5"/>
  <c r="X99" i="5" s="1"/>
  <c r="AR3" i="5"/>
  <c r="AV3" i="5"/>
  <c r="AP3" i="5"/>
  <c r="AA3" i="5"/>
  <c r="U99" i="5" s="1"/>
  <c r="AG3" i="5"/>
  <c r="AA99" i="5" s="1"/>
  <c r="AU3" i="5"/>
  <c r="AM3" i="5"/>
  <c r="M3" i="5"/>
  <c r="G99" i="5" s="1"/>
  <c r="V3" i="5"/>
  <c r="P99" i="5" s="1"/>
  <c r="AZ3" i="5"/>
  <c r="T3" i="5"/>
  <c r="N99" i="5" s="1"/>
  <c r="AE3" i="5"/>
  <c r="Y99" i="5" s="1"/>
  <c r="P3" i="5"/>
  <c r="J99" i="5" s="1"/>
  <c r="AN3" i="5"/>
  <c r="AC3" i="5"/>
  <c r="W99" i="5" s="1"/>
  <c r="AJ3" i="5"/>
  <c r="AD99" i="5" s="1"/>
  <c r="AK3" i="5"/>
  <c r="AE99" i="5" s="1"/>
  <c r="Z3" i="5"/>
  <c r="T99" i="5" s="1"/>
  <c r="AS3" i="5"/>
  <c r="Y3" i="5"/>
  <c r="S99" i="5" s="1"/>
  <c r="W3" i="5"/>
  <c r="Q99" i="5" s="1"/>
  <c r="AH3" i="5"/>
  <c r="AB99" i="5" s="1"/>
  <c r="AQ3" i="5"/>
  <c r="Q3" i="5"/>
  <c r="K99" i="5" s="1"/>
  <c r="AY3" i="5"/>
  <c r="N3" i="5"/>
  <c r="H99" i="5" s="1"/>
  <c r="X3" i="5"/>
  <c r="R99" i="5" s="1"/>
  <c r="S3" i="5"/>
  <c r="M99" i="5" s="1"/>
  <c r="AB3" i="5"/>
  <c r="V99" i="5" s="1"/>
  <c r="R3" i="5"/>
  <c r="L99" i="5" s="1"/>
  <c r="AI3" i="5"/>
  <c r="AC99" i="5" s="1"/>
  <c r="AX3" i="5"/>
  <c r="AT3" i="5"/>
  <c r="U3" i="5"/>
  <c r="O99" i="5" s="1"/>
  <c r="AW3" i="5"/>
  <c r="AF3" i="5"/>
  <c r="Z99" i="5" s="1"/>
  <c r="O3" i="5"/>
  <c r="I99" i="5" s="1"/>
  <c r="AL3" i="5"/>
  <c r="AF99" i="5" s="1"/>
  <c r="N34" i="15"/>
  <c r="N35" i="14"/>
  <c r="E35" i="16"/>
  <c r="B21" i="22"/>
  <c r="E21" i="22" s="1"/>
  <c r="V22" i="10"/>
  <c r="B14" i="22"/>
  <c r="B10" i="22"/>
  <c r="B46" i="22"/>
  <c r="J35" i="16"/>
  <c r="BX107" i="8"/>
  <c r="G26" i="22" s="1"/>
  <c r="I10" i="22"/>
  <c r="B40" i="22"/>
  <c r="N46" i="14"/>
  <c r="N45" i="15"/>
  <c r="BX94" i="8"/>
  <c r="G13" i="22" s="1"/>
  <c r="BX96" i="8"/>
  <c r="G15" i="22" s="1"/>
  <c r="J39" i="16"/>
  <c r="N10" i="15"/>
  <c r="N11" i="14"/>
  <c r="N11" i="15"/>
  <c r="N12" i="14"/>
  <c r="N24" i="14"/>
  <c r="N23" i="15"/>
  <c r="E30" i="16"/>
  <c r="B32" i="13" s="1"/>
  <c r="N35" i="15"/>
  <c r="N36" i="14"/>
  <c r="BX101" i="8"/>
  <c r="G20" i="22" s="1"/>
  <c r="N36" i="15"/>
  <c r="N37" i="14"/>
  <c r="B27" i="22"/>
  <c r="V48" i="10"/>
  <c r="B47" i="22"/>
  <c r="E47" i="22" s="1"/>
  <c r="N40" i="14"/>
  <c r="N39" i="15"/>
  <c r="J46" i="16"/>
  <c r="B13" i="22"/>
  <c r="E32" i="16"/>
  <c r="B34" i="13" s="1"/>
  <c r="E20" i="16"/>
  <c r="D10" i="22"/>
  <c r="N49" i="14"/>
  <c r="N48" i="15"/>
  <c r="B28" i="22"/>
  <c r="N43" i="14"/>
  <c r="N42" i="15"/>
  <c r="V24" i="10"/>
  <c r="B23" i="22"/>
  <c r="E23" i="22" s="1"/>
  <c r="V13" i="10"/>
  <c r="B12" i="22"/>
  <c r="E12" i="22" s="1"/>
  <c r="N25" i="15"/>
  <c r="N26" i="14"/>
  <c r="N21" i="15"/>
  <c r="N22" i="14"/>
  <c r="N29" i="14"/>
  <c r="N28" i="15"/>
  <c r="E41" i="16"/>
  <c r="V30" i="10"/>
  <c r="B29" i="22"/>
  <c r="E29" i="22" s="1"/>
  <c r="J43" i="16"/>
  <c r="B24" i="22"/>
  <c r="BX99" i="8"/>
  <c r="G18" i="22" s="1"/>
  <c r="N33" i="15"/>
  <c r="N34" i="14"/>
  <c r="B25" i="22"/>
  <c r="N40" i="15"/>
  <c r="N41" i="14"/>
  <c r="E16" i="16"/>
  <c r="N13" i="14"/>
  <c r="N12" i="15"/>
  <c r="N22" i="15"/>
  <c r="N23" i="14"/>
  <c r="N17" i="15"/>
  <c r="N18" i="14"/>
  <c r="B43" i="22"/>
  <c r="K17" i="15"/>
  <c r="K21" i="14"/>
  <c r="J37" i="16" l="1"/>
  <c r="K37" i="16" s="1"/>
  <c r="H8" i="16"/>
  <c r="BL106" i="8"/>
  <c r="D27" i="13" s="1"/>
  <c r="AC25" i="22"/>
  <c r="BL123" i="8"/>
  <c r="D44" i="13" s="1"/>
  <c r="W44" i="13" s="1"/>
  <c r="AG44" i="13" s="1"/>
  <c r="AC42" i="22"/>
  <c r="BL118" i="8"/>
  <c r="D39" i="13" s="1"/>
  <c r="W39" i="13" s="1"/>
  <c r="AG39" i="13" s="1"/>
  <c r="AC37" i="22"/>
  <c r="BL130" i="8"/>
  <c r="D51" i="13" s="1"/>
  <c r="AC49" i="22"/>
  <c r="BL128" i="8"/>
  <c r="D49" i="13" s="1"/>
  <c r="AC47" i="22"/>
  <c r="BL108" i="8"/>
  <c r="D29" i="13" s="1"/>
  <c r="AC27" i="22"/>
  <c r="BL95" i="8"/>
  <c r="D16" i="13" s="1"/>
  <c r="AC14" i="22"/>
  <c r="BL99" i="8"/>
  <c r="D20" i="13" s="1"/>
  <c r="AC18" i="22"/>
  <c r="G31" i="16"/>
  <c r="J31" i="16" s="1"/>
  <c r="K31" i="16" s="1"/>
  <c r="AC31" i="22"/>
  <c r="BL126" i="8"/>
  <c r="D47" i="13" s="1"/>
  <c r="AC45" i="22"/>
  <c r="BL125" i="8"/>
  <c r="D46" i="13" s="1"/>
  <c r="AC44" i="22"/>
  <c r="G28" i="16"/>
  <c r="J28" i="16" s="1"/>
  <c r="AC28" i="22"/>
  <c r="BL91" i="8"/>
  <c r="D12" i="13" s="1"/>
  <c r="AC10" i="22"/>
  <c r="G33" i="16"/>
  <c r="J33" i="16" s="1"/>
  <c r="AC33" i="22"/>
  <c r="BL96" i="8"/>
  <c r="D17" i="13" s="1"/>
  <c r="AC15" i="22"/>
  <c r="BL97" i="8"/>
  <c r="D18" i="13" s="1"/>
  <c r="AC16" i="22"/>
  <c r="G26" i="16"/>
  <c r="J26" i="16" s="1"/>
  <c r="AC26" i="22"/>
  <c r="BL104" i="8"/>
  <c r="D25" i="13" s="1"/>
  <c r="AC23" i="22"/>
  <c r="BL110" i="8"/>
  <c r="D31" i="13" s="1"/>
  <c r="AC29" i="22"/>
  <c r="G13" i="16"/>
  <c r="J13" i="16" s="1"/>
  <c r="AC13" i="22"/>
  <c r="BL122" i="8"/>
  <c r="D43" i="13" s="1"/>
  <c r="AC41" i="22"/>
  <c r="G22" i="16"/>
  <c r="J22" i="16" s="1"/>
  <c r="K22" i="16" s="1"/>
  <c r="AC22" i="22"/>
  <c r="G17" i="16"/>
  <c r="J17" i="16" s="1"/>
  <c r="AC17" i="22"/>
  <c r="BL111" i="8"/>
  <c r="D32" i="13" s="1"/>
  <c r="W32" i="13" s="1"/>
  <c r="AC30" i="22"/>
  <c r="BL127" i="8"/>
  <c r="D48" i="13" s="1"/>
  <c r="AC46" i="22"/>
  <c r="G24" i="16"/>
  <c r="J24" i="16" s="1"/>
  <c r="AC24" i="22"/>
  <c r="BL124" i="8"/>
  <c r="D45" i="13" s="1"/>
  <c r="AC43" i="22"/>
  <c r="BL100" i="8"/>
  <c r="D21" i="13" s="1"/>
  <c r="AC19" i="22"/>
  <c r="BL117" i="8"/>
  <c r="D38" i="13" s="1"/>
  <c r="AC36" i="22"/>
  <c r="G21" i="16"/>
  <c r="J21" i="16" s="1"/>
  <c r="AC21" i="22"/>
  <c r="G11" i="16"/>
  <c r="J11" i="16" s="1"/>
  <c r="AC11" i="22"/>
  <c r="BL120" i="8"/>
  <c r="D41" i="13" s="1"/>
  <c r="AC39" i="22"/>
  <c r="BL129" i="8"/>
  <c r="D50" i="13" s="1"/>
  <c r="AC48" i="22"/>
  <c r="BL121" i="8"/>
  <c r="D42" i="13" s="1"/>
  <c r="AC40" i="22"/>
  <c r="G12" i="16"/>
  <c r="J12" i="16" s="1"/>
  <c r="AC12" i="22"/>
  <c r="BL113" i="8"/>
  <c r="D34" i="13" s="1"/>
  <c r="W34" i="13" s="1"/>
  <c r="AC32" i="22"/>
  <c r="BL115" i="8"/>
  <c r="D36" i="13" s="1"/>
  <c r="W36" i="13" s="1"/>
  <c r="AC34" i="22"/>
  <c r="BL116" i="8"/>
  <c r="D37" i="13" s="1"/>
  <c r="AC35" i="22"/>
  <c r="BL119" i="8"/>
  <c r="D40" i="13" s="1"/>
  <c r="AC38" i="22"/>
  <c r="BL101" i="8"/>
  <c r="D22" i="13" s="1"/>
  <c r="AC20" i="22"/>
  <c r="E22" i="22"/>
  <c r="L12" i="14"/>
  <c r="BU13" i="22"/>
  <c r="AF13" i="22"/>
  <c r="E10" i="16"/>
  <c r="B12" i="13" s="1"/>
  <c r="F9" i="13"/>
  <c r="J41" i="16"/>
  <c r="K41" i="16" s="1"/>
  <c r="H7" i="16"/>
  <c r="D33" i="15"/>
  <c r="E33" i="15" s="1"/>
  <c r="E38" i="16"/>
  <c r="K38" i="16" s="1"/>
  <c r="B11" i="14"/>
  <c r="L11" i="14" s="1"/>
  <c r="E19" i="16"/>
  <c r="B21" i="13" s="1"/>
  <c r="Y21" i="13" s="1"/>
  <c r="H7" i="22"/>
  <c r="E40" i="16"/>
  <c r="B42" i="13" s="1"/>
  <c r="N15" i="14"/>
  <c r="E39" i="22"/>
  <c r="D20" i="15"/>
  <c r="E20" i="15" s="1"/>
  <c r="B11" i="15"/>
  <c r="L11" i="15" s="1"/>
  <c r="BL94" i="8"/>
  <c r="D15" i="13" s="1"/>
  <c r="B31" i="15"/>
  <c r="D10" i="15"/>
  <c r="BX116" i="8"/>
  <c r="G35" i="22" s="1"/>
  <c r="AD35" i="22" s="1"/>
  <c r="B14" i="14"/>
  <c r="D11" i="15"/>
  <c r="N14" i="14"/>
  <c r="V23" i="10"/>
  <c r="B16" i="14"/>
  <c r="BX119" i="8"/>
  <c r="G38" i="22" s="1"/>
  <c r="J38" i="22" s="1"/>
  <c r="E43" i="22"/>
  <c r="B35" i="15"/>
  <c r="B20" i="15"/>
  <c r="V11" i="10"/>
  <c r="D14" i="14"/>
  <c r="E14" i="14" s="1"/>
  <c r="E14" i="16"/>
  <c r="B16" i="13" s="1"/>
  <c r="E31" i="22"/>
  <c r="B19" i="15"/>
  <c r="G10" i="16"/>
  <c r="J10" i="16" s="1"/>
  <c r="B30" i="14"/>
  <c r="AL19" i="5"/>
  <c r="D14" i="15"/>
  <c r="E14" i="15" s="1"/>
  <c r="AJ19" i="5"/>
  <c r="AX19" i="5"/>
  <c r="N39" i="14"/>
  <c r="D29" i="14"/>
  <c r="E29" i="14" s="1"/>
  <c r="N17" i="14"/>
  <c r="E13" i="16"/>
  <c r="AG13" i="22"/>
  <c r="BR13" i="22"/>
  <c r="CA13" i="22"/>
  <c r="G20" i="16"/>
  <c r="J20" i="16" s="1"/>
  <c r="K20" i="16" s="1"/>
  <c r="BC13" i="22"/>
  <c r="N27" i="14"/>
  <c r="N48" i="14"/>
  <c r="B23" i="14"/>
  <c r="B23" i="15"/>
  <c r="V27" i="10"/>
  <c r="E14" i="22"/>
  <c r="B34" i="22"/>
  <c r="E34" i="22" s="1"/>
  <c r="V44" i="10"/>
  <c r="V15" i="10"/>
  <c r="B19" i="22"/>
  <c r="E19" i="22" s="1"/>
  <c r="J32" i="22"/>
  <c r="BL92" i="8"/>
  <c r="D13" i="13" s="1"/>
  <c r="BL109" i="8"/>
  <c r="D30" i="13" s="1"/>
  <c r="U19" i="5"/>
  <c r="AE19" i="5"/>
  <c r="AF19" i="5"/>
  <c r="AU19" i="5"/>
  <c r="W19" i="5"/>
  <c r="AD19" i="5"/>
  <c r="AH19" i="5"/>
  <c r="BL114" i="8"/>
  <c r="D35" i="13" s="1"/>
  <c r="N50" i="14"/>
  <c r="D18" i="14"/>
  <c r="V36" i="10"/>
  <c r="BU90" i="8"/>
  <c r="D36" i="14"/>
  <c r="E36" i="14" s="1"/>
  <c r="AY19" i="5"/>
  <c r="AA19" i="5"/>
  <c r="V19" i="5"/>
  <c r="AS19" i="5"/>
  <c r="AT19" i="5"/>
  <c r="G32" i="16"/>
  <c r="J32" i="16" s="1"/>
  <c r="K32" i="16" s="1"/>
  <c r="B28" i="14"/>
  <c r="B40" i="14"/>
  <c r="G23" i="16"/>
  <c r="J23" i="16" s="1"/>
  <c r="D20" i="14"/>
  <c r="E20" i="14" s="1"/>
  <c r="BL107" i="8"/>
  <c r="D28" i="13" s="1"/>
  <c r="G29" i="16"/>
  <c r="J29" i="16" s="1"/>
  <c r="B27" i="14"/>
  <c r="D30" i="14"/>
  <c r="E30" i="14" s="1"/>
  <c r="N37" i="15"/>
  <c r="D17" i="14"/>
  <c r="B16" i="15"/>
  <c r="N29" i="15"/>
  <c r="G14" i="16"/>
  <c r="J14" i="16" s="1"/>
  <c r="N32" i="15"/>
  <c r="B18" i="14"/>
  <c r="E33" i="16"/>
  <c r="B35" i="13" s="1"/>
  <c r="Y35" i="13" s="1"/>
  <c r="BL105" i="8"/>
  <c r="D26" i="13" s="1"/>
  <c r="E12" i="16"/>
  <c r="B14" i="13" s="1"/>
  <c r="D23" i="14"/>
  <c r="E23" i="14" s="1"/>
  <c r="BL103" i="8"/>
  <c r="D24" i="13" s="1"/>
  <c r="W24" i="13" s="1"/>
  <c r="BL93" i="8"/>
  <c r="D14" i="13" s="1"/>
  <c r="BX122" i="8"/>
  <c r="G41" i="22" s="1"/>
  <c r="AD41" i="22" s="1"/>
  <c r="J47" i="16"/>
  <c r="E27" i="22"/>
  <c r="D41" i="15"/>
  <c r="E41" i="15" s="1"/>
  <c r="V28" i="10"/>
  <c r="E29" i="16"/>
  <c r="B31" i="13" s="1"/>
  <c r="E27" i="16"/>
  <c r="B29" i="13" s="1"/>
  <c r="Y29" i="13" s="1"/>
  <c r="B34" i="14"/>
  <c r="G27" i="16"/>
  <c r="J27" i="16" s="1"/>
  <c r="V21" i="10"/>
  <c r="B14" i="15"/>
  <c r="E20" i="22"/>
  <c r="J14" i="22"/>
  <c r="E47" i="16"/>
  <c r="B49" i="13" s="1"/>
  <c r="E11" i="16"/>
  <c r="B13" i="13" s="1"/>
  <c r="Y13" i="13" s="1"/>
  <c r="B48" i="14"/>
  <c r="D40" i="15"/>
  <c r="E40" i="15" s="1"/>
  <c r="E28" i="16"/>
  <c r="B30" i="13" s="1"/>
  <c r="X30" i="13" s="1"/>
  <c r="E21" i="16"/>
  <c r="AI19" i="5"/>
  <c r="S19" i="5"/>
  <c r="AR19" i="5"/>
  <c r="N19" i="5"/>
  <c r="AM19" i="5"/>
  <c r="AW19" i="5"/>
  <c r="T19" i="5"/>
  <c r="E17" i="16"/>
  <c r="B19" i="13" s="1"/>
  <c r="Y19" i="13" s="1"/>
  <c r="N47" i="14"/>
  <c r="G16" i="16"/>
  <c r="J16" i="16" s="1"/>
  <c r="K16" i="16" s="1"/>
  <c r="Q19" i="5"/>
  <c r="O19" i="5"/>
  <c r="R19" i="5"/>
  <c r="AZ19" i="5"/>
  <c r="Z19" i="5"/>
  <c r="AG19" i="5"/>
  <c r="AC19" i="5"/>
  <c r="E25" i="16"/>
  <c r="B27" i="13" s="1"/>
  <c r="X27" i="13" s="1"/>
  <c r="AV19" i="5"/>
  <c r="AB19" i="5"/>
  <c r="P19" i="5"/>
  <c r="AQ19" i="5"/>
  <c r="AP19" i="5"/>
  <c r="AO19" i="5"/>
  <c r="AK19" i="5"/>
  <c r="AN19" i="5"/>
  <c r="Y19" i="5"/>
  <c r="M19" i="5"/>
  <c r="E45" i="16"/>
  <c r="B47" i="13" s="1"/>
  <c r="X47" i="13" s="1"/>
  <c r="E35" i="22"/>
  <c r="AI13" i="22"/>
  <c r="BZ13" i="22"/>
  <c r="BL13" i="22"/>
  <c r="E32" i="22"/>
  <c r="D39" i="14"/>
  <c r="E39" i="14" s="1"/>
  <c r="E13" i="22"/>
  <c r="BJ13" i="22"/>
  <c r="BH13" i="22"/>
  <c r="AY13" i="22"/>
  <c r="N21" i="14"/>
  <c r="BG13" i="22"/>
  <c r="CC13" i="22"/>
  <c r="BF13" i="22"/>
  <c r="E37" i="22"/>
  <c r="V49" i="10"/>
  <c r="AL13" i="22"/>
  <c r="BK13" i="22"/>
  <c r="E28" i="22"/>
  <c r="N28" i="14"/>
  <c r="N24" i="15"/>
  <c r="V38" i="10"/>
  <c r="N44" i="15"/>
  <c r="B50" i="14"/>
  <c r="B48" i="22"/>
  <c r="E48" i="22" s="1"/>
  <c r="AM13" i="22"/>
  <c r="BT13" i="22"/>
  <c r="BA13" i="22"/>
  <c r="AP13" i="22"/>
  <c r="A14" i="22"/>
  <c r="BP13" i="22"/>
  <c r="AX13" i="22"/>
  <c r="AK13" i="22"/>
  <c r="AO13" i="22"/>
  <c r="CD13" i="22"/>
  <c r="AS13" i="22"/>
  <c r="BV13" i="22"/>
  <c r="BX13" i="22"/>
  <c r="BW13" i="22"/>
  <c r="BS13" i="22"/>
  <c r="AZ13" i="22"/>
  <c r="BN13" i="22"/>
  <c r="BO13" i="22"/>
  <c r="BB13" i="22"/>
  <c r="CB13" i="22"/>
  <c r="AR13" i="22"/>
  <c r="AT13" i="22"/>
  <c r="AN13" i="22"/>
  <c r="AW13" i="22"/>
  <c r="BI13" i="22"/>
  <c r="AU13" i="22"/>
  <c r="V29" i="10"/>
  <c r="X7" i="5"/>
  <c r="CF13" i="22"/>
  <c r="BY13" i="22"/>
  <c r="AJ13" i="22"/>
  <c r="AQ13" i="22"/>
  <c r="CE13" i="22"/>
  <c r="CG13" i="22"/>
  <c r="BE13" i="22"/>
  <c r="AV13" i="22"/>
  <c r="BQ13" i="22"/>
  <c r="AH13" i="22"/>
  <c r="BM13" i="22"/>
  <c r="BD13" i="22"/>
  <c r="CH13" i="22"/>
  <c r="V14" i="10"/>
  <c r="BX93" i="8"/>
  <c r="G12" i="22" s="1"/>
  <c r="AD12" i="22" s="1"/>
  <c r="V33" i="10"/>
  <c r="BX126" i="8"/>
  <c r="G45" i="22" s="1"/>
  <c r="AD45" i="22" s="1"/>
  <c r="Y4" i="5"/>
  <c r="AB7" i="5"/>
  <c r="J31" i="22"/>
  <c r="J48" i="16"/>
  <c r="E23" i="16"/>
  <c r="B25" i="13" s="1"/>
  <c r="AV14" i="5"/>
  <c r="V50" i="10"/>
  <c r="J16" i="22"/>
  <c r="E49" i="22"/>
  <c r="V32" i="10"/>
  <c r="V17" i="10"/>
  <c r="E16" i="22"/>
  <c r="AO14" i="5"/>
  <c r="G15" i="16"/>
  <c r="J15" i="16" s="1"/>
  <c r="E26" i="16"/>
  <c r="B28" i="13" s="1"/>
  <c r="Z4" i="5"/>
  <c r="U15" i="5"/>
  <c r="D46" i="15"/>
  <c r="E46" i="15" s="1"/>
  <c r="R5" i="5"/>
  <c r="B40" i="15"/>
  <c r="D43" i="15"/>
  <c r="E43" i="15" s="1"/>
  <c r="B43" i="14"/>
  <c r="D33" i="14"/>
  <c r="E33" i="14" s="1"/>
  <c r="AP5" i="5"/>
  <c r="E36" i="22"/>
  <c r="B36" i="15"/>
  <c r="BX117" i="8"/>
  <c r="G36" i="22" s="1"/>
  <c r="J36" i="22" s="1"/>
  <c r="B43" i="15"/>
  <c r="E38" i="22"/>
  <c r="BL102" i="8"/>
  <c r="D23" i="13" s="1"/>
  <c r="D48" i="14"/>
  <c r="E48" i="14" s="1"/>
  <c r="D13" i="14"/>
  <c r="E13" i="14" s="1"/>
  <c r="B33" i="14"/>
  <c r="AW6" i="5"/>
  <c r="D34" i="15"/>
  <c r="E34" i="15" s="1"/>
  <c r="E41" i="22"/>
  <c r="BL98" i="8"/>
  <c r="D19" i="13" s="1"/>
  <c r="D26" i="15"/>
  <c r="E26" i="15" s="1"/>
  <c r="D24" i="15"/>
  <c r="E24" i="15" s="1"/>
  <c r="B21" i="15"/>
  <c r="D37" i="15"/>
  <c r="E37" i="15" s="1"/>
  <c r="D50" i="14"/>
  <c r="E50" i="14" s="1"/>
  <c r="B35" i="14"/>
  <c r="B12" i="15"/>
  <c r="B44" i="15"/>
  <c r="AP15" i="5"/>
  <c r="AO6" i="5"/>
  <c r="W6" i="5"/>
  <c r="M6" i="5"/>
  <c r="J30" i="22"/>
  <c r="B45" i="15"/>
  <c r="BP90" i="8"/>
  <c r="V42" i="10"/>
  <c r="E25" i="22"/>
  <c r="X6" i="5"/>
  <c r="AD32" i="22"/>
  <c r="J40" i="16"/>
  <c r="N18" i="15"/>
  <c r="E46" i="16"/>
  <c r="B48" i="13" s="1"/>
  <c r="E24" i="16"/>
  <c r="B26" i="13" s="1"/>
  <c r="X26" i="13" s="1"/>
  <c r="E15" i="16"/>
  <c r="B17" i="13" s="1"/>
  <c r="N15" i="15"/>
  <c r="AS4" i="5"/>
  <c r="N30" i="15"/>
  <c r="AW14" i="5"/>
  <c r="M14" i="5"/>
  <c r="P14" i="5"/>
  <c r="D48" i="15"/>
  <c r="E48" i="15" s="1"/>
  <c r="B42" i="14"/>
  <c r="BL112" i="8"/>
  <c r="D33" i="13" s="1"/>
  <c r="V39" i="10"/>
  <c r="E18" i="16"/>
  <c r="B20" i="13" s="1"/>
  <c r="X20" i="13" s="1"/>
  <c r="U14" i="5"/>
  <c r="AX14" i="5"/>
  <c r="E24" i="22"/>
  <c r="D28" i="14"/>
  <c r="E28" i="14" s="1"/>
  <c r="V45" i="10"/>
  <c r="B25" i="15"/>
  <c r="B39" i="14"/>
  <c r="B29" i="14"/>
  <c r="E48" i="16"/>
  <c r="B50" i="13" s="1"/>
  <c r="X50" i="13" s="1"/>
  <c r="S4" i="5"/>
  <c r="D40" i="14"/>
  <c r="E40" i="14" s="1"/>
  <c r="W4" i="5"/>
  <c r="S14" i="5"/>
  <c r="AG14" i="5"/>
  <c r="AM14" i="5"/>
  <c r="V25" i="10"/>
  <c r="E44" i="22"/>
  <c r="C6" i="15"/>
  <c r="N43" i="15"/>
  <c r="D42" i="15"/>
  <c r="E42" i="15" s="1"/>
  <c r="N5" i="5"/>
  <c r="AT5" i="5"/>
  <c r="AY7" i="5"/>
  <c r="AQ7" i="5"/>
  <c r="D26" i="14"/>
  <c r="E26" i="14" s="1"/>
  <c r="AW5" i="5"/>
  <c r="AD7" i="5"/>
  <c r="AZ7" i="5"/>
  <c r="V31" i="10"/>
  <c r="AS5" i="5"/>
  <c r="D16" i="14"/>
  <c r="AR7" i="5"/>
  <c r="O7" i="5"/>
  <c r="N7" i="5"/>
  <c r="V7" i="5"/>
  <c r="J23" i="22"/>
  <c r="K23" i="22" s="1"/>
  <c r="B8" i="16"/>
  <c r="AZ5" i="5"/>
  <c r="AJ5" i="5"/>
  <c r="C6" i="14"/>
  <c r="AG5" i="5"/>
  <c r="S5" i="5"/>
  <c r="AR4" i="5"/>
  <c r="U4" i="5"/>
  <c r="AF4" i="5"/>
  <c r="AU4" i="5"/>
  <c r="AH4" i="5"/>
  <c r="B48" i="15"/>
  <c r="AH6" i="5"/>
  <c r="U6" i="5"/>
  <c r="O6" i="5"/>
  <c r="AJ6" i="5"/>
  <c r="AF6" i="5"/>
  <c r="U8" i="10"/>
  <c r="B38" i="14"/>
  <c r="B25" i="14"/>
  <c r="AE7" i="5"/>
  <c r="AK7" i="5"/>
  <c r="AC7" i="5"/>
  <c r="Y7" i="5"/>
  <c r="AU7" i="5"/>
  <c r="AX7" i="5"/>
  <c r="AH7" i="5"/>
  <c r="W7" i="5"/>
  <c r="AG7" i="5"/>
  <c r="AW7" i="5"/>
  <c r="B45" i="22"/>
  <c r="E45" i="22" s="1"/>
  <c r="I7" i="22"/>
  <c r="B46" i="15"/>
  <c r="T7" i="5"/>
  <c r="P7" i="5"/>
  <c r="S7" i="5"/>
  <c r="AS7" i="5"/>
  <c r="AA7" i="5"/>
  <c r="AV7" i="5"/>
  <c r="AP7" i="5"/>
  <c r="U7" i="5"/>
  <c r="AN7" i="5"/>
  <c r="AF7" i="5"/>
  <c r="D44" i="15"/>
  <c r="E44" i="15" s="1"/>
  <c r="B19" i="14"/>
  <c r="AA4" i="5"/>
  <c r="AP4" i="5"/>
  <c r="AL4" i="5"/>
  <c r="AM4" i="5"/>
  <c r="AY4" i="5"/>
  <c r="N31" i="15"/>
  <c r="D46" i="14"/>
  <c r="E46" i="14" s="1"/>
  <c r="Z6" i="5"/>
  <c r="AG6" i="5"/>
  <c r="AU6" i="5"/>
  <c r="P6" i="5"/>
  <c r="AM6" i="5"/>
  <c r="D24" i="14"/>
  <c r="E24" i="14" s="1"/>
  <c r="V43" i="10"/>
  <c r="O4" i="5"/>
  <c r="R4" i="5"/>
  <c r="P4" i="5"/>
  <c r="AJ4" i="5"/>
  <c r="AO4" i="5"/>
  <c r="D21" i="15"/>
  <c r="E21" i="15" s="1"/>
  <c r="D32" i="14"/>
  <c r="E32" i="14" s="1"/>
  <c r="V40" i="10"/>
  <c r="AS6" i="5"/>
  <c r="AC6" i="5"/>
  <c r="AN6" i="5"/>
  <c r="AV6" i="5"/>
  <c r="AE6" i="5"/>
  <c r="G18" i="16"/>
  <c r="J18" i="16" s="1"/>
  <c r="D36" i="15"/>
  <c r="E36" i="15" s="1"/>
  <c r="B30" i="15"/>
  <c r="AI7" i="5"/>
  <c r="AJ7" i="5"/>
  <c r="AL7" i="5"/>
  <c r="Z7" i="5"/>
  <c r="R7" i="5"/>
  <c r="AO7" i="5"/>
  <c r="AT7" i="5"/>
  <c r="AM7" i="5"/>
  <c r="M7" i="5"/>
  <c r="E15" i="15"/>
  <c r="G34" i="16"/>
  <c r="J34" i="16" s="1"/>
  <c r="K34" i="16" s="1"/>
  <c r="Y5" i="5"/>
  <c r="AE5" i="5"/>
  <c r="AR5" i="5"/>
  <c r="AI5" i="5"/>
  <c r="AL5" i="5"/>
  <c r="V16" i="10"/>
  <c r="AH5" i="5"/>
  <c r="AN5" i="5"/>
  <c r="P5" i="5"/>
  <c r="AC5" i="5"/>
  <c r="AK5" i="5"/>
  <c r="J40" i="22"/>
  <c r="V41" i="10"/>
  <c r="AD11" i="22"/>
  <c r="AD23" i="22"/>
  <c r="D30" i="15"/>
  <c r="E30" i="15" s="1"/>
  <c r="G30" i="16"/>
  <c r="J30" i="16" s="1"/>
  <c r="K30" i="16" s="1"/>
  <c r="N19" i="15"/>
  <c r="BT90" i="8"/>
  <c r="D7" i="16"/>
  <c r="J19" i="22"/>
  <c r="N4" i="5"/>
  <c r="AQ4" i="5"/>
  <c r="AW4" i="5"/>
  <c r="AC4" i="5"/>
  <c r="AD4" i="5"/>
  <c r="AK4" i="5"/>
  <c r="AI4" i="5"/>
  <c r="Q4" i="5"/>
  <c r="AG4" i="5"/>
  <c r="V4" i="5"/>
  <c r="V26" i="10"/>
  <c r="E30" i="22"/>
  <c r="N6" i="5"/>
  <c r="S6" i="5"/>
  <c r="AT6" i="5"/>
  <c r="AB6" i="5"/>
  <c r="R6" i="5"/>
  <c r="AK6" i="5"/>
  <c r="T6" i="5"/>
  <c r="AA6" i="5"/>
  <c r="AR6" i="5"/>
  <c r="Y6" i="5"/>
  <c r="AF5" i="5"/>
  <c r="AV5" i="5"/>
  <c r="AD5" i="5"/>
  <c r="AA5" i="5"/>
  <c r="AX5" i="5"/>
  <c r="Q5" i="5"/>
  <c r="T5" i="5"/>
  <c r="AO5" i="5"/>
  <c r="V5" i="5"/>
  <c r="U5" i="5"/>
  <c r="V19" i="10"/>
  <c r="E40" i="22"/>
  <c r="P18" i="11"/>
  <c r="BX120" i="8"/>
  <c r="G39" i="22" s="1"/>
  <c r="J39" i="22" s="1"/>
  <c r="BQ90" i="8"/>
  <c r="BX124" i="8"/>
  <c r="G43" i="22" s="1"/>
  <c r="J43" i="22" s="1"/>
  <c r="E36" i="16"/>
  <c r="K36" i="16" s="1"/>
  <c r="T4" i="5"/>
  <c r="AN4" i="5"/>
  <c r="AV4" i="5"/>
  <c r="M4" i="5"/>
  <c r="AX4" i="5"/>
  <c r="AB4" i="5"/>
  <c r="AE4" i="5"/>
  <c r="AT4" i="5"/>
  <c r="AZ4" i="5"/>
  <c r="V37" i="10"/>
  <c r="AL6" i="5"/>
  <c r="AP6" i="5"/>
  <c r="AD6" i="5"/>
  <c r="AI6" i="5"/>
  <c r="Q6" i="5"/>
  <c r="AX6" i="5"/>
  <c r="V6" i="5"/>
  <c r="AZ6" i="5"/>
  <c r="AY6" i="5"/>
  <c r="X5" i="5"/>
  <c r="AY5" i="5"/>
  <c r="AQ5" i="5"/>
  <c r="AM5" i="5"/>
  <c r="AB5" i="5"/>
  <c r="Z5" i="5"/>
  <c r="W5" i="5"/>
  <c r="M5" i="5"/>
  <c r="AU5" i="5"/>
  <c r="E42" i="22"/>
  <c r="S8" i="10"/>
  <c r="M8" i="5" a="1"/>
  <c r="N8" i="5" s="1"/>
  <c r="AJ15" i="5"/>
  <c r="AC15" i="5"/>
  <c r="B7" i="16"/>
  <c r="D18" i="15"/>
  <c r="E18" i="15" s="1"/>
  <c r="Q8" i="10"/>
  <c r="AB15" i="5"/>
  <c r="AG15" i="5"/>
  <c r="AI15" i="5"/>
  <c r="BX102" i="8"/>
  <c r="G21" i="22" s="1"/>
  <c r="J21" i="22" s="1"/>
  <c r="K21" i="22" s="1"/>
  <c r="G25" i="16"/>
  <c r="J25" i="16" s="1"/>
  <c r="AL15" i="5"/>
  <c r="Z15" i="5"/>
  <c r="N15" i="5"/>
  <c r="C7" i="22"/>
  <c r="I7" i="16"/>
  <c r="M13" i="5" a="1"/>
  <c r="T13" i="5" s="1"/>
  <c r="AD14" i="22"/>
  <c r="J47" i="22"/>
  <c r="K47" i="22" s="1"/>
  <c r="AL14" i="5"/>
  <c r="AE14" i="5"/>
  <c r="AR14" i="5"/>
  <c r="V14" i="5"/>
  <c r="R14" i="5"/>
  <c r="X14" i="5"/>
  <c r="AF14" i="5"/>
  <c r="O14" i="5"/>
  <c r="AQ14" i="5"/>
  <c r="AZ14" i="5"/>
  <c r="AN15" i="5"/>
  <c r="AA15" i="5"/>
  <c r="R15" i="5"/>
  <c r="Y15" i="5"/>
  <c r="AW15" i="5"/>
  <c r="AT15" i="5"/>
  <c r="AF15" i="5"/>
  <c r="AS15" i="5"/>
  <c r="W15" i="5"/>
  <c r="AQ15" i="5"/>
  <c r="BH90" i="8"/>
  <c r="N42" i="14"/>
  <c r="E46" i="22"/>
  <c r="AA14" i="5"/>
  <c r="AK14" i="5"/>
  <c r="W14" i="5"/>
  <c r="AJ14" i="5"/>
  <c r="AH14" i="5"/>
  <c r="T14" i="5"/>
  <c r="AU14" i="5"/>
  <c r="AD14" i="5"/>
  <c r="AI14" i="5"/>
  <c r="AP14" i="5"/>
  <c r="Q15" i="5"/>
  <c r="P15" i="5"/>
  <c r="AM15" i="5"/>
  <c r="S15" i="5"/>
  <c r="AU15" i="5"/>
  <c r="V15" i="5"/>
  <c r="X15" i="5"/>
  <c r="AH15" i="5"/>
  <c r="AD15" i="5"/>
  <c r="AE15" i="5"/>
  <c r="D8" i="16"/>
  <c r="G19" i="16"/>
  <c r="J19" i="16" s="1"/>
  <c r="I8" i="16"/>
  <c r="Z14" i="5"/>
  <c r="Y14" i="5"/>
  <c r="AC14" i="5"/>
  <c r="AT14" i="5"/>
  <c r="AN14" i="5"/>
  <c r="AB14" i="5"/>
  <c r="AY14" i="5"/>
  <c r="N14" i="5"/>
  <c r="Q14" i="5"/>
  <c r="AO15" i="5"/>
  <c r="AV15" i="5"/>
  <c r="O15" i="5"/>
  <c r="T15" i="5"/>
  <c r="AX15" i="5"/>
  <c r="AZ15" i="5"/>
  <c r="AK15" i="5"/>
  <c r="AR15" i="5"/>
  <c r="AY15" i="5"/>
  <c r="BG90" i="8"/>
  <c r="V47" i="10"/>
  <c r="C8" i="16"/>
  <c r="AN29" i="9"/>
  <c r="K42" i="16"/>
  <c r="C7" i="16"/>
  <c r="E18" i="22"/>
  <c r="T8" i="10"/>
  <c r="BZ90" i="8"/>
  <c r="S18" i="11"/>
  <c r="E9" i="13"/>
  <c r="BE90" i="8"/>
  <c r="K11" i="22"/>
  <c r="AD29" i="22"/>
  <c r="J29" i="22"/>
  <c r="K29" i="22" s="1"/>
  <c r="J25" i="22"/>
  <c r="AD25" i="22"/>
  <c r="J44" i="22"/>
  <c r="AD44" i="22"/>
  <c r="B18" i="13"/>
  <c r="B41" i="13"/>
  <c r="K39" i="16"/>
  <c r="X34" i="13"/>
  <c r="Y34" i="13"/>
  <c r="J42" i="22"/>
  <c r="AD42" i="22"/>
  <c r="O11" i="14"/>
  <c r="B45" i="13"/>
  <c r="K43" i="16"/>
  <c r="AD28" i="22"/>
  <c r="J28" i="22"/>
  <c r="AD22" i="22"/>
  <c r="J22" i="22"/>
  <c r="J48" i="22"/>
  <c r="AD48" i="22"/>
  <c r="J33" i="22"/>
  <c r="K33" i="22" s="1"/>
  <c r="AD33" i="22"/>
  <c r="J18" i="22"/>
  <c r="AD18" i="22"/>
  <c r="B43" i="13"/>
  <c r="B46" i="13"/>
  <c r="K44" i="16"/>
  <c r="B22" i="13"/>
  <c r="X32" i="13"/>
  <c r="Y32" i="13"/>
  <c r="O10" i="15"/>
  <c r="P10" i="15" s="1"/>
  <c r="O11" i="15" s="1"/>
  <c r="P11" i="15" s="1"/>
  <c r="O12" i="15" s="1"/>
  <c r="AD15" i="22"/>
  <c r="J15" i="22"/>
  <c r="K15" i="22" s="1"/>
  <c r="J46" i="22"/>
  <c r="AD46" i="22"/>
  <c r="J26" i="22"/>
  <c r="K26" i="22" s="1"/>
  <c r="AD26" i="22"/>
  <c r="E10" i="22"/>
  <c r="B51" i="13"/>
  <c r="K49" i="16"/>
  <c r="G10" i="22"/>
  <c r="AD37" i="22"/>
  <c r="J37" i="22"/>
  <c r="J20" i="22"/>
  <c r="AD20" i="22"/>
  <c r="J13" i="22"/>
  <c r="AD13" i="22"/>
  <c r="X44" i="13"/>
  <c r="Y44" i="13"/>
  <c r="B33" i="13"/>
  <c r="J27" i="22"/>
  <c r="AD27" i="22"/>
  <c r="L10" i="15"/>
  <c r="Y39" i="13"/>
  <c r="X39" i="13"/>
  <c r="J34" i="22"/>
  <c r="AD34" i="22"/>
  <c r="AD17" i="22"/>
  <c r="J17" i="22"/>
  <c r="K17" i="22" s="1"/>
  <c r="X24" i="13"/>
  <c r="Y24" i="13"/>
  <c r="B37" i="13"/>
  <c r="K35" i="16"/>
  <c r="J24" i="22"/>
  <c r="AD24" i="22"/>
  <c r="X36" i="13"/>
  <c r="Y36" i="13"/>
  <c r="AD49" i="22"/>
  <c r="J49" i="22"/>
  <c r="J18" i="15"/>
  <c r="K18" i="15" s="1"/>
  <c r="J19" i="15" s="1"/>
  <c r="J22" i="14"/>
  <c r="AH34" i="13" l="1"/>
  <c r="AG34" i="13"/>
  <c r="AH36" i="13"/>
  <c r="AG36" i="13"/>
  <c r="W48" i="13"/>
  <c r="AH48" i="13" s="1"/>
  <c r="K22" i="22"/>
  <c r="W17" i="13"/>
  <c r="AH17" i="13" s="1"/>
  <c r="F14" i="14"/>
  <c r="G14" i="14" s="1"/>
  <c r="L14" i="14" s="1"/>
  <c r="F13" i="14"/>
  <c r="G13" i="14" s="1"/>
  <c r="L13" i="14" s="1"/>
  <c r="AC7" i="22"/>
  <c r="E12" i="15"/>
  <c r="F12" i="15" s="1"/>
  <c r="G12" i="15" s="1"/>
  <c r="F13" i="15" s="1"/>
  <c r="G13" i="15" s="1"/>
  <c r="L13" i="15" s="1"/>
  <c r="K13" i="16"/>
  <c r="BD14" i="22"/>
  <c r="AF14" i="22"/>
  <c r="K21" i="16"/>
  <c r="E17" i="15"/>
  <c r="E18" i="14"/>
  <c r="W21" i="13"/>
  <c r="AA21" i="13" s="1"/>
  <c r="X21" i="13"/>
  <c r="K19" i="16"/>
  <c r="B40" i="13"/>
  <c r="X40" i="13" s="1"/>
  <c r="K40" i="16"/>
  <c r="K39" i="22"/>
  <c r="J35" i="22"/>
  <c r="K35" i="22" s="1"/>
  <c r="W19" i="13"/>
  <c r="AA19" i="13" s="1"/>
  <c r="K31" i="22"/>
  <c r="E16" i="15"/>
  <c r="AD38" i="22"/>
  <c r="Y27" i="13"/>
  <c r="B15" i="13"/>
  <c r="W15" i="13" s="1"/>
  <c r="K43" i="22"/>
  <c r="K16" i="22"/>
  <c r="W27" i="13"/>
  <c r="AH27" i="13" s="1"/>
  <c r="B23" i="13"/>
  <c r="Y23" i="13" s="1"/>
  <c r="K14" i="16"/>
  <c r="X29" i="13"/>
  <c r="E15" i="14"/>
  <c r="K25" i="16"/>
  <c r="K19" i="22"/>
  <c r="X13" i="13"/>
  <c r="W29" i="13"/>
  <c r="AH29" i="13" s="1"/>
  <c r="K11" i="16"/>
  <c r="J45" i="22"/>
  <c r="K45" i="22" s="1"/>
  <c r="K34" i="22"/>
  <c r="J12" i="22"/>
  <c r="K12" i="22" s="1"/>
  <c r="K32" i="22"/>
  <c r="K27" i="16"/>
  <c r="W13" i="13"/>
  <c r="AH13" i="13" s="1"/>
  <c r="AX14" i="22"/>
  <c r="K14" i="22"/>
  <c r="W35" i="13"/>
  <c r="AH35" i="13" s="1"/>
  <c r="X35" i="13"/>
  <c r="BL14" i="22"/>
  <c r="K29" i="16"/>
  <c r="A15" i="22"/>
  <c r="BY14" i="22"/>
  <c r="K47" i="16"/>
  <c r="J41" i="22"/>
  <c r="K41" i="22" s="1"/>
  <c r="K20" i="22"/>
  <c r="K12" i="16"/>
  <c r="K33" i="16"/>
  <c r="K27" i="22"/>
  <c r="K18" i="16"/>
  <c r="K17" i="16"/>
  <c r="X19" i="13"/>
  <c r="K13" i="22"/>
  <c r="Y30" i="13"/>
  <c r="K28" i="22"/>
  <c r="G19" i="5"/>
  <c r="J19" i="5" s="1"/>
  <c r="W30" i="13"/>
  <c r="K28" i="16"/>
  <c r="K37" i="22"/>
  <c r="K26" i="16"/>
  <c r="N6" i="14"/>
  <c r="K45" i="16"/>
  <c r="Y20" i="13"/>
  <c r="W26" i="13"/>
  <c r="AH26" i="13" s="1"/>
  <c r="Y26" i="13"/>
  <c r="BA14" i="22"/>
  <c r="CE14" i="22"/>
  <c r="BF14" i="22"/>
  <c r="BM14" i="22"/>
  <c r="BC14" i="22"/>
  <c r="AN14" i="22"/>
  <c r="BU14" i="22"/>
  <c r="CD14" i="22"/>
  <c r="BV14" i="22"/>
  <c r="CF14" i="22"/>
  <c r="BN14" i="22"/>
  <c r="BZ14" i="22"/>
  <c r="BI14" i="22"/>
  <c r="AK14" i="22"/>
  <c r="BP14" i="22"/>
  <c r="AQ14" i="22"/>
  <c r="BX14" i="22"/>
  <c r="AZ14" i="22"/>
  <c r="AP14" i="22"/>
  <c r="BE14" i="22"/>
  <c r="AJ14" i="22"/>
  <c r="AV14" i="22"/>
  <c r="CC14" i="22"/>
  <c r="CA14" i="22"/>
  <c r="BB14" i="22"/>
  <c r="AT14" i="22"/>
  <c r="AW14" i="22"/>
  <c r="BO14" i="22"/>
  <c r="AR14" i="22"/>
  <c r="CH14" i="22"/>
  <c r="AO14" i="22"/>
  <c r="CB14" i="22"/>
  <c r="AS14" i="22"/>
  <c r="BJ14" i="22"/>
  <c r="AM14" i="22"/>
  <c r="BT14" i="22"/>
  <c r="BQ14" i="22"/>
  <c r="CG14" i="22"/>
  <c r="BK14" i="22"/>
  <c r="BS14" i="22"/>
  <c r="AH14" i="22"/>
  <c r="BW14" i="22"/>
  <c r="AG14" i="22"/>
  <c r="AY14" i="22"/>
  <c r="BR14" i="22"/>
  <c r="AL14" i="22"/>
  <c r="BH14" i="22"/>
  <c r="AI14" i="22"/>
  <c r="BG14" i="22"/>
  <c r="AU14" i="22"/>
  <c r="Y47" i="13"/>
  <c r="K23" i="16"/>
  <c r="AD36" i="22"/>
  <c r="Y17" i="13"/>
  <c r="W50" i="13"/>
  <c r="AH50" i="13" s="1"/>
  <c r="X17" i="13"/>
  <c r="K48" i="22"/>
  <c r="Y50" i="13"/>
  <c r="K48" i="16"/>
  <c r="B38" i="13"/>
  <c r="K15" i="16"/>
  <c r="E17" i="14"/>
  <c r="E8" i="16"/>
  <c r="K24" i="22"/>
  <c r="E16" i="14"/>
  <c r="K36" i="22"/>
  <c r="K49" i="22"/>
  <c r="K44" i="22"/>
  <c r="K30" i="22"/>
  <c r="K38" i="22"/>
  <c r="AB8" i="5"/>
  <c r="W20" i="13"/>
  <c r="AH20" i="13" s="1"/>
  <c r="K24" i="16"/>
  <c r="Q8" i="5"/>
  <c r="AD39" i="22"/>
  <c r="BL90" i="8"/>
  <c r="X48" i="13"/>
  <c r="K46" i="16"/>
  <c r="Y48" i="13"/>
  <c r="Z48" i="13" s="1"/>
  <c r="B7" i="22"/>
  <c r="D9" i="13"/>
  <c r="K25" i="22"/>
  <c r="N6" i="15"/>
  <c r="K40" i="22"/>
  <c r="AA34" i="13"/>
  <c r="E7" i="16"/>
  <c r="W47" i="13"/>
  <c r="AH47" i="13" s="1"/>
  <c r="AK8" i="5"/>
  <c r="AI8" i="5"/>
  <c r="O8" i="5"/>
  <c r="Z8" i="5"/>
  <c r="AK13" i="5"/>
  <c r="D6" i="14"/>
  <c r="AX8" i="5"/>
  <c r="AL13" i="5"/>
  <c r="AO13" i="5"/>
  <c r="AE8" i="5"/>
  <c r="AY8" i="5"/>
  <c r="P8" i="5"/>
  <c r="M8" i="5"/>
  <c r="U8" i="5"/>
  <c r="AO8" i="5"/>
  <c r="AP8" i="5"/>
  <c r="AN8" i="5"/>
  <c r="AB13" i="5"/>
  <c r="AQ13" i="5"/>
  <c r="AD43" i="22"/>
  <c r="AZ8" i="5"/>
  <c r="AC8" i="5"/>
  <c r="AU8" i="5"/>
  <c r="AL8" i="5"/>
  <c r="R8" i="5"/>
  <c r="AG8" i="5"/>
  <c r="AJ8" i="5"/>
  <c r="AF8" i="5"/>
  <c r="M13" i="5"/>
  <c r="P13" i="5"/>
  <c r="W8" i="5"/>
  <c r="AM8" i="5"/>
  <c r="AR8" i="5"/>
  <c r="X8" i="5"/>
  <c r="AW8" i="5"/>
  <c r="S8" i="5"/>
  <c r="AH8" i="5"/>
  <c r="AM13" i="5"/>
  <c r="X13" i="5"/>
  <c r="AF13" i="5"/>
  <c r="B6" i="14"/>
  <c r="G6" i="5"/>
  <c r="J6" i="5" s="1"/>
  <c r="G4" i="5"/>
  <c r="J4" i="5" s="1"/>
  <c r="G7" i="5"/>
  <c r="J7" i="5" s="1"/>
  <c r="B6" i="15"/>
  <c r="V8" i="10"/>
  <c r="AD21" i="22"/>
  <c r="D6" i="15"/>
  <c r="G8" i="16"/>
  <c r="G5" i="5"/>
  <c r="J5" i="5" s="1"/>
  <c r="BX90" i="8"/>
  <c r="T8" i="5"/>
  <c r="Y8" i="5"/>
  <c r="V8" i="5"/>
  <c r="AT8" i="5"/>
  <c r="AD8" i="5"/>
  <c r="AQ8" i="5"/>
  <c r="AA8" i="5"/>
  <c r="AS8" i="5"/>
  <c r="AV8" i="5"/>
  <c r="G7" i="16"/>
  <c r="K42" i="22"/>
  <c r="G14" i="5"/>
  <c r="J14" i="5" s="1"/>
  <c r="K46" i="22"/>
  <c r="S13" i="5"/>
  <c r="R13" i="5"/>
  <c r="AR13" i="5"/>
  <c r="AP13" i="5"/>
  <c r="AV13" i="5"/>
  <c r="AE13" i="5"/>
  <c r="Z13" i="5"/>
  <c r="Q13" i="5"/>
  <c r="AJ13" i="5"/>
  <c r="AX13" i="5"/>
  <c r="AT13" i="5"/>
  <c r="N13" i="5"/>
  <c r="Y13" i="5"/>
  <c r="U13" i="5"/>
  <c r="AU13" i="5"/>
  <c r="O13" i="5"/>
  <c r="AC13" i="5"/>
  <c r="AS13" i="5"/>
  <c r="W13" i="5"/>
  <c r="AH13" i="5"/>
  <c r="AI13" i="5"/>
  <c r="AZ13" i="5"/>
  <c r="AW13" i="5"/>
  <c r="AD13" i="5"/>
  <c r="AN13" i="5"/>
  <c r="AA13" i="5"/>
  <c r="AG13" i="5"/>
  <c r="AY13" i="5"/>
  <c r="V13" i="5"/>
  <c r="AA36" i="13"/>
  <c r="G15" i="5"/>
  <c r="J15" i="5" s="1"/>
  <c r="E7" i="22"/>
  <c r="K18" i="22"/>
  <c r="R10" i="15"/>
  <c r="S10" i="15" s="1"/>
  <c r="T10" i="15" s="1"/>
  <c r="AA39" i="13"/>
  <c r="W37" i="13"/>
  <c r="AG37" i="13" s="1"/>
  <c r="X37" i="13"/>
  <c r="Y37" i="13"/>
  <c r="W28" i="13"/>
  <c r="X28" i="13"/>
  <c r="Y28" i="13"/>
  <c r="AH39" i="13"/>
  <c r="Z39" i="13"/>
  <c r="AA44" i="13"/>
  <c r="AH44" i="13"/>
  <c r="Z44" i="13"/>
  <c r="W42" i="13"/>
  <c r="AG42" i="13" s="1"/>
  <c r="X42" i="13"/>
  <c r="Y42" i="13"/>
  <c r="Z36" i="13"/>
  <c r="X14" i="13"/>
  <c r="W14" i="13"/>
  <c r="Y14" i="13"/>
  <c r="W46" i="13"/>
  <c r="Y46" i="13"/>
  <c r="X46" i="13"/>
  <c r="X16" i="13"/>
  <c r="Y16" i="13"/>
  <c r="W16" i="13"/>
  <c r="W41" i="13"/>
  <c r="AG41" i="13" s="1"/>
  <c r="Y41" i="13"/>
  <c r="X41" i="13"/>
  <c r="Y25" i="13"/>
  <c r="W25" i="13"/>
  <c r="X25" i="13"/>
  <c r="AA32" i="13"/>
  <c r="AH32" i="13"/>
  <c r="Z32" i="13"/>
  <c r="Y49" i="13"/>
  <c r="W49" i="13"/>
  <c r="X49" i="13"/>
  <c r="P12" i="15"/>
  <c r="K10" i="16"/>
  <c r="J8" i="16"/>
  <c r="J7" i="16"/>
  <c r="Z34" i="13"/>
  <c r="AD10" i="22"/>
  <c r="G7" i="22"/>
  <c r="J10" i="22"/>
  <c r="X51" i="13"/>
  <c r="Y51" i="13"/>
  <c r="W51" i="13"/>
  <c r="W22" i="13"/>
  <c r="Y22" i="13"/>
  <c r="X22" i="13"/>
  <c r="W43" i="13"/>
  <c r="X43" i="13"/>
  <c r="Y43" i="13"/>
  <c r="X45" i="13"/>
  <c r="Y45" i="13"/>
  <c r="W45" i="13"/>
  <c r="W31" i="13"/>
  <c r="X31" i="13"/>
  <c r="Y31" i="13"/>
  <c r="Y18" i="13"/>
  <c r="X18" i="13"/>
  <c r="W18" i="13"/>
  <c r="Z24" i="13"/>
  <c r="AA24" i="13"/>
  <c r="AH24" i="13"/>
  <c r="X12" i="13"/>
  <c r="W12" i="13"/>
  <c r="Y12" i="13"/>
  <c r="W33" i="13"/>
  <c r="Y33" i="13"/>
  <c r="X33" i="13"/>
  <c r="P11" i="14"/>
  <c r="R11" i="14" s="1"/>
  <c r="K19" i="15"/>
  <c r="K22" i="14"/>
  <c r="J23" i="14" s="1"/>
  <c r="F15" i="14" l="1"/>
  <c r="G15" i="14" s="1"/>
  <c r="L15" i="14" s="1"/>
  <c r="AA17" i="13"/>
  <c r="L12" i="15"/>
  <c r="F14" i="15"/>
  <c r="AH21" i="13"/>
  <c r="AA30" i="13"/>
  <c r="AT15" i="22"/>
  <c r="AF15" i="22"/>
  <c r="E6" i="15"/>
  <c r="Z21" i="13"/>
  <c r="W40" i="13"/>
  <c r="AG40" i="13" s="1"/>
  <c r="Y40" i="13"/>
  <c r="Z13" i="13"/>
  <c r="AA13" i="13"/>
  <c r="AH19" i="13"/>
  <c r="Z19" i="13"/>
  <c r="AA29" i="13"/>
  <c r="X15" i="13"/>
  <c r="Y15" i="13"/>
  <c r="B9" i="13"/>
  <c r="X23" i="13"/>
  <c r="Z27" i="13"/>
  <c r="AA27" i="13"/>
  <c r="F16" i="14"/>
  <c r="G16" i="14" s="1"/>
  <c r="L16" i="14" s="1"/>
  <c r="W23" i="13"/>
  <c r="AH23" i="13" s="1"/>
  <c r="Z29" i="13"/>
  <c r="BN15" i="22"/>
  <c r="AZ15" i="22"/>
  <c r="Z35" i="13"/>
  <c r="BO15" i="22"/>
  <c r="CD15" i="22"/>
  <c r="A16" i="22"/>
  <c r="BQ15" i="22"/>
  <c r="BE15" i="22"/>
  <c r="CH15" i="22"/>
  <c r="AV15" i="22"/>
  <c r="AH15" i="22"/>
  <c r="AA35" i="13"/>
  <c r="CC15" i="22"/>
  <c r="BC15" i="22"/>
  <c r="AK15" i="22"/>
  <c r="BI15" i="22"/>
  <c r="AH30" i="13"/>
  <c r="BV15" i="22"/>
  <c r="AY15" i="22"/>
  <c r="BL15" i="22"/>
  <c r="BF15" i="22"/>
  <c r="BS15" i="22"/>
  <c r="AP15" i="22"/>
  <c r="BA15" i="22"/>
  <c r="CG15" i="22"/>
  <c r="CB15" i="22"/>
  <c r="BZ15" i="22"/>
  <c r="AX15" i="22"/>
  <c r="BY15" i="22"/>
  <c r="AI15" i="22"/>
  <c r="BK15" i="22"/>
  <c r="AS15" i="22"/>
  <c r="AW15" i="22"/>
  <c r="BX15" i="22"/>
  <c r="BR15" i="22"/>
  <c r="BJ15" i="22"/>
  <c r="BU15" i="22"/>
  <c r="BW15" i="22"/>
  <c r="BB15" i="22"/>
  <c r="AN15" i="22"/>
  <c r="AM15" i="22"/>
  <c r="AU15" i="22"/>
  <c r="AQ15" i="22"/>
  <c r="BH15" i="22"/>
  <c r="BP15" i="22"/>
  <c r="AG15" i="22"/>
  <c r="BM15" i="22"/>
  <c r="CA15" i="22"/>
  <c r="AO15" i="22"/>
  <c r="BD15" i="22"/>
  <c r="BT15" i="22"/>
  <c r="CE15" i="22"/>
  <c r="AL15" i="22"/>
  <c r="BG15" i="22"/>
  <c r="AR15" i="22"/>
  <c r="CF15" i="22"/>
  <c r="AJ15" i="22"/>
  <c r="Y38" i="13"/>
  <c r="W38" i="13"/>
  <c r="AG38" i="13" s="1"/>
  <c r="Z20" i="13"/>
  <c r="X38" i="13"/>
  <c r="AA26" i="13"/>
  <c r="Z17" i="13"/>
  <c r="Z26" i="13"/>
  <c r="Z30" i="13"/>
  <c r="E6" i="14"/>
  <c r="AA50" i="13"/>
  <c r="Z50" i="13"/>
  <c r="AA20" i="13"/>
  <c r="AA48" i="13"/>
  <c r="AA47" i="13"/>
  <c r="Z47" i="13"/>
  <c r="AD7" i="22"/>
  <c r="V10" i="15"/>
  <c r="X10" i="15" s="1"/>
  <c r="M10" i="16" s="1"/>
  <c r="G8" i="5"/>
  <c r="J8" i="5"/>
  <c r="G13" i="5"/>
  <c r="J13" i="5" s="1"/>
  <c r="AA42" i="13"/>
  <c r="Z37" i="13"/>
  <c r="AA41" i="13"/>
  <c r="U10" i="15"/>
  <c r="O12" i="14"/>
  <c r="P12" i="14" s="1"/>
  <c r="O13" i="14" s="1"/>
  <c r="P13" i="14" s="1"/>
  <c r="AH33" i="13"/>
  <c r="AA33" i="13"/>
  <c r="Z33" i="13"/>
  <c r="Z12" i="13"/>
  <c r="AH12" i="13"/>
  <c r="AA12" i="13"/>
  <c r="AH15" i="13"/>
  <c r="AH49" i="13"/>
  <c r="AA49" i="13"/>
  <c r="Z49" i="13"/>
  <c r="Z14" i="13"/>
  <c r="AA14" i="13"/>
  <c r="AH14" i="13"/>
  <c r="K7" i="16"/>
  <c r="K8" i="16"/>
  <c r="AH25" i="13"/>
  <c r="AA25" i="13"/>
  <c r="Z25" i="13"/>
  <c r="Z16" i="13"/>
  <c r="AH16" i="13"/>
  <c r="AA16" i="13"/>
  <c r="S11" i="14"/>
  <c r="T11" i="14" s="1"/>
  <c r="V11" i="14"/>
  <c r="X11" i="14" s="1"/>
  <c r="G12" i="13"/>
  <c r="H12" i="13" s="1"/>
  <c r="AA18" i="13"/>
  <c r="AH18" i="13"/>
  <c r="Z18" i="13"/>
  <c r="AH31" i="13"/>
  <c r="Z31" i="13"/>
  <c r="AA31" i="13"/>
  <c r="AH45" i="13"/>
  <c r="Z45" i="13"/>
  <c r="AA45" i="13"/>
  <c r="AH22" i="13"/>
  <c r="Z22" i="13"/>
  <c r="AA22" i="13"/>
  <c r="K10" i="22"/>
  <c r="K7" i="22" s="1"/>
  <c r="J7" i="22"/>
  <c r="O13" i="15"/>
  <c r="AH41" i="13"/>
  <c r="Z41" i="13"/>
  <c r="AH46" i="13"/>
  <c r="AA46" i="13"/>
  <c r="Z46" i="13"/>
  <c r="AH42" i="13"/>
  <c r="Z42" i="13"/>
  <c r="AH28" i="13"/>
  <c r="AA28" i="13"/>
  <c r="Z28" i="13"/>
  <c r="AG43" i="13"/>
  <c r="AA43" i="13"/>
  <c r="Z43" i="13"/>
  <c r="AH43" i="13"/>
  <c r="Z51" i="13"/>
  <c r="AA51" i="13"/>
  <c r="AH51" i="13"/>
  <c r="AH37" i="13"/>
  <c r="AA37" i="13"/>
  <c r="K23" i="14"/>
  <c r="J20" i="15"/>
  <c r="AL3" i="13" l="1"/>
  <c r="AI51" i="13" s="1"/>
  <c r="AI50" i="13" s="1"/>
  <c r="AI49" i="13" s="1"/>
  <c r="AI48" i="13" s="1"/>
  <c r="AI47" i="13" s="1"/>
  <c r="AI46" i="13" s="1"/>
  <c r="AI45" i="13" s="1"/>
  <c r="AI44" i="13" s="1"/>
  <c r="AI43" i="13" s="1"/>
  <c r="AI42" i="13" s="1"/>
  <c r="AI41" i="13" s="1"/>
  <c r="F17" i="14"/>
  <c r="G17" i="14" s="1"/>
  <c r="L17" i="14" s="1"/>
  <c r="G14" i="15"/>
  <c r="L14" i="15" s="1"/>
  <c r="Z15" i="13"/>
  <c r="BH16" i="22"/>
  <c r="AF16" i="22"/>
  <c r="AA40" i="13"/>
  <c r="Z40" i="13"/>
  <c r="AH40" i="13"/>
  <c r="AA15" i="13"/>
  <c r="Y9" i="13"/>
  <c r="AA23" i="13"/>
  <c r="X9" i="13"/>
  <c r="F18" i="14"/>
  <c r="Z23" i="13"/>
  <c r="W9" i="13"/>
  <c r="BT16" i="22"/>
  <c r="CG16" i="22"/>
  <c r="BR16" i="22"/>
  <c r="CB16" i="22"/>
  <c r="A17" i="22"/>
  <c r="AZ16" i="22"/>
  <c r="CA16" i="22"/>
  <c r="BI16" i="22"/>
  <c r="CF16" i="22"/>
  <c r="BF16" i="22"/>
  <c r="BA16" i="22"/>
  <c r="BW16" i="22"/>
  <c r="BC16" i="22"/>
  <c r="AI16" i="22"/>
  <c r="AM16" i="22"/>
  <c r="AT16" i="22"/>
  <c r="CD16" i="22"/>
  <c r="BZ16" i="22"/>
  <c r="AJ16" i="22"/>
  <c r="BE16" i="22"/>
  <c r="CH16" i="22"/>
  <c r="AR16" i="22"/>
  <c r="AG16" i="22"/>
  <c r="BQ16" i="22"/>
  <c r="AO16" i="22"/>
  <c r="AX16" i="22"/>
  <c r="AW16" i="22"/>
  <c r="AQ16" i="22"/>
  <c r="BN16" i="22"/>
  <c r="BP16" i="22"/>
  <c r="BB16" i="22"/>
  <c r="BK16" i="22"/>
  <c r="BJ16" i="22"/>
  <c r="BG16" i="22"/>
  <c r="BO16" i="22"/>
  <c r="AU16" i="22"/>
  <c r="AK16" i="22"/>
  <c r="AY16" i="22"/>
  <c r="AH16" i="22"/>
  <c r="AV16" i="22"/>
  <c r="BD16" i="22"/>
  <c r="CE16" i="22"/>
  <c r="BM16" i="22"/>
  <c r="AS16" i="22"/>
  <c r="AL16" i="22"/>
  <c r="BS16" i="22"/>
  <c r="BU16" i="22"/>
  <c r="BL16" i="22"/>
  <c r="BX16" i="22"/>
  <c r="CC16" i="22"/>
  <c r="BV16" i="22"/>
  <c r="BY16" i="22"/>
  <c r="AP16" i="22"/>
  <c r="AN16" i="22"/>
  <c r="Z38" i="13"/>
  <c r="AH38" i="13"/>
  <c r="AA38" i="13"/>
  <c r="M10" i="22"/>
  <c r="O14" i="14"/>
  <c r="P14" i="14" s="1"/>
  <c r="U11" i="14"/>
  <c r="N10" i="16"/>
  <c r="O10" i="16" s="1"/>
  <c r="P10" i="16" s="1"/>
  <c r="S10" i="16" s="1"/>
  <c r="T10" i="16" s="1"/>
  <c r="N10" i="22"/>
  <c r="P13" i="15"/>
  <c r="I12" i="13"/>
  <c r="K12" i="13" s="1"/>
  <c r="J24" i="14"/>
  <c r="K20" i="15"/>
  <c r="J21" i="15" s="1"/>
  <c r="F19" i="14" l="1"/>
  <c r="G19" i="14" s="1"/>
  <c r="L19" i="14" s="1"/>
  <c r="N12" i="13"/>
  <c r="Q12" i="13" s="1"/>
  <c r="M12" i="13"/>
  <c r="P12" i="13" s="1"/>
  <c r="L12" i="13"/>
  <c r="O12" i="13" s="1"/>
  <c r="S12" i="13" s="1"/>
  <c r="F15" i="15"/>
  <c r="AX17" i="22"/>
  <c r="AF17" i="22"/>
  <c r="AI40" i="13"/>
  <c r="AI39" i="13" s="1"/>
  <c r="AI38" i="13" s="1"/>
  <c r="AI37" i="13" s="1"/>
  <c r="AI36" i="13" s="1"/>
  <c r="AI35" i="13" s="1"/>
  <c r="AI34" i="13" s="1"/>
  <c r="AI33" i="13" s="1"/>
  <c r="AI32" i="13" s="1"/>
  <c r="AI31" i="13" s="1"/>
  <c r="AI30" i="13" s="1"/>
  <c r="AI29" i="13" s="1"/>
  <c r="AI28" i="13" s="1"/>
  <c r="AA9" i="13"/>
  <c r="AT17" i="22"/>
  <c r="AS17" i="22"/>
  <c r="BS17" i="22"/>
  <c r="A18" i="22"/>
  <c r="AU17" i="22"/>
  <c r="AI17" i="22"/>
  <c r="Z9" i="13"/>
  <c r="G18" i="14"/>
  <c r="L18" i="14" s="1"/>
  <c r="AY17" i="22"/>
  <c r="BK17" i="22"/>
  <c r="BA17" i="22"/>
  <c r="BV17" i="22"/>
  <c r="CE17" i="22"/>
  <c r="AR17" i="22"/>
  <c r="CH17" i="22"/>
  <c r="BH17" i="22"/>
  <c r="CF17" i="22"/>
  <c r="CG17" i="22"/>
  <c r="AV17" i="22"/>
  <c r="AJ17" i="22"/>
  <c r="AM17" i="22"/>
  <c r="AH17" i="22"/>
  <c r="BD17" i="22"/>
  <c r="BR17" i="22"/>
  <c r="BI17" i="22"/>
  <c r="CB17" i="22"/>
  <c r="BO17" i="22"/>
  <c r="BL17" i="22"/>
  <c r="AQ17" i="22"/>
  <c r="BJ17" i="22"/>
  <c r="BG17" i="22"/>
  <c r="BB17" i="22"/>
  <c r="BF17" i="22"/>
  <c r="BC17" i="22"/>
  <c r="CD17" i="22"/>
  <c r="BE17" i="22"/>
  <c r="AO17" i="22"/>
  <c r="AZ17" i="22"/>
  <c r="BW17" i="22"/>
  <c r="BQ17" i="22"/>
  <c r="AP17" i="22"/>
  <c r="AN17" i="22"/>
  <c r="BT17" i="22"/>
  <c r="AK17" i="22"/>
  <c r="CA17" i="22"/>
  <c r="AW17" i="22"/>
  <c r="BM17" i="22"/>
  <c r="BX17" i="22"/>
  <c r="BP17" i="22"/>
  <c r="BU17" i="22"/>
  <c r="AL17" i="22"/>
  <c r="AG17" i="22"/>
  <c r="CC17" i="22"/>
  <c r="BZ17" i="22"/>
  <c r="BN17" i="22"/>
  <c r="BY17" i="22"/>
  <c r="O10" i="22"/>
  <c r="P10" i="22" s="1"/>
  <c r="G13" i="13"/>
  <c r="H13" i="13" s="1"/>
  <c r="I13" i="13" s="1"/>
  <c r="O14" i="15"/>
  <c r="P14" i="15" s="1"/>
  <c r="O15" i="15" s="1"/>
  <c r="P15" i="15" s="1"/>
  <c r="O16" i="15" s="1"/>
  <c r="P16" i="15" s="1"/>
  <c r="O17" i="15" s="1"/>
  <c r="P17" i="15" s="1"/>
  <c r="O18" i="15" s="1"/>
  <c r="P18" i="15" s="1"/>
  <c r="O19" i="15" s="1"/>
  <c r="P19" i="15" s="1"/>
  <c r="O20" i="15" s="1"/>
  <c r="P20" i="15" s="1"/>
  <c r="O21" i="15" s="1"/>
  <c r="P21" i="15" s="1"/>
  <c r="O22" i="15" s="1"/>
  <c r="P22" i="15" s="1"/>
  <c r="O23" i="15" s="1"/>
  <c r="P23" i="15" s="1"/>
  <c r="O24" i="15" s="1"/>
  <c r="P24" i="15" s="1"/>
  <c r="O25" i="15" s="1"/>
  <c r="P25" i="15" s="1"/>
  <c r="O26" i="15" s="1"/>
  <c r="P26" i="15" s="1"/>
  <c r="O27" i="15" s="1"/>
  <c r="P27" i="15" s="1"/>
  <c r="O28" i="15" s="1"/>
  <c r="P28" i="15" s="1"/>
  <c r="O29" i="15" s="1"/>
  <c r="P29" i="15" s="1"/>
  <c r="O30" i="15" s="1"/>
  <c r="P30" i="15" s="1"/>
  <c r="O31" i="15" s="1"/>
  <c r="P31" i="15" s="1"/>
  <c r="O32" i="15" s="1"/>
  <c r="P32" i="15" s="1"/>
  <c r="O33" i="15" s="1"/>
  <c r="P33" i="15" s="1"/>
  <c r="O34" i="15" s="1"/>
  <c r="P34" i="15" s="1"/>
  <c r="O35" i="15" s="1"/>
  <c r="P35" i="15" s="1"/>
  <c r="O36" i="15" s="1"/>
  <c r="P36" i="15" s="1"/>
  <c r="O37" i="15" s="1"/>
  <c r="P37" i="15" s="1"/>
  <c r="O38" i="15" s="1"/>
  <c r="P38" i="15" s="1"/>
  <c r="O39" i="15" s="1"/>
  <c r="P39" i="15" s="1"/>
  <c r="O40" i="15" s="1"/>
  <c r="P40" i="15" s="1"/>
  <c r="O41" i="15" s="1"/>
  <c r="P41" i="15" s="1"/>
  <c r="O42" i="15" s="1"/>
  <c r="P42" i="15" s="1"/>
  <c r="O43" i="15" s="1"/>
  <c r="P43" i="15" s="1"/>
  <c r="O44" i="15" s="1"/>
  <c r="P44" i="15" s="1"/>
  <c r="O45" i="15" s="1"/>
  <c r="P45" i="15" s="1"/>
  <c r="O46" i="15" s="1"/>
  <c r="P46" i="15" s="1"/>
  <c r="O47" i="15" s="1"/>
  <c r="P47" i="15" s="1"/>
  <c r="O48" i="15" s="1"/>
  <c r="P48" i="15" s="1"/>
  <c r="P6" i="15" s="1"/>
  <c r="O15" i="14"/>
  <c r="P15" i="14" s="1"/>
  <c r="O16" i="14" s="1"/>
  <c r="P16" i="14" s="1"/>
  <c r="O17" i="14" s="1"/>
  <c r="P17" i="14" s="1"/>
  <c r="O18" i="14" s="1"/>
  <c r="P18" i="14" s="1"/>
  <c r="O19" i="14" s="1"/>
  <c r="P19" i="14" s="1"/>
  <c r="O20" i="14" s="1"/>
  <c r="P20" i="14" s="1"/>
  <c r="O21" i="14" s="1"/>
  <c r="P21" i="14" s="1"/>
  <c r="O22" i="14" s="1"/>
  <c r="P22" i="14" s="1"/>
  <c r="O23" i="14" s="1"/>
  <c r="P23" i="14" s="1"/>
  <c r="O24" i="14" s="1"/>
  <c r="P24" i="14" s="1"/>
  <c r="O25" i="14" s="1"/>
  <c r="P25" i="14" s="1"/>
  <c r="O26" i="14" s="1"/>
  <c r="P26" i="14" s="1"/>
  <c r="O27" i="14" s="1"/>
  <c r="P27" i="14" s="1"/>
  <c r="O28" i="14" s="1"/>
  <c r="P28" i="14" s="1"/>
  <c r="O29" i="14" s="1"/>
  <c r="P29" i="14" s="1"/>
  <c r="O30" i="14" s="1"/>
  <c r="P30" i="14" s="1"/>
  <c r="O31" i="14" s="1"/>
  <c r="P31" i="14" s="1"/>
  <c r="O32" i="14" s="1"/>
  <c r="P32" i="14" s="1"/>
  <c r="O33" i="14" s="1"/>
  <c r="P33" i="14" s="1"/>
  <c r="O34" i="14" s="1"/>
  <c r="P34" i="14" s="1"/>
  <c r="O35" i="14" s="1"/>
  <c r="P35" i="14" s="1"/>
  <c r="O36" i="14" s="1"/>
  <c r="P36" i="14" s="1"/>
  <c r="O37" i="14" s="1"/>
  <c r="P37" i="14" s="1"/>
  <c r="O38" i="14" s="1"/>
  <c r="P38" i="14" s="1"/>
  <c r="O39" i="14" s="1"/>
  <c r="P39" i="14" s="1"/>
  <c r="O40" i="14" s="1"/>
  <c r="P40" i="14" s="1"/>
  <c r="O41" i="14" s="1"/>
  <c r="P41" i="14" s="1"/>
  <c r="O42" i="14" s="1"/>
  <c r="P42" i="14" s="1"/>
  <c r="O43" i="14" s="1"/>
  <c r="P43" i="14" s="1"/>
  <c r="O44" i="14" s="1"/>
  <c r="P44" i="14" s="1"/>
  <c r="O45" i="14" s="1"/>
  <c r="P45" i="14" s="1"/>
  <c r="O46" i="14" s="1"/>
  <c r="P46" i="14" s="1"/>
  <c r="O47" i="14" s="1"/>
  <c r="P47" i="14" s="1"/>
  <c r="O48" i="14" s="1"/>
  <c r="P48" i="14" s="1"/>
  <c r="O49" i="14" s="1"/>
  <c r="K21" i="15"/>
  <c r="K24" i="14"/>
  <c r="F21" i="14" l="1"/>
  <c r="G21" i="14" s="1"/>
  <c r="L21" i="14" s="1"/>
  <c r="T12" i="13"/>
  <c r="U12" i="13" s="1"/>
  <c r="V12" i="13" s="1"/>
  <c r="G15" i="15"/>
  <c r="F16" i="15" s="1"/>
  <c r="G16" i="15" s="1"/>
  <c r="J13" i="13"/>
  <c r="K13" i="13" s="1"/>
  <c r="BI18" i="22"/>
  <c r="AF18" i="22"/>
  <c r="BO18" i="22"/>
  <c r="AG18" i="22"/>
  <c r="CC18" i="22"/>
  <c r="AW18" i="22"/>
  <c r="BG18" i="22"/>
  <c r="BC18" i="22"/>
  <c r="CB18" i="22"/>
  <c r="AH18" i="22"/>
  <c r="AV18" i="22"/>
  <c r="AR18" i="22"/>
  <c r="BX18" i="22"/>
  <c r="AI18" i="22"/>
  <c r="BM18" i="22"/>
  <c r="CD18" i="22"/>
  <c r="CA18" i="22"/>
  <c r="BZ18" i="22"/>
  <c r="AJ18" i="22"/>
  <c r="BL18" i="22"/>
  <c r="AO18" i="22"/>
  <c r="AQ18" i="22"/>
  <c r="AZ18" i="22"/>
  <c r="BV18" i="22"/>
  <c r="BK18" i="22"/>
  <c r="BU18" i="22"/>
  <c r="BW18" i="22"/>
  <c r="AN18" i="22"/>
  <c r="BA18" i="22"/>
  <c r="AP18" i="22"/>
  <c r="BY18" i="22"/>
  <c r="CE18" i="22"/>
  <c r="AX18" i="22"/>
  <c r="BJ18" i="22"/>
  <c r="BF18" i="22"/>
  <c r="BN18" i="22"/>
  <c r="BR18" i="22"/>
  <c r="BS18" i="22"/>
  <c r="BD18" i="22"/>
  <c r="BB18" i="22"/>
  <c r="AK18" i="22"/>
  <c r="CH18" i="22"/>
  <c r="BE18" i="22"/>
  <c r="A19" i="22"/>
  <c r="CF18" i="22"/>
  <c r="AY18" i="22"/>
  <c r="AS18" i="22"/>
  <c r="CG18" i="22"/>
  <c r="BP18" i="22"/>
  <c r="AL18" i="22"/>
  <c r="AM18" i="22"/>
  <c r="BQ18" i="22"/>
  <c r="AT18" i="22"/>
  <c r="BH18" i="22"/>
  <c r="BT18" i="22"/>
  <c r="AU18" i="22"/>
  <c r="F20" i="14"/>
  <c r="AQ13" i="13"/>
  <c r="G14" i="13"/>
  <c r="H14" i="13" s="1"/>
  <c r="I14" i="13" s="1"/>
  <c r="G15" i="13" s="1"/>
  <c r="H15" i="13" s="1"/>
  <c r="I15" i="13" s="1"/>
  <c r="J15" i="13" s="1"/>
  <c r="K15" i="13" s="1"/>
  <c r="L15" i="13" s="1"/>
  <c r="O49" i="15"/>
  <c r="P49" i="15" s="1"/>
  <c r="P49" i="14"/>
  <c r="P6" i="14" s="1"/>
  <c r="J25" i="14"/>
  <c r="K25" i="14" s="1"/>
  <c r="AI27" i="13"/>
  <c r="J22" i="15"/>
  <c r="F23" i="14" l="1"/>
  <c r="G23" i="14" s="1"/>
  <c r="F25" i="14" s="1"/>
  <c r="G25" i="14" s="1"/>
  <c r="F27" i="14" s="1"/>
  <c r="G27" i="14" s="1"/>
  <c r="F29" i="14" s="1"/>
  <c r="G29" i="14" s="1"/>
  <c r="F31" i="14" s="1"/>
  <c r="G31" i="14" s="1"/>
  <c r="F33" i="14" s="1"/>
  <c r="G33" i="14" s="1"/>
  <c r="F35" i="14" s="1"/>
  <c r="G35" i="14" s="1"/>
  <c r="F37" i="14" s="1"/>
  <c r="G37" i="14" s="1"/>
  <c r="F39" i="14" s="1"/>
  <c r="G39" i="14" s="1"/>
  <c r="F41" i="14" s="1"/>
  <c r="G41" i="14" s="1"/>
  <c r="F43" i="14" s="1"/>
  <c r="G43" i="14" s="1"/>
  <c r="F45" i="14" s="1"/>
  <c r="G45" i="14" s="1"/>
  <c r="F47" i="14" s="1"/>
  <c r="G47" i="14" s="1"/>
  <c r="F49" i="14" s="1"/>
  <c r="G49" i="14" s="1"/>
  <c r="N13" i="13"/>
  <c r="Q13" i="13" s="1"/>
  <c r="AT13" i="13" s="1"/>
  <c r="L13" i="13"/>
  <c r="O13" i="13" s="1"/>
  <c r="AR13" i="13" s="1"/>
  <c r="J14" i="13"/>
  <c r="K14" i="13" s="1"/>
  <c r="M14" i="13" s="1"/>
  <c r="M13" i="13"/>
  <c r="P13" i="13" s="1"/>
  <c r="AS13" i="13" s="1"/>
  <c r="F17" i="15"/>
  <c r="G17" i="15" s="1"/>
  <c r="L16" i="15"/>
  <c r="L15" i="15"/>
  <c r="BF19" i="22"/>
  <c r="AF19" i="22"/>
  <c r="AL19" i="22"/>
  <c r="BW19" i="22"/>
  <c r="BL19" i="22"/>
  <c r="AT19" i="22"/>
  <c r="AP19" i="22"/>
  <c r="BB19" i="22"/>
  <c r="AH19" i="22"/>
  <c r="AR19" i="22"/>
  <c r="CG19" i="22"/>
  <c r="AK19" i="22"/>
  <c r="BZ19" i="22"/>
  <c r="BK19" i="22"/>
  <c r="AM19" i="22"/>
  <c r="AV19" i="22"/>
  <c r="BO19" i="22"/>
  <c r="BQ19" i="22"/>
  <c r="CE19" i="22"/>
  <c r="AJ19" i="22"/>
  <c r="BD19" i="22"/>
  <c r="CB19" i="22"/>
  <c r="BG19" i="22"/>
  <c r="AN19" i="22"/>
  <c r="BP19" i="22"/>
  <c r="CC19" i="22"/>
  <c r="BE19" i="22"/>
  <c r="AG19" i="22"/>
  <c r="BY19" i="22"/>
  <c r="BT19" i="22"/>
  <c r="CD19" i="22"/>
  <c r="AI19" i="22"/>
  <c r="BR19" i="22"/>
  <c r="BU19" i="22"/>
  <c r="BH19" i="22"/>
  <c r="A20" i="22"/>
  <c r="BJ19" i="22"/>
  <c r="BA19" i="22"/>
  <c r="BV19" i="22"/>
  <c r="AQ19" i="22"/>
  <c r="BN19" i="22"/>
  <c r="AY19" i="22"/>
  <c r="BX19" i="22"/>
  <c r="AW19" i="22"/>
  <c r="AU19" i="22"/>
  <c r="AZ19" i="22"/>
  <c r="BC19" i="22"/>
  <c r="BS19" i="22"/>
  <c r="CH19" i="22"/>
  <c r="BM19" i="22"/>
  <c r="CA19" i="22"/>
  <c r="AO19" i="22"/>
  <c r="AX19" i="22"/>
  <c r="BI19" i="22"/>
  <c r="AS19" i="22"/>
  <c r="CF19" i="22"/>
  <c r="G20" i="14"/>
  <c r="L20" i="14" s="1"/>
  <c r="AQ14" i="13"/>
  <c r="AQ15" i="13" s="1"/>
  <c r="S13" i="13"/>
  <c r="M15" i="13"/>
  <c r="N15" i="13"/>
  <c r="G16" i="13"/>
  <c r="H16" i="13" s="1"/>
  <c r="I16" i="13" s="1"/>
  <c r="O50" i="14"/>
  <c r="P50" i="14" s="1"/>
  <c r="J26" i="14"/>
  <c r="K26" i="14" s="1"/>
  <c r="K22" i="15"/>
  <c r="J23" i="15" s="1"/>
  <c r="AI26" i="13"/>
  <c r="L14" i="13" l="1"/>
  <c r="O14" i="13" s="1"/>
  <c r="S14" i="13" s="1"/>
  <c r="AB14" i="13" s="1"/>
  <c r="L23" i="14"/>
  <c r="N14" i="13"/>
  <c r="Q14" i="13" s="1"/>
  <c r="P14" i="13"/>
  <c r="T13" i="13"/>
  <c r="U13" i="13" s="1"/>
  <c r="V13" i="13" s="1"/>
  <c r="F18" i="15"/>
  <c r="L17" i="15"/>
  <c r="AL20" i="22"/>
  <c r="AF20" i="22"/>
  <c r="BM20" i="22"/>
  <c r="AR20" i="22"/>
  <c r="CB20" i="22"/>
  <c r="BT20" i="22"/>
  <c r="CG20" i="22"/>
  <c r="CE20" i="22"/>
  <c r="BY20" i="22"/>
  <c r="BF20" i="22"/>
  <c r="BS20" i="22"/>
  <c r="AS20" i="22"/>
  <c r="AJ20" i="22"/>
  <c r="CH20" i="22"/>
  <c r="AI20" i="22"/>
  <c r="AX20" i="22"/>
  <c r="AM20" i="22"/>
  <c r="AW20" i="22"/>
  <c r="BN20" i="22"/>
  <c r="CF20" i="22"/>
  <c r="BD20" i="22"/>
  <c r="BK20" i="22"/>
  <c r="AP20" i="22"/>
  <c r="AZ20" i="22"/>
  <c r="BX20" i="22"/>
  <c r="BI20" i="22"/>
  <c r="AU20" i="22"/>
  <c r="BR20" i="22"/>
  <c r="AV20" i="22"/>
  <c r="A21" i="22"/>
  <c r="BW20" i="22"/>
  <c r="BV20" i="22"/>
  <c r="CA20" i="22"/>
  <c r="BU20" i="22"/>
  <c r="BB20" i="22"/>
  <c r="BZ20" i="22"/>
  <c r="BJ20" i="22"/>
  <c r="AH20" i="22"/>
  <c r="AK20" i="22"/>
  <c r="AG20" i="22"/>
  <c r="BQ20" i="22"/>
  <c r="BP20" i="22"/>
  <c r="BO20" i="22"/>
  <c r="BH20" i="22"/>
  <c r="AY20" i="22"/>
  <c r="AT20" i="22"/>
  <c r="BA20" i="22"/>
  <c r="BG20" i="22"/>
  <c r="CD20" i="22"/>
  <c r="AQ20" i="22"/>
  <c r="BC20" i="22"/>
  <c r="BE20" i="22"/>
  <c r="AO20" i="22"/>
  <c r="AN20" i="22"/>
  <c r="BL20" i="22"/>
  <c r="CC20" i="22"/>
  <c r="F22" i="14"/>
  <c r="J16" i="13"/>
  <c r="K16" i="13" s="1"/>
  <c r="L25" i="14"/>
  <c r="G17" i="13"/>
  <c r="H17" i="13" s="1"/>
  <c r="I17" i="13" s="1"/>
  <c r="J27" i="14"/>
  <c r="AI25" i="13"/>
  <c r="K23" i="15"/>
  <c r="Q15" i="13" l="1"/>
  <c r="AR14" i="13"/>
  <c r="O15" i="13"/>
  <c r="S15" i="13" s="1"/>
  <c r="AB15" i="13" s="1"/>
  <c r="T14" i="13"/>
  <c r="AC14" i="13" s="1"/>
  <c r="P15" i="13"/>
  <c r="AQ16" i="13"/>
  <c r="G18" i="15"/>
  <c r="F19" i="15" s="1"/>
  <c r="G19" i="15" s="1"/>
  <c r="CF21" i="22"/>
  <c r="AF21" i="22"/>
  <c r="AZ21" i="22"/>
  <c r="BJ21" i="22"/>
  <c r="AT21" i="22"/>
  <c r="AJ21" i="22"/>
  <c r="AP21" i="22"/>
  <c r="AS21" i="22"/>
  <c r="BH21" i="22"/>
  <c r="AN21" i="22"/>
  <c r="BC21" i="22"/>
  <c r="BF21" i="22"/>
  <c r="CD21" i="22"/>
  <c r="BU21" i="22"/>
  <c r="CH21" i="22"/>
  <c r="CC21" i="22"/>
  <c r="CG21" i="22"/>
  <c r="BT21" i="22"/>
  <c r="BP21" i="22"/>
  <c r="AQ21" i="22"/>
  <c r="BA21" i="22"/>
  <c r="BZ21" i="22"/>
  <c r="AM21" i="22"/>
  <c r="AI21" i="22"/>
  <c r="BE21" i="22"/>
  <c r="BN21" i="22"/>
  <c r="BL21" i="22"/>
  <c r="AG21" i="22"/>
  <c r="CB21" i="22"/>
  <c r="A22" i="22"/>
  <c r="AU21" i="22"/>
  <c r="AX21" i="22"/>
  <c r="AK21" i="22"/>
  <c r="CE21" i="22"/>
  <c r="AH21" i="22"/>
  <c r="BB21" i="22"/>
  <c r="AO21" i="22"/>
  <c r="BX21" i="22"/>
  <c r="BO21" i="22"/>
  <c r="BW21" i="22"/>
  <c r="AW21" i="22"/>
  <c r="BQ21" i="22"/>
  <c r="AY21" i="22"/>
  <c r="BM21" i="22"/>
  <c r="BY21" i="22"/>
  <c r="AV21" i="22"/>
  <c r="BR21" i="22"/>
  <c r="CA21" i="22"/>
  <c r="BV21" i="22"/>
  <c r="BI21" i="22"/>
  <c r="BS21" i="22"/>
  <c r="AL21" i="22"/>
  <c r="BG21" i="22"/>
  <c r="BK21" i="22"/>
  <c r="BD21" i="22"/>
  <c r="AR21" i="22"/>
  <c r="G22" i="14"/>
  <c r="F24" i="14" s="1"/>
  <c r="G24" i="14" s="1"/>
  <c r="M16" i="13"/>
  <c r="N16" i="13"/>
  <c r="L16" i="13"/>
  <c r="G18" i="13"/>
  <c r="H18" i="13" s="1"/>
  <c r="I18" i="13" s="1"/>
  <c r="J17" i="13"/>
  <c r="K17" i="13" s="1"/>
  <c r="K27" i="14"/>
  <c r="L27" i="14" s="1"/>
  <c r="J24" i="15"/>
  <c r="AI24" i="13"/>
  <c r="AS14" i="13" l="1"/>
  <c r="AS15" i="13" s="1"/>
  <c r="P16" i="13"/>
  <c r="Q16" i="13"/>
  <c r="AR15" i="13"/>
  <c r="O16" i="13"/>
  <c r="S16" i="13" s="1"/>
  <c r="AB16" i="13" s="1"/>
  <c r="T15" i="13"/>
  <c r="U15" i="13" s="1"/>
  <c r="U14" i="13"/>
  <c r="AT14" i="13" s="1"/>
  <c r="AT15" i="13" s="1"/>
  <c r="AQ17" i="13"/>
  <c r="L18" i="15"/>
  <c r="F20" i="15"/>
  <c r="G20" i="15" s="1"/>
  <c r="L19" i="15"/>
  <c r="AJ22" i="22"/>
  <c r="AF22" i="22"/>
  <c r="CC22" i="22"/>
  <c r="AO22" i="22"/>
  <c r="AW22" i="22"/>
  <c r="BB22" i="22"/>
  <c r="BZ22" i="22"/>
  <c r="AK22" i="22"/>
  <c r="BW22" i="22"/>
  <c r="BU22" i="22"/>
  <c r="AY22" i="22"/>
  <c r="BQ22" i="22"/>
  <c r="AM22" i="22"/>
  <c r="BJ22" i="22"/>
  <c r="CE22" i="22"/>
  <c r="AS22" i="22"/>
  <c r="BC22" i="22"/>
  <c r="AN22" i="22"/>
  <c r="BV22" i="22"/>
  <c r="BA22" i="22"/>
  <c r="AR22" i="22"/>
  <c r="BI22" i="22"/>
  <c r="BE22" i="22"/>
  <c r="AZ22" i="22"/>
  <c r="AX22" i="22"/>
  <c r="AL22" i="22"/>
  <c r="BG22" i="22"/>
  <c r="CB22" i="22"/>
  <c r="BK22" i="22"/>
  <c r="BN22" i="22"/>
  <c r="A23" i="22"/>
  <c r="BT22" i="22"/>
  <c r="BP22" i="22"/>
  <c r="CF22" i="22"/>
  <c r="BM22" i="22"/>
  <c r="AI22" i="22"/>
  <c r="AG22" i="22"/>
  <c r="AH22" i="22"/>
  <c r="BF22" i="22"/>
  <c r="CG22" i="22"/>
  <c r="BY22" i="22"/>
  <c r="BS22" i="22"/>
  <c r="CH22" i="22"/>
  <c r="AP22" i="22"/>
  <c r="BL22" i="22"/>
  <c r="AQ22" i="22"/>
  <c r="BH22" i="22"/>
  <c r="BR22" i="22"/>
  <c r="CD22" i="22"/>
  <c r="BX22" i="22"/>
  <c r="CA22" i="22"/>
  <c r="AT22" i="22"/>
  <c r="BO22" i="22"/>
  <c r="AU22" i="22"/>
  <c r="AV22" i="22"/>
  <c r="BD22" i="22"/>
  <c r="F26" i="14"/>
  <c r="G26" i="14" s="1"/>
  <c r="L24" i="14"/>
  <c r="L22" i="14"/>
  <c r="J18" i="13"/>
  <c r="K18" i="13" s="1"/>
  <c r="G19" i="13"/>
  <c r="H19" i="13" s="1"/>
  <c r="I19" i="13" s="1"/>
  <c r="M17" i="13"/>
  <c r="N17" i="13"/>
  <c r="L17" i="13"/>
  <c r="J28" i="14"/>
  <c r="K28" i="14" s="1"/>
  <c r="AI23" i="13"/>
  <c r="K24" i="15"/>
  <c r="J25" i="15" s="1"/>
  <c r="Q17" i="13" l="1"/>
  <c r="P17" i="13"/>
  <c r="T16" i="13"/>
  <c r="U16" i="13" s="1"/>
  <c r="AD16" i="13" s="1"/>
  <c r="O17" i="13"/>
  <c r="S17" i="13" s="1"/>
  <c r="AR16" i="13"/>
  <c r="AT16" i="13"/>
  <c r="AC15" i="13"/>
  <c r="AD14" i="13"/>
  <c r="V14" i="13"/>
  <c r="AE14" i="13" s="1"/>
  <c r="F21" i="15"/>
  <c r="G21" i="15" s="1"/>
  <c r="L20" i="15"/>
  <c r="V15" i="13"/>
  <c r="AE15" i="13" s="1"/>
  <c r="AD15" i="13"/>
  <c r="CA23" i="22"/>
  <c r="AF23" i="22"/>
  <c r="AL23" i="22"/>
  <c r="BM23" i="22"/>
  <c r="AI23" i="22"/>
  <c r="BH23" i="22"/>
  <c r="BJ23" i="22"/>
  <c r="BX23" i="22"/>
  <c r="AQ23" i="22"/>
  <c r="CB23" i="22"/>
  <c r="AK23" i="22"/>
  <c r="AO23" i="22"/>
  <c r="AT23" i="22"/>
  <c r="BE23" i="22"/>
  <c r="BC23" i="22"/>
  <c r="AG23" i="22"/>
  <c r="BI23" i="22"/>
  <c r="BU23" i="22"/>
  <c r="BV23" i="22"/>
  <c r="BO23" i="22"/>
  <c r="BD23" i="22"/>
  <c r="BQ23" i="22"/>
  <c r="BR23" i="22"/>
  <c r="CG23" i="22"/>
  <c r="BN23" i="22"/>
  <c r="BL23" i="22"/>
  <c r="CD23" i="22"/>
  <c r="BB23" i="22"/>
  <c r="AY23" i="22"/>
  <c r="BP23" i="22"/>
  <c r="BW23" i="22"/>
  <c r="AM23" i="22"/>
  <c r="BA23" i="22"/>
  <c r="CF23" i="22"/>
  <c r="BS23" i="22"/>
  <c r="BF23" i="22"/>
  <c r="CH23" i="22"/>
  <c r="AU23" i="22"/>
  <c r="BG23" i="22"/>
  <c r="AS23" i="22"/>
  <c r="AN23" i="22"/>
  <c r="AV23" i="22"/>
  <c r="AW23" i="22"/>
  <c r="CE23" i="22"/>
  <c r="AR23" i="22"/>
  <c r="BT23" i="22"/>
  <c r="BK23" i="22"/>
  <c r="AJ23" i="22"/>
  <c r="AP23" i="22"/>
  <c r="AZ23" i="22"/>
  <c r="BZ23" i="22"/>
  <c r="AH23" i="22"/>
  <c r="CC23" i="22"/>
  <c r="AX23" i="22"/>
  <c r="BY23" i="22"/>
  <c r="A24" i="22"/>
  <c r="F28" i="14"/>
  <c r="G28" i="14" s="1"/>
  <c r="L26" i="14"/>
  <c r="AQ18" i="13"/>
  <c r="J19" i="13"/>
  <c r="K19" i="13" s="1"/>
  <c r="G20" i="13"/>
  <c r="H20" i="13" s="1"/>
  <c r="I20" i="13" s="1"/>
  <c r="G21" i="13" s="1"/>
  <c r="H21" i="13" s="1"/>
  <c r="M18" i="13"/>
  <c r="N18" i="13"/>
  <c r="L18" i="13"/>
  <c r="K25" i="15"/>
  <c r="J29" i="14"/>
  <c r="AI22" i="13"/>
  <c r="O18" i="13" l="1"/>
  <c r="S18" i="13" s="1"/>
  <c r="AB18" i="13" s="1"/>
  <c r="AC16" i="13"/>
  <c r="P18" i="13"/>
  <c r="V16" i="13"/>
  <c r="AE16" i="13" s="1"/>
  <c r="AS16" i="13"/>
  <c r="Q18" i="13"/>
  <c r="AR17" i="13"/>
  <c r="AF14" i="13"/>
  <c r="AM14" i="13" s="1"/>
  <c r="AF15" i="13"/>
  <c r="AM15" i="13" s="1"/>
  <c r="L13" i="16" s="1"/>
  <c r="F22" i="15"/>
  <c r="G22" i="15" s="1"/>
  <c r="L21" i="15"/>
  <c r="CC24" i="22"/>
  <c r="AF24" i="22"/>
  <c r="AQ19" i="13"/>
  <c r="BZ24" i="22"/>
  <c r="BI24" i="22"/>
  <c r="BR24" i="22"/>
  <c r="BN24" i="22"/>
  <c r="CD24" i="22"/>
  <c r="BL24" i="22"/>
  <c r="CF24" i="22"/>
  <c r="AN24" i="22"/>
  <c r="BE24" i="22"/>
  <c r="AS24" i="22"/>
  <c r="AQ24" i="22"/>
  <c r="BX24" i="22"/>
  <c r="AZ24" i="22"/>
  <c r="CG24" i="22"/>
  <c r="AY24" i="22"/>
  <c r="BP24" i="22"/>
  <c r="AU24" i="22"/>
  <c r="AL24" i="22"/>
  <c r="CB24" i="22"/>
  <c r="BY24" i="22"/>
  <c r="A25" i="22"/>
  <c r="BH25" i="22" s="1"/>
  <c r="BU24" i="22"/>
  <c r="BG24" i="22"/>
  <c r="AT24" i="22"/>
  <c r="AX24" i="22"/>
  <c r="BB24" i="22"/>
  <c r="BW24" i="22"/>
  <c r="BF24" i="22"/>
  <c r="AW24" i="22"/>
  <c r="CA24" i="22"/>
  <c r="AK24" i="22"/>
  <c r="AI24" i="22"/>
  <c r="BA24" i="22"/>
  <c r="BC24" i="22"/>
  <c r="BM24" i="22"/>
  <c r="BD24" i="22"/>
  <c r="BK24" i="22"/>
  <c r="BQ24" i="22"/>
  <c r="AM24" i="22"/>
  <c r="AJ24" i="22"/>
  <c r="BH24" i="22"/>
  <c r="AH24" i="22"/>
  <c r="CH24" i="22"/>
  <c r="AO24" i="22"/>
  <c r="BT24" i="22"/>
  <c r="BO24" i="22"/>
  <c r="BV24" i="22"/>
  <c r="BS24" i="22"/>
  <c r="AV24" i="22"/>
  <c r="BJ24" i="22"/>
  <c r="AG24" i="22"/>
  <c r="AR24" i="22"/>
  <c r="AP24" i="22"/>
  <c r="CE24" i="22"/>
  <c r="F30" i="14"/>
  <c r="G30" i="14" s="1"/>
  <c r="F32" i="14" s="1"/>
  <c r="G32" i="14" s="1"/>
  <c r="F34" i="14" s="1"/>
  <c r="G34" i="14" s="1"/>
  <c r="F36" i="14" s="1"/>
  <c r="G36" i="14" s="1"/>
  <c r="F38" i="14" s="1"/>
  <c r="G38" i="14" s="1"/>
  <c r="F40" i="14" s="1"/>
  <c r="G40" i="14" s="1"/>
  <c r="F42" i="14" s="1"/>
  <c r="G42" i="14" s="1"/>
  <c r="F44" i="14" s="1"/>
  <c r="G44" i="14" s="1"/>
  <c r="F46" i="14" s="1"/>
  <c r="G46" i="14" s="1"/>
  <c r="F48" i="14" s="1"/>
  <c r="G48" i="14" s="1"/>
  <c r="F50" i="14" s="1"/>
  <c r="G50" i="14" s="1"/>
  <c r="L28" i="14"/>
  <c r="T17" i="13"/>
  <c r="AB17" i="13"/>
  <c r="J20" i="13"/>
  <c r="K20" i="13" s="1"/>
  <c r="M20" i="13" s="1"/>
  <c r="N19" i="13"/>
  <c r="L19" i="13"/>
  <c r="M19" i="13"/>
  <c r="P19" i="13" s="1"/>
  <c r="J26" i="15"/>
  <c r="K26" i="15" s="1"/>
  <c r="AI21" i="13"/>
  <c r="I21" i="13"/>
  <c r="K29" i="14"/>
  <c r="L29" i="14" s="1"/>
  <c r="O19" i="13" l="1"/>
  <c r="S19" i="13" s="1"/>
  <c r="AB19" i="13" s="1"/>
  <c r="AR18" i="13"/>
  <c r="T18" i="13"/>
  <c r="AC18" i="13" s="1"/>
  <c r="AF16" i="13"/>
  <c r="AM16" i="13" s="1"/>
  <c r="M15" i="14" s="1"/>
  <c r="R15" i="14" s="1"/>
  <c r="V15" i="14" s="1"/>
  <c r="X15" i="14" s="1"/>
  <c r="N14" i="22" s="1"/>
  <c r="Q19" i="13"/>
  <c r="M13" i="14"/>
  <c r="R13" i="14" s="1"/>
  <c r="V13" i="14" s="1"/>
  <c r="X13" i="14" s="1"/>
  <c r="L12" i="22"/>
  <c r="M12" i="15"/>
  <c r="R12" i="15" s="1"/>
  <c r="V12" i="15" s="1"/>
  <c r="X12" i="15" s="1"/>
  <c r="L12" i="16"/>
  <c r="M13" i="15"/>
  <c r="R13" i="15" s="1"/>
  <c r="V13" i="15" s="1"/>
  <c r="X13" i="15" s="1"/>
  <c r="M13" i="16" s="1"/>
  <c r="L13" i="22"/>
  <c r="M14" i="14"/>
  <c r="R14" i="14" s="1"/>
  <c r="V14" i="14" s="1"/>
  <c r="X14" i="14" s="1"/>
  <c r="N13" i="22" s="1"/>
  <c r="F23" i="15"/>
  <c r="G23" i="15" s="1"/>
  <c r="L22" i="15"/>
  <c r="AS17" i="13"/>
  <c r="AS18" i="13" s="1"/>
  <c r="AW25" i="22"/>
  <c r="AF25" i="22"/>
  <c r="CF25" i="22"/>
  <c r="AS25" i="22"/>
  <c r="AR25" i="22"/>
  <c r="BQ25" i="22"/>
  <c r="CG25" i="22"/>
  <c r="BK25" i="22"/>
  <c r="CE25" i="22"/>
  <c r="AM25" i="22"/>
  <c r="AP25" i="22"/>
  <c r="AI25" i="22"/>
  <c r="CD25" i="22"/>
  <c r="BT25" i="22"/>
  <c r="AQ25" i="22"/>
  <c r="BN25" i="22"/>
  <c r="BV25" i="22"/>
  <c r="BL25" i="22"/>
  <c r="AQ20" i="13"/>
  <c r="AJ25" i="22"/>
  <c r="CB25" i="22"/>
  <c r="AG25" i="22"/>
  <c r="AZ25" i="22"/>
  <c r="BO25" i="22"/>
  <c r="AO25" i="22"/>
  <c r="BW25" i="22"/>
  <c r="CA25" i="22"/>
  <c r="BJ25" i="22"/>
  <c r="AT25" i="22"/>
  <c r="BD25" i="22"/>
  <c r="CH25" i="22"/>
  <c r="BG25" i="22"/>
  <c r="BB25" i="22"/>
  <c r="AL25" i="22"/>
  <c r="BS25" i="22"/>
  <c r="AY25" i="22"/>
  <c r="BZ25" i="22"/>
  <c r="BM25" i="22"/>
  <c r="AK25" i="22"/>
  <c r="BF25" i="22"/>
  <c r="BI25" i="22"/>
  <c r="AH25" i="22"/>
  <c r="AX25" i="22"/>
  <c r="BR25" i="22"/>
  <c r="AV25" i="22"/>
  <c r="BX25" i="22"/>
  <c r="AN25" i="22"/>
  <c r="CC25" i="22"/>
  <c r="BA25" i="22"/>
  <c r="BC25" i="22"/>
  <c r="A26" i="22"/>
  <c r="BU25" i="22"/>
  <c r="AU25" i="22"/>
  <c r="BP25" i="22"/>
  <c r="BY25" i="22"/>
  <c r="BE25" i="22"/>
  <c r="G6" i="14"/>
  <c r="L20" i="13"/>
  <c r="O20" i="13" s="1"/>
  <c r="S20" i="13" s="1"/>
  <c r="N20" i="13"/>
  <c r="U17" i="13"/>
  <c r="AD17" i="13" s="1"/>
  <c r="AC17" i="13"/>
  <c r="P20" i="13"/>
  <c r="G22" i="13"/>
  <c r="H22" i="13" s="1"/>
  <c r="J21" i="13"/>
  <c r="K21" i="13" s="1"/>
  <c r="J27" i="15"/>
  <c r="AI20" i="13"/>
  <c r="J30" i="14"/>
  <c r="T19" i="13" l="1"/>
  <c r="AR19" i="13"/>
  <c r="AR20" i="13" s="1"/>
  <c r="U18" i="13"/>
  <c r="AD18" i="13" s="1"/>
  <c r="N14" i="16"/>
  <c r="L14" i="22"/>
  <c r="M14" i="15"/>
  <c r="R14" i="15" s="1"/>
  <c r="V14" i="15" s="1"/>
  <c r="X14" i="15" s="1"/>
  <c r="M14" i="22" s="1"/>
  <c r="L14" i="16"/>
  <c r="Q20" i="13"/>
  <c r="M12" i="22"/>
  <c r="M12" i="16"/>
  <c r="N12" i="22"/>
  <c r="N12" i="16"/>
  <c r="N13" i="16"/>
  <c r="O13" i="16" s="1"/>
  <c r="P13" i="16" s="1"/>
  <c r="M13" i="22"/>
  <c r="O13" i="22" s="1"/>
  <c r="P13" i="22" s="1"/>
  <c r="F24" i="15"/>
  <c r="G24" i="15" s="1"/>
  <c r="L23" i="15"/>
  <c r="AT17" i="13"/>
  <c r="BX26" i="22"/>
  <c r="AF26" i="22"/>
  <c r="AQ21" i="13"/>
  <c r="AY26" i="22"/>
  <c r="BG26" i="22"/>
  <c r="BC26" i="22"/>
  <c r="AJ26" i="22"/>
  <c r="A27" i="22"/>
  <c r="AR26" i="22"/>
  <c r="BE26" i="22"/>
  <c r="BM26" i="22"/>
  <c r="AV26" i="22"/>
  <c r="AX26" i="22"/>
  <c r="AI26" i="22"/>
  <c r="BD26" i="22"/>
  <c r="BR26" i="22"/>
  <c r="CB26" i="22"/>
  <c r="BH26" i="22"/>
  <c r="AW26" i="22"/>
  <c r="BQ26" i="22"/>
  <c r="AT26" i="22"/>
  <c r="AH26" i="22"/>
  <c r="BT26" i="22"/>
  <c r="CF26" i="22"/>
  <c r="CH26" i="22"/>
  <c r="BK26" i="22"/>
  <c r="BV26" i="22"/>
  <c r="BP26" i="22"/>
  <c r="BZ26" i="22"/>
  <c r="BS26" i="22"/>
  <c r="BU26" i="22"/>
  <c r="AQ26" i="22"/>
  <c r="AG26" i="22"/>
  <c r="AZ26" i="22"/>
  <c r="AS26" i="22"/>
  <c r="BJ26" i="22"/>
  <c r="AL26" i="22"/>
  <c r="BF26" i="22"/>
  <c r="CC26" i="22"/>
  <c r="AP26" i="22"/>
  <c r="BN26" i="22"/>
  <c r="AO26" i="22"/>
  <c r="CA26" i="22"/>
  <c r="BY26" i="22"/>
  <c r="AN26" i="22"/>
  <c r="BA26" i="22"/>
  <c r="CD26" i="22"/>
  <c r="BO26" i="22"/>
  <c r="BW26" i="22"/>
  <c r="CG26" i="22"/>
  <c r="BL26" i="22"/>
  <c r="CE26" i="22"/>
  <c r="BI26" i="22"/>
  <c r="AU26" i="22"/>
  <c r="AM26" i="22"/>
  <c r="AK26" i="22"/>
  <c r="BB26" i="22"/>
  <c r="AS19" i="13"/>
  <c r="V17" i="13"/>
  <c r="AE17" i="13" s="1"/>
  <c r="AF17" i="13" s="1"/>
  <c r="AM17" i="13" s="1"/>
  <c r="AC19" i="13"/>
  <c r="U19" i="13"/>
  <c r="T20" i="13"/>
  <c r="AB20" i="13"/>
  <c r="L21" i="13"/>
  <c r="O21" i="13" s="1"/>
  <c r="M21" i="13"/>
  <c r="P21" i="13" s="1"/>
  <c r="N21" i="13"/>
  <c r="K30" i="14"/>
  <c r="L30" i="14" s="1"/>
  <c r="K27" i="15"/>
  <c r="AI19" i="13"/>
  <c r="I22" i="13"/>
  <c r="AT18" i="13" l="1"/>
  <c r="AT19" i="13" s="1"/>
  <c r="AT20" i="13" s="1"/>
  <c r="V18" i="13"/>
  <c r="AE18" i="13" s="1"/>
  <c r="AF18" i="13" s="1"/>
  <c r="AM18" i="13" s="1"/>
  <c r="L16" i="16" s="1"/>
  <c r="M14" i="16"/>
  <c r="O14" i="16" s="1"/>
  <c r="P14" i="16" s="1"/>
  <c r="O14" i="22"/>
  <c r="P14" i="22" s="1"/>
  <c r="Q21" i="13"/>
  <c r="U20" i="13"/>
  <c r="AD20" i="13" s="1"/>
  <c r="O12" i="16"/>
  <c r="P12" i="16" s="1"/>
  <c r="O12" i="22"/>
  <c r="P12" i="22" s="1"/>
  <c r="F25" i="15"/>
  <c r="G25" i="15" s="1"/>
  <c r="L24" i="15"/>
  <c r="AH27" i="22"/>
  <c r="AF27" i="22"/>
  <c r="AS20" i="13"/>
  <c r="AG27" i="22"/>
  <c r="BL27" i="22"/>
  <c r="AR27" i="22"/>
  <c r="CA27" i="22"/>
  <c r="BE27" i="22"/>
  <c r="BR27" i="22"/>
  <c r="AW27" i="22"/>
  <c r="AQ27" i="22"/>
  <c r="BC27" i="22"/>
  <c r="AJ27" i="22"/>
  <c r="BV27" i="22"/>
  <c r="BB27" i="22"/>
  <c r="CE27" i="22"/>
  <c r="BX27" i="22"/>
  <c r="AN27" i="22"/>
  <c r="AM27" i="22"/>
  <c r="BK27" i="22"/>
  <c r="BQ27" i="22"/>
  <c r="BP27" i="22"/>
  <c r="BN27" i="22"/>
  <c r="AL27" i="22"/>
  <c r="CB27" i="22"/>
  <c r="AO27" i="22"/>
  <c r="BF27" i="22"/>
  <c r="AX27" i="22"/>
  <c r="BW27" i="22"/>
  <c r="BS27" i="22"/>
  <c r="BO27" i="22"/>
  <c r="CC27" i="22"/>
  <c r="BH27" i="22"/>
  <c r="BD27" i="22"/>
  <c r="AZ27" i="22"/>
  <c r="AY27" i="22"/>
  <c r="CD27" i="22"/>
  <c r="AI27" i="22"/>
  <c r="A28" i="22"/>
  <c r="AT28" i="22" s="1"/>
  <c r="BZ27" i="22"/>
  <c r="AV27" i="22"/>
  <c r="AS27" i="22"/>
  <c r="BI27" i="22"/>
  <c r="AP27" i="22"/>
  <c r="BG27" i="22"/>
  <c r="AU27" i="22"/>
  <c r="BY27" i="22"/>
  <c r="BT27" i="22"/>
  <c r="CF27" i="22"/>
  <c r="BJ27" i="22"/>
  <c r="BM27" i="22"/>
  <c r="BU27" i="22"/>
  <c r="BA27" i="22"/>
  <c r="AK27" i="22"/>
  <c r="AT27" i="22"/>
  <c r="L15" i="16"/>
  <c r="L15" i="22"/>
  <c r="M15" i="15"/>
  <c r="R15" i="15" s="1"/>
  <c r="V15" i="15" s="1"/>
  <c r="X15" i="15" s="1"/>
  <c r="M16" i="14"/>
  <c r="R16" i="14" s="1"/>
  <c r="V16" i="14" s="1"/>
  <c r="X16" i="14" s="1"/>
  <c r="V19" i="13"/>
  <c r="AE19" i="13" s="1"/>
  <c r="AD19" i="13"/>
  <c r="AC20" i="13"/>
  <c r="S21" i="13"/>
  <c r="AR21" i="13" s="1"/>
  <c r="J31" i="14"/>
  <c r="K31" i="14" s="1"/>
  <c r="L31" i="14" s="1"/>
  <c r="AI18" i="13"/>
  <c r="AQ22" i="13"/>
  <c r="J22" i="13"/>
  <c r="K22" i="13" s="1"/>
  <c r="G23" i="13"/>
  <c r="H23" i="13" s="1"/>
  <c r="J28" i="15"/>
  <c r="M17" i="14" l="1"/>
  <c r="R17" i="14" s="1"/>
  <c r="V17" i="14" s="1"/>
  <c r="X17" i="14" s="1"/>
  <c r="L16" i="22"/>
  <c r="M16" i="15"/>
  <c r="R16" i="15" s="1"/>
  <c r="V16" i="15" s="1"/>
  <c r="X16" i="15" s="1"/>
  <c r="M16" i="22" s="1"/>
  <c r="V20" i="13"/>
  <c r="AE20" i="13" s="1"/>
  <c r="AF20" i="13" s="1"/>
  <c r="AJ20" i="13" s="1"/>
  <c r="AK20" i="13" s="1"/>
  <c r="F26" i="15"/>
  <c r="G26" i="15" s="1"/>
  <c r="L25" i="15"/>
  <c r="AU28" i="22"/>
  <c r="AF28" i="22"/>
  <c r="AW28" i="22"/>
  <c r="CF28" i="22"/>
  <c r="AJ28" i="22"/>
  <c r="CE28" i="22"/>
  <c r="BU28" i="22"/>
  <c r="BN28" i="22"/>
  <c r="BO28" i="22"/>
  <c r="BG28" i="22"/>
  <c r="AG28" i="22"/>
  <c r="AO28" i="22"/>
  <c r="CC28" i="22"/>
  <c r="BT28" i="22"/>
  <c r="AZ28" i="22"/>
  <c r="BC28" i="22"/>
  <c r="CD28" i="22"/>
  <c r="AK28" i="22"/>
  <c r="AV28" i="22"/>
  <c r="AR28" i="22"/>
  <c r="BR28" i="22"/>
  <c r="A29" i="22"/>
  <c r="BM28" i="22"/>
  <c r="AN28" i="22"/>
  <c r="BL28" i="22"/>
  <c r="CA28" i="22"/>
  <c r="BY28" i="22"/>
  <c r="BX28" i="22"/>
  <c r="AI28" i="22"/>
  <c r="BW28" i="22"/>
  <c r="BI28" i="22"/>
  <c r="AL28" i="22"/>
  <c r="AP28" i="22"/>
  <c r="AH28" i="22"/>
  <c r="AQ28" i="22"/>
  <c r="BB28" i="22"/>
  <c r="BA28" i="22"/>
  <c r="AY28" i="22"/>
  <c r="BH28" i="22"/>
  <c r="AX28" i="22"/>
  <c r="CB28" i="22"/>
  <c r="BF28" i="22"/>
  <c r="BK28" i="22"/>
  <c r="AM28" i="22"/>
  <c r="BS28" i="22"/>
  <c r="BD28" i="22"/>
  <c r="BP28" i="22"/>
  <c r="AS28" i="22"/>
  <c r="BQ28" i="22"/>
  <c r="BV28" i="22"/>
  <c r="BE28" i="22"/>
  <c r="BJ28" i="22"/>
  <c r="BZ28" i="22"/>
  <c r="N15" i="22"/>
  <c r="N15" i="16"/>
  <c r="M15" i="22"/>
  <c r="M15" i="16"/>
  <c r="AF19" i="13"/>
  <c r="N22" i="13"/>
  <c r="Q22" i="13" s="1"/>
  <c r="L22" i="13"/>
  <c r="O22" i="13" s="1"/>
  <c r="M22" i="13"/>
  <c r="P22" i="13" s="1"/>
  <c r="N16" i="22"/>
  <c r="N16" i="16"/>
  <c r="AB21" i="13"/>
  <c r="T21" i="13"/>
  <c r="AS21" i="13" s="1"/>
  <c r="AJ18" i="13"/>
  <c r="AK18" i="13" s="1"/>
  <c r="AI17" i="13"/>
  <c r="K28" i="15"/>
  <c r="J32" i="14"/>
  <c r="I23" i="13"/>
  <c r="M16" i="16" l="1"/>
  <c r="O16" i="16" s="1"/>
  <c r="P16" i="16" s="1"/>
  <c r="F27" i="15"/>
  <c r="G27" i="15" s="1"/>
  <c r="L26" i="15"/>
  <c r="BD29" i="22"/>
  <c r="AF29" i="22"/>
  <c r="AJ29" i="22"/>
  <c r="BZ29" i="22"/>
  <c r="BU29" i="22"/>
  <c r="BO29" i="22"/>
  <c r="AQ29" i="22"/>
  <c r="AS29" i="22"/>
  <c r="BQ29" i="22"/>
  <c r="BG29" i="22"/>
  <c r="AN29" i="22"/>
  <c r="AL29" i="22"/>
  <c r="AR29" i="22"/>
  <c r="CF29" i="22"/>
  <c r="AM29" i="22"/>
  <c r="AT29" i="22"/>
  <c r="AX29" i="22"/>
  <c r="AK29" i="22"/>
  <c r="BS29" i="22"/>
  <c r="BV29" i="22"/>
  <c r="BJ29" i="22"/>
  <c r="BB29" i="22"/>
  <c r="BA29" i="22"/>
  <c r="AO29" i="22"/>
  <c r="BT29" i="22"/>
  <c r="CD29" i="22"/>
  <c r="BC29" i="22"/>
  <c r="AV29" i="22"/>
  <c r="AH29" i="22"/>
  <c r="BR29" i="22"/>
  <c r="BI29" i="22"/>
  <c r="BF29" i="22"/>
  <c r="BL29" i="22"/>
  <c r="A30" i="22"/>
  <c r="BW29" i="22"/>
  <c r="BM29" i="22"/>
  <c r="BY29" i="22"/>
  <c r="BX29" i="22"/>
  <c r="AG29" i="22"/>
  <c r="BN29" i="22"/>
  <c r="BE29" i="22"/>
  <c r="BH29" i="22"/>
  <c r="BK29" i="22"/>
  <c r="CC29" i="22"/>
  <c r="AW29" i="22"/>
  <c r="CB29" i="22"/>
  <c r="AU29" i="22"/>
  <c r="CE29" i="22"/>
  <c r="AZ29" i="22"/>
  <c r="AY29" i="22"/>
  <c r="AI29" i="22"/>
  <c r="AP29" i="22"/>
  <c r="BP29" i="22"/>
  <c r="CA29" i="22"/>
  <c r="AM20" i="13"/>
  <c r="M18" i="15" s="1"/>
  <c r="R18" i="15" s="1"/>
  <c r="V18" i="15" s="1"/>
  <c r="X18" i="15" s="1"/>
  <c r="O15" i="16"/>
  <c r="P15" i="16" s="1"/>
  <c r="O15" i="22"/>
  <c r="P15" i="22" s="1"/>
  <c r="AM19" i="13"/>
  <c r="AJ19" i="13"/>
  <c r="AK19" i="13" s="1"/>
  <c r="O16" i="22"/>
  <c r="P16" i="22" s="1"/>
  <c r="AC21" i="13"/>
  <c r="U21" i="13"/>
  <c r="AT21" i="13" s="1"/>
  <c r="AR22" i="13"/>
  <c r="S22" i="13"/>
  <c r="K32" i="14"/>
  <c r="L32" i="14" s="1"/>
  <c r="AJ17" i="13"/>
  <c r="AK17" i="13" s="1"/>
  <c r="AI16" i="13"/>
  <c r="J29" i="15"/>
  <c r="AQ23" i="13"/>
  <c r="G24" i="13"/>
  <c r="H24" i="13" s="1"/>
  <c r="I24" i="13" s="1"/>
  <c r="J23" i="13"/>
  <c r="K23" i="13" s="1"/>
  <c r="F28" i="15" l="1"/>
  <c r="G28" i="15" s="1"/>
  <c r="L27" i="15"/>
  <c r="BI30" i="22"/>
  <c r="AF30" i="22"/>
  <c r="BK30" i="22"/>
  <c r="L18" i="22"/>
  <c r="AI30" i="22"/>
  <c r="BZ30" i="22"/>
  <c r="BT30" i="22"/>
  <c r="BU30" i="22"/>
  <c r="AG30" i="22"/>
  <c r="AY30" i="22"/>
  <c r="BE30" i="22"/>
  <c r="AZ30" i="22"/>
  <c r="AQ30" i="22"/>
  <c r="BH30" i="22"/>
  <c r="BV30" i="22"/>
  <c r="AT30" i="22"/>
  <c r="AN30" i="22"/>
  <c r="AJ30" i="22"/>
  <c r="BQ30" i="22"/>
  <c r="AL30" i="22"/>
  <c r="AH30" i="22"/>
  <c r="BS30" i="22"/>
  <c r="BC30" i="22"/>
  <c r="BA30" i="22"/>
  <c r="BJ30" i="22"/>
  <c r="AS30" i="22"/>
  <c r="AO30" i="22"/>
  <c r="AX30" i="22"/>
  <c r="BW30" i="22"/>
  <c r="BY30" i="22"/>
  <c r="AV30" i="22"/>
  <c r="BF30" i="22"/>
  <c r="BB30" i="22"/>
  <c r="AK30" i="22"/>
  <c r="A31" i="22"/>
  <c r="AW30" i="22"/>
  <c r="CF30" i="22"/>
  <c r="BG30" i="22"/>
  <c r="AR30" i="22"/>
  <c r="BR30" i="22"/>
  <c r="AM30" i="22"/>
  <c r="AP30" i="22"/>
  <c r="BM30" i="22"/>
  <c r="BP30" i="22"/>
  <c r="BO30" i="22"/>
  <c r="CE30" i="22"/>
  <c r="BX30" i="22"/>
  <c r="AU30" i="22"/>
  <c r="CC30" i="22"/>
  <c r="CA30" i="22"/>
  <c r="BN30" i="22"/>
  <c r="CD30" i="22"/>
  <c r="CB30" i="22"/>
  <c r="BL30" i="22"/>
  <c r="BD30" i="22"/>
  <c r="L18" i="16"/>
  <c r="M19" i="14"/>
  <c r="R19" i="14" s="1"/>
  <c r="V19" i="14" s="1"/>
  <c r="X19" i="14" s="1"/>
  <c r="N18" i="22" s="1"/>
  <c r="L17" i="16"/>
  <c r="M18" i="14"/>
  <c r="R18" i="14" s="1"/>
  <c r="V18" i="14" s="1"/>
  <c r="X18" i="14" s="1"/>
  <c r="L17" i="22"/>
  <c r="M17" i="15"/>
  <c r="R17" i="15" s="1"/>
  <c r="V17" i="15" s="1"/>
  <c r="X17" i="15" s="1"/>
  <c r="T22" i="13"/>
  <c r="AC22" i="13" s="1"/>
  <c r="AB22" i="13"/>
  <c r="M23" i="13"/>
  <c r="P23" i="13" s="1"/>
  <c r="L23" i="13"/>
  <c r="O23" i="13" s="1"/>
  <c r="N23" i="13"/>
  <c r="Q23" i="13" s="1"/>
  <c r="AD21" i="13"/>
  <c r="V21" i="13"/>
  <c r="AE21" i="13" s="1"/>
  <c r="M18" i="22"/>
  <c r="M18" i="16"/>
  <c r="AJ16" i="13"/>
  <c r="AK16" i="13" s="1"/>
  <c r="AI15" i="13"/>
  <c r="J24" i="13"/>
  <c r="K24" i="13" s="1"/>
  <c r="G25" i="13"/>
  <c r="AQ24" i="13"/>
  <c r="K29" i="15"/>
  <c r="J33" i="14"/>
  <c r="F29" i="15" l="1"/>
  <c r="G29" i="15" s="1"/>
  <c r="F30" i="15" s="1"/>
  <c r="G30" i="15" s="1"/>
  <c r="F31" i="15" s="1"/>
  <c r="G31" i="15" s="1"/>
  <c r="F32" i="15" s="1"/>
  <c r="G32" i="15" s="1"/>
  <c r="F33" i="15" s="1"/>
  <c r="G33" i="15" s="1"/>
  <c r="F34" i="15" s="1"/>
  <c r="G34" i="15" s="1"/>
  <c r="F35" i="15" s="1"/>
  <c r="G35" i="15" s="1"/>
  <c r="F36" i="15" s="1"/>
  <c r="G36" i="15" s="1"/>
  <c r="F37" i="15" s="1"/>
  <c r="G37" i="15" s="1"/>
  <c r="F38" i="15" s="1"/>
  <c r="G38" i="15" s="1"/>
  <c r="F39" i="15" s="1"/>
  <c r="G39" i="15" s="1"/>
  <c r="F40" i="15" s="1"/>
  <c r="G40" i="15" s="1"/>
  <c r="F41" i="15" s="1"/>
  <c r="G41" i="15" s="1"/>
  <c r="F42" i="15" s="1"/>
  <c r="G42" i="15" s="1"/>
  <c r="F43" i="15" s="1"/>
  <c r="G43" i="15" s="1"/>
  <c r="F44" i="15" s="1"/>
  <c r="G44" i="15" s="1"/>
  <c r="F45" i="15" s="1"/>
  <c r="G45" i="15" s="1"/>
  <c r="F46" i="15" s="1"/>
  <c r="G46" i="15" s="1"/>
  <c r="F47" i="15" s="1"/>
  <c r="G47" i="15" s="1"/>
  <c r="F48" i="15" s="1"/>
  <c r="L28" i="15"/>
  <c r="AX31" i="22"/>
  <c r="AF31" i="22"/>
  <c r="AS22" i="13"/>
  <c r="AS23" i="13" s="1"/>
  <c r="BZ31" i="22"/>
  <c r="BI31" i="22"/>
  <c r="AZ31" i="22"/>
  <c r="BR31" i="22"/>
  <c r="BA31" i="22"/>
  <c r="CB31" i="22"/>
  <c r="BO31" i="22"/>
  <c r="AY31" i="22"/>
  <c r="AT31" i="22"/>
  <c r="AN31" i="22"/>
  <c r="AU31" i="22"/>
  <c r="BT31" i="22"/>
  <c r="CC31" i="22"/>
  <c r="BX31" i="22"/>
  <c r="AJ31" i="22"/>
  <c r="AR31" i="22"/>
  <c r="CD31" i="22"/>
  <c r="BS31" i="22"/>
  <c r="BG31" i="22"/>
  <c r="CA31" i="22"/>
  <c r="BD31" i="22"/>
  <c r="BH31" i="22"/>
  <c r="BL31" i="22"/>
  <c r="BC31" i="22"/>
  <c r="BY31" i="22"/>
  <c r="BB31" i="22"/>
  <c r="BU31" i="22"/>
  <c r="AS31" i="22"/>
  <c r="BE31" i="22"/>
  <c r="BJ31" i="22"/>
  <c r="BN31" i="22"/>
  <c r="AG31" i="22"/>
  <c r="AQ31" i="22"/>
  <c r="BV31" i="22"/>
  <c r="BW31" i="22"/>
  <c r="BK31" i="22"/>
  <c r="BP31" i="22"/>
  <c r="AH31" i="22"/>
  <c r="BF31" i="22"/>
  <c r="AI31" i="22"/>
  <c r="AP31" i="22"/>
  <c r="CF31" i="22"/>
  <c r="AO31" i="22"/>
  <c r="CE31" i="22"/>
  <c r="AV31" i="22"/>
  <c r="A32" i="22"/>
  <c r="BQ31" i="22"/>
  <c r="AW31" i="22"/>
  <c r="AL31" i="22"/>
  <c r="AK31" i="22"/>
  <c r="BM31" i="22"/>
  <c r="AM31" i="22"/>
  <c r="N18" i="16"/>
  <c r="O18" i="16" s="1"/>
  <c r="P18" i="16" s="1"/>
  <c r="M17" i="22"/>
  <c r="M17" i="16"/>
  <c r="N17" i="16"/>
  <c r="N17" i="22"/>
  <c r="U22" i="13"/>
  <c r="AT22" i="13" s="1"/>
  <c r="O18" i="22"/>
  <c r="P18" i="22" s="1"/>
  <c r="S23" i="13"/>
  <c r="AR23" i="13"/>
  <c r="AF21" i="13"/>
  <c r="L24" i="13"/>
  <c r="O24" i="13" s="1"/>
  <c r="S24" i="13" s="1"/>
  <c r="N24" i="13"/>
  <c r="Q24" i="13" s="1"/>
  <c r="M24" i="13"/>
  <c r="P24" i="13" s="1"/>
  <c r="J30" i="15"/>
  <c r="K30" i="15" s="1"/>
  <c r="H25" i="13"/>
  <c r="K33" i="14"/>
  <c r="L33" i="14" s="1"/>
  <c r="AI14" i="13"/>
  <c r="AJ15" i="13"/>
  <c r="AK15" i="13" s="1"/>
  <c r="L30" i="15" l="1"/>
  <c r="G48" i="15"/>
  <c r="G6" i="15" s="1"/>
  <c r="L29" i="15"/>
  <c r="BU32" i="22"/>
  <c r="AF32" i="22"/>
  <c r="AS24" i="13"/>
  <c r="AT32" i="22"/>
  <c r="AO32" i="22"/>
  <c r="BT32" i="22"/>
  <c r="BO32" i="22"/>
  <c r="BG32" i="22"/>
  <c r="A33" i="22"/>
  <c r="BD32" i="22"/>
  <c r="AM32" i="22"/>
  <c r="BF32" i="22"/>
  <c r="CE32" i="22"/>
  <c r="BH32" i="22"/>
  <c r="AH32" i="22"/>
  <c r="BY32" i="22"/>
  <c r="AR32" i="22"/>
  <c r="AQ32" i="22"/>
  <c r="BZ32" i="22"/>
  <c r="BW32" i="22"/>
  <c r="CA32" i="22"/>
  <c r="AV32" i="22"/>
  <c r="AW32" i="22"/>
  <c r="AG32" i="22"/>
  <c r="AN32" i="22"/>
  <c r="BX32" i="22"/>
  <c r="AI32" i="22"/>
  <c r="AS32" i="22"/>
  <c r="BR32" i="22"/>
  <c r="BV32" i="22"/>
  <c r="BM32" i="22"/>
  <c r="AX32" i="22"/>
  <c r="BS32" i="22"/>
  <c r="CC32" i="22"/>
  <c r="AY32" i="22"/>
  <c r="BP32" i="22"/>
  <c r="BL32" i="22"/>
  <c r="AL32" i="22"/>
  <c r="CB32" i="22"/>
  <c r="BK32" i="22"/>
  <c r="AJ32" i="22"/>
  <c r="AP32" i="22"/>
  <c r="AU32" i="22"/>
  <c r="BI32" i="22"/>
  <c r="BC32" i="22"/>
  <c r="BJ32" i="22"/>
  <c r="CF32" i="22"/>
  <c r="BB32" i="22"/>
  <c r="BE32" i="22"/>
  <c r="CD32" i="22"/>
  <c r="AZ32" i="22"/>
  <c r="AK32" i="22"/>
  <c r="BA32" i="22"/>
  <c r="BN32" i="22"/>
  <c r="BQ32" i="22"/>
  <c r="O17" i="16"/>
  <c r="P17" i="16" s="1"/>
  <c r="O17" i="22"/>
  <c r="P17" i="22" s="1"/>
  <c r="AR24" i="13"/>
  <c r="AD22" i="13"/>
  <c r="V22" i="13"/>
  <c r="AE22" i="13" s="1"/>
  <c r="AM21" i="13"/>
  <c r="AJ21" i="13"/>
  <c r="AK21" i="13" s="1"/>
  <c r="T23" i="13"/>
  <c r="AB23" i="13"/>
  <c r="J31" i="15"/>
  <c r="K31" i="15" s="1"/>
  <c r="L31" i="15" s="1"/>
  <c r="J34" i="14"/>
  <c r="I25" i="13"/>
  <c r="T24" i="13"/>
  <c r="AB24" i="13"/>
  <c r="AI13" i="13"/>
  <c r="AJ14" i="13"/>
  <c r="AK14" i="13" s="1"/>
  <c r="F49" i="15" l="1"/>
  <c r="G49" i="15" s="1"/>
  <c r="A34" i="22"/>
  <c r="AF34" i="22" s="1"/>
  <c r="AF33" i="22"/>
  <c r="CD33" i="22"/>
  <c r="BZ33" i="22"/>
  <c r="BH33" i="22"/>
  <c r="BB33" i="22"/>
  <c r="AG33" i="22"/>
  <c r="BL33" i="22"/>
  <c r="AI33" i="22"/>
  <c r="AS33" i="22"/>
  <c r="BA33" i="22"/>
  <c r="AK33" i="22"/>
  <c r="AZ33" i="22"/>
  <c r="BJ33" i="22"/>
  <c r="BX33" i="22"/>
  <c r="BD33" i="22"/>
  <c r="BQ33" i="22"/>
  <c r="BP33" i="22"/>
  <c r="BF33" i="22"/>
  <c r="AP33" i="22"/>
  <c r="AV33" i="22"/>
  <c r="BS33" i="22"/>
  <c r="AY33" i="22"/>
  <c r="BR33" i="22"/>
  <c r="BY33" i="22"/>
  <c r="CB33" i="22"/>
  <c r="BU33" i="22"/>
  <c r="AN33" i="22"/>
  <c r="AO33" i="22"/>
  <c r="BT33" i="22"/>
  <c r="AQ33" i="22"/>
  <c r="BO33" i="22"/>
  <c r="AL33" i="22"/>
  <c r="AW33" i="22"/>
  <c r="AX33" i="22"/>
  <c r="BM33" i="22"/>
  <c r="CE33" i="22"/>
  <c r="BN33" i="22"/>
  <c r="BI33" i="22"/>
  <c r="CA33" i="22"/>
  <c r="CF33" i="22"/>
  <c r="BE33" i="22"/>
  <c r="BV33" i="22"/>
  <c r="BK33" i="22"/>
  <c r="AJ33" i="22"/>
  <c r="CC33" i="22"/>
  <c r="AU33" i="22"/>
  <c r="BG33" i="22"/>
  <c r="AM33" i="22"/>
  <c r="BW33" i="22"/>
  <c r="BC33" i="22"/>
  <c r="AR33" i="22"/>
  <c r="AT33" i="22"/>
  <c r="AH33" i="22"/>
  <c r="AF22" i="13"/>
  <c r="L19" i="22"/>
  <c r="L19" i="16"/>
  <c r="M19" i="15"/>
  <c r="R19" i="15" s="1"/>
  <c r="V19" i="15" s="1"/>
  <c r="X19" i="15" s="1"/>
  <c r="M20" i="14"/>
  <c r="R20" i="14" s="1"/>
  <c r="V20" i="14" s="1"/>
  <c r="X20" i="14" s="1"/>
  <c r="U23" i="13"/>
  <c r="AT23" i="13" s="1"/>
  <c r="AC23" i="13"/>
  <c r="J32" i="15"/>
  <c r="K32" i="15" s="1"/>
  <c r="L32" i="15" s="1"/>
  <c r="J25" i="13"/>
  <c r="K25" i="13" s="1"/>
  <c r="G26" i="13"/>
  <c r="AQ25" i="13"/>
  <c r="AI12" i="13"/>
  <c r="AJ13" i="13"/>
  <c r="AK13" i="13" s="1"/>
  <c r="AC24" i="13"/>
  <c r="U24" i="13"/>
  <c r="K34" i="14"/>
  <c r="L34" i="14" s="1"/>
  <c r="AT24" i="13" l="1"/>
  <c r="BX34" i="22"/>
  <c r="BJ34" i="22"/>
  <c r="AR34" i="22"/>
  <c r="BA34" i="22"/>
  <c r="AV34" i="22"/>
  <c r="AN34" i="22"/>
  <c r="BN34" i="22"/>
  <c r="BQ34" i="22"/>
  <c r="AG34" i="22"/>
  <c r="AW34" i="22"/>
  <c r="BF34" i="22"/>
  <c r="AK34" i="22"/>
  <c r="AM34" i="22"/>
  <c r="CF34" i="22"/>
  <c r="BZ34" i="22"/>
  <c r="AI34" i="22"/>
  <c r="BT34" i="22"/>
  <c r="BC34" i="22"/>
  <c r="BR34" i="22"/>
  <c r="BB34" i="22"/>
  <c r="BY34" i="22"/>
  <c r="BW34" i="22"/>
  <c r="AY34" i="22"/>
  <c r="BS34" i="22"/>
  <c r="CC34" i="22"/>
  <c r="BM34" i="22"/>
  <c r="BE34" i="22"/>
  <c r="BU34" i="22"/>
  <c r="AT34" i="22"/>
  <c r="AQ34" i="22"/>
  <c r="BV34" i="22"/>
  <c r="BP34" i="22"/>
  <c r="AS34" i="22"/>
  <c r="AL34" i="22"/>
  <c r="AH34" i="22"/>
  <c r="CA34" i="22"/>
  <c r="AJ34" i="22"/>
  <c r="AP34" i="22"/>
  <c r="CB34" i="22"/>
  <c r="BK34" i="22"/>
  <c r="AZ34" i="22"/>
  <c r="BI34" i="22"/>
  <c r="AX34" i="22"/>
  <c r="BH34" i="22"/>
  <c r="BO34" i="22"/>
  <c r="CE34" i="22"/>
  <c r="CD34" i="22"/>
  <c r="BL34" i="22"/>
  <c r="A35" i="22"/>
  <c r="AF35" i="22" s="1"/>
  <c r="BD34" i="22"/>
  <c r="BG34" i="22"/>
  <c r="AO34" i="22"/>
  <c r="AU34" i="22"/>
  <c r="AM22" i="13"/>
  <c r="AJ22" i="13"/>
  <c r="AK22" i="13" s="1"/>
  <c r="N25" i="13"/>
  <c r="Q25" i="13" s="1"/>
  <c r="M25" i="13"/>
  <c r="P25" i="13" s="1"/>
  <c r="AS25" i="13" s="1"/>
  <c r="L25" i="13"/>
  <c r="O25" i="13" s="1"/>
  <c r="M19" i="16"/>
  <c r="M19" i="22"/>
  <c r="N19" i="22"/>
  <c r="N19" i="16"/>
  <c r="V23" i="13"/>
  <c r="AE23" i="13" s="1"/>
  <c r="AD23" i="13"/>
  <c r="J33" i="15"/>
  <c r="K33" i="15" s="1"/>
  <c r="L33" i="15" s="1"/>
  <c r="AJ12" i="13"/>
  <c r="AK12" i="13" s="1"/>
  <c r="AI9" i="13"/>
  <c r="J35" i="14"/>
  <c r="AD24" i="13"/>
  <c r="V24" i="13"/>
  <c r="AE24" i="13" s="1"/>
  <c r="H26" i="13"/>
  <c r="AT25" i="13" l="1"/>
  <c r="AS35" i="22"/>
  <c r="BF35" i="22"/>
  <c r="BZ35" i="22"/>
  <c r="AY35" i="22"/>
  <c r="BB35" i="22"/>
  <c r="BY35" i="22"/>
  <c r="AO35" i="22"/>
  <c r="AK35" i="22"/>
  <c r="AI35" i="22"/>
  <c r="BS35" i="22"/>
  <c r="AM35" i="22"/>
  <c r="AP35" i="22"/>
  <c r="BI35" i="22"/>
  <c r="AZ35" i="22"/>
  <c r="AR35" i="22"/>
  <c r="AG35" i="22"/>
  <c r="AW35" i="22"/>
  <c r="BJ35" i="22"/>
  <c r="BN35" i="22"/>
  <c r="BU35" i="22"/>
  <c r="BD35" i="22"/>
  <c r="BQ35" i="22"/>
  <c r="A36" i="22"/>
  <c r="AF36" i="22" s="1"/>
  <c r="AT35" i="22"/>
  <c r="CE35" i="22"/>
  <c r="AH35" i="22"/>
  <c r="BH35" i="22"/>
  <c r="BP35" i="22"/>
  <c r="BG35" i="22"/>
  <c r="BR35" i="22"/>
  <c r="AL35" i="22"/>
  <c r="BE35" i="22"/>
  <c r="BT35" i="22"/>
  <c r="CB35" i="22"/>
  <c r="BM35" i="22"/>
  <c r="AX35" i="22"/>
  <c r="BK35" i="22"/>
  <c r="AU35" i="22"/>
  <c r="BX35" i="22"/>
  <c r="BW35" i="22"/>
  <c r="CF35" i="22"/>
  <c r="CC35" i="22"/>
  <c r="BA35" i="22"/>
  <c r="AN35" i="22"/>
  <c r="AV35" i="22"/>
  <c r="AJ35" i="22"/>
  <c r="BO35" i="22"/>
  <c r="CD35" i="22"/>
  <c r="AQ35" i="22"/>
  <c r="CA35" i="22"/>
  <c r="BL35" i="22"/>
  <c r="BC35" i="22"/>
  <c r="BV35" i="22"/>
  <c r="O19" i="16"/>
  <c r="P19" i="16" s="1"/>
  <c r="M21" i="14"/>
  <c r="R21" i="14" s="1"/>
  <c r="V21" i="14" s="1"/>
  <c r="X21" i="14" s="1"/>
  <c r="M20" i="15"/>
  <c r="R20" i="15" s="1"/>
  <c r="V20" i="15" s="1"/>
  <c r="X20" i="15" s="1"/>
  <c r="L20" i="16"/>
  <c r="L20" i="22"/>
  <c r="O19" i="22"/>
  <c r="P19" i="22" s="1"/>
  <c r="AF23" i="13"/>
  <c r="S25" i="13"/>
  <c r="AR25" i="13"/>
  <c r="AF24" i="13"/>
  <c r="AJ24" i="13" s="1"/>
  <c r="AK24" i="13" s="1"/>
  <c r="K35" i="14"/>
  <c r="L35" i="14" s="1"/>
  <c r="I26" i="13"/>
  <c r="J34" i="15"/>
  <c r="AX36" i="22" l="1"/>
  <c r="BH36" i="22"/>
  <c r="BW36" i="22"/>
  <c r="AU36" i="22"/>
  <c r="BT36" i="22"/>
  <c r="BN36" i="22"/>
  <c r="AI36" i="22"/>
  <c r="AQ36" i="22"/>
  <c r="AJ36" i="22"/>
  <c r="BK36" i="22"/>
  <c r="BG36" i="22"/>
  <c r="CF36" i="22"/>
  <c r="CC36" i="22"/>
  <c r="AM36" i="22"/>
  <c r="AW36" i="22"/>
  <c r="BS36" i="22"/>
  <c r="BB36" i="22"/>
  <c r="AG36" i="22"/>
  <c r="CB36" i="22"/>
  <c r="AL36" i="22"/>
  <c r="BX36" i="22"/>
  <c r="BF36" i="22"/>
  <c r="BV36" i="22"/>
  <c r="AP36" i="22"/>
  <c r="BO36" i="22"/>
  <c r="BM36" i="22"/>
  <c r="BQ36" i="22"/>
  <c r="BR36" i="22"/>
  <c r="AY36" i="22"/>
  <c r="AK36" i="22"/>
  <c r="AN36" i="22"/>
  <c r="BY36" i="22"/>
  <c r="A37" i="22"/>
  <c r="AF37" i="22" s="1"/>
  <c r="CE36" i="22"/>
  <c r="BA36" i="22"/>
  <c r="CD36" i="22"/>
  <c r="BD36" i="22"/>
  <c r="AZ36" i="22"/>
  <c r="BJ36" i="22"/>
  <c r="CA36" i="22"/>
  <c r="BZ36" i="22"/>
  <c r="BU36" i="22"/>
  <c r="AO36" i="22"/>
  <c r="AR36" i="22"/>
  <c r="AV36" i="22"/>
  <c r="BE36" i="22"/>
  <c r="BL36" i="22"/>
  <c r="BI36" i="22"/>
  <c r="BC36" i="22"/>
  <c r="BP36" i="22"/>
  <c r="AS36" i="22"/>
  <c r="AH36" i="22"/>
  <c r="AT36" i="22"/>
  <c r="AM24" i="13"/>
  <c r="L22" i="16" s="1"/>
  <c r="M20" i="22"/>
  <c r="M20" i="16"/>
  <c r="N20" i="16"/>
  <c r="N20" i="22"/>
  <c r="AB25" i="13"/>
  <c r="T25" i="13"/>
  <c r="AJ23" i="13"/>
  <c r="AK23" i="13" s="1"/>
  <c r="AM23" i="13"/>
  <c r="J36" i="14"/>
  <c r="K36" i="14" s="1"/>
  <c r="L36" i="14" s="1"/>
  <c r="K34" i="15"/>
  <c r="L34" i="15" s="1"/>
  <c r="G27" i="13"/>
  <c r="J26" i="13"/>
  <c r="K26" i="13" s="1"/>
  <c r="AQ26" i="13"/>
  <c r="AQ37" i="22" l="1"/>
  <c r="AN37" i="22"/>
  <c r="AI37" i="22"/>
  <c r="BV37" i="22"/>
  <c r="BT37" i="22"/>
  <c r="BB37" i="22"/>
  <c r="BL37" i="22"/>
  <c r="BH37" i="22"/>
  <c r="AP37" i="22"/>
  <c r="BJ37" i="22"/>
  <c r="A38" i="22"/>
  <c r="AF38" i="22" s="1"/>
  <c r="AX37" i="22"/>
  <c r="AK37" i="22"/>
  <c r="AT37" i="22"/>
  <c r="BK37" i="22"/>
  <c r="BP37" i="22"/>
  <c r="AM37" i="22"/>
  <c r="BF37" i="22"/>
  <c r="BY37" i="22"/>
  <c r="AU37" i="22"/>
  <c r="AS37" i="22"/>
  <c r="BG37" i="22"/>
  <c r="BX37" i="22"/>
  <c r="AJ37" i="22"/>
  <c r="CC37" i="22"/>
  <c r="AW37" i="22"/>
  <c r="BW37" i="22"/>
  <c r="AG37" i="22"/>
  <c r="BD37" i="22"/>
  <c r="BO37" i="22"/>
  <c r="BA37" i="22"/>
  <c r="CE37" i="22"/>
  <c r="AY37" i="22"/>
  <c r="BS37" i="22"/>
  <c r="BI37" i="22"/>
  <c r="BE37" i="22"/>
  <c r="BU37" i="22"/>
  <c r="AR37" i="22"/>
  <c r="CF37" i="22"/>
  <c r="BC37" i="22"/>
  <c r="BR37" i="22"/>
  <c r="AV37" i="22"/>
  <c r="CB37" i="22"/>
  <c r="BZ37" i="22"/>
  <c r="AL37" i="22"/>
  <c r="CA37" i="22"/>
  <c r="BQ37" i="22"/>
  <c r="AH37" i="22"/>
  <c r="AO37" i="22"/>
  <c r="CD37" i="22"/>
  <c r="BM37" i="22"/>
  <c r="BN37" i="22"/>
  <c r="AZ37" i="22"/>
  <c r="L22" i="22"/>
  <c r="M23" i="14"/>
  <c r="R23" i="14" s="1"/>
  <c r="V23" i="14" s="1"/>
  <c r="X23" i="14" s="1"/>
  <c r="N22" i="22" s="1"/>
  <c r="M22" i="15"/>
  <c r="R22" i="15" s="1"/>
  <c r="V22" i="15" s="1"/>
  <c r="X22" i="15" s="1"/>
  <c r="M22" i="22" s="1"/>
  <c r="O20" i="16"/>
  <c r="P20" i="16" s="1"/>
  <c r="O20" i="22"/>
  <c r="P20" i="22" s="1"/>
  <c r="M22" i="14"/>
  <c r="R22" i="14" s="1"/>
  <c r="V22" i="14" s="1"/>
  <c r="X22" i="14" s="1"/>
  <c r="L21" i="16"/>
  <c r="M21" i="15"/>
  <c r="R21" i="15" s="1"/>
  <c r="V21" i="15" s="1"/>
  <c r="X21" i="15" s="1"/>
  <c r="L21" i="22"/>
  <c r="AC25" i="13"/>
  <c r="U25" i="13"/>
  <c r="AD25" i="13" s="1"/>
  <c r="N26" i="13"/>
  <c r="Q26" i="13" s="1"/>
  <c r="AT26" i="13" s="1"/>
  <c r="L26" i="13"/>
  <c r="O26" i="13" s="1"/>
  <c r="M26" i="13"/>
  <c r="P26" i="13" s="1"/>
  <c r="AS26" i="13" s="1"/>
  <c r="J35" i="15"/>
  <c r="K35" i="15" s="1"/>
  <c r="L35" i="15" s="1"/>
  <c r="H27" i="13"/>
  <c r="J37" i="14"/>
  <c r="AY38" i="22" l="1"/>
  <c r="BT38" i="22"/>
  <c r="BX38" i="22"/>
  <c r="BE38" i="22"/>
  <c r="BY38" i="22"/>
  <c r="BN38" i="22"/>
  <c r="AV38" i="22"/>
  <c r="BG38" i="22"/>
  <c r="CC38" i="22"/>
  <c r="BZ38" i="22"/>
  <c r="AG38" i="22"/>
  <c r="BI38" i="22"/>
  <c r="BW38" i="22"/>
  <c r="BL38" i="22"/>
  <c r="AM38" i="22"/>
  <c r="AX38" i="22"/>
  <c r="BP38" i="22"/>
  <c r="BM38" i="22"/>
  <c r="AZ38" i="22"/>
  <c r="AR38" i="22"/>
  <c r="AJ38" i="22"/>
  <c r="CF38" i="22"/>
  <c r="BV38" i="22"/>
  <c r="BQ38" i="22"/>
  <c r="AN38" i="22"/>
  <c r="AI38" i="22"/>
  <c r="AS38" i="22"/>
  <c r="BK38" i="22"/>
  <c r="BJ38" i="22"/>
  <c r="AL38" i="22"/>
  <c r="AW38" i="22"/>
  <c r="CB38" i="22"/>
  <c r="BD38" i="22"/>
  <c r="BB38" i="22"/>
  <c r="BU38" i="22"/>
  <c r="CD38" i="22"/>
  <c r="AQ38" i="22"/>
  <c r="AK38" i="22"/>
  <c r="CE38" i="22"/>
  <c r="AH38" i="22"/>
  <c r="AO38" i="22"/>
  <c r="CA38" i="22"/>
  <c r="AU38" i="22"/>
  <c r="BH38" i="22"/>
  <c r="BR38" i="22"/>
  <c r="A39" i="22"/>
  <c r="AF39" i="22" s="1"/>
  <c r="BC38" i="22"/>
  <c r="BA38" i="22"/>
  <c r="AT38" i="22"/>
  <c r="AP38" i="22"/>
  <c r="BO38" i="22"/>
  <c r="BF38" i="22"/>
  <c r="BS38" i="22"/>
  <c r="N22" i="16"/>
  <c r="M22" i="16"/>
  <c r="V25" i="13"/>
  <c r="AE25" i="13" s="1"/>
  <c r="AF25" i="13" s="1"/>
  <c r="S26" i="13"/>
  <c r="AR26" i="13"/>
  <c r="M21" i="22"/>
  <c r="M21" i="16"/>
  <c r="N21" i="22"/>
  <c r="N21" i="16"/>
  <c r="J36" i="15"/>
  <c r="K36" i="15" s="1"/>
  <c r="L36" i="15" s="1"/>
  <c r="O22" i="22"/>
  <c r="P22" i="22" s="1"/>
  <c r="K37" i="14"/>
  <c r="L37" i="14" s="1"/>
  <c r="I27" i="13"/>
  <c r="AZ39" i="22" l="1"/>
  <c r="AU39" i="22"/>
  <c r="AL39" i="22"/>
  <c r="BY39" i="22"/>
  <c r="BC39" i="22"/>
  <c r="AI39" i="22"/>
  <c r="AR39" i="22"/>
  <c r="AX39" i="22"/>
  <c r="AW39" i="22"/>
  <c r="BW39" i="22"/>
  <c r="AM39" i="22"/>
  <c r="CE39" i="22"/>
  <c r="BK39" i="22"/>
  <c r="BO39" i="22"/>
  <c r="BB39" i="22"/>
  <c r="CB39" i="22"/>
  <c r="A40" i="22"/>
  <c r="AF40" i="22" s="1"/>
  <c r="BN39" i="22"/>
  <c r="BF39" i="22"/>
  <c r="AJ39" i="22"/>
  <c r="BM39" i="22"/>
  <c r="BX39" i="22"/>
  <c r="BD39" i="22"/>
  <c r="BJ39" i="22"/>
  <c r="AS39" i="22"/>
  <c r="BE39" i="22"/>
  <c r="BI39" i="22"/>
  <c r="AN39" i="22"/>
  <c r="BQ39" i="22"/>
  <c r="AP39" i="22"/>
  <c r="CA39" i="22"/>
  <c r="BU39" i="22"/>
  <c r="AH39" i="22"/>
  <c r="CF39" i="22"/>
  <c r="AK39" i="22"/>
  <c r="AQ39" i="22"/>
  <c r="BV39" i="22"/>
  <c r="BR39" i="22"/>
  <c r="CC39" i="22"/>
  <c r="BP39" i="22"/>
  <c r="AY39" i="22"/>
  <c r="BL39" i="22"/>
  <c r="BG39" i="22"/>
  <c r="BS39" i="22"/>
  <c r="AG39" i="22"/>
  <c r="CD39" i="22"/>
  <c r="BA39" i="22"/>
  <c r="AO39" i="22"/>
  <c r="BZ39" i="22"/>
  <c r="BH39" i="22"/>
  <c r="BT39" i="22"/>
  <c r="AV39" i="22"/>
  <c r="AT39" i="22"/>
  <c r="O22" i="16"/>
  <c r="P22" i="16" s="1"/>
  <c r="O21" i="16"/>
  <c r="P21" i="16" s="1"/>
  <c r="O21" i="22"/>
  <c r="P21" i="22" s="1"/>
  <c r="AM25" i="13"/>
  <c r="M23" i="15" s="1"/>
  <c r="R23" i="15" s="1"/>
  <c r="V23" i="15" s="1"/>
  <c r="X23" i="15" s="1"/>
  <c r="AJ25" i="13"/>
  <c r="AK25" i="13" s="1"/>
  <c r="AB26" i="13"/>
  <c r="T26" i="13"/>
  <c r="J37" i="15"/>
  <c r="K37" i="15" s="1"/>
  <c r="L37" i="15" s="1"/>
  <c r="J38" i="14"/>
  <c r="K38" i="14" s="1"/>
  <c r="L38" i="14" s="1"/>
  <c r="G28" i="13"/>
  <c r="AQ27" i="13"/>
  <c r="J27" i="13"/>
  <c r="K27" i="13" s="1"/>
  <c r="BW40" i="22" l="1"/>
  <c r="AV40" i="22"/>
  <c r="CA40" i="22"/>
  <c r="AP40" i="22"/>
  <c r="AO40" i="22"/>
  <c r="BN40" i="22"/>
  <c r="BD40" i="22"/>
  <c r="BF40" i="22"/>
  <c r="AS40" i="22"/>
  <c r="AN40" i="22"/>
  <c r="BT40" i="22"/>
  <c r="CB40" i="22"/>
  <c r="AJ40" i="22"/>
  <c r="AQ40" i="22"/>
  <c r="AZ40" i="22"/>
  <c r="BE40" i="22"/>
  <c r="AG40" i="22"/>
  <c r="BL40" i="22"/>
  <c r="BP40" i="22"/>
  <c r="BV40" i="22"/>
  <c r="AK40" i="22"/>
  <c r="AU40" i="22"/>
  <c r="AL40" i="22"/>
  <c r="AR40" i="22"/>
  <c r="BA40" i="22"/>
  <c r="BS40" i="22"/>
  <c r="CD40" i="22"/>
  <c r="AH40" i="22"/>
  <c r="CE40" i="22"/>
  <c r="BG40" i="22"/>
  <c r="CF40" i="22"/>
  <c r="BH40" i="22"/>
  <c r="BJ40" i="22"/>
  <c r="CC40" i="22"/>
  <c r="A41" i="22"/>
  <c r="AF41" i="22" s="1"/>
  <c r="AO2" i="22" s="1" a="1"/>
  <c r="BU40" i="22"/>
  <c r="AI40" i="22"/>
  <c r="AT40" i="22"/>
  <c r="AM40" i="22"/>
  <c r="AY40" i="22"/>
  <c r="BM40" i="22"/>
  <c r="AX40" i="22"/>
  <c r="BI40" i="22"/>
  <c r="BZ40" i="22"/>
  <c r="BO40" i="22"/>
  <c r="BK40" i="22"/>
  <c r="AW40" i="22"/>
  <c r="BQ40" i="22"/>
  <c r="BB40" i="22"/>
  <c r="BC40" i="22"/>
  <c r="BX40" i="22"/>
  <c r="BY40" i="22"/>
  <c r="BR40" i="22"/>
  <c r="M24" i="14"/>
  <c r="R24" i="14" s="1"/>
  <c r="V24" i="14" s="1"/>
  <c r="X24" i="14" s="1"/>
  <c r="N23" i="22" s="1"/>
  <c r="L23" i="22"/>
  <c r="L23" i="16"/>
  <c r="M23" i="22"/>
  <c r="M23" i="16"/>
  <c r="N27" i="13"/>
  <c r="Q27" i="13" s="1"/>
  <c r="AT27" i="13" s="1"/>
  <c r="L27" i="13"/>
  <c r="O27" i="13" s="1"/>
  <c r="M27" i="13"/>
  <c r="P27" i="13" s="1"/>
  <c r="AS27" i="13" s="1"/>
  <c r="U26" i="13"/>
  <c r="AD26" i="13" s="1"/>
  <c r="AC26" i="13"/>
  <c r="J39" i="14"/>
  <c r="J38" i="15"/>
  <c r="H28" i="13"/>
  <c r="AR2" i="22" l="1"/>
  <c r="AV2" i="22"/>
  <c r="AZ2" i="22"/>
  <c r="BD2" i="22"/>
  <c r="BH2" i="22"/>
  <c r="BL2" i="22"/>
  <c r="BP2" i="22"/>
  <c r="BT2" i="22"/>
  <c r="BX2" i="22"/>
  <c r="CB2" i="22"/>
  <c r="AO2" i="22"/>
  <c r="AS2" i="22"/>
  <c r="AW2" i="22"/>
  <c r="BA2" i="22"/>
  <c r="BE2" i="22"/>
  <c r="BI2" i="22"/>
  <c r="BM2" i="22"/>
  <c r="BQ2" i="22"/>
  <c r="BU2" i="22"/>
  <c r="BY2" i="22"/>
  <c r="AP2" i="22"/>
  <c r="AT2" i="22"/>
  <c r="AX2" i="22"/>
  <c r="BB2" i="22"/>
  <c r="BF2" i="22"/>
  <c r="BJ2" i="22"/>
  <c r="BN2" i="22"/>
  <c r="BR2" i="22"/>
  <c r="BV2" i="22"/>
  <c r="BZ2" i="22"/>
  <c r="AQ2" i="22"/>
  <c r="AU2" i="22"/>
  <c r="AY2" i="22"/>
  <c r="BC2" i="22"/>
  <c r="BG2" i="22"/>
  <c r="BK2" i="22"/>
  <c r="BO2" i="22"/>
  <c r="BS2" i="22"/>
  <c r="BW2" i="22"/>
  <c r="CA2" i="22"/>
  <c r="BS41" i="22"/>
  <c r="AX41" i="22"/>
  <c r="CF41" i="22"/>
  <c r="AH41" i="22"/>
  <c r="BA41" i="22"/>
  <c r="BC41" i="22"/>
  <c r="AV41" i="22"/>
  <c r="BW41" i="22"/>
  <c r="BY41" i="22"/>
  <c r="BM41" i="22"/>
  <c r="AO41" i="22"/>
  <c r="AJ41" i="22"/>
  <c r="AP41" i="22"/>
  <c r="BE41" i="22"/>
  <c r="BB41" i="22"/>
  <c r="BZ41" i="22"/>
  <c r="AW41" i="22"/>
  <c r="CA41" i="22"/>
  <c r="BN41" i="22"/>
  <c r="AQ41" i="22"/>
  <c r="AI41" i="22"/>
  <c r="BG41" i="22"/>
  <c r="AL41" i="22"/>
  <c r="BX41" i="22"/>
  <c r="BI41" i="22"/>
  <c r="BR41" i="22"/>
  <c r="BH41" i="22"/>
  <c r="BV41" i="22"/>
  <c r="AR41" i="22"/>
  <c r="BP41" i="22"/>
  <c r="CE41" i="22"/>
  <c r="AG41" i="22"/>
  <c r="BU41" i="22"/>
  <c r="AT41" i="22"/>
  <c r="AM41" i="22"/>
  <c r="BQ41" i="22"/>
  <c r="BL41" i="22"/>
  <c r="CC41" i="22"/>
  <c r="AN41" i="22"/>
  <c r="CB41" i="22"/>
  <c r="AU41" i="22"/>
  <c r="A42" i="22"/>
  <c r="BE42" i="22" s="1"/>
  <c r="CD41" i="22"/>
  <c r="BK41" i="22"/>
  <c r="AK41" i="22"/>
  <c r="BT41" i="22"/>
  <c r="AZ41" i="22"/>
  <c r="BO41" i="22"/>
  <c r="AY41" i="22"/>
  <c r="BF41" i="22"/>
  <c r="AS41" i="22"/>
  <c r="BJ41" i="22"/>
  <c r="BD41" i="22"/>
  <c r="N23" i="16"/>
  <c r="O23" i="16" s="1"/>
  <c r="P23" i="16" s="1"/>
  <c r="O23" i="22"/>
  <c r="P23" i="22" s="1"/>
  <c r="S27" i="13"/>
  <c r="AR27" i="13"/>
  <c r="V26" i="13"/>
  <c r="AE26" i="13" s="1"/>
  <c r="AF26" i="13" s="1"/>
  <c r="K39" i="14"/>
  <c r="L39" i="14" s="1"/>
  <c r="I28" i="13"/>
  <c r="K38" i="15"/>
  <c r="L38" i="15" s="1"/>
  <c r="D14" i="5" l="1"/>
  <c r="D13" i="5"/>
  <c r="D12" i="5"/>
  <c r="D11" i="5"/>
  <c r="D9" i="5"/>
  <c r="E6" i="2" s="1"/>
  <c r="D10" i="5"/>
  <c r="H6" i="2" s="1"/>
  <c r="A43" i="22"/>
  <c r="BT43" i="22" s="1"/>
  <c r="BC42" i="22"/>
  <c r="AV42" i="22"/>
  <c r="AI42" i="22"/>
  <c r="AR42" i="22"/>
  <c r="BN42" i="22"/>
  <c r="AX42" i="22"/>
  <c r="BJ42" i="22"/>
  <c r="BW42" i="22"/>
  <c r="BM42" i="22"/>
  <c r="BQ42" i="22"/>
  <c r="BT42" i="22"/>
  <c r="AU42" i="22"/>
  <c r="AP42" i="22"/>
  <c r="BG42" i="22"/>
  <c r="AM42" i="22"/>
  <c r="CA42" i="22"/>
  <c r="BS42" i="22"/>
  <c r="AN42" i="22"/>
  <c r="AS42" i="22"/>
  <c r="BA42" i="22"/>
  <c r="BO42" i="22"/>
  <c r="BP42" i="22"/>
  <c r="AJ42" i="22"/>
  <c r="AZ42" i="22"/>
  <c r="CD42" i="22"/>
  <c r="AL42" i="22"/>
  <c r="AW42" i="22"/>
  <c r="BR42" i="22"/>
  <c r="CC42" i="22"/>
  <c r="AG42" i="22"/>
  <c r="AQ42" i="22"/>
  <c r="CE42" i="22"/>
  <c r="BI42" i="22"/>
  <c r="CF42" i="22"/>
  <c r="AK42" i="22"/>
  <c r="BU42" i="22"/>
  <c r="AO42" i="22"/>
  <c r="BZ42" i="22"/>
  <c r="BF42" i="22"/>
  <c r="BX42" i="22"/>
  <c r="AY42" i="22"/>
  <c r="BD42" i="22"/>
  <c r="CB42" i="22"/>
  <c r="AT42" i="22"/>
  <c r="BL42" i="22"/>
  <c r="BH42" i="22"/>
  <c r="BK42" i="22"/>
  <c r="BB42" i="22"/>
  <c r="BY42" i="22"/>
  <c r="BV42" i="22"/>
  <c r="AH42" i="22"/>
  <c r="AB27" i="13"/>
  <c r="T27" i="13"/>
  <c r="AM26" i="13"/>
  <c r="AJ26" i="13"/>
  <c r="AK26" i="13" s="1"/>
  <c r="J28" i="13"/>
  <c r="K28" i="13" s="1"/>
  <c r="AQ28" i="13"/>
  <c r="G29" i="13"/>
  <c r="J40" i="14"/>
  <c r="J39" i="15"/>
  <c r="BK43" i="22" l="1"/>
  <c r="BD43" i="22"/>
  <c r="AW43" i="22"/>
  <c r="BL43" i="22"/>
  <c r="AS43" i="22"/>
  <c r="AG43" i="22"/>
  <c r="AO43" i="22"/>
  <c r="BH43" i="22"/>
  <c r="BU43" i="22"/>
  <c r="CD43" i="22"/>
  <c r="BV43" i="22"/>
  <c r="BY43" i="22"/>
  <c r="BR43" i="22"/>
  <c r="CA43" i="22"/>
  <c r="BO43" i="22"/>
  <c r="CB43" i="22"/>
  <c r="AZ43" i="22"/>
  <c r="AN43" i="22"/>
  <c r="CC43" i="22"/>
  <c r="BI43" i="22"/>
  <c r="BC43" i="22"/>
  <c r="BF43" i="22"/>
  <c r="AH43" i="22"/>
  <c r="BE43" i="22"/>
  <c r="BG43" i="22"/>
  <c r="AU43" i="22"/>
  <c r="CF43" i="22"/>
  <c r="AT43" i="22"/>
  <c r="AR43" i="22"/>
  <c r="BQ43" i="22"/>
  <c r="AY43" i="22"/>
  <c r="AV43" i="22"/>
  <c r="BB43" i="22"/>
  <c r="BS43" i="22"/>
  <c r="BM43" i="22"/>
  <c r="CE43" i="22"/>
  <c r="BZ43" i="22"/>
  <c r="BP43" i="22"/>
  <c r="AX43" i="22"/>
  <c r="BX43" i="22"/>
  <c r="AJ43" i="22"/>
  <c r="AL43" i="22"/>
  <c r="AQ43" i="22"/>
  <c r="A44" i="22"/>
  <c r="BU44" i="22" s="1"/>
  <c r="AK43" i="22"/>
  <c r="BJ43" i="22"/>
  <c r="BN43" i="22"/>
  <c r="AP43" i="22"/>
  <c r="BW43" i="22"/>
  <c r="AM43" i="22"/>
  <c r="AI43" i="22"/>
  <c r="BA43" i="22"/>
  <c r="L24" i="22"/>
  <c r="M25" i="14"/>
  <c r="R25" i="14" s="1"/>
  <c r="V25" i="14" s="1"/>
  <c r="X25" i="14" s="1"/>
  <c r="L24" i="16"/>
  <c r="M24" i="15"/>
  <c r="R24" i="15" s="1"/>
  <c r="V24" i="15" s="1"/>
  <c r="X24" i="15" s="1"/>
  <c r="AC27" i="13"/>
  <c r="U27" i="13"/>
  <c r="L28" i="13"/>
  <c r="O28" i="13" s="1"/>
  <c r="N28" i="13"/>
  <c r="Q28" i="13" s="1"/>
  <c r="AT28" i="13" s="1"/>
  <c r="M28" i="13"/>
  <c r="P28" i="13" s="1"/>
  <c r="AS28" i="13" s="1"/>
  <c r="K39" i="15"/>
  <c r="L39" i="15" s="1"/>
  <c r="K40" i="14"/>
  <c r="L40" i="14" s="1"/>
  <c r="H29" i="13"/>
  <c r="BD44" i="22" l="1"/>
  <c r="BF44" i="22"/>
  <c r="CF44" i="22"/>
  <c r="AG44" i="22"/>
  <c r="BR44" i="22"/>
  <c r="BX44" i="22"/>
  <c r="AV44" i="22"/>
  <c r="BQ44" i="22"/>
  <c r="BJ44" i="22"/>
  <c r="BN44" i="22"/>
  <c r="BK44" i="22"/>
  <c r="AT44" i="22"/>
  <c r="A45" i="22"/>
  <c r="AQ45" i="22" s="1"/>
  <c r="AJ44" i="22"/>
  <c r="BO44" i="22"/>
  <c r="BY44" i="22"/>
  <c r="BT44" i="22"/>
  <c r="AL44" i="22"/>
  <c r="AP44" i="22"/>
  <c r="CA44" i="22"/>
  <c r="BZ44" i="22"/>
  <c r="BC44" i="22"/>
  <c r="BG44" i="22"/>
  <c r="CB44" i="22"/>
  <c r="AH44" i="22"/>
  <c r="AX44" i="22"/>
  <c r="AI44" i="22"/>
  <c r="AU44" i="22"/>
  <c r="CC44" i="22"/>
  <c r="BA44" i="22"/>
  <c r="BS44" i="22"/>
  <c r="AQ44" i="22"/>
  <c r="AW44" i="22"/>
  <c r="BW44" i="22"/>
  <c r="BH44" i="22"/>
  <c r="AS44" i="22"/>
  <c r="AR44" i="22"/>
  <c r="AY44" i="22"/>
  <c r="BE44" i="22"/>
  <c r="BI44" i="22"/>
  <c r="BP44" i="22"/>
  <c r="BM44" i="22"/>
  <c r="AM44" i="22"/>
  <c r="AK44" i="22"/>
  <c r="AN44" i="22"/>
  <c r="AO44" i="22"/>
  <c r="AZ44" i="22"/>
  <c r="BB44" i="22"/>
  <c r="CD44" i="22"/>
  <c r="BV44" i="22"/>
  <c r="CE44" i="22"/>
  <c r="BL44" i="22"/>
  <c r="M24" i="22"/>
  <c r="M24" i="16"/>
  <c r="S28" i="13"/>
  <c r="AR28" i="13"/>
  <c r="AD27" i="13"/>
  <c r="V27" i="13"/>
  <c r="AE27" i="13" s="1"/>
  <c r="N24" i="16"/>
  <c r="N24" i="22"/>
  <c r="J41" i="14"/>
  <c r="K41" i="14" s="1"/>
  <c r="L41" i="14" s="1"/>
  <c r="I29" i="13"/>
  <c r="J40" i="15"/>
  <c r="BS45" i="22" l="1"/>
  <c r="AT45" i="22"/>
  <c r="AK45" i="22"/>
  <c r="CD45" i="22"/>
  <c r="CA45" i="22"/>
  <c r="BD45" i="22"/>
  <c r="AV45" i="22"/>
  <c r="BN45" i="22"/>
  <c r="BJ45" i="22"/>
  <c r="AW45" i="22"/>
  <c r="AY45" i="22"/>
  <c r="BH45" i="22"/>
  <c r="BM45" i="22"/>
  <c r="AH45" i="22"/>
  <c r="BW45" i="22"/>
  <c r="BY45" i="22"/>
  <c r="CF45" i="22"/>
  <c r="BL45" i="22"/>
  <c r="BC45" i="22"/>
  <c r="BX45" i="22"/>
  <c r="BO45" i="22"/>
  <c r="CE45" i="22"/>
  <c r="AJ45" i="22"/>
  <c r="BK45" i="22"/>
  <c r="A46" i="22"/>
  <c r="AN46" i="22" s="1"/>
  <c r="AS45" i="22"/>
  <c r="BT45" i="22"/>
  <c r="BB45" i="22"/>
  <c r="AG45" i="22"/>
  <c r="BZ45" i="22"/>
  <c r="BU45" i="22"/>
  <c r="BQ45" i="22"/>
  <c r="AM45" i="22"/>
  <c r="CC45" i="22"/>
  <c r="AL45" i="22"/>
  <c r="BG45" i="22"/>
  <c r="BR45" i="22"/>
  <c r="AZ45" i="22"/>
  <c r="AN45" i="22"/>
  <c r="AI45" i="22"/>
  <c r="BA45" i="22"/>
  <c r="BP45" i="22"/>
  <c r="BI45" i="22"/>
  <c r="BF45" i="22"/>
  <c r="BE45" i="22"/>
  <c r="AX45" i="22"/>
  <c r="AO45" i="22"/>
  <c r="CB45" i="22"/>
  <c r="BV45" i="22"/>
  <c r="AR45" i="22"/>
  <c r="AP45" i="22"/>
  <c r="AU45" i="22"/>
  <c r="AF27" i="13"/>
  <c r="AM27" i="13" s="1"/>
  <c r="O24" i="16"/>
  <c r="P24" i="16" s="1"/>
  <c r="T28" i="13"/>
  <c r="AC28" i="13" s="1"/>
  <c r="AB28" i="13"/>
  <c r="O24" i="22"/>
  <c r="P24" i="22" s="1"/>
  <c r="J42" i="14"/>
  <c r="K42" i="14" s="1"/>
  <c r="L42" i="14" s="1"/>
  <c r="K40" i="15"/>
  <c r="L40" i="15" s="1"/>
  <c r="G30" i="13"/>
  <c r="H30" i="13" s="1"/>
  <c r="AQ29" i="13"/>
  <c r="J29" i="13"/>
  <c r="K29" i="13" s="1"/>
  <c r="AK46" i="22" l="1"/>
  <c r="BL46" i="22"/>
  <c r="AU46" i="22"/>
  <c r="BN46" i="22"/>
  <c r="BX46" i="22"/>
  <c r="AG46" i="22"/>
  <c r="BB46" i="22"/>
  <c r="BE46" i="22"/>
  <c r="BY46" i="22"/>
  <c r="A47" i="22"/>
  <c r="AO47" i="22" s="1"/>
  <c r="AH46" i="22"/>
  <c r="AW46" i="22"/>
  <c r="BC46" i="22"/>
  <c r="CA46" i="22"/>
  <c r="BM46" i="22"/>
  <c r="CE46" i="22"/>
  <c r="AX46" i="22"/>
  <c r="BW46" i="22"/>
  <c r="BP46" i="22"/>
  <c r="CD46" i="22"/>
  <c r="AJ46" i="22"/>
  <c r="AT46" i="22"/>
  <c r="AO46" i="22"/>
  <c r="AI46" i="22"/>
  <c r="AM46" i="22"/>
  <c r="BH46" i="22"/>
  <c r="BR46" i="22"/>
  <c r="BS46" i="22"/>
  <c r="AQ46" i="22"/>
  <c r="BA46" i="22"/>
  <c r="AY46" i="22"/>
  <c r="AL46" i="22"/>
  <c r="AZ46" i="22"/>
  <c r="BV46" i="22"/>
  <c r="CF46" i="22"/>
  <c r="AR46" i="22"/>
  <c r="BJ46" i="22"/>
  <c r="AS46" i="22"/>
  <c r="BU46" i="22"/>
  <c r="BZ46" i="22"/>
  <c r="BT46" i="22"/>
  <c r="BD46" i="22"/>
  <c r="AP46" i="22"/>
  <c r="BF46" i="22"/>
  <c r="BI46" i="22"/>
  <c r="CC46" i="22"/>
  <c r="BO46" i="22"/>
  <c r="BK46" i="22"/>
  <c r="CB46" i="22"/>
  <c r="AV46" i="22"/>
  <c r="BG46" i="22"/>
  <c r="BQ46" i="22"/>
  <c r="AJ27" i="13"/>
  <c r="AK27" i="13" s="1"/>
  <c r="L25" i="16"/>
  <c r="M26" i="14"/>
  <c r="R26" i="14" s="1"/>
  <c r="V26" i="14" s="1"/>
  <c r="X26" i="14" s="1"/>
  <c r="L25" i="22"/>
  <c r="M25" i="15"/>
  <c r="R25" i="15" s="1"/>
  <c r="V25" i="15" s="1"/>
  <c r="X25" i="15" s="1"/>
  <c r="U28" i="13"/>
  <c r="N29" i="13"/>
  <c r="Q29" i="13" s="1"/>
  <c r="AT29" i="13" s="1"/>
  <c r="L29" i="13"/>
  <c r="O29" i="13" s="1"/>
  <c r="M29" i="13"/>
  <c r="P29" i="13" s="1"/>
  <c r="AS29" i="13" s="1"/>
  <c r="J41" i="15"/>
  <c r="K41" i="15" s="1"/>
  <c r="L41" i="15" s="1"/>
  <c r="J43" i="14"/>
  <c r="I30" i="13"/>
  <c r="AQ47" i="22" l="1"/>
  <c r="CA47" i="22"/>
  <c r="CD47" i="22"/>
  <c r="BB47" i="22"/>
  <c r="BA47" i="22"/>
  <c r="AK47" i="22"/>
  <c r="AX47" i="22"/>
  <c r="AG47" i="22"/>
  <c r="AL47" i="22"/>
  <c r="BN47" i="22"/>
  <c r="BV47" i="22"/>
  <c r="CB47" i="22"/>
  <c r="CF47" i="22"/>
  <c r="BX47" i="22"/>
  <c r="BF47" i="22"/>
  <c r="AH47" i="22"/>
  <c r="BD47" i="22"/>
  <c r="BM47" i="22"/>
  <c r="BS47" i="22"/>
  <c r="AR47" i="22"/>
  <c r="BP47" i="22"/>
  <c r="CE47" i="22"/>
  <c r="AS47" i="22"/>
  <c r="AZ47" i="22"/>
  <c r="AU47" i="22"/>
  <c r="BQ47" i="22"/>
  <c r="BJ47" i="22"/>
  <c r="BR47" i="22"/>
  <c r="BY47" i="22"/>
  <c r="AM47" i="22"/>
  <c r="BZ47" i="22"/>
  <c r="AY47" i="22"/>
  <c r="BH47" i="22"/>
  <c r="CC47" i="22"/>
  <c r="AP47" i="22"/>
  <c r="A48" i="22"/>
  <c r="BO48" i="22" s="1"/>
  <c r="AW47" i="22"/>
  <c r="AT47" i="22"/>
  <c r="BW47" i="22"/>
  <c r="BO47" i="22"/>
  <c r="AJ47" i="22"/>
  <c r="AI47" i="22"/>
  <c r="BI47" i="22"/>
  <c r="BG47" i="22"/>
  <c r="BE47" i="22"/>
  <c r="BL47" i="22"/>
  <c r="AN47" i="22"/>
  <c r="BK47" i="22"/>
  <c r="BT47" i="22"/>
  <c r="AV47" i="22"/>
  <c r="BC47" i="22"/>
  <c r="BU47" i="22"/>
  <c r="N25" i="16"/>
  <c r="N25" i="22"/>
  <c r="AD28" i="13"/>
  <c r="V28" i="13"/>
  <c r="AE28" i="13" s="1"/>
  <c r="AR29" i="13"/>
  <c r="S29" i="13"/>
  <c r="M25" i="16"/>
  <c r="M25" i="22"/>
  <c r="K43" i="14"/>
  <c r="L43" i="14" s="1"/>
  <c r="J42" i="15"/>
  <c r="G31" i="13"/>
  <c r="H31" i="13" s="1"/>
  <c r="AQ30" i="13"/>
  <c r="J30" i="13"/>
  <c r="K30" i="13" s="1"/>
  <c r="AT48" i="22" l="1"/>
  <c r="CF48" i="22"/>
  <c r="BZ48" i="22"/>
  <c r="BJ48" i="22"/>
  <c r="AZ48" i="22"/>
  <c r="BT48" i="22"/>
  <c r="AO48" i="22"/>
  <c r="BR48" i="22"/>
  <c r="BN48" i="22"/>
  <c r="BG48" i="22"/>
  <c r="CD48" i="22"/>
  <c r="BH48" i="22"/>
  <c r="BL48" i="22"/>
  <c r="BI48" i="22"/>
  <c r="CA48" i="22"/>
  <c r="AR48" i="22"/>
  <c r="BC48" i="22"/>
  <c r="AP48" i="22"/>
  <c r="CB48" i="22"/>
  <c r="BD48" i="22"/>
  <c r="AG48" i="22"/>
  <c r="BW48" i="22"/>
  <c r="A49" i="22"/>
  <c r="BZ49" i="22" s="1"/>
  <c r="AV48" i="22"/>
  <c r="AY48" i="22"/>
  <c r="AM48" i="22"/>
  <c r="AS48" i="22"/>
  <c r="AQ48" i="22"/>
  <c r="BP48" i="22"/>
  <c r="AN48" i="22"/>
  <c r="AX48" i="22"/>
  <c r="BK48" i="22"/>
  <c r="AJ48" i="22"/>
  <c r="AL48" i="22"/>
  <c r="BV48" i="22"/>
  <c r="BX48" i="22"/>
  <c r="BY48" i="22"/>
  <c r="BQ48" i="22"/>
  <c r="BU48" i="22"/>
  <c r="AW48" i="22"/>
  <c r="CE48" i="22"/>
  <c r="AU48" i="22"/>
  <c r="BE48" i="22"/>
  <c r="AK48" i="22"/>
  <c r="BS48" i="22"/>
  <c r="AH48" i="22"/>
  <c r="BB48" i="22"/>
  <c r="BA48" i="22"/>
  <c r="AI48" i="22"/>
  <c r="CC48" i="22"/>
  <c r="BF48" i="22"/>
  <c r="BM48" i="22"/>
  <c r="O25" i="16"/>
  <c r="P25" i="16" s="1"/>
  <c r="O25" i="22"/>
  <c r="P25" i="22" s="1"/>
  <c r="AF28" i="13"/>
  <c r="AB29" i="13"/>
  <c r="T29" i="13"/>
  <c r="L30" i="13"/>
  <c r="O30" i="13" s="1"/>
  <c r="N30" i="13"/>
  <c r="Q30" i="13" s="1"/>
  <c r="AT30" i="13" s="1"/>
  <c r="M30" i="13"/>
  <c r="P30" i="13" s="1"/>
  <c r="AS30" i="13" s="1"/>
  <c r="K42" i="15"/>
  <c r="L42" i="15" s="1"/>
  <c r="J44" i="14"/>
  <c r="I31" i="13"/>
  <c r="BP49" i="22" l="1"/>
  <c r="BU49" i="22"/>
  <c r="AS49" i="22"/>
  <c r="AO49" i="22"/>
  <c r="BW49" i="22"/>
  <c r="AN49" i="22"/>
  <c r="BE49" i="22"/>
  <c r="BN49" i="22"/>
  <c r="BS49" i="22"/>
  <c r="AH49" i="22"/>
  <c r="BJ49" i="22"/>
  <c r="AQ49" i="22"/>
  <c r="BR49" i="22"/>
  <c r="AZ49" i="22"/>
  <c r="BI49" i="22"/>
  <c r="CA49" i="22"/>
  <c r="AK49" i="22"/>
  <c r="CF49" i="22"/>
  <c r="AT49" i="22"/>
  <c r="CD49" i="22"/>
  <c r="AW49" i="22"/>
  <c r="CB49" i="22"/>
  <c r="BM49" i="22"/>
  <c r="BV49" i="22"/>
  <c r="BL49" i="22"/>
  <c r="BC49" i="22"/>
  <c r="BF49" i="22"/>
  <c r="AM49" i="22"/>
  <c r="AP49" i="22"/>
  <c r="BT49" i="22"/>
  <c r="BO49" i="22"/>
  <c r="AI49" i="22"/>
  <c r="AL49" i="22"/>
  <c r="BQ49" i="22"/>
  <c r="BH49" i="22"/>
  <c r="AR49" i="22"/>
  <c r="BG49" i="22"/>
  <c r="AG49" i="22"/>
  <c r="I8" i="22" s="1"/>
  <c r="BB49" i="22"/>
  <c r="BK49" i="22"/>
  <c r="AX49" i="22"/>
  <c r="CE49" i="22"/>
  <c r="BD49" i="22"/>
  <c r="AY49" i="22"/>
  <c r="BX49" i="22"/>
  <c r="AJ49" i="22"/>
  <c r="AV49" i="22"/>
  <c r="CC49" i="22"/>
  <c r="AU49" i="22"/>
  <c r="BA49" i="22"/>
  <c r="BY49" i="22"/>
  <c r="S30" i="13"/>
  <c r="AR30" i="13"/>
  <c r="AC29" i="13"/>
  <c r="U29" i="13"/>
  <c r="AJ28" i="13"/>
  <c r="AK28" i="13" s="1"/>
  <c r="AM28" i="13"/>
  <c r="J43" i="15"/>
  <c r="K43" i="15" s="1"/>
  <c r="K44" i="14"/>
  <c r="L44" i="14" s="1"/>
  <c r="J31" i="13"/>
  <c r="K31" i="13" s="1"/>
  <c r="G32" i="13"/>
  <c r="H32" i="13" s="1"/>
  <c r="I32" i="13" s="1"/>
  <c r="AQ31" i="13"/>
  <c r="H8" i="22" l="1"/>
  <c r="AO3" i="22" a="1"/>
  <c r="AZ3" i="22" s="1"/>
  <c r="B8" i="22"/>
  <c r="E8" i="22"/>
  <c r="AD8" i="22"/>
  <c r="F8" i="22"/>
  <c r="G8" i="22"/>
  <c r="C8" i="22"/>
  <c r="K8" i="22"/>
  <c r="J8" i="22"/>
  <c r="AC8" i="22"/>
  <c r="L43" i="15"/>
  <c r="J44" i="15"/>
  <c r="K44" i="15" s="1"/>
  <c r="L44" i="15" s="1"/>
  <c r="AD29" i="13"/>
  <c r="V29" i="13"/>
  <c r="AE29" i="13" s="1"/>
  <c r="M26" i="15"/>
  <c r="R26" i="15" s="1"/>
  <c r="V26" i="15" s="1"/>
  <c r="X26" i="15" s="1"/>
  <c r="M27" i="14"/>
  <c r="R27" i="14" s="1"/>
  <c r="V27" i="14" s="1"/>
  <c r="X27" i="14" s="1"/>
  <c r="L26" i="22"/>
  <c r="L26" i="16"/>
  <c r="L31" i="13"/>
  <c r="O31" i="13" s="1"/>
  <c r="N31" i="13"/>
  <c r="Q31" i="13" s="1"/>
  <c r="AT31" i="13" s="1"/>
  <c r="M31" i="13"/>
  <c r="P31" i="13" s="1"/>
  <c r="AS31" i="13" s="1"/>
  <c r="T30" i="13"/>
  <c r="AB30" i="13"/>
  <c r="AQ32" i="13"/>
  <c r="G33" i="13"/>
  <c r="H33" i="13" s="1"/>
  <c r="I33" i="13" s="1"/>
  <c r="J32" i="13"/>
  <c r="K32" i="13" s="1"/>
  <c r="J45" i="14"/>
  <c r="AU3" i="22" l="1"/>
  <c r="BZ3" i="22"/>
  <c r="BX3" i="22"/>
  <c r="AW3" i="22"/>
  <c r="BS3" i="22"/>
  <c r="CA3" i="22"/>
  <c r="BL3" i="22"/>
  <c r="AP3" i="22"/>
  <c r="BP3" i="22"/>
  <c r="AX3" i="22"/>
  <c r="BH3" i="22"/>
  <c r="BD3" i="22"/>
  <c r="BF3" i="22"/>
  <c r="BU3" i="22"/>
  <c r="BA3" i="22"/>
  <c r="BK3" i="22"/>
  <c r="BC3" i="22"/>
  <c r="BB3" i="22"/>
  <c r="AT3" i="22"/>
  <c r="BJ3" i="22"/>
  <c r="BM3" i="22"/>
  <c r="BV3" i="22"/>
  <c r="AR3" i="22"/>
  <c r="BN3" i="22"/>
  <c r="AV3" i="22"/>
  <c r="AQ3" i="22"/>
  <c r="BT3" i="22"/>
  <c r="BR3" i="22"/>
  <c r="BQ3" i="22"/>
  <c r="BO3" i="22"/>
  <c r="BW3" i="22"/>
  <c r="AY3" i="22"/>
  <c r="BE3" i="22"/>
  <c r="CB3" i="22"/>
  <c r="AO3" i="22"/>
  <c r="BG3" i="22"/>
  <c r="BI3" i="22"/>
  <c r="AS3" i="22"/>
  <c r="BY3" i="22"/>
  <c r="N32" i="13"/>
  <c r="Q32" i="13" s="1"/>
  <c r="AT32" i="13" s="1"/>
  <c r="M32" i="13"/>
  <c r="P32" i="13" s="1"/>
  <c r="AS32" i="13" s="1"/>
  <c r="L32" i="13"/>
  <c r="O32" i="13" s="1"/>
  <c r="S32" i="13" s="1"/>
  <c r="AR31" i="13"/>
  <c r="S31" i="13"/>
  <c r="M26" i="16"/>
  <c r="M26" i="22"/>
  <c r="AC30" i="13"/>
  <c r="U30" i="13"/>
  <c r="N26" i="16"/>
  <c r="N26" i="22"/>
  <c r="AF29" i="13"/>
  <c r="K45" i="14"/>
  <c r="L45" i="14" s="1"/>
  <c r="AQ33" i="13"/>
  <c r="J33" i="13"/>
  <c r="K33" i="13" s="1"/>
  <c r="G34" i="13"/>
  <c r="H34" i="13" s="1"/>
  <c r="I34" i="13" s="1"/>
  <c r="J45" i="15"/>
  <c r="K15" i="5" l="1"/>
  <c r="H24" i="2" s="1"/>
  <c r="H11" i="5"/>
  <c r="K6" i="2" s="1"/>
  <c r="H12" i="5"/>
  <c r="N6" i="2" s="1"/>
  <c r="H14" i="5"/>
  <c r="H7" i="5"/>
  <c r="H15" i="5"/>
  <c r="K19" i="5"/>
  <c r="H28" i="2" s="1"/>
  <c r="K13" i="5"/>
  <c r="H22" i="2" s="1"/>
  <c r="K11" i="5"/>
  <c r="H20" i="2" s="1"/>
  <c r="H10" i="5"/>
  <c r="H19" i="5"/>
  <c r="K14" i="5"/>
  <c r="H23" i="2" s="1"/>
  <c r="H13" i="5"/>
  <c r="K10" i="5"/>
  <c r="H19" i="2" s="1"/>
  <c r="K6" i="5"/>
  <c r="H15" i="2" s="1"/>
  <c r="E74" i="2" s="1"/>
  <c r="E75" i="2" s="1"/>
  <c r="K12" i="5"/>
  <c r="H21" i="2" s="1"/>
  <c r="H6" i="5"/>
  <c r="H9" i="5"/>
  <c r="K9" i="5"/>
  <c r="H18" i="2" s="1"/>
  <c r="K7" i="5"/>
  <c r="H16" i="2" s="1"/>
  <c r="O26" i="16"/>
  <c r="P26" i="16" s="1"/>
  <c r="O26" i="22"/>
  <c r="P26" i="22" s="1"/>
  <c r="AR32" i="13"/>
  <c r="L33" i="13"/>
  <c r="O33" i="13" s="1"/>
  <c r="S33" i="13" s="1"/>
  <c r="M33" i="13"/>
  <c r="P33" i="13" s="1"/>
  <c r="AS33" i="13" s="1"/>
  <c r="N33" i="13"/>
  <c r="Q33" i="13" s="1"/>
  <c r="AT33" i="13" s="1"/>
  <c r="AM29" i="13"/>
  <c r="AJ29" i="13"/>
  <c r="AK29" i="13" s="1"/>
  <c r="AD30" i="13"/>
  <c r="V30" i="13"/>
  <c r="AE30" i="13" s="1"/>
  <c r="T31" i="13"/>
  <c r="AB31" i="13"/>
  <c r="K45" i="15"/>
  <c r="L45" i="15" s="1"/>
  <c r="T32" i="13"/>
  <c r="AB32" i="13"/>
  <c r="J46" i="14"/>
  <c r="AQ34" i="13"/>
  <c r="J34" i="13"/>
  <c r="K34" i="13" s="1"/>
  <c r="G35" i="13"/>
  <c r="H35" i="13" s="1"/>
  <c r="Q6" i="2" l="1"/>
  <c r="H8" i="5"/>
  <c r="K8" i="5"/>
  <c r="E78" i="2"/>
  <c r="E77" i="2"/>
  <c r="F74" i="2"/>
  <c r="F78" i="2" s="1"/>
  <c r="H17" i="2"/>
  <c r="AR33" i="13"/>
  <c r="T33" i="13"/>
  <c r="AC33" i="13" s="1"/>
  <c r="AF30" i="13"/>
  <c r="AM30" i="13" s="1"/>
  <c r="AC31" i="13"/>
  <c r="U31" i="13"/>
  <c r="AD31" i="13" s="1"/>
  <c r="L27" i="22"/>
  <c r="L27" i="16"/>
  <c r="M28" i="14"/>
  <c r="R28" i="14" s="1"/>
  <c r="V28" i="14" s="1"/>
  <c r="X28" i="14" s="1"/>
  <c r="M27" i="15"/>
  <c r="R27" i="15" s="1"/>
  <c r="V27" i="15" s="1"/>
  <c r="X27" i="15" s="1"/>
  <c r="M34" i="13"/>
  <c r="P34" i="13" s="1"/>
  <c r="AS34" i="13" s="1"/>
  <c r="N34" i="13"/>
  <c r="Q34" i="13" s="1"/>
  <c r="AT34" i="13" s="1"/>
  <c r="L34" i="13"/>
  <c r="O34" i="13" s="1"/>
  <c r="S34" i="13" s="1"/>
  <c r="J46" i="15"/>
  <c r="AC32" i="13"/>
  <c r="U32" i="13"/>
  <c r="AD32" i="13" s="1"/>
  <c r="K46" i="14"/>
  <c r="L46" i="14" s="1"/>
  <c r="I35" i="13"/>
  <c r="AB33" i="13"/>
  <c r="U33" i="13" l="1"/>
  <c r="AD33" i="13" s="1"/>
  <c r="AR34" i="13"/>
  <c r="F75" i="2"/>
  <c r="AJ30" i="13"/>
  <c r="AK30" i="13" s="1"/>
  <c r="T34" i="13"/>
  <c r="AC34" i="13" s="1"/>
  <c r="M29" i="14"/>
  <c r="R29" i="14" s="1"/>
  <c r="V29" i="14" s="1"/>
  <c r="X29" i="14" s="1"/>
  <c r="L28" i="22"/>
  <c r="L28" i="16"/>
  <c r="M28" i="15"/>
  <c r="R28" i="15" s="1"/>
  <c r="V28" i="15" s="1"/>
  <c r="X28" i="15" s="1"/>
  <c r="N27" i="16"/>
  <c r="N27" i="22"/>
  <c r="V31" i="13"/>
  <c r="AE31" i="13" s="1"/>
  <c r="AF31" i="13" s="1"/>
  <c r="M27" i="16"/>
  <c r="M27" i="22"/>
  <c r="J47" i="14"/>
  <c r="K46" i="15"/>
  <c r="L46" i="15" s="1"/>
  <c r="J35" i="13"/>
  <c r="K35" i="13" s="1"/>
  <c r="G36" i="13"/>
  <c r="H36" i="13" s="1"/>
  <c r="I36" i="13" s="1"/>
  <c r="AQ35" i="13"/>
  <c r="AB34" i="13"/>
  <c r="V32" i="13"/>
  <c r="AE32" i="13" s="1"/>
  <c r="AF32" i="13" s="1"/>
  <c r="V33" i="13" l="1"/>
  <c r="AE33" i="13" s="1"/>
  <c r="AF33" i="13" s="1"/>
  <c r="AM33" i="13" s="1"/>
  <c r="U34" i="13"/>
  <c r="AD34" i="13" s="1"/>
  <c r="F77" i="2"/>
  <c r="M28" i="22"/>
  <c r="M28" i="16"/>
  <c r="AM31" i="13"/>
  <c r="AJ31" i="13"/>
  <c r="AK31" i="13" s="1"/>
  <c r="O27" i="22"/>
  <c r="P27" i="22" s="1"/>
  <c r="L35" i="13"/>
  <c r="O35" i="13" s="1"/>
  <c r="M35" i="13"/>
  <c r="P35" i="13" s="1"/>
  <c r="AS35" i="13" s="1"/>
  <c r="N35" i="13"/>
  <c r="Q35" i="13" s="1"/>
  <c r="AT35" i="13" s="1"/>
  <c r="O27" i="16"/>
  <c r="P27" i="16" s="1"/>
  <c r="N28" i="22"/>
  <c r="N28" i="16"/>
  <c r="J47" i="15"/>
  <c r="K47" i="15" s="1"/>
  <c r="L47" i="15" s="1"/>
  <c r="AM32" i="13"/>
  <c r="AJ32" i="13"/>
  <c r="AK32" i="13" s="1"/>
  <c r="K47" i="14"/>
  <c r="L47" i="14" s="1"/>
  <c r="AQ36" i="13"/>
  <c r="J36" i="13"/>
  <c r="K36" i="13" s="1"/>
  <c r="G37" i="13"/>
  <c r="H37" i="13" s="1"/>
  <c r="AJ33" i="13" l="1"/>
  <c r="AK33" i="13" s="1"/>
  <c r="V34" i="13"/>
  <c r="AE34" i="13" s="1"/>
  <c r="AF34" i="13" s="1"/>
  <c r="AJ34" i="13" s="1"/>
  <c r="AK34" i="13" s="1"/>
  <c r="O28" i="22"/>
  <c r="P28" i="22" s="1"/>
  <c r="S35" i="13"/>
  <c r="AR35" i="13"/>
  <c r="M30" i="14"/>
  <c r="R30" i="14" s="1"/>
  <c r="V30" i="14" s="1"/>
  <c r="X30" i="14" s="1"/>
  <c r="L29" i="22"/>
  <c r="L29" i="16"/>
  <c r="M29" i="15"/>
  <c r="R29" i="15" s="1"/>
  <c r="V29" i="15" s="1"/>
  <c r="X29" i="15" s="1"/>
  <c r="M36" i="13"/>
  <c r="P36" i="13" s="1"/>
  <c r="AS36" i="13" s="1"/>
  <c r="L36" i="13"/>
  <c r="O36" i="13" s="1"/>
  <c r="S36" i="13" s="1"/>
  <c r="N36" i="13"/>
  <c r="Q36" i="13" s="1"/>
  <c r="AT36" i="13" s="1"/>
  <c r="O28" i="16"/>
  <c r="P28" i="16" s="1"/>
  <c r="J48" i="15"/>
  <c r="M32" i="14"/>
  <c r="R32" i="14" s="1"/>
  <c r="V32" i="14" s="1"/>
  <c r="X32" i="14" s="1"/>
  <c r="L31" i="22"/>
  <c r="L31" i="16"/>
  <c r="M31" i="15"/>
  <c r="R31" i="15" s="1"/>
  <c r="V31" i="15" s="1"/>
  <c r="X31" i="15" s="1"/>
  <c r="J48" i="14"/>
  <c r="I37" i="13"/>
  <c r="L30" i="22"/>
  <c r="M30" i="15"/>
  <c r="R30" i="15" s="1"/>
  <c r="V30" i="15" s="1"/>
  <c r="X30" i="15" s="1"/>
  <c r="M31" i="14"/>
  <c r="R31" i="14" s="1"/>
  <c r="V31" i="14" s="1"/>
  <c r="X31" i="14" s="1"/>
  <c r="L30" i="16"/>
  <c r="AR36" i="13" l="1"/>
  <c r="N29" i="22"/>
  <c r="N29" i="16"/>
  <c r="M29" i="16"/>
  <c r="M29" i="22"/>
  <c r="T35" i="13"/>
  <c r="AB35" i="13"/>
  <c r="M30" i="16"/>
  <c r="M30" i="22"/>
  <c r="G38" i="13"/>
  <c r="H38" i="13" s="1"/>
  <c r="I38" i="13" s="1"/>
  <c r="AQ37" i="13"/>
  <c r="J37" i="13"/>
  <c r="K37" i="13" s="1"/>
  <c r="K48" i="14"/>
  <c r="L48" i="14" s="1"/>
  <c r="N31" i="16"/>
  <c r="N31" i="22"/>
  <c r="M31" i="16"/>
  <c r="M31" i="22"/>
  <c r="K48" i="15"/>
  <c r="J49" i="15" s="1"/>
  <c r="K49" i="15" s="1"/>
  <c r="L49" i="15" s="1"/>
  <c r="N30" i="22"/>
  <c r="N30" i="16"/>
  <c r="T36" i="13"/>
  <c r="AB36" i="13"/>
  <c r="O30" i="22" l="1"/>
  <c r="P30" i="22" s="1"/>
  <c r="O31" i="16"/>
  <c r="P31" i="16" s="1"/>
  <c r="O31" i="22"/>
  <c r="P31" i="22" s="1"/>
  <c r="O29" i="22"/>
  <c r="P29" i="22" s="1"/>
  <c r="O30" i="16"/>
  <c r="P30" i="16" s="1"/>
  <c r="O29" i="16"/>
  <c r="P29" i="16" s="1"/>
  <c r="M37" i="13"/>
  <c r="P37" i="13" s="1"/>
  <c r="AS37" i="13" s="1"/>
  <c r="L37" i="13"/>
  <c r="O37" i="13" s="1"/>
  <c r="N37" i="13"/>
  <c r="Q37" i="13" s="1"/>
  <c r="AT37" i="13" s="1"/>
  <c r="AC35" i="13"/>
  <c r="U35" i="13"/>
  <c r="AQ38" i="13"/>
  <c r="G39" i="13"/>
  <c r="H39" i="13" s="1"/>
  <c r="J38" i="13"/>
  <c r="K38" i="13" s="1"/>
  <c r="AC36" i="13"/>
  <c r="U36" i="13"/>
  <c r="AD36" i="13" s="1"/>
  <c r="L48" i="15"/>
  <c r="L6" i="15" s="1"/>
  <c r="K6" i="15"/>
  <c r="J49" i="14"/>
  <c r="K49" i="14" s="1"/>
  <c r="S37" i="13" l="1"/>
  <c r="AR37" i="13"/>
  <c r="M38" i="13"/>
  <c r="P38" i="13" s="1"/>
  <c r="AS38" i="13" s="1"/>
  <c r="N38" i="13"/>
  <c r="Q38" i="13" s="1"/>
  <c r="AT38" i="13" s="1"/>
  <c r="L38" i="13"/>
  <c r="O38" i="13" s="1"/>
  <c r="S38" i="13" s="1"/>
  <c r="AD35" i="13"/>
  <c r="V35" i="13"/>
  <c r="AE35" i="13" s="1"/>
  <c r="J50" i="14"/>
  <c r="K50" i="14" s="1"/>
  <c r="L50" i="14" s="1"/>
  <c r="K6" i="14"/>
  <c r="L49" i="14"/>
  <c r="L6" i="14" s="1"/>
  <c r="I39" i="13"/>
  <c r="V36" i="13"/>
  <c r="AE36" i="13" s="1"/>
  <c r="AF36" i="13" s="1"/>
  <c r="AR38" i="13" l="1"/>
  <c r="AF35" i="13"/>
  <c r="AJ35" i="13" s="1"/>
  <c r="AK35" i="13" s="1"/>
  <c r="T37" i="13"/>
  <c r="AB37" i="13"/>
  <c r="AQ39" i="13"/>
  <c r="G40" i="13"/>
  <c r="H40" i="13" s="1"/>
  <c r="J39" i="13"/>
  <c r="K39" i="13" s="1"/>
  <c r="AJ36" i="13"/>
  <c r="AK36" i="13" s="1"/>
  <c r="T38" i="13"/>
  <c r="AB38" i="13"/>
  <c r="AM35" i="13" l="1"/>
  <c r="M34" i="14" s="1"/>
  <c r="R34" i="14" s="1"/>
  <c r="V34" i="14" s="1"/>
  <c r="X34" i="14" s="1"/>
  <c r="N39" i="13"/>
  <c r="Q39" i="13" s="1"/>
  <c r="AT39" i="13" s="1"/>
  <c r="L39" i="13"/>
  <c r="O39" i="13" s="1"/>
  <c r="M39" i="13"/>
  <c r="P39" i="13" s="1"/>
  <c r="AS39" i="13" s="1"/>
  <c r="AC37" i="13"/>
  <c r="U37" i="13"/>
  <c r="AD37" i="13" s="1"/>
  <c r="AC38" i="13"/>
  <c r="U38" i="13"/>
  <c r="I40" i="13"/>
  <c r="M33" i="15" l="1"/>
  <c r="R33" i="15" s="1"/>
  <c r="V33" i="15" s="1"/>
  <c r="X33" i="15" s="1"/>
  <c r="M33" i="22" s="1"/>
  <c r="L33" i="16"/>
  <c r="L33" i="22"/>
  <c r="V37" i="13"/>
  <c r="AE37" i="13" s="1"/>
  <c r="AF37" i="13" s="1"/>
  <c r="N33" i="22"/>
  <c r="N33" i="16"/>
  <c r="AR39" i="13"/>
  <c r="S39" i="13"/>
  <c r="AD38" i="13"/>
  <c r="V38" i="13"/>
  <c r="AE38" i="13" s="1"/>
  <c r="G41" i="13"/>
  <c r="H41" i="13" s="1"/>
  <c r="I41" i="13" s="1"/>
  <c r="AQ40" i="13"/>
  <c r="J40" i="13"/>
  <c r="K40" i="13" s="1"/>
  <c r="M33" i="16" l="1"/>
  <c r="O33" i="16" s="1"/>
  <c r="P33" i="16" s="1"/>
  <c r="O33" i="22"/>
  <c r="P33" i="22" s="1"/>
  <c r="AF38" i="13"/>
  <c r="AB39" i="13"/>
  <c r="T39" i="13"/>
  <c r="AC39" i="13" s="1"/>
  <c r="L40" i="13"/>
  <c r="O40" i="13" s="1"/>
  <c r="N40" i="13"/>
  <c r="Q40" i="13" s="1"/>
  <c r="AT40" i="13" s="1"/>
  <c r="M40" i="13"/>
  <c r="P40" i="13" s="1"/>
  <c r="AS40" i="13" s="1"/>
  <c r="AJ37" i="13"/>
  <c r="AK37" i="13" s="1"/>
  <c r="J41" i="13"/>
  <c r="K41" i="13" s="1"/>
  <c r="G42" i="13"/>
  <c r="H42" i="13" s="1"/>
  <c r="AQ41" i="13"/>
  <c r="AJ38" i="13" l="1"/>
  <c r="AK38" i="13" s="1"/>
  <c r="U39" i="13"/>
  <c r="AR40" i="13"/>
  <c r="S40" i="13"/>
  <c r="L41" i="13"/>
  <c r="M41" i="13"/>
  <c r="N41" i="13"/>
  <c r="I42" i="13"/>
  <c r="AD39" i="13" l="1"/>
  <c r="V39" i="13"/>
  <c r="AE39" i="13" s="1"/>
  <c r="O41" i="13"/>
  <c r="P41" i="13"/>
  <c r="T40" i="13"/>
  <c r="AB40" i="13"/>
  <c r="Q41" i="13"/>
  <c r="AQ42" i="13"/>
  <c r="G43" i="13"/>
  <c r="H43" i="13" s="1"/>
  <c r="J42" i="13"/>
  <c r="K42" i="13" s="1"/>
  <c r="AF39" i="13" l="1"/>
  <c r="AJ39" i="13" s="1"/>
  <c r="AK39" i="13" s="1"/>
  <c r="L42" i="13"/>
  <c r="O42" i="13" s="1"/>
  <c r="N42" i="13"/>
  <c r="Q42" i="13" s="1"/>
  <c r="M42" i="13"/>
  <c r="P42" i="13" s="1"/>
  <c r="AT41" i="13"/>
  <c r="AR41" i="13"/>
  <c r="S41" i="13"/>
  <c r="AC40" i="13"/>
  <c r="U40" i="13"/>
  <c r="AD40" i="13" s="1"/>
  <c r="AS41" i="13"/>
  <c r="I43" i="13"/>
  <c r="AS42" i="13" l="1"/>
  <c r="V40" i="13"/>
  <c r="AE40" i="13" s="1"/>
  <c r="AF40" i="13" s="1"/>
  <c r="AB41" i="13"/>
  <c r="T41" i="13"/>
  <c r="AT42" i="13"/>
  <c r="S42" i="13"/>
  <c r="AR42" i="13"/>
  <c r="J43" i="13"/>
  <c r="K43" i="13" s="1"/>
  <c r="AQ43" i="13"/>
  <c r="G44" i="13"/>
  <c r="H44" i="13" s="1"/>
  <c r="M43" i="13" l="1"/>
  <c r="L43" i="13"/>
  <c r="N43" i="13"/>
  <c r="T42" i="13"/>
  <c r="AB42" i="13"/>
  <c r="AJ40" i="13"/>
  <c r="AK40" i="13" s="1"/>
  <c r="U41" i="13"/>
  <c r="AC41" i="13"/>
  <c r="I44" i="13"/>
  <c r="Q43" i="13" l="1"/>
  <c r="O43" i="13"/>
  <c r="P43" i="13"/>
  <c r="AD41" i="13"/>
  <c r="V41" i="13"/>
  <c r="AE41" i="13" s="1"/>
  <c r="AC42" i="13"/>
  <c r="U42" i="13"/>
  <c r="AD42" i="13" s="1"/>
  <c r="G45" i="13"/>
  <c r="H45" i="13" s="1"/>
  <c r="AQ44" i="13"/>
  <c r="J44" i="13"/>
  <c r="K44" i="13" s="1"/>
  <c r="N44" i="13" l="1"/>
  <c r="N9" i="13" s="1"/>
  <c r="M44" i="13"/>
  <c r="M9" i="13" s="1"/>
  <c r="L44" i="13"/>
  <c r="L9" i="13" s="1"/>
  <c r="S43" i="13"/>
  <c r="T43" i="13" s="1"/>
  <c r="AC43" i="13" s="1"/>
  <c r="AR43" i="13"/>
  <c r="AS43" i="13"/>
  <c r="AT43" i="13"/>
  <c r="AF41" i="13"/>
  <c r="V42" i="13"/>
  <c r="AE42" i="13" s="1"/>
  <c r="AF42" i="13" s="1"/>
  <c r="I45" i="13"/>
  <c r="Q44" i="13" l="1"/>
  <c r="AT44" i="13" s="1"/>
  <c r="O44" i="13"/>
  <c r="O45" i="13" s="1"/>
  <c r="S45" i="13" s="1"/>
  <c r="P44" i="13"/>
  <c r="P45" i="13" s="1"/>
  <c r="AB43" i="13"/>
  <c r="U43" i="13"/>
  <c r="AJ42" i="13"/>
  <c r="AK42" i="13" s="1"/>
  <c r="AJ41" i="13"/>
  <c r="AK41" i="13" s="1"/>
  <c r="G46" i="13"/>
  <c r="H46" i="13" s="1"/>
  <c r="AQ45" i="13"/>
  <c r="J45" i="13"/>
  <c r="Q45" i="13" l="1"/>
  <c r="Q46" i="13" s="1"/>
  <c r="S44" i="13"/>
  <c r="AB44" i="13" s="1"/>
  <c r="AR44" i="13"/>
  <c r="AR45" i="13" s="1"/>
  <c r="AS44" i="13"/>
  <c r="AS45" i="13" s="1"/>
  <c r="V43" i="13"/>
  <c r="AE43" i="13" s="1"/>
  <c r="AD43" i="13"/>
  <c r="O46" i="13"/>
  <c r="P46" i="13"/>
  <c r="I46" i="13"/>
  <c r="T45" i="13"/>
  <c r="AB45" i="13"/>
  <c r="AT45" i="13" l="1"/>
  <c r="AT46" i="13" s="1"/>
  <c r="T44" i="13"/>
  <c r="AC44" i="13" s="1"/>
  <c r="AF43" i="13"/>
  <c r="AJ43" i="13" s="1"/>
  <c r="AK43" i="13" s="1"/>
  <c r="S46" i="13"/>
  <c r="T46" i="13" s="1"/>
  <c r="AC46" i="13" s="1"/>
  <c r="AR46" i="13"/>
  <c r="AC45" i="13"/>
  <c r="U45" i="13"/>
  <c r="AD45" i="13" s="1"/>
  <c r="G47" i="13"/>
  <c r="H47" i="13" s="1"/>
  <c r="AQ46" i="13"/>
  <c r="J46" i="13"/>
  <c r="AS46" i="13"/>
  <c r="U44" i="13" l="1"/>
  <c r="AD44" i="13" s="1"/>
  <c r="V45" i="13"/>
  <c r="AE45" i="13" s="1"/>
  <c r="AF45" i="13" s="1"/>
  <c r="AM45" i="13" s="1"/>
  <c r="I47" i="13"/>
  <c r="O47" i="13"/>
  <c r="P47" i="13"/>
  <c r="Q47" i="13"/>
  <c r="U46" i="13"/>
  <c r="AD46" i="13" s="1"/>
  <c r="AB46" i="13"/>
  <c r="V44" i="13" l="1"/>
  <c r="AE44" i="13" s="1"/>
  <c r="AF44" i="13" s="1"/>
  <c r="AJ44" i="13" s="1"/>
  <c r="AK44" i="13" s="1"/>
  <c r="AJ45" i="13"/>
  <c r="AK45" i="13" s="1"/>
  <c r="AT47" i="13"/>
  <c r="AS47" i="13"/>
  <c r="V46" i="13"/>
  <c r="AE46" i="13" s="1"/>
  <c r="AF46" i="13" s="1"/>
  <c r="S47" i="13"/>
  <c r="T47" i="13" s="1"/>
  <c r="AC47" i="13" s="1"/>
  <c r="AR47" i="13"/>
  <c r="L43" i="22"/>
  <c r="L43" i="16"/>
  <c r="M43" i="15"/>
  <c r="R43" i="15" s="1"/>
  <c r="M44" i="14"/>
  <c r="R44" i="14" s="1"/>
  <c r="G48" i="13"/>
  <c r="H48" i="13" s="1"/>
  <c r="I48" i="13" s="1"/>
  <c r="J47" i="13"/>
  <c r="AQ47" i="13"/>
  <c r="AQ48" i="13" l="1"/>
  <c r="J48" i="13"/>
  <c r="G49" i="13"/>
  <c r="H49" i="13" s="1"/>
  <c r="AM46" i="13"/>
  <c r="AJ46" i="13"/>
  <c r="AK46" i="13" s="1"/>
  <c r="U47" i="13"/>
  <c r="AD47" i="13" s="1"/>
  <c r="V44" i="14"/>
  <c r="X44" i="14" s="1"/>
  <c r="Q48" i="13"/>
  <c r="P48" i="13"/>
  <c r="O48" i="13"/>
  <c r="V43" i="15"/>
  <c r="X43" i="15" s="1"/>
  <c r="AB47" i="13"/>
  <c r="V47" i="13" l="1"/>
  <c r="AE47" i="13" s="1"/>
  <c r="AF47" i="13" s="1"/>
  <c r="AM47" i="13" s="1"/>
  <c r="AT48" i="13"/>
  <c r="M43" i="22"/>
  <c r="M43" i="16"/>
  <c r="I49" i="13"/>
  <c r="O49" i="13"/>
  <c r="Q49" i="13"/>
  <c r="P49" i="13"/>
  <c r="S48" i="13"/>
  <c r="AR48" i="13"/>
  <c r="N43" i="16"/>
  <c r="N43" i="22"/>
  <c r="AS48" i="13"/>
  <c r="M44" i="15"/>
  <c r="R44" i="15" s="1"/>
  <c r="M45" i="14"/>
  <c r="R45" i="14" s="1"/>
  <c r="L44" i="22"/>
  <c r="L44" i="16"/>
  <c r="AJ47" i="13" l="1"/>
  <c r="AK47" i="13" s="1"/>
  <c r="AB48" i="13"/>
  <c r="AT49" i="13"/>
  <c r="O43" i="22"/>
  <c r="P43" i="22" s="1"/>
  <c r="V45" i="14"/>
  <c r="X45" i="14" s="1"/>
  <c r="M45" i="15"/>
  <c r="R45" i="15" s="1"/>
  <c r="L45" i="16"/>
  <c r="L45" i="22"/>
  <c r="M46" i="14"/>
  <c r="R46" i="14" s="1"/>
  <c r="AR49" i="13"/>
  <c r="S49" i="13"/>
  <c r="V44" i="15"/>
  <c r="X44" i="15" s="1"/>
  <c r="AQ49" i="13"/>
  <c r="J49" i="13"/>
  <c r="G50" i="13"/>
  <c r="H50" i="13" s="1"/>
  <c r="T48" i="13"/>
  <c r="AC48" i="13" s="1"/>
  <c r="AS49" i="13"/>
  <c r="O43" i="16"/>
  <c r="P43" i="16" s="1"/>
  <c r="U48" i="13" l="1"/>
  <c r="AD48" i="13" s="1"/>
  <c r="V46" i="14"/>
  <c r="X46" i="14" s="1"/>
  <c r="N44" i="22"/>
  <c r="N44" i="16"/>
  <c r="T49" i="13"/>
  <c r="AB49" i="13"/>
  <c r="I50" i="13"/>
  <c r="P50" i="13"/>
  <c r="Q50" i="13"/>
  <c r="O50" i="13"/>
  <c r="M44" i="22"/>
  <c r="M44" i="16"/>
  <c r="V45" i="15"/>
  <c r="X45" i="15" s="1"/>
  <c r="O44" i="16" l="1"/>
  <c r="P44" i="16" s="1"/>
  <c r="O44" i="22"/>
  <c r="P44" i="22" s="1"/>
  <c r="V48" i="13"/>
  <c r="AE48" i="13" s="1"/>
  <c r="AF48" i="13" s="1"/>
  <c r="AM48" i="13" s="1"/>
  <c r="AS50" i="13"/>
  <c r="G51" i="13"/>
  <c r="AQ50" i="13"/>
  <c r="J50" i="13"/>
  <c r="AC49" i="13"/>
  <c r="U49" i="13"/>
  <c r="AD49" i="13" s="1"/>
  <c r="S50" i="13"/>
  <c r="T50" i="13" s="1"/>
  <c r="AR50" i="13"/>
  <c r="M45" i="16"/>
  <c r="M45" i="22"/>
  <c r="AT50" i="13"/>
  <c r="N45" i="22"/>
  <c r="N45" i="16"/>
  <c r="AJ48" i="13" l="1"/>
  <c r="AK48" i="13" s="1"/>
  <c r="AC50" i="13"/>
  <c r="U50" i="13"/>
  <c r="AD50" i="13" s="1"/>
  <c r="M47" i="14"/>
  <c r="R47" i="14" s="1"/>
  <c r="L46" i="22"/>
  <c r="L46" i="16"/>
  <c r="M46" i="15"/>
  <c r="R46" i="15" s="1"/>
  <c r="H51" i="13"/>
  <c r="G9" i="13"/>
  <c r="V49" i="13"/>
  <c r="AE49" i="13" s="1"/>
  <c r="AF49" i="13" s="1"/>
  <c r="O45" i="22"/>
  <c r="P45" i="22" s="1"/>
  <c r="O45" i="16"/>
  <c r="P45" i="16" s="1"/>
  <c r="AB50" i="13"/>
  <c r="V50" i="13" l="1"/>
  <c r="AE50" i="13" s="1"/>
  <c r="AF50" i="13" s="1"/>
  <c r="O51" i="13"/>
  <c r="P51" i="13"/>
  <c r="AS51" i="13" s="1"/>
  <c r="AS9" i="13" s="1"/>
  <c r="Q51" i="13"/>
  <c r="H9" i="13"/>
  <c r="I51" i="13"/>
  <c r="V47" i="14"/>
  <c r="X47" i="14" s="1"/>
  <c r="V46" i="15"/>
  <c r="X46" i="15" s="1"/>
  <c r="AJ49" i="13"/>
  <c r="AK49" i="13" s="1"/>
  <c r="AM49" i="13"/>
  <c r="AM50" i="13" l="1"/>
  <c r="AJ50" i="13"/>
  <c r="AK50" i="13" s="1"/>
  <c r="AT51" i="13"/>
  <c r="AT9" i="13" s="1"/>
  <c r="N46" i="22"/>
  <c r="N46" i="16"/>
  <c r="J51" i="13"/>
  <c r="AQ51" i="13"/>
  <c r="AQ9" i="13" s="1"/>
  <c r="S51" i="13"/>
  <c r="AR51" i="13"/>
  <c r="AR9" i="13" s="1"/>
  <c r="L47" i="16"/>
  <c r="M47" i="15"/>
  <c r="R47" i="15" s="1"/>
  <c r="M48" i="14"/>
  <c r="R48" i="14" s="1"/>
  <c r="L47" i="22"/>
  <c r="M46" i="16"/>
  <c r="M46" i="22"/>
  <c r="O46" i="16" l="1"/>
  <c r="P46" i="16" s="1"/>
  <c r="O46" i="22"/>
  <c r="P46" i="22" s="1"/>
  <c r="V47" i="15"/>
  <c r="X47" i="15" s="1"/>
  <c r="V48" i="14"/>
  <c r="X48" i="14" s="1"/>
  <c r="T51" i="13"/>
  <c r="AB51" i="13"/>
  <c r="L48" i="22"/>
  <c r="M49" i="14"/>
  <c r="R49" i="14" s="1"/>
  <c r="L48" i="16"/>
  <c r="M48" i="15"/>
  <c r="R48" i="15" s="1"/>
  <c r="AC51" i="13" l="1"/>
  <c r="U51" i="13"/>
  <c r="AD51" i="13" s="1"/>
  <c r="V49" i="14"/>
  <c r="X49" i="14" s="1"/>
  <c r="V48" i="15"/>
  <c r="X48" i="15" s="1"/>
  <c r="N47" i="16"/>
  <c r="N47" i="22"/>
  <c r="M47" i="22"/>
  <c r="M47" i="16"/>
  <c r="O47" i="22" l="1"/>
  <c r="P47" i="22" s="1"/>
  <c r="N48" i="22"/>
  <c r="N48" i="16"/>
  <c r="M48" i="16"/>
  <c r="M48" i="22"/>
  <c r="O47" i="16"/>
  <c r="P47" i="16" s="1"/>
  <c r="V51" i="13"/>
  <c r="AE51" i="13" s="1"/>
  <c r="AF51" i="13" s="1"/>
  <c r="O48" i="22" l="1"/>
  <c r="P48" i="22" s="1"/>
  <c r="O48" i="16"/>
  <c r="P48" i="16" s="1"/>
  <c r="AM51" i="13"/>
  <c r="AJ51" i="13"/>
  <c r="AJ9" i="13" s="1"/>
  <c r="AF9" i="13"/>
  <c r="AK51" i="13" l="1"/>
  <c r="AK9" i="13" s="1"/>
  <c r="L49" i="16"/>
  <c r="M49" i="15"/>
  <c r="R49" i="15" s="1"/>
  <c r="M50" i="14"/>
  <c r="R50" i="14" s="1"/>
  <c r="V50" i="14" s="1"/>
  <c r="X50" i="14" s="1"/>
  <c r="L49" i="22"/>
  <c r="AL4" i="13" l="1"/>
  <c r="AL13" i="13"/>
  <c r="AM13" i="13" s="1"/>
  <c r="V49" i="15"/>
  <c r="X49" i="15" s="1"/>
  <c r="N49" i="16"/>
  <c r="N49" i="22"/>
  <c r="AL34" i="13" l="1"/>
  <c r="AM34" i="13" s="1"/>
  <c r="L32" i="22" s="1"/>
  <c r="AL40" i="13"/>
  <c r="AM40" i="13" s="1"/>
  <c r="AL37" i="13"/>
  <c r="AM37" i="13" s="1"/>
  <c r="M35" i="15" s="1"/>
  <c r="R35" i="15" s="1"/>
  <c r="V35" i="15" s="1"/>
  <c r="X35" i="15" s="1"/>
  <c r="AL36" i="13"/>
  <c r="AM36" i="13" s="1"/>
  <c r="AL39" i="13"/>
  <c r="AM39" i="13" s="1"/>
  <c r="M37" i="15" s="1"/>
  <c r="R37" i="15" s="1"/>
  <c r="V37" i="15" s="1"/>
  <c r="X37" i="15" s="1"/>
  <c r="AL38" i="13"/>
  <c r="AM38" i="13" s="1"/>
  <c r="AL44" i="13"/>
  <c r="AM44" i="13" s="1"/>
  <c r="M43" i="14" s="1"/>
  <c r="R43" i="14" s="1"/>
  <c r="V43" i="14" s="1"/>
  <c r="X43" i="14" s="1"/>
  <c r="AL42" i="13"/>
  <c r="AM42" i="13" s="1"/>
  <c r="AL41" i="13"/>
  <c r="AM41" i="13" s="1"/>
  <c r="M40" i="14" s="1"/>
  <c r="R40" i="14" s="1"/>
  <c r="V40" i="14" s="1"/>
  <c r="X40" i="14" s="1"/>
  <c r="AL43" i="13"/>
  <c r="AM43" i="13" s="1"/>
  <c r="L11" i="22"/>
  <c r="L11" i="16"/>
  <c r="M11" i="15"/>
  <c r="M12" i="14"/>
  <c r="M49" i="16"/>
  <c r="O49" i="16" s="1"/>
  <c r="P49" i="16" s="1"/>
  <c r="M49" i="22"/>
  <c r="O49" i="22" s="1"/>
  <c r="P49" i="22" s="1"/>
  <c r="L32" i="16" l="1"/>
  <c r="M32" i="15"/>
  <c r="R32" i="15" s="1"/>
  <c r="V32" i="15" s="1"/>
  <c r="X32" i="15" s="1"/>
  <c r="M32" i="22" s="1"/>
  <c r="M33" i="14"/>
  <c r="R33" i="14" s="1"/>
  <c r="V33" i="14" s="1"/>
  <c r="X33" i="14" s="1"/>
  <c r="N32" i="16" s="1"/>
  <c r="L38" i="22"/>
  <c r="M39" i="14"/>
  <c r="R39" i="14" s="1"/>
  <c r="V39" i="14" s="1"/>
  <c r="X39" i="14" s="1"/>
  <c r="M38" i="15"/>
  <c r="R38" i="15" s="1"/>
  <c r="V38" i="15" s="1"/>
  <c r="X38" i="15" s="1"/>
  <c r="L38" i="16"/>
  <c r="L35" i="22"/>
  <c r="L35" i="16"/>
  <c r="M36" i="14"/>
  <c r="R36" i="14" s="1"/>
  <c r="V36" i="14" s="1"/>
  <c r="X36" i="14" s="1"/>
  <c r="N35" i="16" s="1"/>
  <c r="L34" i="16"/>
  <c r="M34" i="15"/>
  <c r="R34" i="15" s="1"/>
  <c r="V34" i="15" s="1"/>
  <c r="X34" i="15" s="1"/>
  <c r="M35" i="14"/>
  <c r="R35" i="14" s="1"/>
  <c r="V35" i="14" s="1"/>
  <c r="X35" i="14" s="1"/>
  <c r="L34" i="22"/>
  <c r="M35" i="22"/>
  <c r="M35" i="16"/>
  <c r="M38" i="14"/>
  <c r="R38" i="14" s="1"/>
  <c r="V38" i="14" s="1"/>
  <c r="X38" i="14" s="1"/>
  <c r="N37" i="22" s="1"/>
  <c r="L37" i="16"/>
  <c r="L37" i="22"/>
  <c r="L36" i="16"/>
  <c r="M37" i="14"/>
  <c r="R37" i="14" s="1"/>
  <c r="V37" i="14" s="1"/>
  <c r="X37" i="14" s="1"/>
  <c r="M36" i="15"/>
  <c r="R36" i="15" s="1"/>
  <c r="V36" i="15" s="1"/>
  <c r="X36" i="15" s="1"/>
  <c r="L36" i="22"/>
  <c r="M37" i="16"/>
  <c r="M37" i="22"/>
  <c r="M42" i="15"/>
  <c r="R42" i="15" s="1"/>
  <c r="V42" i="15" s="1"/>
  <c r="X42" i="15" s="1"/>
  <c r="M42" i="22" s="1"/>
  <c r="L42" i="16"/>
  <c r="L42" i="22"/>
  <c r="M41" i="14"/>
  <c r="R41" i="14" s="1"/>
  <c r="V41" i="14" s="1"/>
  <c r="X41" i="14" s="1"/>
  <c r="L40" i="22"/>
  <c r="M40" i="15"/>
  <c r="R40" i="15" s="1"/>
  <c r="V40" i="15" s="1"/>
  <c r="X40" i="15" s="1"/>
  <c r="L40" i="16"/>
  <c r="N42" i="22"/>
  <c r="N42" i="16"/>
  <c r="AL9" i="13"/>
  <c r="M42" i="14"/>
  <c r="R42" i="14" s="1"/>
  <c r="V42" i="14" s="1"/>
  <c r="X42" i="14" s="1"/>
  <c r="L41" i="22"/>
  <c r="L41" i="16"/>
  <c r="M41" i="15"/>
  <c r="R41" i="15" s="1"/>
  <c r="V41" i="15" s="1"/>
  <c r="X41" i="15" s="1"/>
  <c r="L39" i="16"/>
  <c r="AM9" i="13"/>
  <c r="L39" i="22"/>
  <c r="M39" i="15"/>
  <c r="R39" i="15" s="1"/>
  <c r="V39" i="15" s="1"/>
  <c r="X39" i="15" s="1"/>
  <c r="M39" i="22" s="1"/>
  <c r="N39" i="22"/>
  <c r="N39" i="16"/>
  <c r="R11" i="15"/>
  <c r="R12" i="14"/>
  <c r="M32" i="16" l="1"/>
  <c r="O32" i="16" s="1"/>
  <c r="P32" i="16" s="1"/>
  <c r="N32" i="22"/>
  <c r="O32" i="22" s="1"/>
  <c r="P32" i="22" s="1"/>
  <c r="M38" i="22"/>
  <c r="M38" i="16"/>
  <c r="N38" i="22"/>
  <c r="N38" i="16"/>
  <c r="N35" i="22"/>
  <c r="O35" i="22" s="1"/>
  <c r="P35" i="22" s="1"/>
  <c r="N34" i="16"/>
  <c r="N34" i="22"/>
  <c r="M34" i="16"/>
  <c r="M34" i="22"/>
  <c r="O35" i="16"/>
  <c r="P35" i="16" s="1"/>
  <c r="N37" i="16"/>
  <c r="O37" i="16" s="1"/>
  <c r="P37" i="16" s="1"/>
  <c r="N36" i="22"/>
  <c r="N36" i="16"/>
  <c r="M36" i="16"/>
  <c r="M36" i="22"/>
  <c r="O37" i="22"/>
  <c r="P37" i="22" s="1"/>
  <c r="M42" i="16"/>
  <c r="O42" i="16" s="1"/>
  <c r="P42" i="16" s="1"/>
  <c r="M6" i="15"/>
  <c r="M40" i="22"/>
  <c r="M40" i="16"/>
  <c r="N40" i="16"/>
  <c r="N40" i="22"/>
  <c r="O42" i="22"/>
  <c r="P42" i="22" s="1"/>
  <c r="L8" i="16"/>
  <c r="L7" i="16"/>
  <c r="M6" i="14"/>
  <c r="L7" i="22"/>
  <c r="L8" i="22"/>
  <c r="M16" i="5" a="1"/>
  <c r="AZ16" i="5" s="1"/>
  <c r="M41" i="16"/>
  <c r="M41" i="22"/>
  <c r="N41" i="16"/>
  <c r="N41" i="22"/>
  <c r="O39" i="22"/>
  <c r="P39" i="22" s="1"/>
  <c r="M39" i="16"/>
  <c r="O39" i="16" s="1"/>
  <c r="P39" i="16" s="1"/>
  <c r="V12" i="14"/>
  <c r="S12" i="14"/>
  <c r="R6" i="14"/>
  <c r="S11" i="15"/>
  <c r="R6" i="15"/>
  <c r="V11" i="15"/>
  <c r="O38" i="22" l="1"/>
  <c r="P38" i="22" s="1"/>
  <c r="O38" i="16"/>
  <c r="P38" i="16" s="1"/>
  <c r="O34" i="16"/>
  <c r="P34" i="16" s="1"/>
  <c r="O34" i="22"/>
  <c r="P34" i="22" s="1"/>
  <c r="O36" i="16"/>
  <c r="P36" i="16" s="1"/>
  <c r="O36" i="22"/>
  <c r="P36" i="22" s="1"/>
  <c r="O40" i="22"/>
  <c r="P40" i="22" s="1"/>
  <c r="O40" i="16"/>
  <c r="P40" i="16" s="1"/>
  <c r="AQ16" i="5"/>
  <c r="AU16" i="5"/>
  <c r="AN16" i="5"/>
  <c r="U16" i="5"/>
  <c r="O101" i="5" s="1"/>
  <c r="AJ16" i="5"/>
  <c r="AD101" i="5" s="1"/>
  <c r="AV16" i="5"/>
  <c r="AE16" i="5"/>
  <c r="Y101" i="5" s="1"/>
  <c r="X16" i="5"/>
  <c r="R101" i="5" s="1"/>
  <c r="AA16" i="5"/>
  <c r="U101" i="5" s="1"/>
  <c r="T16" i="5"/>
  <c r="N101" i="5" s="1"/>
  <c r="AT16" i="5"/>
  <c r="AI16" i="5"/>
  <c r="AC101" i="5" s="1"/>
  <c r="V16" i="5"/>
  <c r="P101" i="5" s="1"/>
  <c r="AP16" i="5"/>
  <c r="R16" i="5"/>
  <c r="L101" i="5" s="1"/>
  <c r="AD16" i="5"/>
  <c r="X101" i="5" s="1"/>
  <c r="Z16" i="5"/>
  <c r="T101" i="5" s="1"/>
  <c r="AS16" i="5"/>
  <c r="AW16" i="5"/>
  <c r="AO16" i="5"/>
  <c r="AM16" i="5"/>
  <c r="N16" i="5"/>
  <c r="H101" i="5" s="1"/>
  <c r="AF16" i="5"/>
  <c r="Z101" i="5" s="1"/>
  <c r="AG16" i="5"/>
  <c r="AA101" i="5" s="1"/>
  <c r="O16" i="5"/>
  <c r="I101" i="5" s="1"/>
  <c r="AC16" i="5"/>
  <c r="W101" i="5" s="1"/>
  <c r="AY16" i="5"/>
  <c r="Q16" i="5"/>
  <c r="K101" i="5" s="1"/>
  <c r="AX16" i="5"/>
  <c r="Y16" i="5"/>
  <c r="S101" i="5" s="1"/>
  <c r="W16" i="5"/>
  <c r="Q101" i="5" s="1"/>
  <c r="AK16" i="5"/>
  <c r="AE101" i="5" s="1"/>
  <c r="P16" i="5"/>
  <c r="AR16" i="5"/>
  <c r="AL16" i="5"/>
  <c r="AF101" i="5" s="1"/>
  <c r="M16" i="5"/>
  <c r="G101" i="5" s="1"/>
  <c r="S16" i="5"/>
  <c r="M101" i="5" s="1"/>
  <c r="AB16" i="5"/>
  <c r="V101" i="5" s="1"/>
  <c r="AH16" i="5"/>
  <c r="AB101" i="5" s="1"/>
  <c r="O41" i="22"/>
  <c r="P41" i="22" s="1"/>
  <c r="O41" i="16"/>
  <c r="P41" i="16" s="1"/>
  <c r="X11" i="15"/>
  <c r="V6" i="15"/>
  <c r="U12" i="14"/>
  <c r="T12" i="14"/>
  <c r="S13" i="14" s="1"/>
  <c r="T13" i="14" s="1"/>
  <c r="S14" i="14" s="1"/>
  <c r="T14" i="14" s="1"/>
  <c r="S15" i="14" s="1"/>
  <c r="T15" i="14" s="1"/>
  <c r="S16" i="14" s="1"/>
  <c r="T16" i="14" s="1"/>
  <c r="S17" i="14" s="1"/>
  <c r="T17" i="14" s="1"/>
  <c r="S18" i="14" s="1"/>
  <c r="T18" i="14" s="1"/>
  <c r="S19" i="14" s="1"/>
  <c r="T19" i="14" s="1"/>
  <c r="S20" i="14" s="1"/>
  <c r="T20" i="14" s="1"/>
  <c r="S21" i="14" s="1"/>
  <c r="T21" i="14" s="1"/>
  <c r="S22" i="14" s="1"/>
  <c r="T22" i="14" s="1"/>
  <c r="S23" i="14" s="1"/>
  <c r="T23" i="14" s="1"/>
  <c r="S24" i="14" s="1"/>
  <c r="T24" i="14" s="1"/>
  <c r="S25" i="14" s="1"/>
  <c r="T25" i="14" s="1"/>
  <c r="S26" i="14" s="1"/>
  <c r="T26" i="14" s="1"/>
  <c r="S27" i="14" s="1"/>
  <c r="T27" i="14" s="1"/>
  <c r="S28" i="14" s="1"/>
  <c r="T28" i="14" s="1"/>
  <c r="S29" i="14" s="1"/>
  <c r="T29" i="14" s="1"/>
  <c r="S30" i="14" s="1"/>
  <c r="T30" i="14" s="1"/>
  <c r="S31" i="14" s="1"/>
  <c r="T31" i="14" s="1"/>
  <c r="S32" i="14" s="1"/>
  <c r="T32" i="14" s="1"/>
  <c r="S33" i="14" s="1"/>
  <c r="T33" i="14" s="1"/>
  <c r="S34" i="14" s="1"/>
  <c r="T34" i="14" s="1"/>
  <c r="S35" i="14" s="1"/>
  <c r="T35" i="14" s="1"/>
  <c r="S36" i="14" s="1"/>
  <c r="T36" i="14" s="1"/>
  <c r="S37" i="14" s="1"/>
  <c r="T37" i="14" s="1"/>
  <c r="S38" i="14" s="1"/>
  <c r="T38" i="14" s="1"/>
  <c r="S39" i="14" s="1"/>
  <c r="T39" i="14" s="1"/>
  <c r="S40" i="14" s="1"/>
  <c r="T40" i="14" s="1"/>
  <c r="S41" i="14" s="1"/>
  <c r="T41" i="14" s="1"/>
  <c r="S42" i="14" s="1"/>
  <c r="T42" i="14" s="1"/>
  <c r="S43" i="14" s="1"/>
  <c r="T43" i="14" s="1"/>
  <c r="S44" i="14" s="1"/>
  <c r="T44" i="14" s="1"/>
  <c r="S45" i="14" s="1"/>
  <c r="T45" i="14" s="1"/>
  <c r="S46" i="14" s="1"/>
  <c r="T46" i="14" s="1"/>
  <c r="S47" i="14" s="1"/>
  <c r="T47" i="14" s="1"/>
  <c r="S48" i="14" s="1"/>
  <c r="T48" i="14" s="1"/>
  <c r="S49" i="14" s="1"/>
  <c r="T49" i="14" s="1"/>
  <c r="S50" i="14" s="1"/>
  <c r="T50" i="14" s="1"/>
  <c r="U11" i="15"/>
  <c r="T11" i="15"/>
  <c r="S12" i="15" s="1"/>
  <c r="T12" i="15" s="1"/>
  <c r="S13" i="15" s="1"/>
  <c r="T13" i="15" s="1"/>
  <c r="S14" i="15" s="1"/>
  <c r="T14" i="15" s="1"/>
  <c r="S15" i="15" s="1"/>
  <c r="T15" i="15" s="1"/>
  <c r="S16" i="15" s="1"/>
  <c r="T16" i="15" s="1"/>
  <c r="S17" i="15" s="1"/>
  <c r="T17" i="15" s="1"/>
  <c r="S18" i="15" s="1"/>
  <c r="T18" i="15" s="1"/>
  <c r="S19" i="15" s="1"/>
  <c r="T19" i="15" s="1"/>
  <c r="S20" i="15" s="1"/>
  <c r="T20" i="15" s="1"/>
  <c r="S21" i="15" s="1"/>
  <c r="T21" i="15" s="1"/>
  <c r="S22" i="15" s="1"/>
  <c r="T22" i="15" s="1"/>
  <c r="S23" i="15" s="1"/>
  <c r="T23" i="15" s="1"/>
  <c r="S24" i="15" s="1"/>
  <c r="T24" i="15" s="1"/>
  <c r="S25" i="15" s="1"/>
  <c r="T25" i="15" s="1"/>
  <c r="S26" i="15" s="1"/>
  <c r="T26" i="15" s="1"/>
  <c r="S27" i="15" s="1"/>
  <c r="T27" i="15" s="1"/>
  <c r="S28" i="15" s="1"/>
  <c r="T28" i="15" s="1"/>
  <c r="S29" i="15" s="1"/>
  <c r="T29" i="15" s="1"/>
  <c r="S30" i="15" s="1"/>
  <c r="T30" i="15" s="1"/>
  <c r="S31" i="15" s="1"/>
  <c r="T31" i="15" s="1"/>
  <c r="S32" i="15" s="1"/>
  <c r="T32" i="15" s="1"/>
  <c r="S33" i="15" s="1"/>
  <c r="T33" i="15" s="1"/>
  <c r="S34" i="15" s="1"/>
  <c r="T34" i="15" s="1"/>
  <c r="S35" i="15" s="1"/>
  <c r="T35" i="15" s="1"/>
  <c r="S36" i="15" s="1"/>
  <c r="T36" i="15" s="1"/>
  <c r="S37" i="15" s="1"/>
  <c r="T37" i="15" s="1"/>
  <c r="S38" i="15" s="1"/>
  <c r="T38" i="15" s="1"/>
  <c r="S39" i="15" s="1"/>
  <c r="T39" i="15" s="1"/>
  <c r="S40" i="15" s="1"/>
  <c r="T40" i="15" s="1"/>
  <c r="S41" i="15" s="1"/>
  <c r="T41" i="15" s="1"/>
  <c r="S42" i="15" s="1"/>
  <c r="T42" i="15" s="1"/>
  <c r="S43" i="15" s="1"/>
  <c r="T43" i="15" s="1"/>
  <c r="S44" i="15" s="1"/>
  <c r="T44" i="15" s="1"/>
  <c r="S45" i="15" s="1"/>
  <c r="T45" i="15" s="1"/>
  <c r="S46" i="15" s="1"/>
  <c r="T46" i="15" s="1"/>
  <c r="S47" i="15" s="1"/>
  <c r="T47" i="15" s="1"/>
  <c r="S48" i="15" s="1"/>
  <c r="T48" i="15" s="1"/>
  <c r="S49" i="15" s="1"/>
  <c r="T49" i="15" s="1"/>
  <c r="V6" i="14"/>
  <c r="X12" i="14"/>
  <c r="K16" i="5" l="1"/>
  <c r="H25" i="2" s="1"/>
  <c r="J101" i="5"/>
  <c r="H16" i="5"/>
  <c r="G16" i="5"/>
  <c r="J16" i="5" s="1"/>
  <c r="U13" i="14"/>
  <c r="U14" i="14" s="1"/>
  <c r="U15" i="14" s="1"/>
  <c r="U16" i="14" s="1"/>
  <c r="U17" i="14" s="1"/>
  <c r="U18" i="14" s="1"/>
  <c r="U19" i="14" s="1"/>
  <c r="U20" i="14" s="1"/>
  <c r="U21" i="14" s="1"/>
  <c r="U22" i="14" s="1"/>
  <c r="U23" i="14" s="1"/>
  <c r="U24" i="14" s="1"/>
  <c r="U25" i="14" s="1"/>
  <c r="U26" i="14" s="1"/>
  <c r="U27" i="14" s="1"/>
  <c r="U28" i="14" s="1"/>
  <c r="U29" i="14" s="1"/>
  <c r="U30" i="14" s="1"/>
  <c r="U31" i="14" s="1"/>
  <c r="U32" i="14" s="1"/>
  <c r="U33" i="14" s="1"/>
  <c r="U34" i="14" s="1"/>
  <c r="U35" i="14" s="1"/>
  <c r="U36" i="14" s="1"/>
  <c r="U37" i="14" s="1"/>
  <c r="U38" i="14" s="1"/>
  <c r="U39" i="14" s="1"/>
  <c r="U40" i="14" s="1"/>
  <c r="U41" i="14" s="1"/>
  <c r="U42" i="14" s="1"/>
  <c r="U43" i="14" s="1"/>
  <c r="U44" i="14" s="1"/>
  <c r="U45" i="14" s="1"/>
  <c r="U46" i="14" s="1"/>
  <c r="U47" i="14" s="1"/>
  <c r="U48" i="14" s="1"/>
  <c r="U49" i="14" s="1"/>
  <c r="U50" i="14" s="1"/>
  <c r="U12" i="15"/>
  <c r="U13" i="15" s="1"/>
  <c r="U14" i="15" s="1"/>
  <c r="U15" i="15" s="1"/>
  <c r="U16" i="15" s="1"/>
  <c r="U17" i="15" s="1"/>
  <c r="U18" i="15" s="1"/>
  <c r="U19" i="15" s="1"/>
  <c r="U20" i="15" s="1"/>
  <c r="U21" i="15" s="1"/>
  <c r="U22" i="15" s="1"/>
  <c r="U23" i="15" s="1"/>
  <c r="U24" i="15" s="1"/>
  <c r="U25" i="15" s="1"/>
  <c r="U26" i="15" s="1"/>
  <c r="U27" i="15" s="1"/>
  <c r="U28" i="15" s="1"/>
  <c r="U29" i="15" s="1"/>
  <c r="U30" i="15" s="1"/>
  <c r="U31" i="15" s="1"/>
  <c r="U32" i="15" s="1"/>
  <c r="U33" i="15" s="1"/>
  <c r="U34" i="15" s="1"/>
  <c r="U35" i="15" s="1"/>
  <c r="U36" i="15" s="1"/>
  <c r="U37" i="15" s="1"/>
  <c r="U38" i="15" s="1"/>
  <c r="U39" i="15" s="1"/>
  <c r="U40" i="15" s="1"/>
  <c r="U41" i="15" s="1"/>
  <c r="U42" i="15" s="1"/>
  <c r="U43" i="15" s="1"/>
  <c r="U44" i="15" s="1"/>
  <c r="U45" i="15" s="1"/>
  <c r="U46" i="15" s="1"/>
  <c r="U47" i="15" s="1"/>
  <c r="U48" i="15" s="1"/>
  <c r="U49" i="15" s="1"/>
  <c r="N11" i="22"/>
  <c r="X6" i="14"/>
  <c r="N11" i="16"/>
  <c r="S6" i="15"/>
  <c r="M11" i="16"/>
  <c r="M11" i="22"/>
  <c r="S6" i="14"/>
  <c r="N7" i="22" l="1"/>
  <c r="N8" i="22"/>
  <c r="M8" i="22"/>
  <c r="M7" i="22"/>
  <c r="O11" i="22"/>
  <c r="M17" i="5" a="1"/>
  <c r="M8" i="16"/>
  <c r="M7" i="16"/>
  <c r="O11" i="16"/>
  <c r="N8" i="16"/>
  <c r="N7" i="16"/>
  <c r="M18" i="5" a="1"/>
  <c r="D64" i="3"/>
  <c r="D71" i="3"/>
  <c r="U17" i="5" l="1"/>
  <c r="AK17" i="5"/>
  <c r="N17" i="5"/>
  <c r="AD17" i="5"/>
  <c r="AT17" i="5"/>
  <c r="W17" i="5"/>
  <c r="AM17" i="5"/>
  <c r="P17" i="5"/>
  <c r="AF17" i="5"/>
  <c r="AV17" i="5"/>
  <c r="Y17" i="5"/>
  <c r="AO17" i="5"/>
  <c r="R17" i="5"/>
  <c r="AH17" i="5"/>
  <c r="AX17" i="5"/>
  <c r="AA17" i="5"/>
  <c r="AQ17" i="5"/>
  <c r="T17" i="5"/>
  <c r="AJ17" i="5"/>
  <c r="AZ17" i="5"/>
  <c r="M17" i="5"/>
  <c r="AC17" i="5"/>
  <c r="AS17" i="5"/>
  <c r="V17" i="5"/>
  <c r="AL17" i="5"/>
  <c r="O17" i="5"/>
  <c r="AE17" i="5"/>
  <c r="AU17" i="5"/>
  <c r="X17" i="5"/>
  <c r="AN17" i="5"/>
  <c r="Q17" i="5"/>
  <c r="AG17" i="5"/>
  <c r="AW17" i="5"/>
  <c r="Z17" i="5"/>
  <c r="AP17" i="5"/>
  <c r="S17" i="5"/>
  <c r="AI17" i="5"/>
  <c r="AY17" i="5"/>
  <c r="AB17" i="5"/>
  <c r="AR17" i="5"/>
  <c r="O7" i="16"/>
  <c r="O8" i="16"/>
  <c r="P11" i="16"/>
  <c r="O7" i="22"/>
  <c r="P11" i="22"/>
  <c r="O8" i="22"/>
  <c r="N18" i="5"/>
  <c r="H103" i="5" s="1"/>
  <c r="AD18" i="5"/>
  <c r="X103" i="5" s="1"/>
  <c r="AT18" i="5"/>
  <c r="W18" i="5"/>
  <c r="Q103" i="5" s="1"/>
  <c r="AM18" i="5"/>
  <c r="P18" i="5"/>
  <c r="J103" i="5" s="1"/>
  <c r="AF18" i="5"/>
  <c r="Z103" i="5" s="1"/>
  <c r="AV18" i="5"/>
  <c r="U18" i="5"/>
  <c r="O103" i="5" s="1"/>
  <c r="AK18" i="5"/>
  <c r="AE103" i="5" s="1"/>
  <c r="R18" i="5"/>
  <c r="L103" i="5" s="1"/>
  <c r="AH18" i="5"/>
  <c r="AB103" i="5" s="1"/>
  <c r="AX18" i="5"/>
  <c r="AA18" i="5"/>
  <c r="U103" i="5" s="1"/>
  <c r="AQ18" i="5"/>
  <c r="T18" i="5"/>
  <c r="N103" i="5" s="1"/>
  <c r="AJ18" i="5"/>
  <c r="AD103" i="5" s="1"/>
  <c r="AZ18" i="5"/>
  <c r="Y18" i="5"/>
  <c r="S103" i="5" s="1"/>
  <c r="AO18" i="5"/>
  <c r="V18" i="5"/>
  <c r="P103" i="5" s="1"/>
  <c r="AL18" i="5"/>
  <c r="AF103" i="5" s="1"/>
  <c r="O18" i="5"/>
  <c r="I103" i="5" s="1"/>
  <c r="AE18" i="5"/>
  <c r="Y103" i="5" s="1"/>
  <c r="AU18" i="5"/>
  <c r="X18" i="5"/>
  <c r="R103" i="5" s="1"/>
  <c r="AN18" i="5"/>
  <c r="M18" i="5"/>
  <c r="AC18" i="5"/>
  <c r="W103" i="5" s="1"/>
  <c r="AS18" i="5"/>
  <c r="Z18" i="5"/>
  <c r="T103" i="5" s="1"/>
  <c r="AP18" i="5"/>
  <c r="S18" i="5"/>
  <c r="M103" i="5" s="1"/>
  <c r="AI18" i="5"/>
  <c r="AC103" i="5" s="1"/>
  <c r="AY18" i="5"/>
  <c r="AB18" i="5"/>
  <c r="V103" i="5" s="1"/>
  <c r="AR18" i="5"/>
  <c r="Q18" i="5"/>
  <c r="K103" i="5" s="1"/>
  <c r="AG18" i="5"/>
  <c r="AA103" i="5" s="1"/>
  <c r="AW18" i="5"/>
  <c r="AR20" i="5" l="1"/>
  <c r="AR21" i="5" s="1"/>
  <c r="M102" i="5"/>
  <c r="S20" i="5"/>
  <c r="S21" i="5" s="1"/>
  <c r="M100" i="5" s="1"/>
  <c r="AA102" i="5"/>
  <c r="AG20" i="5"/>
  <c r="AG21" i="5" s="1"/>
  <c r="AA100" i="5" s="1"/>
  <c r="AU20" i="5"/>
  <c r="AU21" i="5" s="1"/>
  <c r="P102" i="5"/>
  <c r="V20" i="5"/>
  <c r="V21" i="5" s="1"/>
  <c r="P100" i="5" s="1"/>
  <c r="AZ20" i="5"/>
  <c r="AZ21" i="5" s="1"/>
  <c r="U102" i="5"/>
  <c r="AA20" i="5"/>
  <c r="AA21" i="5" s="1"/>
  <c r="U100" i="5" s="1"/>
  <c r="AO20" i="5"/>
  <c r="AO21" i="5" s="1"/>
  <c r="J102" i="5"/>
  <c r="P20" i="5"/>
  <c r="P21" i="5" s="1"/>
  <c r="J100" i="5" s="1"/>
  <c r="X102" i="5"/>
  <c r="AD20" i="5"/>
  <c r="AD21" i="5" s="1"/>
  <c r="X100" i="5" s="1"/>
  <c r="G18" i="5"/>
  <c r="J18" i="5" s="1"/>
  <c r="H18" i="5"/>
  <c r="G103" i="5"/>
  <c r="K18" i="5"/>
  <c r="H27" i="2" s="1"/>
  <c r="S11" i="16"/>
  <c r="P8" i="16"/>
  <c r="P7" i="16"/>
  <c r="V102" i="5"/>
  <c r="AB20" i="5"/>
  <c r="AB21" i="5" s="1"/>
  <c r="V100" i="5" s="1"/>
  <c r="AP20" i="5"/>
  <c r="AP21" i="5" s="1"/>
  <c r="K102" i="5"/>
  <c r="Q20" i="5"/>
  <c r="Q21" i="5" s="1"/>
  <c r="K100" i="5" s="1"/>
  <c r="Y102" i="5"/>
  <c r="AE20" i="5"/>
  <c r="AE21" i="5" s="1"/>
  <c r="Y100" i="5" s="1"/>
  <c r="AS20" i="5"/>
  <c r="AS21" i="5" s="1"/>
  <c r="AD102" i="5"/>
  <c r="AJ20" i="5"/>
  <c r="AJ21" i="5" s="1"/>
  <c r="AD100" i="5" s="1"/>
  <c r="AX20" i="5"/>
  <c r="AX21" i="5" s="1"/>
  <c r="S102" i="5"/>
  <c r="Y20" i="5"/>
  <c r="Y21" i="5" s="1"/>
  <c r="S100" i="5" s="1"/>
  <c r="AM20" i="5"/>
  <c r="AM21" i="5" s="1"/>
  <c r="H102" i="5"/>
  <c r="N20" i="5"/>
  <c r="N21" i="5" s="1"/>
  <c r="AY20" i="5"/>
  <c r="AY21" i="5" s="1"/>
  <c r="T102" i="5"/>
  <c r="Z20" i="5"/>
  <c r="Z21" i="5" s="1"/>
  <c r="T100" i="5" s="1"/>
  <c r="AN20" i="5"/>
  <c r="AN21" i="5" s="1"/>
  <c r="I102" i="5"/>
  <c r="O20" i="5"/>
  <c r="O21" i="5" s="1"/>
  <c r="I100" i="5" s="1"/>
  <c r="W102" i="5"/>
  <c r="AC20" i="5"/>
  <c r="AC21" i="5" s="1"/>
  <c r="W100" i="5" s="1"/>
  <c r="N102" i="5"/>
  <c r="T20" i="5"/>
  <c r="T21" i="5" s="1"/>
  <c r="N100" i="5" s="1"/>
  <c r="AB102" i="5"/>
  <c r="AH20" i="5"/>
  <c r="AH21" i="5" s="1"/>
  <c r="AB100" i="5" s="1"/>
  <c r="AV20" i="5"/>
  <c r="AV21" i="5" s="1"/>
  <c r="Q102" i="5"/>
  <c r="W20" i="5"/>
  <c r="W21" i="5" s="1"/>
  <c r="Q100" i="5" s="1"/>
  <c r="AE102" i="5"/>
  <c r="AK20" i="5"/>
  <c r="AK21" i="5" s="1"/>
  <c r="AE100" i="5" s="1"/>
  <c r="AO8" i="22"/>
  <c r="CD8" i="22"/>
  <c r="BX8" i="22"/>
  <c r="CH8" i="22"/>
  <c r="AW8" i="22"/>
  <c r="CE8" i="22"/>
  <c r="BN8" i="22"/>
  <c r="AM8" i="22"/>
  <c r="BW8" i="22"/>
  <c r="P7" i="22"/>
  <c r="AZ8" i="22"/>
  <c r="BZ8" i="22"/>
  <c r="BQ8" i="22"/>
  <c r="AU8" i="22"/>
  <c r="AY8" i="22"/>
  <c r="AK8" i="22"/>
  <c r="BS8" i="22"/>
  <c r="BE8" i="22"/>
  <c r="AR8" i="22"/>
  <c r="BV8" i="22"/>
  <c r="BM8" i="22"/>
  <c r="BY8" i="22"/>
  <c r="BG8" i="22"/>
  <c r="AT8" i="22"/>
  <c r="BL8" i="22"/>
  <c r="AX8" i="22"/>
  <c r="CB8" i="22"/>
  <c r="AV8" i="22"/>
  <c r="AJ8" i="22"/>
  <c r="BJ8" i="22"/>
  <c r="CC8" i="22"/>
  <c r="CG8" i="22"/>
  <c r="CA8" i="22"/>
  <c r="BU8" i="22"/>
  <c r="AL8" i="22"/>
  <c r="AQ8" i="22"/>
  <c r="P8" i="22"/>
  <c r="H30" i="2" s="1"/>
  <c r="BD8" i="22"/>
  <c r="BA8" i="22"/>
  <c r="AP8" i="22"/>
  <c r="BF8" i="22"/>
  <c r="CF8" i="22"/>
  <c r="BH8" i="22"/>
  <c r="AI8" i="22"/>
  <c r="AI9" i="22" s="1"/>
  <c r="AS8" i="22"/>
  <c r="BP8" i="22"/>
  <c r="BR8" i="22"/>
  <c r="BB8" i="22"/>
  <c r="BT8" i="22"/>
  <c r="AN8" i="22"/>
  <c r="BK8" i="22"/>
  <c r="BO8" i="22"/>
  <c r="BC8" i="22"/>
  <c r="BI8" i="22"/>
  <c r="AC102" i="5"/>
  <c r="AI20" i="5"/>
  <c r="AI21" i="5" s="1"/>
  <c r="AC100" i="5" s="1"/>
  <c r="AW20" i="5"/>
  <c r="AW21" i="5" s="1"/>
  <c r="R102" i="5"/>
  <c r="X20" i="5"/>
  <c r="X21" i="5" s="1"/>
  <c r="R100" i="5" s="1"/>
  <c r="AF102" i="5"/>
  <c r="AL20" i="5"/>
  <c r="AL21" i="5" s="1"/>
  <c r="AF100" i="5" s="1"/>
  <c r="G17" i="5"/>
  <c r="K17" i="5"/>
  <c r="H17" i="5"/>
  <c r="G102" i="5"/>
  <c r="M20" i="5"/>
  <c r="M21" i="5" s="1"/>
  <c r="AQ20" i="5"/>
  <c r="AQ21" i="5" s="1"/>
  <c r="L102" i="5"/>
  <c r="R20" i="5"/>
  <c r="R21" i="5" s="1"/>
  <c r="L100" i="5" s="1"/>
  <c r="Z102" i="5"/>
  <c r="AF20" i="5"/>
  <c r="AF21" i="5" s="1"/>
  <c r="Z100" i="5" s="1"/>
  <c r="AT20" i="5"/>
  <c r="AT21" i="5" s="1"/>
  <c r="O102" i="5"/>
  <c r="U20" i="5"/>
  <c r="U21" i="5" s="1"/>
  <c r="O100" i="5" s="1"/>
  <c r="G24" i="28" l="1"/>
  <c r="J50" i="28"/>
  <c r="G4" i="28"/>
  <c r="R74" i="2"/>
  <c r="D8" i="3"/>
  <c r="H32" i="2"/>
  <c r="J70" i="28" s="1"/>
  <c r="G19" i="28"/>
  <c r="G9" i="28"/>
  <c r="G34" i="28"/>
  <c r="D25" i="3"/>
  <c r="G29" i="28"/>
  <c r="G14" i="28"/>
  <c r="D16" i="3"/>
  <c r="H33" i="2"/>
  <c r="J81" i="28" s="1"/>
  <c r="AJ9" i="22"/>
  <c r="AK9" i="22" s="1"/>
  <c r="AL9" i="22" s="1"/>
  <c r="AM9" i="22" s="1"/>
  <c r="AN9" i="22" s="1"/>
  <c r="AO9" i="22" s="1"/>
  <c r="AP9" i="22" s="1"/>
  <c r="AQ9" i="22" s="1"/>
  <c r="AR9" i="22" s="1"/>
  <c r="AS9" i="22" s="1"/>
  <c r="AT9" i="22" s="1"/>
  <c r="AU9" i="22" s="1"/>
  <c r="AV9" i="22" s="1"/>
  <c r="AW9" i="22" s="1"/>
  <c r="AX9" i="22" s="1"/>
  <c r="AY9" i="22" s="1"/>
  <c r="AZ9" i="22" s="1"/>
  <c r="BA9" i="22" s="1"/>
  <c r="BB9" i="22" s="1"/>
  <c r="BC9" i="22" s="1"/>
  <c r="BD9" i="22" s="1"/>
  <c r="BE9" i="22" s="1"/>
  <c r="BF9" i="22" s="1"/>
  <c r="BG9" i="22" s="1"/>
  <c r="BH9" i="22" s="1"/>
  <c r="BI9" i="22" s="1"/>
  <c r="BJ9" i="22" s="1"/>
  <c r="BK9" i="22" s="1"/>
  <c r="BL9" i="22" s="1"/>
  <c r="BM9" i="22" s="1"/>
  <c r="BN9" i="22" s="1"/>
  <c r="BO9" i="22" s="1"/>
  <c r="BP9" i="22" s="1"/>
  <c r="BQ9" i="22" s="1"/>
  <c r="BR9" i="22" s="1"/>
  <c r="BS9" i="22" s="1"/>
  <c r="BT9" i="22" s="1"/>
  <c r="BU9" i="22" s="1"/>
  <c r="BV9" i="22" s="1"/>
  <c r="BW9" i="22" s="1"/>
  <c r="BX9" i="22" s="1"/>
  <c r="BY9" i="22" s="1"/>
  <c r="BZ9" i="22" s="1"/>
  <c r="CA9" i="22" s="1"/>
  <c r="CB9" i="22" s="1"/>
  <c r="CC9" i="22" s="1"/>
  <c r="CD9" i="22" s="1"/>
  <c r="CE9" i="22" s="1"/>
  <c r="CF9" i="22" s="1"/>
  <c r="CG9" i="22" s="1"/>
  <c r="CH9" i="22" s="1"/>
  <c r="H26" i="2"/>
  <c r="G74" i="2" s="1" a="1"/>
  <c r="K20" i="5"/>
  <c r="K21" i="5" s="1"/>
  <c r="H100" i="5"/>
  <c r="H20" i="5"/>
  <c r="H21" i="5" s="1"/>
  <c r="P6" i="2"/>
  <c r="M6" i="2" s="1"/>
  <c r="J6" i="2" s="1"/>
  <c r="G6" i="2" s="1"/>
  <c r="D6" i="2" s="1"/>
  <c r="M22" i="5"/>
  <c r="N22" i="5" s="1"/>
  <c r="O22" i="5" s="1"/>
  <c r="P22" i="5" s="1"/>
  <c r="Q22" i="5" s="1"/>
  <c r="R22" i="5" s="1"/>
  <c r="S22" i="5" s="1"/>
  <c r="T22" i="5" s="1"/>
  <c r="U22" i="5" s="1"/>
  <c r="V22" i="5" s="1"/>
  <c r="W22" i="5" s="1"/>
  <c r="X22" i="5" s="1"/>
  <c r="Y22" i="5" s="1"/>
  <c r="Z22" i="5" s="1"/>
  <c r="AA22" i="5" s="1"/>
  <c r="AB22" i="5" s="1"/>
  <c r="AC22" i="5" s="1"/>
  <c r="AD22" i="5" s="1"/>
  <c r="AE22" i="5" s="1"/>
  <c r="AF22" i="5" s="1"/>
  <c r="AG22" i="5" s="1"/>
  <c r="AH22" i="5" s="1"/>
  <c r="AI22" i="5" s="1"/>
  <c r="AJ22" i="5" s="1"/>
  <c r="AK22" i="5" s="1"/>
  <c r="AL22" i="5" s="1"/>
  <c r="AM22" i="5" s="1"/>
  <c r="AN22" i="5" s="1"/>
  <c r="AO22" i="5" s="1"/>
  <c r="AP22" i="5" s="1"/>
  <c r="AQ22" i="5" s="1"/>
  <c r="AR22" i="5" s="1"/>
  <c r="AS22" i="5" s="1"/>
  <c r="AT22" i="5" s="1"/>
  <c r="AU22" i="5" s="1"/>
  <c r="AV22" i="5" s="1"/>
  <c r="AW22" i="5" s="1"/>
  <c r="AX22" i="5" s="1"/>
  <c r="AY22" i="5" s="1"/>
  <c r="AZ22" i="5" s="1"/>
  <c r="G100" i="5"/>
  <c r="J17" i="5"/>
  <c r="G20" i="5"/>
  <c r="G21" i="5" s="1"/>
  <c r="S12" i="16"/>
  <c r="T11" i="16"/>
  <c r="D66" i="3"/>
  <c r="D73" i="3"/>
  <c r="M74" i="2" l="1"/>
  <c r="G74" i="2"/>
  <c r="G75" i="2" s="1"/>
  <c r="L74" i="2"/>
  <c r="J74" i="2"/>
  <c r="H74" i="2"/>
  <c r="I74" i="2"/>
  <c r="Q74" i="2"/>
  <c r="K74" i="2"/>
  <c r="N74" i="2"/>
  <c r="P74" i="2"/>
  <c r="N86" i="28"/>
  <c r="M87" i="28"/>
  <c r="L87" i="28" s="1"/>
  <c r="M82" i="28"/>
  <c r="L82" i="28" s="1"/>
  <c r="N85" i="28"/>
  <c r="N88" i="28"/>
  <c r="N84" i="28"/>
  <c r="N87" i="28"/>
  <c r="M88" i="28"/>
  <c r="L88" i="28" s="1"/>
  <c r="M84" i="28"/>
  <c r="L84" i="28" s="1"/>
  <c r="M86" i="28"/>
  <c r="L86" i="28" s="1"/>
  <c r="M83" i="28"/>
  <c r="L83" i="28" s="1"/>
  <c r="N82" i="28"/>
  <c r="N83" i="28"/>
  <c r="M85" i="28"/>
  <c r="L85" i="28" s="1"/>
  <c r="G7" i="28"/>
  <c r="G22" i="28"/>
  <c r="G32" i="28"/>
  <c r="G17" i="28"/>
  <c r="G37" i="28"/>
  <c r="G27" i="28"/>
  <c r="G12" i="28"/>
  <c r="R82" i="2"/>
  <c r="R81" i="2"/>
  <c r="N53" i="28"/>
  <c r="M54" i="28"/>
  <c r="L54" i="28" s="1"/>
  <c r="O54" i="28" s="1"/>
  <c r="M56" i="28"/>
  <c r="L56" i="28" s="1"/>
  <c r="O56" i="28" s="1"/>
  <c r="N51" i="28"/>
  <c r="M53" i="28"/>
  <c r="L53" i="28" s="1"/>
  <c r="O53" i="28" s="1"/>
  <c r="N54" i="28"/>
  <c r="M51" i="28"/>
  <c r="L51" i="28" s="1"/>
  <c r="O51" i="28" s="1"/>
  <c r="N56" i="28"/>
  <c r="N55" i="28"/>
  <c r="M55" i="28"/>
  <c r="L55" i="28" s="1"/>
  <c r="O55" i="28" s="1"/>
  <c r="M57" i="28"/>
  <c r="L57" i="28" s="1"/>
  <c r="O57" i="28" s="1"/>
  <c r="M52" i="28"/>
  <c r="L52" i="28" s="1"/>
  <c r="O52" i="28" s="1"/>
  <c r="N57" i="28"/>
  <c r="N52" i="28"/>
  <c r="N75" i="28"/>
  <c r="N73" i="28"/>
  <c r="N72" i="28"/>
  <c r="M74" i="28"/>
  <c r="L74" i="28" s="1"/>
  <c r="N74" i="28"/>
  <c r="M72" i="28"/>
  <c r="L72" i="28" s="1"/>
  <c r="M77" i="28"/>
  <c r="L77" i="28" s="1"/>
  <c r="N71" i="28"/>
  <c r="N76" i="28"/>
  <c r="M75" i="28"/>
  <c r="L75" i="28" s="1"/>
  <c r="M71" i="28"/>
  <c r="L71" i="28" s="1"/>
  <c r="M76" i="28"/>
  <c r="L76" i="28" s="1"/>
  <c r="M73" i="28"/>
  <c r="L73" i="28" s="1"/>
  <c r="N77" i="28"/>
  <c r="G11" i="28"/>
  <c r="G6" i="28"/>
  <c r="G21" i="28"/>
  <c r="G16" i="28"/>
  <c r="G31" i="28"/>
  <c r="G26" i="28"/>
  <c r="G36" i="28"/>
  <c r="T12" i="16"/>
  <c r="S13" i="16"/>
  <c r="O74" i="2"/>
  <c r="H29" i="2"/>
  <c r="D72" i="3"/>
  <c r="D65" i="3"/>
  <c r="J20" i="5"/>
  <c r="J21" i="5" s="1"/>
  <c r="AI4" i="22"/>
  <c r="AJ4" i="22" s="1"/>
  <c r="H31" i="2" s="1"/>
  <c r="H75" i="2" l="1"/>
  <c r="G77" i="2"/>
  <c r="G79" i="2" s="1"/>
  <c r="G80" i="2" s="1"/>
  <c r="R54" i="28"/>
  <c r="Q54" i="28"/>
  <c r="S54" i="28"/>
  <c r="P54" i="28"/>
  <c r="S51" i="28"/>
  <c r="R53" i="28"/>
  <c r="Q51" i="28"/>
  <c r="Q55" i="28"/>
  <c r="S57" i="28"/>
  <c r="S56" i="28"/>
  <c r="R56" i="28"/>
  <c r="P56" i="28"/>
  <c r="Q56" i="28"/>
  <c r="S55" i="28"/>
  <c r="S71" i="28"/>
  <c r="R71" i="28"/>
  <c r="O71" i="28"/>
  <c r="Q71" i="28"/>
  <c r="P71" i="28"/>
  <c r="S53" i="28"/>
  <c r="P88" i="28"/>
  <c r="S88" i="28"/>
  <c r="Q88" i="28"/>
  <c r="O88" i="28"/>
  <c r="R88" i="28"/>
  <c r="Q75" i="28"/>
  <c r="P75" i="28"/>
  <c r="O75" i="28"/>
  <c r="S75" i="28"/>
  <c r="R75" i="28"/>
  <c r="P72" i="28"/>
  <c r="R72" i="28"/>
  <c r="S72" i="28"/>
  <c r="O72" i="28"/>
  <c r="Q72" i="28"/>
  <c r="S52" i="28"/>
  <c r="P53" i="28"/>
  <c r="Q57" i="28"/>
  <c r="Q83" i="28"/>
  <c r="O83" i="28"/>
  <c r="R83" i="28"/>
  <c r="S83" i="28"/>
  <c r="P83" i="28"/>
  <c r="R82" i="28"/>
  <c r="Q82" i="28"/>
  <c r="P82" i="28"/>
  <c r="S82" i="28"/>
  <c r="O82" i="28"/>
  <c r="O77" i="28"/>
  <c r="Q77" i="28"/>
  <c r="P77" i="28"/>
  <c r="R77" i="28"/>
  <c r="S77" i="28"/>
  <c r="G5" i="28"/>
  <c r="G25" i="28"/>
  <c r="G35" i="28"/>
  <c r="G20" i="28"/>
  <c r="G30" i="28"/>
  <c r="G10" i="28"/>
  <c r="G15" i="28"/>
  <c r="J60" i="28"/>
  <c r="P73" i="28"/>
  <c r="S73" i="28"/>
  <c r="R73" i="28"/>
  <c r="O73" i="28"/>
  <c r="Q73" i="28"/>
  <c r="R52" i="28"/>
  <c r="R55" i="28"/>
  <c r="O85" i="28"/>
  <c r="Q85" i="28"/>
  <c r="P85" i="28"/>
  <c r="S85" i="28"/>
  <c r="R85" i="28"/>
  <c r="S86" i="28"/>
  <c r="R86" i="28"/>
  <c r="Q86" i="28"/>
  <c r="P86" i="28"/>
  <c r="O86" i="28"/>
  <c r="Q87" i="28"/>
  <c r="P87" i="28"/>
  <c r="R87" i="28"/>
  <c r="O87" i="28"/>
  <c r="S87" i="28"/>
  <c r="Q52" i="28"/>
  <c r="O76" i="28"/>
  <c r="P76" i="28"/>
  <c r="Q76" i="28"/>
  <c r="S76" i="28"/>
  <c r="R76" i="28"/>
  <c r="P74" i="28"/>
  <c r="S74" i="28"/>
  <c r="Q74" i="28"/>
  <c r="R74" i="28"/>
  <c r="O74" i="28"/>
  <c r="R57" i="28"/>
  <c r="P57" i="28"/>
  <c r="P52" i="28"/>
  <c r="Q53" i="28"/>
  <c r="R51" i="28"/>
  <c r="P55" i="28"/>
  <c r="P51" i="28"/>
  <c r="S84" i="28"/>
  <c r="O84" i="28"/>
  <c r="P84" i="28"/>
  <c r="Q84" i="28"/>
  <c r="R84" i="28"/>
  <c r="D74" i="3"/>
  <c r="D67" i="3"/>
  <c r="D68" i="3" s="1"/>
  <c r="T13" i="16"/>
  <c r="S14" i="16"/>
  <c r="H77" i="2" l="1"/>
  <c r="H79" i="2" s="1"/>
  <c r="H80" i="2" s="1"/>
  <c r="I75" i="2"/>
  <c r="N63" i="28"/>
  <c r="N64" i="28"/>
  <c r="M61" i="28"/>
  <c r="L61" i="28" s="1"/>
  <c r="M62" i="28"/>
  <c r="L62" i="28" s="1"/>
  <c r="N61" i="28"/>
  <c r="M65" i="28"/>
  <c r="L65" i="28" s="1"/>
  <c r="M67" i="28"/>
  <c r="L67" i="28" s="1"/>
  <c r="M64" i="28"/>
  <c r="L64" i="28" s="1"/>
  <c r="N62" i="28"/>
  <c r="N66" i="28"/>
  <c r="N65" i="28"/>
  <c r="N67" i="28"/>
  <c r="M63" i="28"/>
  <c r="L63" i="28" s="1"/>
  <c r="M66" i="28"/>
  <c r="L66" i="28" s="1"/>
  <c r="S15" i="16"/>
  <c r="T14" i="16"/>
  <c r="J75" i="2" l="1"/>
  <c r="I77" i="2"/>
  <c r="I79" i="2" s="1"/>
  <c r="I80" i="2" s="1"/>
  <c r="Q64" i="28"/>
  <c r="P64" i="28"/>
  <c r="R64" i="28"/>
  <c r="O64" i="28"/>
  <c r="S64" i="28"/>
  <c r="O62" i="28"/>
  <c r="P62" i="28"/>
  <c r="R62" i="28"/>
  <c r="Q62" i="28"/>
  <c r="S62" i="28"/>
  <c r="Q67" i="28"/>
  <c r="P67" i="28"/>
  <c r="S67" i="28"/>
  <c r="R67" i="28"/>
  <c r="O67" i="28"/>
  <c r="R61" i="28"/>
  <c r="P61" i="28"/>
  <c r="Q61" i="28"/>
  <c r="S61" i="28"/>
  <c r="O61" i="28"/>
  <c r="Q66" i="28"/>
  <c r="S66" i="28"/>
  <c r="O66" i="28"/>
  <c r="P66" i="28"/>
  <c r="R66" i="28"/>
  <c r="P65" i="28"/>
  <c r="O65" i="28"/>
  <c r="S65" i="28"/>
  <c r="R65" i="28"/>
  <c r="Q65" i="28"/>
  <c r="S63" i="28"/>
  <c r="R63" i="28"/>
  <c r="O63" i="28"/>
  <c r="P63" i="28"/>
  <c r="Q63" i="28"/>
  <c r="T15" i="16"/>
  <c r="S16" i="16"/>
  <c r="K75" i="2" l="1"/>
  <c r="J77" i="2"/>
  <c r="J79" i="2" s="1"/>
  <c r="J80" i="2" s="1"/>
  <c r="T16" i="16"/>
  <c r="S17" i="16"/>
  <c r="L75" i="2" l="1"/>
  <c r="K77" i="2"/>
  <c r="K79" i="2" s="1"/>
  <c r="K80" i="2" s="1"/>
  <c r="T17" i="16"/>
  <c r="S18" i="16"/>
  <c r="L77" i="2" l="1"/>
  <c r="L79" i="2" s="1"/>
  <c r="L80" i="2" s="1"/>
  <c r="M75" i="2"/>
  <c r="S19" i="16"/>
  <c r="T18" i="16"/>
  <c r="M77" i="2" l="1"/>
  <c r="M79" i="2" s="1"/>
  <c r="M80" i="2" s="1"/>
  <c r="N75" i="2"/>
  <c r="T19" i="16"/>
  <c r="S20" i="16"/>
  <c r="N77" i="2" l="1"/>
  <c r="N79" i="2" s="1"/>
  <c r="N80" i="2" s="1"/>
  <c r="O75" i="2"/>
  <c r="S21" i="16"/>
  <c r="T20" i="16"/>
  <c r="O77" i="2" l="1"/>
  <c r="O79" i="2" s="1"/>
  <c r="O80" i="2" s="1"/>
  <c r="P75" i="2"/>
  <c r="S22" i="16"/>
  <c r="T21" i="16"/>
  <c r="P77" i="2" l="1"/>
  <c r="P79" i="2" s="1"/>
  <c r="P80" i="2" s="1"/>
  <c r="Q75" i="2"/>
  <c r="Q77" i="2" s="1"/>
  <c r="S23" i="16"/>
  <c r="T22" i="16"/>
  <c r="Q79" i="2" l="1"/>
  <c r="Q80" i="2"/>
  <c r="S24" i="16"/>
  <c r="T23" i="16"/>
  <c r="S25" i="16" l="1"/>
  <c r="T24" i="16"/>
  <c r="S26" i="16" l="1"/>
  <c r="T25" i="16"/>
  <c r="S27" i="16" l="1"/>
  <c r="T26" i="16"/>
  <c r="T27" i="16" l="1"/>
  <c r="S28" i="16"/>
  <c r="T28" i="16" l="1"/>
  <c r="S29" i="16"/>
  <c r="S30" i="16" l="1"/>
  <c r="T29" i="16"/>
  <c r="T30" i="16" l="1"/>
  <c r="S31" i="16"/>
  <c r="S32" i="16" l="1"/>
  <c r="T31" i="16"/>
  <c r="S33" i="16" l="1"/>
  <c r="T32" i="16"/>
  <c r="S34" i="16" l="1"/>
  <c r="T33" i="16"/>
  <c r="S35" i="16" l="1"/>
  <c r="T34" i="16"/>
  <c r="S36" i="16" l="1"/>
  <c r="T35" i="16"/>
  <c r="T36" i="16" l="1"/>
  <c r="S37" i="16"/>
  <c r="S38" i="16" l="1"/>
  <c r="T37" i="16"/>
  <c r="S39" i="16" l="1"/>
  <c r="T38" i="16"/>
  <c r="S40" i="16" l="1"/>
  <c r="T39" i="16"/>
  <c r="S41" i="16" l="1"/>
  <c r="T40" i="16"/>
  <c r="T41" i="16" l="1"/>
  <c r="S42" i="16"/>
  <c r="S43" i="16" l="1"/>
  <c r="T42" i="16"/>
  <c r="T43" i="16" l="1"/>
  <c r="S44" i="16"/>
  <c r="T44" i="16" l="1"/>
  <c r="S45" i="16"/>
  <c r="T45" i="16" l="1"/>
  <c r="S46" i="16"/>
  <c r="S47" i="16" l="1"/>
  <c r="T46" i="16"/>
  <c r="S48" i="16" l="1"/>
  <c r="T47" i="16"/>
  <c r="S49" i="16" l="1"/>
  <c r="T49" i="16" s="1"/>
  <c r="T48" i="16"/>
  <c r="T6" i="16" l="1"/>
</calcChain>
</file>

<file path=xl/sharedStrings.xml><?xml version="1.0" encoding="utf-8"?>
<sst xmlns="http://schemas.openxmlformats.org/spreadsheetml/2006/main" count="2346" uniqueCount="1094">
  <si>
    <t>Sensitivities</t>
  </si>
  <si>
    <t>Evaluation Parameters</t>
  </si>
  <si>
    <t>K$</t>
  </si>
  <si>
    <t>MMSCFD</t>
  </si>
  <si>
    <t>BCF</t>
  </si>
  <si>
    <t>Discount Date</t>
  </si>
  <si>
    <t>NPV</t>
  </si>
  <si>
    <t>IRR</t>
  </si>
  <si>
    <t>DROI</t>
  </si>
  <si>
    <t>Committed DROI</t>
  </si>
  <si>
    <t>Royalty Calculation ($M)</t>
  </si>
  <si>
    <t>Loss Rec</t>
  </si>
  <si>
    <t>Royalty Rec</t>
  </si>
  <si>
    <t>Total</t>
  </si>
  <si>
    <t>Year</t>
  </si>
  <si>
    <t>Revenue</t>
  </si>
  <si>
    <t>Pre-Devel</t>
  </si>
  <si>
    <t>Capital</t>
  </si>
  <si>
    <t>Operating</t>
  </si>
  <si>
    <t>Abandonment</t>
  </si>
  <si>
    <t>Pre-Payout</t>
  </si>
  <si>
    <t>Allowable</t>
  </si>
  <si>
    <t>Simple Payout</t>
  </si>
  <si>
    <t>Months</t>
  </si>
  <si>
    <t xml:space="preserve">Weighted </t>
  </si>
  <si>
    <t>Return Allowance</t>
  </si>
  <si>
    <t>Payout Balances</t>
  </si>
  <si>
    <t>Cum Prod</t>
  </si>
  <si>
    <t>Months at Royalty Rate</t>
  </si>
  <si>
    <t>Net</t>
  </si>
  <si>
    <t>Full Year Royalty Liability at each Tier</t>
  </si>
  <si>
    <t xml:space="preserve"> Royalty Liability at each Tier</t>
  </si>
  <si>
    <t xml:space="preserve">Royalty </t>
  </si>
  <si>
    <t xml:space="preserve">Loss To </t>
  </si>
  <si>
    <t xml:space="preserve">Profit for </t>
  </si>
  <si>
    <t>Loss</t>
  </si>
  <si>
    <t>Revised</t>
  </si>
  <si>
    <t>Repayment</t>
  </si>
  <si>
    <t>Royalty</t>
  </si>
  <si>
    <t>Royalty with</t>
  </si>
  <si>
    <t>Payout Month</t>
  </si>
  <si>
    <t>Costs</t>
  </si>
  <si>
    <t>Cost</t>
  </si>
  <si>
    <t>Full-year</t>
  </si>
  <si>
    <t>Field Costs</t>
  </si>
  <si>
    <t>Closing</t>
  </si>
  <si>
    <t>Av Bal</t>
  </si>
  <si>
    <t>Primary</t>
  </si>
  <si>
    <t>Secondary</t>
  </si>
  <si>
    <t>Final</t>
  </si>
  <si>
    <t>Pre-Payout GR</t>
  </si>
  <si>
    <t>Post-Payout GR</t>
  </si>
  <si>
    <t>Tier 1 NR</t>
  </si>
  <si>
    <t>Tier 2 NR</t>
  </si>
  <si>
    <t>Liability</t>
  </si>
  <si>
    <t>Carry Back</t>
  </si>
  <si>
    <t>Recovered</t>
  </si>
  <si>
    <t>Index</t>
  </si>
  <si>
    <t>Amount</t>
  </si>
  <si>
    <t>Abandon</t>
  </si>
  <si>
    <t>Simple</t>
  </si>
  <si>
    <t>Balance</t>
  </si>
  <si>
    <t>Receipt</t>
  </si>
  <si>
    <t>Historic</t>
  </si>
  <si>
    <t>Discount Rate</t>
  </si>
  <si>
    <t>Discount To</t>
  </si>
  <si>
    <t>Decision Date</t>
  </si>
  <si>
    <t>Run Seismic</t>
  </si>
  <si>
    <t>Drill Wildcat</t>
  </si>
  <si>
    <t>Appraise Reservoir</t>
  </si>
  <si>
    <t>Plan Development</t>
  </si>
  <si>
    <t>Develop Field</t>
  </si>
  <si>
    <t>Economic Scenario</t>
  </si>
  <si>
    <t>Cost Set</t>
  </si>
  <si>
    <t>Project Parameters</t>
  </si>
  <si>
    <t>Project Name</t>
  </si>
  <si>
    <t>Prospect X</t>
  </si>
  <si>
    <t>Current Project Stage</t>
  </si>
  <si>
    <t>Seismic</t>
  </si>
  <si>
    <t>Start Date</t>
  </si>
  <si>
    <t>Development Method</t>
  </si>
  <si>
    <t>First Production Date</t>
  </si>
  <si>
    <t>Infrastructure Type</t>
  </si>
  <si>
    <t>Abandonment Date</t>
  </si>
  <si>
    <t>Export Distance (km)</t>
  </si>
  <si>
    <t>Risk Parameters</t>
  </si>
  <si>
    <t>Wildcat</t>
  </si>
  <si>
    <t>Appraisal</t>
  </si>
  <si>
    <t>Development Planning</t>
  </si>
  <si>
    <t>Technical Parameters</t>
  </si>
  <si>
    <t>Reservoir Depth (m MSL)</t>
  </si>
  <si>
    <t>Reservoir Complexity</t>
  </si>
  <si>
    <t>Medium</t>
  </si>
  <si>
    <t xml:space="preserve">Areal Extent Factor </t>
  </si>
  <si>
    <t>Reservoir Pressure</t>
  </si>
  <si>
    <t>Normally Pressured</t>
  </si>
  <si>
    <t>Gas Calorific Value (btu/scf)</t>
  </si>
  <si>
    <t>Liquid Yield (bbl/mcf)</t>
  </si>
  <si>
    <t>Gas Type</t>
  </si>
  <si>
    <t>Sweet</t>
  </si>
  <si>
    <t>Water Depth (metres)</t>
  </si>
  <si>
    <t>Total Costs</t>
  </si>
  <si>
    <t>Tax / Royalty Parameters</t>
  </si>
  <si>
    <t>Small Reserves for Royalty</t>
  </si>
  <si>
    <t>No</t>
  </si>
  <si>
    <t>Internal rate of Return</t>
  </si>
  <si>
    <t>High Risk for Royalty</t>
  </si>
  <si>
    <t>Yes</t>
  </si>
  <si>
    <t>Discounted Return on Investment</t>
  </si>
  <si>
    <t>Flow-through for Tax</t>
  </si>
  <si>
    <t>Development Stage</t>
  </si>
  <si>
    <t>Reserves</t>
  </si>
  <si>
    <t>Reservoir Depth</t>
  </si>
  <si>
    <t>Reservoir Depth (metres)</t>
  </si>
  <si>
    <t>Economics Scenario</t>
  </si>
  <si>
    <t>Base</t>
  </si>
  <si>
    <t>Low</t>
  </si>
  <si>
    <t>High</t>
  </si>
  <si>
    <t>Gas Price</t>
  </si>
  <si>
    <t>Exploration Costs</t>
  </si>
  <si>
    <t>Capital Costs</t>
  </si>
  <si>
    <t>Operating Costs</t>
  </si>
  <si>
    <t>Chance of Development</t>
  </si>
  <si>
    <t>Economic Parameters</t>
  </si>
  <si>
    <t>Project Stage</t>
  </si>
  <si>
    <t>Success Case Total ($M)</t>
  </si>
  <si>
    <t>Probability</t>
  </si>
  <si>
    <t>Risked Total ($M)</t>
  </si>
  <si>
    <t>Success Case Cash Flow ($M)</t>
  </si>
  <si>
    <t>Gas Revenue</t>
  </si>
  <si>
    <t>Liquids Revenue</t>
  </si>
  <si>
    <t>Total Revenue</t>
  </si>
  <si>
    <t>Facilities &amp; Pipelines</t>
  </si>
  <si>
    <t>Development Drilling</t>
  </si>
  <si>
    <t>Operations</t>
  </si>
  <si>
    <t>Provincial Income Tax</t>
  </si>
  <si>
    <t>Federal Income Tax</t>
  </si>
  <si>
    <t>Net Cash Flow</t>
  </si>
  <si>
    <t>Overriden Cost and Production</t>
  </si>
  <si>
    <t>All Cost in Today's Money Estimate Year:</t>
  </si>
  <si>
    <t>Seismic Costs &amp; Schedule</t>
  </si>
  <si>
    <t>Model Calculated</t>
  </si>
  <si>
    <t>Exoloration Times and Uninflated Costs</t>
  </si>
  <si>
    <t>Input</t>
  </si>
  <si>
    <t>Input Lag to Next Activity (days)</t>
  </si>
  <si>
    <t xml:space="preserve">Input </t>
  </si>
  <si>
    <t>Duration</t>
  </si>
  <si>
    <t>(days)</t>
  </si>
  <si>
    <t>Seismic Processing</t>
  </si>
  <si>
    <t>Wildcat Costs &amp; Schedule</t>
  </si>
  <si>
    <t>Wildcat Review</t>
  </si>
  <si>
    <t>Appraisal Costs &amp; Schedule</t>
  </si>
  <si>
    <t>Appraisal Well 1</t>
  </si>
  <si>
    <t>Appraisal Well 2</t>
  </si>
  <si>
    <t>Appraisal Well 3</t>
  </si>
  <si>
    <t>Appraisal Well 4</t>
  </si>
  <si>
    <t>Appraisal Well 5</t>
  </si>
  <si>
    <t>Preliminary Engineering Cost</t>
  </si>
  <si>
    <t>Days to Development Start</t>
  </si>
  <si>
    <t>days</t>
  </si>
  <si>
    <t>Development &amp; Production</t>
  </si>
  <si>
    <t>Uninflated Capital Costs, Production and Operating Costs from Development Start (M$)</t>
  </si>
  <si>
    <t>Main</t>
  </si>
  <si>
    <t>Topsides</t>
  </si>
  <si>
    <t>Subsea &amp;</t>
  </si>
  <si>
    <t>Export</t>
  </si>
  <si>
    <t>Engineering</t>
  </si>
  <si>
    <t>Contingency</t>
  </si>
  <si>
    <t>Gas Production</t>
  </si>
  <si>
    <t>Wells</t>
  </si>
  <si>
    <t>Structure</t>
  </si>
  <si>
    <t>Flowlines</t>
  </si>
  <si>
    <t>Pipeline</t>
  </si>
  <si>
    <t>&amp; Proj Man</t>
  </si>
  <si>
    <t>(BCF)</t>
  </si>
  <si>
    <t>Year from Development Start</t>
  </si>
  <si>
    <t>Abandonment Cost</t>
  </si>
  <si>
    <t>Abadonment Cost (M$)</t>
  </si>
  <si>
    <t>Historical Costs</t>
  </si>
  <si>
    <t>Costs for Royalty</t>
  </si>
  <si>
    <t>CDE Opening Balance</t>
  </si>
  <si>
    <t>CEE Opening Balance</t>
  </si>
  <si>
    <t>Exploration Schedule and Costs Model</t>
  </si>
  <si>
    <t>Probabilities</t>
  </si>
  <si>
    <t xml:space="preserve">Development </t>
  </si>
  <si>
    <t>No. of Appraisal Wells</t>
  </si>
  <si>
    <t>Override Seismic?</t>
  </si>
  <si>
    <t>Override Wildcat?</t>
  </si>
  <si>
    <t>Override Appraisal?</t>
  </si>
  <si>
    <t>Pressure Factor</t>
  </si>
  <si>
    <t>Calculated</t>
  </si>
  <si>
    <t>Selected</t>
  </si>
  <si>
    <t>Count</t>
  </si>
  <si>
    <t>Start</t>
  </si>
  <si>
    <t xml:space="preserve">End </t>
  </si>
  <si>
    <t>Start Year</t>
  </si>
  <si>
    <t>End Year</t>
  </si>
  <si>
    <t>appraisal cost risk adjustment factor</t>
  </si>
  <si>
    <t>Depth</t>
  </si>
  <si>
    <t>Lag</t>
  </si>
  <si>
    <t>Cost ($K)</t>
  </si>
  <si>
    <t>End Date</t>
  </si>
  <si>
    <t>Cost ($M)</t>
  </si>
  <si>
    <t>Percent</t>
  </si>
  <si>
    <t>Costs ($M)</t>
  </si>
  <si>
    <t>seismic</t>
  </si>
  <si>
    <t>The cost risk factor for appraisal is adjusted to account for some abortive appraisal programs requiring less wells.  It is assumed that the number of wells in abortive programs is uniformly distributed between 1 and n, where n is the number of wells in the successful program.  The equation for the factor is (where p is the probability of proceeding to development planning) : p+(1-p)*(n+1)/(2*n)</t>
  </si>
  <si>
    <t>wildcat</t>
  </si>
  <si>
    <t>app</t>
  </si>
  <si>
    <t>dev plan</t>
  </si>
  <si>
    <t>total</t>
  </si>
  <si>
    <t>cee</t>
  </si>
  <si>
    <t>cde</t>
  </si>
  <si>
    <t>cca41</t>
  </si>
  <si>
    <t>Unrisked &amp; Uninflated Costs ($M)</t>
  </si>
  <si>
    <t>Inflated Costs ($M)</t>
  </si>
  <si>
    <t>Risked &amp; Inflated Costs ($M)</t>
  </si>
  <si>
    <t>CEE</t>
  </si>
  <si>
    <t>Roy Pre-dev</t>
  </si>
  <si>
    <t>Processing</t>
  </si>
  <si>
    <t>Review</t>
  </si>
  <si>
    <t>Well 1</t>
  </si>
  <si>
    <t>Well 2</t>
  </si>
  <si>
    <t>Well 3</t>
  </si>
  <si>
    <t>Well 4</t>
  </si>
  <si>
    <t>Well 5</t>
  </si>
  <si>
    <t>Exploration</t>
  </si>
  <si>
    <t>Development Schedule and Costs Model</t>
  </si>
  <si>
    <t>Override Prelim Eng</t>
  </si>
  <si>
    <t>Preliminary Engineering</t>
  </si>
  <si>
    <t>Month</t>
  </si>
  <si>
    <t>Submit for Regulatory Approval</t>
  </si>
  <si>
    <t>Development Approval</t>
  </si>
  <si>
    <t>Development Start</t>
  </si>
  <si>
    <t>Year 1</t>
  </si>
  <si>
    <t>Year 2</t>
  </si>
  <si>
    <t>Drilling &amp; Completion</t>
  </si>
  <si>
    <t>drill</t>
  </si>
  <si>
    <t>complete</t>
  </si>
  <si>
    <t>cost ($K)</t>
  </si>
  <si>
    <t>Keeper Appraisal Wells</t>
  </si>
  <si>
    <t>Platform Keeper Wells</t>
  </si>
  <si>
    <t>Subsea Keeper Wells</t>
  </si>
  <si>
    <t>No. Of New D&amp;C wells</t>
  </si>
  <si>
    <t>No. Of Predrill Wells</t>
  </si>
  <si>
    <t>New Subsea Wells (D&amp;C)</t>
  </si>
  <si>
    <t>No. Of  Subsea Wells</t>
  </si>
  <si>
    <t>Depths and Lengths</t>
  </si>
  <si>
    <t>metres</t>
  </si>
  <si>
    <t>Av Subsea Flowline Bundle Length</t>
  </si>
  <si>
    <t>km</t>
  </si>
  <si>
    <t>Export Pipeline Length</t>
  </si>
  <si>
    <t>Well Program and Cost Phasing</t>
  </si>
  <si>
    <t>time</t>
  </si>
  <si>
    <t>wells at</t>
  </si>
  <si>
    <t>Year1</t>
  </si>
  <si>
    <t>Year2</t>
  </si>
  <si>
    <t>Year3</t>
  </si>
  <si>
    <t>Year4</t>
  </si>
  <si>
    <t>Year 5</t>
  </si>
  <si>
    <t>1st prod</t>
  </si>
  <si>
    <t>Completions</t>
  </si>
  <si>
    <t>New Platform D&amp;C Wells</t>
  </si>
  <si>
    <t>Predrill Wells</t>
  </si>
  <si>
    <t>First Production</t>
  </si>
  <si>
    <t>Wells at 1st Production</t>
  </si>
  <si>
    <t>End Drilling</t>
  </si>
  <si>
    <t>Base Times</t>
  </si>
  <si>
    <t>Time</t>
  </si>
  <si>
    <t>Install</t>
  </si>
  <si>
    <t>Jackup Construct</t>
  </si>
  <si>
    <t>Platform Construct</t>
  </si>
  <si>
    <t>Subsea Manifold</t>
  </si>
  <si>
    <t>Topsides (fixed platform)</t>
  </si>
  <si>
    <t>Subsea Flowlines</t>
  </si>
  <si>
    <t>Export Pipeline</t>
  </si>
  <si>
    <t>Selected Times and Costs</t>
  </si>
  <si>
    <t>Onshore</t>
  </si>
  <si>
    <t>Offshore</t>
  </si>
  <si>
    <t>Time before</t>
  </si>
  <si>
    <t>Facilities</t>
  </si>
  <si>
    <t>install</t>
  </si>
  <si>
    <t>1st Third</t>
  </si>
  <si>
    <t>2nd Third</t>
  </si>
  <si>
    <t>MainStructure / Manifold</t>
  </si>
  <si>
    <t>Topside Facilities</t>
  </si>
  <si>
    <t>Subsea Surface &amp; Flowlines</t>
  </si>
  <si>
    <t>Engineering &amp; Project Management</t>
  </si>
  <si>
    <t>max time</t>
  </si>
  <si>
    <t>Overridden Capital Costs ($M)</t>
  </si>
  <si>
    <t>Inflated Capital Costs ($M)</t>
  </si>
  <si>
    <t>Inflated Post Abandon ($M)</t>
  </si>
  <si>
    <t>Tax Classes ($M)</t>
  </si>
  <si>
    <t>Royalty ($M)</t>
  </si>
  <si>
    <t>Risked Development ($M)</t>
  </si>
  <si>
    <t>Unrisked Pre-inflated Capital Costs ($M)</t>
  </si>
  <si>
    <t>Override</t>
  </si>
  <si>
    <t>current</t>
  </si>
  <si>
    <t>prev</t>
  </si>
  <si>
    <t>Main Structure</t>
  </si>
  <si>
    <t>Subsea &amp; Flowline</t>
  </si>
  <si>
    <t>Engineering &amp; Proj Man</t>
  </si>
  <si>
    <t>Devel Year</t>
  </si>
  <si>
    <t>Prelim Eng</t>
  </si>
  <si>
    <t>CDE</t>
  </si>
  <si>
    <t>CCA41</t>
  </si>
  <si>
    <t>CCA8 / CCA 49</t>
  </si>
  <si>
    <t>Capital for Royalty</t>
  </si>
  <si>
    <t>Unrisked Facilities</t>
  </si>
  <si>
    <t>uplift</t>
  </si>
  <si>
    <t>Gas and Liquids Production Model</t>
  </si>
  <si>
    <t>Production Date</t>
  </si>
  <si>
    <t>Production Year</t>
  </si>
  <si>
    <t>Production Month</t>
  </si>
  <si>
    <t>Time to Plateau</t>
  </si>
  <si>
    <t>Days</t>
  </si>
  <si>
    <t>min - no plateau</t>
  </si>
  <si>
    <t>Initial Rate</t>
  </si>
  <si>
    <t>Plateau Rate</t>
  </si>
  <si>
    <t>adjusted Plateau Rate</t>
  </si>
  <si>
    <t>Reserves end Plateau</t>
  </si>
  <si>
    <t>Decline per Year</t>
  </si>
  <si>
    <t>Ramp Rate</t>
  </si>
  <si>
    <t>exponential factor</t>
  </si>
  <si>
    <t>decline length</t>
  </si>
  <si>
    <t>Dates</t>
  </si>
  <si>
    <t>bcf</t>
  </si>
  <si>
    <t>At Plateau</t>
  </si>
  <si>
    <t>End Plateau</t>
  </si>
  <si>
    <t>Override Sales Volumes</t>
  </si>
  <si>
    <t>Sales Volume</t>
  </si>
  <si>
    <t>Risked Sales Post Abandon</t>
  </si>
  <si>
    <t>Unrisked Sales Post Abandonment</t>
  </si>
  <si>
    <t>Post Abandonment</t>
  </si>
  <si>
    <t>Ramp</t>
  </si>
  <si>
    <t>Plateau</t>
  </si>
  <si>
    <t>Decline</t>
  </si>
  <si>
    <t>Av rate</t>
  </si>
  <si>
    <t>Av Rate</t>
  </si>
  <si>
    <t>Prod</t>
  </si>
  <si>
    <t>Gas</t>
  </si>
  <si>
    <t>Devel year</t>
  </si>
  <si>
    <t>Condensate</t>
  </si>
  <si>
    <t>ratio</t>
  </si>
  <si>
    <t>MMBOE</t>
  </si>
  <si>
    <t>MBOE/day</t>
  </si>
  <si>
    <t>Revenue Calculations</t>
  </si>
  <si>
    <t>Unrisked Revenue Pre Abandon</t>
  </si>
  <si>
    <t>Revenue Post Abandon</t>
  </si>
  <si>
    <t>Risked Revenue Post Abandonment</t>
  </si>
  <si>
    <t>Unrisked Post Abandon</t>
  </si>
  <si>
    <t xml:space="preserve">Gas </t>
  </si>
  <si>
    <t>Sales</t>
  </si>
  <si>
    <t>Price</t>
  </si>
  <si>
    <t>$/MCF</t>
  </si>
  <si>
    <t>$M</t>
  </si>
  <si>
    <t>$/BBL</t>
  </si>
  <si>
    <t>Operating Costs Model</t>
  </si>
  <si>
    <t>Facility Type</t>
  </si>
  <si>
    <t>Row</t>
  </si>
  <si>
    <t>Facility Fixed</t>
  </si>
  <si>
    <t>M$/year</t>
  </si>
  <si>
    <t>Facility Variable</t>
  </si>
  <si>
    <t>Export Rate</t>
  </si>
  <si>
    <t>Subsea Intervention</t>
  </si>
  <si>
    <t>M$/year/well</t>
  </si>
  <si>
    <t>Surface Intervention</t>
  </si>
  <si>
    <t>Override Operating Cost</t>
  </si>
  <si>
    <t>Unrisked and Uniflated ($M)</t>
  </si>
  <si>
    <t>Override ($M)</t>
  </si>
  <si>
    <t>Inflated ($M)</t>
  </si>
  <si>
    <t>Post Abandon ($M)</t>
  </si>
  <si>
    <t>Risked Post Abandon ($M)</t>
  </si>
  <si>
    <t>Well</t>
  </si>
  <si>
    <t>Tariff</t>
  </si>
  <si>
    <t>for Royalty</t>
  </si>
  <si>
    <t>Intervention</t>
  </si>
  <si>
    <t>probability</t>
  </si>
  <si>
    <t>Abandonment Schedule &amp; Costs Model</t>
  </si>
  <si>
    <t>Devl Year</t>
  </si>
  <si>
    <t>Abandon Year</t>
  </si>
  <si>
    <t>Abandon Cost</t>
  </si>
  <si>
    <t>Adjusted</t>
  </si>
  <si>
    <t>Resource Life</t>
  </si>
  <si>
    <t>Unrisked Development Cash Flows ($M)</t>
  </si>
  <si>
    <t>Cum</t>
  </si>
  <si>
    <t>Risked</t>
  </si>
  <si>
    <t>Cash Flow</t>
  </si>
  <si>
    <t>Flag</t>
  </si>
  <si>
    <t>Federal Corporate Income Tax Calculation ($M)</t>
  </si>
  <si>
    <t>Adjusted to</t>
  </si>
  <si>
    <t>Costs for</t>
  </si>
  <si>
    <t>Opening</t>
  </si>
  <si>
    <t>CCA8 / CCA49</t>
  </si>
  <si>
    <t>Resource</t>
  </si>
  <si>
    <t>Profit before</t>
  </si>
  <si>
    <t>Loss to cb</t>
  </si>
  <si>
    <t>avail cb</t>
  </si>
  <si>
    <t>Loss to</t>
  </si>
  <si>
    <t>Taxable</t>
  </si>
  <si>
    <t>Tax Rate</t>
  </si>
  <si>
    <t>Tax</t>
  </si>
  <si>
    <t>for CCA41</t>
  </si>
  <si>
    <t>First Prod</t>
  </si>
  <si>
    <t xml:space="preserve"> CCA8 / CCA49</t>
  </si>
  <si>
    <t>Profit</t>
  </si>
  <si>
    <t>For CDE</t>
  </si>
  <si>
    <t>Loss cb/cf</t>
  </si>
  <si>
    <t>next period</t>
  </si>
  <si>
    <t>Carry Forward</t>
  </si>
  <si>
    <t>Provincial Corporate Income Tax Calculation ($M)</t>
  </si>
  <si>
    <t>Provincial</t>
  </si>
  <si>
    <t>Federal</t>
  </si>
  <si>
    <t>Cumulative</t>
  </si>
  <si>
    <t>Payout</t>
  </si>
  <si>
    <t>Before Tax</t>
  </si>
  <si>
    <t>Income Tax</t>
  </si>
  <si>
    <t>Gov. Take</t>
  </si>
  <si>
    <t>After Tax</t>
  </si>
  <si>
    <t>Date</t>
  </si>
  <si>
    <t>% 1st year</t>
  </si>
  <si>
    <t>1st Year</t>
  </si>
  <si>
    <t>year1 df</t>
  </si>
  <si>
    <t>transposed Discount Factor</t>
  </si>
  <si>
    <t>committed</t>
  </si>
  <si>
    <t xml:space="preserve">Discount </t>
  </si>
  <si>
    <t>Investment</t>
  </si>
  <si>
    <t>Factor</t>
  </si>
  <si>
    <t>1st  year</t>
  </si>
  <si>
    <t>Selected Economic Assumptions</t>
  </si>
  <si>
    <t>Scenario</t>
  </si>
  <si>
    <t>Offset</t>
  </si>
  <si>
    <t>Estimate Year</t>
  </si>
  <si>
    <t>Ring Fence</t>
  </si>
  <si>
    <t xml:space="preserve">Ring Fence </t>
  </si>
  <si>
    <t>Exchange Rate</t>
  </si>
  <si>
    <t xml:space="preserve">Cost </t>
  </si>
  <si>
    <t>Long-term</t>
  </si>
  <si>
    <t>Inflation</t>
  </si>
  <si>
    <t xml:space="preserve">Gas Price </t>
  </si>
  <si>
    <t>Bond</t>
  </si>
  <si>
    <t>US$/BBL</t>
  </si>
  <si>
    <t>US$/MMBTU</t>
  </si>
  <si>
    <t>US$/$Cdn</t>
  </si>
  <si>
    <t>Rate</t>
  </si>
  <si>
    <t>General Production and Schedule Assumptions</t>
  </si>
  <si>
    <t>Profile Parameters</t>
  </si>
  <si>
    <t>%</t>
  </si>
  <si>
    <t>on Plateau</t>
  </si>
  <si>
    <t>BOE Factor (MSCF/BBL)</t>
  </si>
  <si>
    <t>Well Productivity Parameters</t>
  </si>
  <si>
    <t>Bcf per well</t>
  </si>
  <si>
    <t>Aerial Extent</t>
  </si>
  <si>
    <t>Multiplier</t>
  </si>
  <si>
    <t>Reservoir Complexity Multiplier on Number of Wells</t>
  </si>
  <si>
    <t>Reservoir Pressure Type</t>
  </si>
  <si>
    <t>Subsea Bundle Length (km)</t>
  </si>
  <si>
    <t>Length</t>
  </si>
  <si>
    <t>Number of Appraisal Wells (Success Case)</t>
  </si>
  <si>
    <t>Number</t>
  </si>
  <si>
    <t>Construct &amp; Installation times</t>
  </si>
  <si>
    <t>Onshore Fabrication</t>
  </si>
  <si>
    <t>Offshore Installation</t>
  </si>
  <si>
    <t>Fixed</t>
  </si>
  <si>
    <t>Variable</t>
  </si>
  <si>
    <t>per</t>
  </si>
  <si>
    <t>metre</t>
  </si>
  <si>
    <t>well</t>
  </si>
  <si>
    <t>Buffer Time</t>
  </si>
  <si>
    <t>General Cost &amp; Time Assumptions</t>
  </si>
  <si>
    <t>Selected Set</t>
  </si>
  <si>
    <t>Set1</t>
  </si>
  <si>
    <t>Set2</t>
  </si>
  <si>
    <t>Set3</t>
  </si>
  <si>
    <t>Set4</t>
  </si>
  <si>
    <t>Name</t>
  </si>
  <si>
    <t>Estimate Date</t>
  </si>
  <si>
    <t>Shallow Water</t>
  </si>
  <si>
    <t>Deep Water</t>
  </si>
  <si>
    <t>Set No.</t>
  </si>
  <si>
    <t>Seismic &amp; Fixed Times</t>
  </si>
  <si>
    <t>Seismic Program Time</t>
  </si>
  <si>
    <t>Seismic Program Cost</t>
  </si>
  <si>
    <t>Seismic Processing Time</t>
  </si>
  <si>
    <t>Seismic Processing Cost</t>
  </si>
  <si>
    <t>Processing to Wildcat Time</t>
  </si>
  <si>
    <t>Wildcat Review Time</t>
  </si>
  <si>
    <t>Widcat Review Cost</t>
  </si>
  <si>
    <t>Wildcat to Appraisal Time</t>
  </si>
  <si>
    <t>Appraisal Review Time</t>
  </si>
  <si>
    <t>Appraisal Review Cost</t>
  </si>
  <si>
    <t>Time Between Appraisal Wells</t>
  </si>
  <si>
    <t>Appraisal to Preliminary Engineering</t>
  </si>
  <si>
    <t>Prelim Eng &amp; Regulatory Prep</t>
  </si>
  <si>
    <t>Regulatory Approval</t>
  </si>
  <si>
    <t xml:space="preserve">Rig Rate </t>
  </si>
  <si>
    <t>$/day</t>
  </si>
  <si>
    <t>Exploration / Appraisal Well Drilling</t>
  </si>
  <si>
    <t>Fixed Cost per well</t>
  </si>
  <si>
    <t>$/metre</t>
  </si>
  <si>
    <t>Variable Cost per day (non-rig)</t>
  </si>
  <si>
    <t>Fixed days</t>
  </si>
  <si>
    <t>Average metres / day</t>
  </si>
  <si>
    <t>metre/day</t>
  </si>
  <si>
    <t>Development Well Drilling</t>
  </si>
  <si>
    <t>Well Completion</t>
  </si>
  <si>
    <t>fixed</t>
  </si>
  <si>
    <t>Fixed Cost per metre</t>
  </si>
  <si>
    <t>var</t>
  </si>
  <si>
    <t>Reenter &amp; clean keeper</t>
  </si>
  <si>
    <t>Renenter predrill</t>
  </si>
  <si>
    <t>Fixed Cost</t>
  </si>
  <si>
    <t>Variable Cost</t>
  </si>
  <si>
    <t>$/mcf</t>
  </si>
  <si>
    <t>Fixed Platform Fixed Cost</t>
  </si>
  <si>
    <t>K$/metre</t>
  </si>
  <si>
    <t>Fixed Platform Topside Fixed Cost</t>
  </si>
  <si>
    <t>Fixed Platform Variable Cost</t>
  </si>
  <si>
    <t>K$/MMSCFD</t>
  </si>
  <si>
    <t>Production Jack-up Fixed Cost</t>
  </si>
  <si>
    <t>Production Jack-up Topside Fixed Cost</t>
  </si>
  <si>
    <t>Jack-up Topside Variable Cost</t>
  </si>
  <si>
    <t>Additional Fixed Process Cost Sour Gas</t>
  </si>
  <si>
    <t>Additional Variable Process Cost Sour Gas</t>
  </si>
  <si>
    <t>Subsea Well Flowline Bundle</t>
  </si>
  <si>
    <t>K$/Km</t>
  </si>
  <si>
    <t>Subsea Manifold Fixed Cost</t>
  </si>
  <si>
    <t xml:space="preserve">Subsea Manifold Cost </t>
  </si>
  <si>
    <t>K$/well</t>
  </si>
  <si>
    <t>Export to Shore Pipeline Fixed Cost</t>
  </si>
  <si>
    <t>Export to Shore Pipeline Variable Cost</t>
  </si>
  <si>
    <t>K$/km</t>
  </si>
  <si>
    <t>Satellite Pipeline Fixed Cost - Sweet</t>
  </si>
  <si>
    <t>Satellite Pipeline Variable Cost - Sweet</t>
  </si>
  <si>
    <t>Satellite Pipeline Fixed Cost - Sour</t>
  </si>
  <si>
    <t>Satellite Pipeline Variable Cost - Sour</t>
  </si>
  <si>
    <t>Subsea Export Bundle Fixed Cost - Sweet</t>
  </si>
  <si>
    <t>Subsea Export Bundle Variable Cost - Sweet</t>
  </si>
  <si>
    <t>Subsea Export Bundle Fixed Cost - Sour</t>
  </si>
  <si>
    <t>Subsea Export Bundle Variable Cost - Sour</t>
  </si>
  <si>
    <t xml:space="preserve">Engineering and Project Management </t>
  </si>
  <si>
    <t>Facilities Contingency</t>
  </si>
  <si>
    <t>Fixed Platform Fixed</t>
  </si>
  <si>
    <t>Fixed Platform per depth</t>
  </si>
  <si>
    <t>Jack-up Fixed Cost</t>
  </si>
  <si>
    <t>Cost per Surface Well</t>
  </si>
  <si>
    <t>Cost per Subsea Well &amp; Flowline Bundle</t>
  </si>
  <si>
    <t>Export Pipeline variable cost</t>
  </si>
  <si>
    <t>Satellite Pipeline variable cost</t>
  </si>
  <si>
    <t>Platform &amp; Jack-up Facilities</t>
  </si>
  <si>
    <t xml:space="preserve">Fixed Cost /Year </t>
  </si>
  <si>
    <t>subsea</t>
  </si>
  <si>
    <t>basic process, water knock out</t>
  </si>
  <si>
    <t>full process, sweet</t>
  </si>
  <si>
    <t>full process, sour</t>
  </si>
  <si>
    <t>Fixed Cost /Year / Capacity</t>
  </si>
  <si>
    <t>$/MMSCFD</t>
  </si>
  <si>
    <t>Transport &amp; Process Tariff</t>
  </si>
  <si>
    <t>Satellite to Main Platform - Sweet</t>
  </si>
  <si>
    <t>Satellite to Main Platform - Sour</t>
  </si>
  <si>
    <t>Subsea Process &amp; Transport - Sweet</t>
  </si>
  <si>
    <t>Subsea Process &amp; Transport - Sour</t>
  </si>
  <si>
    <t>Pipelines</t>
  </si>
  <si>
    <t>K$ / km</t>
  </si>
  <si>
    <t>Subsea Intervention Cost</t>
  </si>
  <si>
    <t>Surface Intervention Cost</t>
  </si>
  <si>
    <t>Intervention Frequency / Well</t>
  </si>
  <si>
    <t>years</t>
  </si>
  <si>
    <t>Economic Scenarios</t>
  </si>
  <si>
    <t>Scenario 1</t>
  </si>
  <si>
    <t>Scenario 2</t>
  </si>
  <si>
    <t>Scenario 3</t>
  </si>
  <si>
    <t>Scenario 4</t>
  </si>
  <si>
    <t>Scenario 5</t>
  </si>
  <si>
    <t xml:space="preserve">Exchange </t>
  </si>
  <si>
    <t>Royalty and Tax Pools</t>
  </si>
  <si>
    <t>Historic Cost For Royalty</t>
  </si>
  <si>
    <t>Capital Cost Set</t>
  </si>
  <si>
    <t>Infrastructure Types</t>
  </si>
  <si>
    <t>A satellite to another platform, that provides processing and compression, platform / jack-up provides basic water knockout</t>
  </si>
  <si>
    <t>Ties-in directly to an export pipeline, delivery processed (and compressed) two phase gas</t>
  </si>
  <si>
    <t>Export to shore of export quality single phase gas</t>
  </si>
  <si>
    <t>Subsea</t>
  </si>
  <si>
    <t>Fixed Platform</t>
  </si>
  <si>
    <t>Facility Finance</t>
  </si>
  <si>
    <t>Purchase</t>
  </si>
  <si>
    <t>All equipment purchased outright</t>
  </si>
  <si>
    <t>Capital Lease</t>
  </si>
  <si>
    <t>Lease of platform / jack-up and topsides facilities</t>
  </si>
  <si>
    <t>Manual Overrides</t>
  </si>
  <si>
    <t>Manual Override</t>
  </si>
  <si>
    <t>YesNo</t>
  </si>
  <si>
    <t>Current Month</t>
  </si>
  <si>
    <t>Current Year</t>
  </si>
  <si>
    <t>Gas Quality</t>
  </si>
  <si>
    <t>Sour</t>
  </si>
  <si>
    <t>devel wells</t>
  </si>
  <si>
    <t>sour gas</t>
  </si>
  <si>
    <t>D&amp;C subsea</t>
  </si>
  <si>
    <t>NA</t>
  </si>
  <si>
    <t>P&amp;C</t>
  </si>
  <si>
    <t>Drill &amp; Process Jack-up</t>
  </si>
  <si>
    <t>Process only Jack-up</t>
  </si>
  <si>
    <t>Facility</t>
  </si>
  <si>
    <t>Basic - with water knockout</t>
  </si>
  <si>
    <t>With processing and compression (phased?)</t>
  </si>
  <si>
    <t>Analysis Type</t>
  </si>
  <si>
    <t>Fully Risked</t>
  </si>
  <si>
    <t>Success Case</t>
  </si>
  <si>
    <t>Economic</t>
  </si>
  <si>
    <t>Uneconomic</t>
  </si>
  <si>
    <t>Gas Pressure Type</t>
  </si>
  <si>
    <t>Discount Type</t>
  </si>
  <si>
    <t>Discount to Current Discount Date</t>
  </si>
  <si>
    <t>Discount to Decision Date</t>
  </si>
  <si>
    <t>Monthtable</t>
  </si>
  <si>
    <t>Jan</t>
  </si>
  <si>
    <t>Feb</t>
  </si>
  <si>
    <t>Mar</t>
  </si>
  <si>
    <t>Apr</t>
  </si>
  <si>
    <t>May</t>
  </si>
  <si>
    <t>Jun</t>
  </si>
  <si>
    <t>Jul</t>
  </si>
  <si>
    <t>Aug</t>
  </si>
  <si>
    <t>Sep</t>
  </si>
  <si>
    <t>Oct</t>
  </si>
  <si>
    <t>Nov</t>
  </si>
  <si>
    <t>Dec</t>
  </si>
  <si>
    <t>Reserves (Bcf)</t>
  </si>
  <si>
    <t>Gas Price Multiplier</t>
  </si>
  <si>
    <t>Exploration Cost Multiplier</t>
  </si>
  <si>
    <t>Capital Cost Multiplier</t>
  </si>
  <si>
    <t>Operating Cost Multiplier</t>
  </si>
  <si>
    <t>Risk Multiplier</t>
  </si>
  <si>
    <t>Reserves Multiplier</t>
  </si>
  <si>
    <t>Capex Multiplier</t>
  </si>
  <si>
    <t>Opex Multiplier</t>
  </si>
  <si>
    <t>Exploration Multiplier</t>
  </si>
  <si>
    <t>Chart Ranges</t>
  </si>
  <si>
    <t>Type</t>
  </si>
  <si>
    <t>Blank</t>
  </si>
  <si>
    <t>Development Costs</t>
  </si>
  <si>
    <t>blue</t>
  </si>
  <si>
    <t>green</t>
  </si>
  <si>
    <t>NPV @ 12.0 % ($M)</t>
  </si>
  <si>
    <t>Product Type</t>
  </si>
  <si>
    <t>Product</t>
  </si>
  <si>
    <t>Oil</t>
  </si>
  <si>
    <t>MMBBL</t>
  </si>
  <si>
    <t>(MMbbls)</t>
  </si>
  <si>
    <t>MMBBLS</t>
  </si>
  <si>
    <t>Value pos</t>
  </si>
  <si>
    <t>Value neg</t>
  </si>
  <si>
    <t>Cost Neg</t>
  </si>
  <si>
    <t>Cost Pos</t>
  </si>
  <si>
    <t>MMBBLs/well</t>
  </si>
  <si>
    <t>Keep Appraisal Wells ?</t>
  </si>
  <si>
    <t>&lt;0</t>
  </si>
  <si>
    <t>&gt;0</t>
  </si>
  <si>
    <t>min</t>
  </si>
  <si>
    <t>max</t>
  </si>
  <si>
    <t>starting point for stack</t>
  </si>
  <si>
    <t>positive portion of min</t>
  </si>
  <si>
    <t>positive portion of max</t>
  </si>
  <si>
    <t>negative portion of max</t>
  </si>
  <si>
    <t>negative portion of min</t>
  </si>
  <si>
    <t>minpos</t>
  </si>
  <si>
    <t>maxpos</t>
  </si>
  <si>
    <t>maxneg</t>
  </si>
  <si>
    <t>lowneg</t>
  </si>
  <si>
    <t>`</t>
  </si>
  <si>
    <t/>
  </si>
  <si>
    <t>OIL</t>
  </si>
  <si>
    <t>GAS</t>
  </si>
  <si>
    <t>Note</t>
  </si>
  <si>
    <t>Release 1</t>
  </si>
  <si>
    <t>No. Of Drilling Centres</t>
  </si>
  <si>
    <t>Platform Centres</t>
  </si>
  <si>
    <t>Subsea Centres</t>
  </si>
  <si>
    <t>Subsea Keeper Wells (location 1)</t>
  </si>
  <si>
    <t>Subsea Keeper Wells (location 2)</t>
  </si>
  <si>
    <t>Subsea Keeper Wells (location 3)</t>
  </si>
  <si>
    <t>Subsea Keeper Wells (location 4)</t>
  </si>
  <si>
    <t>number</t>
  </si>
  <si>
    <t>Location 1 Subsea Keeper Wells</t>
  </si>
  <si>
    <t>Location 2 Subsea Keeper Wells</t>
  </si>
  <si>
    <t>Location 3 Subsea Keeper Wells</t>
  </si>
  <si>
    <t>Location 4 Subsea Keeper Wells</t>
  </si>
  <si>
    <t>Year6</t>
  </si>
  <si>
    <t>Year7</t>
  </si>
  <si>
    <t>Subsea Keeper Wells (location 5)</t>
  </si>
  <si>
    <t>No. Of  Wells</t>
  </si>
  <si>
    <t>No. Of New  Wells</t>
  </si>
  <si>
    <t>Location 5 Subsea Keeper Wells</t>
  </si>
  <si>
    <t>Number of Drilling Centres</t>
  </si>
  <si>
    <t>Jack-up</t>
  </si>
  <si>
    <t>Shuttle Tanker</t>
  </si>
  <si>
    <t>Other</t>
  </si>
  <si>
    <t>Devel Method</t>
  </si>
  <si>
    <t>Devel Options</t>
  </si>
  <si>
    <t>Gas Facilities</t>
  </si>
  <si>
    <t>Tethered Structure Variable Cost</t>
  </si>
  <si>
    <t>Tethered Structure Topside Fixed Cost</t>
  </si>
  <si>
    <t>Oil Facilities</t>
  </si>
  <si>
    <t>Subsea Limit (BCF)</t>
  </si>
  <si>
    <t>WD (Metres)</t>
  </si>
  <si>
    <t>Gas Development Methods</t>
  </si>
  <si>
    <t>Gas Export Methods</t>
  </si>
  <si>
    <t>Selected Export Methods</t>
  </si>
  <si>
    <t>Selected Development Options</t>
  </si>
  <si>
    <t>Oil Development Methods</t>
  </si>
  <si>
    <t>Rent Limit (MMBBL)</t>
  </si>
  <si>
    <t>Topside Facilities Fixed</t>
  </si>
  <si>
    <t>Topside Facilities Variable</t>
  </si>
  <si>
    <t>Main Structure Fixed</t>
  </si>
  <si>
    <t>Main Structure Variable</t>
  </si>
  <si>
    <t>Intrafield Bundles</t>
  </si>
  <si>
    <t>Export Pipeline / satellite bundle</t>
  </si>
  <si>
    <t>Satellite Flowlines</t>
  </si>
  <si>
    <t>Straight Well Cost</t>
  </si>
  <si>
    <t>Deviated Well Cost</t>
  </si>
  <si>
    <t>Flowline</t>
  </si>
  <si>
    <t>Drill Time</t>
  </si>
  <si>
    <t>Drill Cost</t>
  </si>
  <si>
    <t>Method</t>
  </si>
  <si>
    <t>Av Deviated Well Measured Depth</t>
  </si>
  <si>
    <t>Av Straight Well Depth</t>
  </si>
  <si>
    <t>Intrafield Bundle Length</t>
  </si>
  <si>
    <t>Shuttle Tankers</t>
  </si>
  <si>
    <t>Oil Costs</t>
  </si>
  <si>
    <t>Fixed Cost/Year</t>
  </si>
  <si>
    <t>$/MBOPD</t>
  </si>
  <si>
    <t>FPSU Construct</t>
  </si>
  <si>
    <t>Tethered Structure</t>
  </si>
  <si>
    <t>Tethered Structure Construct</t>
  </si>
  <si>
    <t>Export Methods</t>
  </si>
  <si>
    <t>Manifolds</t>
  </si>
  <si>
    <t>Surface Wells</t>
  </si>
  <si>
    <t>Subsea Wells</t>
  </si>
  <si>
    <t xml:space="preserve">Fixed Cost /Year / Capacity Sweet </t>
  </si>
  <si>
    <t>Variable Cost Sweet</t>
  </si>
  <si>
    <t>Variable Cost Sour</t>
  </si>
  <si>
    <t>Fixed Cost /Year / Capacity Sour</t>
  </si>
  <si>
    <t>Topsides (mobile)</t>
  </si>
  <si>
    <t>K$/day</t>
  </si>
  <si>
    <t>K$/MMBBL/day</t>
  </si>
  <si>
    <t>Flat Real</t>
  </si>
  <si>
    <t>Tethered Structure Fixed Cost</t>
  </si>
  <si>
    <t>Fixed Platform Cost / Metre Water</t>
  </si>
  <si>
    <t>Tethered Structure Cost /Metr e Water</t>
  </si>
  <si>
    <t>OIL (includes water injection / gas disposal)</t>
  </si>
  <si>
    <t>Beta including Large Oil and Gas</t>
  </si>
  <si>
    <t>% at start-up</t>
  </si>
  <si>
    <t>% wells at start up</t>
  </si>
  <si>
    <t>Start-up</t>
  </si>
  <si>
    <t>Revision for Training Course</t>
  </si>
  <si>
    <t>Revision Following Training Cost</t>
  </si>
  <si>
    <t>Market</t>
  </si>
  <si>
    <t>Oil Price</t>
  </si>
  <si>
    <t>Netback Differential</t>
  </si>
  <si>
    <t>Oilfield Fuel Requirement</t>
  </si>
  <si>
    <t>Gas Field Shrinkage Fuel and Other</t>
  </si>
  <si>
    <t>mmbbl</t>
  </si>
  <si>
    <t>Energy Equivalence Factor (MSCF/BBL)</t>
  </si>
  <si>
    <t>for Gas @ 1000BTU/SCF</t>
  </si>
  <si>
    <t>Fuel &amp; Shrinkage</t>
  </si>
  <si>
    <t>Introduction</t>
  </si>
  <si>
    <t>Committed Disc. Return on Investment</t>
  </si>
  <si>
    <t>Guide</t>
  </si>
  <si>
    <t>Cost Assumptions</t>
  </si>
  <si>
    <t>Economic Assumptions</t>
  </si>
  <si>
    <t>Economics</t>
  </si>
  <si>
    <t>Overall Chance of Development</t>
  </si>
  <si>
    <t>Risked Discounted Values ($M)</t>
  </si>
  <si>
    <t>HyperLink</t>
  </si>
  <si>
    <t>Overrides</t>
  </si>
  <si>
    <t>No.</t>
  </si>
  <si>
    <t>Description</t>
  </si>
  <si>
    <t>Production and Schedule Assumptions</t>
  </si>
  <si>
    <t>Reservoir Pressure Multiplier on Well Time</t>
  </si>
  <si>
    <t>Reservoir Pressure Multiplier on Well Tangibles</t>
  </si>
  <si>
    <t>Schedule</t>
  </si>
  <si>
    <t>NS Dept of Energy</t>
  </si>
  <si>
    <t xml:space="preserve">Switch from Shallow to Deepwater </t>
  </si>
  <si>
    <t>Deflator</t>
  </si>
  <si>
    <t>Real Nymex</t>
  </si>
  <si>
    <t>Real HH Gas Price US$ / MMBTU</t>
  </si>
  <si>
    <t>How to Interpret:</t>
  </si>
  <si>
    <t>Oil Price Multiplier</t>
  </si>
  <si>
    <t>The Charts show the results of applying conventional sensitivity analysis to  multipliers (where appropriate over the full time range) to the various factors in the model.    The sensitivity multipliers may be adjusted in the input cells in the upper left hand corner of this sheet, depending on the speed of processor the charts may take a few seconds to respond to the changes.</t>
  </si>
  <si>
    <t>Page</t>
  </si>
  <si>
    <t>Evaluation Section</t>
  </si>
  <si>
    <t>Basic Model Inputs</t>
  </si>
  <si>
    <t>Evaluation</t>
  </si>
  <si>
    <t>Thresholds</t>
  </si>
  <si>
    <t>Government Take</t>
  </si>
  <si>
    <t>Assumptions and Overrides</t>
  </si>
  <si>
    <t>Model Calculation Pages</t>
  </si>
  <si>
    <t>Development</t>
  </si>
  <si>
    <t>Production</t>
  </si>
  <si>
    <t>Federal Tax</t>
  </si>
  <si>
    <t>Provincial Tax</t>
  </si>
  <si>
    <t>Success Case Cash Flow</t>
  </si>
  <si>
    <t>Risked Cash Flow</t>
  </si>
  <si>
    <t>Selected Economics</t>
  </si>
  <si>
    <t>User Calculation Pages</t>
  </si>
  <si>
    <t>User Pages</t>
  </si>
  <si>
    <t>The model works at a number of levels.  Before making an evaluation you may wish to first adjust the Economic Scenarios for Gas and Oil Prices and Inflation in page Economic Assumptions (see below).  You may also wish to create your own Cost Set (set of unit costs) for the cost model in page Cost Assumptions, and further can adjust the schedule and production assumptions used for development in page Sched &amp; Prod Assumptions.  Finally, for specific prospects if you have more firm estimates you can override the costs and production profile for the next or subsequent stage (i.e. Seismic, Wildcat, Appraisal, Development) or if you wish all future stages, to do this go to page Overrides.</t>
  </si>
  <si>
    <t>The cost sub-model utilises unit rates from the page Cost Assumptions.  The unit rates are organised in cost sets, the cost sets are definable by the user of the model and each unit rate is defined separately for shallow and deep water. The Base Nova Scotia Department of Energy cost set provided is based on actual costs experienced and drilling performance for shallow water developments from the three developments to date adjusted for industry and raw materials cost inflation.  For deep water developments greater than 200 metre water depth they are based on a screening development study which compared developments worldwide and developed scenarios for possible development.  The Base NS Dept of Energy Cost Set is thus highly representative of likely costs in the Nova Scotia offshore.   Users / companies are also able to set up their own cost set(s) if they wish to modify certain of the unit rates, particularly for market sensitive resources such as drilling rigs.</t>
  </si>
  <si>
    <t>The Threshold page shows the expected value of the current case varying for Recoverable Reserves, Reservoir Depth and Economics Scenario and by exploration stage.  For each exploration stage it shows the threshold field size, reservoir depth and economic scenario at which it economic to proceed.</t>
  </si>
  <si>
    <t>Government_Take</t>
  </si>
  <si>
    <t>Cashflow</t>
  </si>
  <si>
    <t>The Sensitivity Page enables Sensitivity Multipliers to be defined for critical parameters and displays "tornado" plots of the range of outcomes for NPV, IRR, Discounted Return on Investment Ratio (the ratio of the risked discounted cash flow to the risked discounted total project investment) and Committed Discounted Return on Investment Ratio (the ratio of the discounted cash flow to the discounted commitment for the next exploration stage)</t>
  </si>
  <si>
    <t>The Exploration Page shows the calculation of seismic, wildcat and appraisal exploration costs and schedule</t>
  </si>
  <si>
    <t>The Development Page shows the calculation of development costs and schedule</t>
  </si>
  <si>
    <t>The Production Page shows the calculation of production profiles</t>
  </si>
  <si>
    <t>The Revenue Page shows the calculation of revenues</t>
  </si>
  <si>
    <t>The Operations Page shows the calculation of Operating costs</t>
  </si>
  <si>
    <t>The Federal Tax Page shows the calculation of Federal Tax</t>
  </si>
  <si>
    <t>The Provincial Tax Page shows the calculation of Provincial Tax</t>
  </si>
  <si>
    <t>The Success Case Cash Flow Page shows the calculation of Cash flow in the case the project proceeds to development and production</t>
  </si>
  <si>
    <t>The risked Cash Flow show the cash flow risked by the probability of the appropriate stage occurring</t>
  </si>
  <si>
    <t>The Selected Economics Page show the prices, exchange rate, inflation and interest rate for the selected economic scenario</t>
  </si>
  <si>
    <t>Federal_Tax</t>
  </si>
  <si>
    <t>Provincial_Tax</t>
  </si>
  <si>
    <t>Success_Cash</t>
  </si>
  <si>
    <t>Risked_Cash</t>
  </si>
  <si>
    <t>Selected_Economics</t>
  </si>
  <si>
    <t>User_Area</t>
  </si>
  <si>
    <t>Five User Pages are provided for user's own calculations</t>
  </si>
  <si>
    <t>Nominal Oil Price</t>
  </si>
  <si>
    <t>Real Oil Price</t>
  </si>
  <si>
    <t>Nominal Henry Hub Gas Price</t>
  </si>
  <si>
    <t>Real Henry Hub Gas Price</t>
  </si>
  <si>
    <t>Price_Charts</t>
  </si>
  <si>
    <t>Price Charts</t>
  </si>
  <si>
    <t>The Price Charts Page compares the Nominal and Real Oil and Henry Hub Cas Price Scenarios</t>
  </si>
  <si>
    <t>The Cash Flow page shows a chart of the contribution of each revenue and cost category to cash flow for the success case, and to the left show the contribution of each to success case and fully risked cases (weighted by the probability of occurrence) both undiscounted and discounted</t>
  </si>
  <si>
    <t>This model provides screening economics for evaluation of exploration prospects in the Nova Scotia offshore.  The model incorporates a development schedule and cost estimation sub-model that is linked to a production profile sub-model that is dependent on the timing of the wells from the development model.  Pre-tax cash flows are calculated and used to calculate royalties and taxes and to Evaluate the prospect at the specified discount rate.  You can navigate this model using the Tabs, and on each page you can also click on the blue link to navigate to this Guide or the main Input page, you can also navigate from this Page to all Other Pages.  The model is organised in five Sections that are color coded, the Introduction and Guide are in Yellow, the main Evaluation section is in Red, the Assumptions and Overrides are in Orange, the Model Calculation pages are in Light Blue and the last pages are for User Modelling and are in Green</t>
  </si>
  <si>
    <r>
      <t>Risk Parameters (</t>
    </r>
    <r>
      <rPr>
        <sz val="14"/>
        <color indexed="8"/>
        <rFont val="Calibri"/>
        <family val="2"/>
      </rPr>
      <t>Chance of Proceeding to Next Stage</t>
    </r>
    <r>
      <rPr>
        <b/>
        <sz val="14"/>
        <color indexed="8"/>
        <rFont val="Calibri"/>
        <family val="2"/>
      </rPr>
      <t>)</t>
    </r>
  </si>
  <si>
    <t>K$ / well</t>
  </si>
  <si>
    <t>Subsea Well  Equipment</t>
  </si>
  <si>
    <t>Subsea Manifolds &amp; Trees</t>
  </si>
  <si>
    <t>K$/BCF</t>
  </si>
  <si>
    <t xml:space="preserve">Pipeline Percent Selected </t>
  </si>
  <si>
    <t>shallow</t>
  </si>
  <si>
    <t>Selected Cost</t>
  </si>
  <si>
    <t>Shallow Cost</t>
  </si>
  <si>
    <t>Gas Export Distance (km)</t>
  </si>
  <si>
    <t>Gas Disposal</t>
  </si>
  <si>
    <t>FPSO</t>
  </si>
  <si>
    <t>Semi / SPAR</t>
  </si>
  <si>
    <t>Leased FPS0</t>
  </si>
  <si>
    <t>Subsea to Infrastructure</t>
  </si>
  <si>
    <t>To Infrastructure</t>
  </si>
  <si>
    <t>To Shore</t>
  </si>
  <si>
    <t xml:space="preserve">Beta with Oil Extension </t>
  </si>
  <si>
    <t>Gas Export Type</t>
  </si>
  <si>
    <t>Pipeline Percent Deepwater</t>
  </si>
  <si>
    <t>Re-inject</t>
  </si>
  <si>
    <t>None (Tariff)</t>
  </si>
  <si>
    <t>Gas Volume</t>
  </si>
  <si>
    <t>Gas Reserve per Reinjection Well (bcf)</t>
  </si>
  <si>
    <t>Minimal Processing Platform</t>
  </si>
  <si>
    <t>Shuttle</t>
  </si>
  <si>
    <t>Tankers</t>
  </si>
  <si>
    <t>Gas Tariff Rate</t>
  </si>
  <si>
    <t>FPSO &amp; Tanker Rental</t>
  </si>
  <si>
    <t>(1% for Lease)</t>
  </si>
  <si>
    <t>Lease</t>
  </si>
  <si>
    <t>©</t>
  </si>
  <si>
    <t>www.indeva.com</t>
  </si>
  <si>
    <t>Purchase Shuttle Tanker</t>
  </si>
  <si>
    <t>Additional Gas Cost</t>
  </si>
  <si>
    <t>Topside Facilities Gas</t>
  </si>
  <si>
    <t>Gas Rate</t>
  </si>
  <si>
    <t>Pipe Size (in)</t>
  </si>
  <si>
    <t>K$/in</t>
  </si>
  <si>
    <t>Export to Shore Pipeline size Cost</t>
  </si>
  <si>
    <t>K$/km/in</t>
  </si>
  <si>
    <t>Gas Export Pipeline Size</t>
  </si>
  <si>
    <t>a</t>
  </si>
  <si>
    <t>b</t>
  </si>
  <si>
    <t>Minimum Facilities Platform Fixed Cost</t>
  </si>
  <si>
    <t>Minimum Facilities Platform / Metre Water</t>
  </si>
  <si>
    <t>Minimum Facilities Platform Variable Cost</t>
  </si>
  <si>
    <t>Min Process Limit</t>
  </si>
  <si>
    <t>Areal Extent Multiplier on Well Length</t>
  </si>
  <si>
    <t>Areal Extent</t>
  </si>
  <si>
    <t>The production and cost models utilises the logic in the Sched &amp;Prod page  to determine a number of factors including production rate, the number wells and construction rates.  If desired these factors can be adjusted to reflect a company's experience and judgement.</t>
  </si>
  <si>
    <t>Development Options</t>
  </si>
  <si>
    <t xml:space="preserve">Dependent on the whether the main product is oil or gas and whether the prospect is in deep or shallow water, the user can select from a number of development options.  The available development options are described on the Page Devel Options </t>
  </si>
  <si>
    <t>Developments</t>
  </si>
  <si>
    <t xml:space="preserve">Jack-up </t>
  </si>
  <si>
    <t>The field is produced wholly subsea and connected to a mother platform, which performs primary processing and exports via an existing pipeline.  It is assumed that all processing on the mother field is charged by a tariff to the sending field.</t>
  </si>
  <si>
    <t>Minimum Processing Platform</t>
  </si>
  <si>
    <t>The field is produced through a minimum facility platform with water knock-out and methanol injection capability and exported to a mother facility for export by pipeline to shore.  The mother facility charges a tariff to the sending facility for transport, secondary processing and possibly compression</t>
  </si>
  <si>
    <t>Shallow Water Oil Field Less than 200 metre water depth</t>
  </si>
  <si>
    <t>Leased FPSO</t>
  </si>
  <si>
    <t>Shallow and Deep Water area of Nova Scotia Offshore</t>
  </si>
  <si>
    <t>Shallow Water Gas Field Options Less than 200 metres water depth options</t>
  </si>
  <si>
    <t>Deepwater Gas Field Greater than 200 metre water depth options</t>
  </si>
  <si>
    <t>For shorter life fields a leased Floating Production and Storage System is considered, the production vessel and shuttle tankers are leased for the duration of the field</t>
  </si>
  <si>
    <t>The basic Model Evaluation is also displayed on the Inputs Page.  Dependent on the current exploration stage, the expected value of proceeding together with the cost of the next stage is shown on the Decision Flow diagram.  The Evaluation Table shows the Discounted and Risked (weighted by the change of occurrence) contributions of each revenue and cost category to the expected value, and the "Waterfall" chart show visually how these contribute to NPV</t>
  </si>
  <si>
    <t>As a company gets close to executing an exploration stage, for instance seismic or a wildcat well, the company's estimate of that stage may become refined as detail cost estimates are made and later proposals are requested and contracts awarded.  At this point the model provides for a Company to Override the Costs and in some case the timings of a stage, for the development stage the production profile may also be overridden.  Typically it would be expected that only the currently proposed stage is overridden and the remainder of the model is calculated from the assumptions set in the costs, and schedule and production pages.  Overrides are  set in the page Overrides, for each stage the costs can be set to "Model Calculated" or "Model Override"</t>
  </si>
  <si>
    <t xml:space="preserve">The Abandonment Page shows the calculation of the field abandonment date </t>
  </si>
  <si>
    <t>The Royalty Page shows the calculation of Royalty</t>
  </si>
  <si>
    <t xml:space="preserve">The basic model inputs are defined in the page Input.  Input cells are shown with blue text against a white background. Most inputs have an associated floating note that appears when the cell is selected.   Changing these inputs will automatically adjust the evaluated results of the model.  The model can be run simply by selecting parameters in this page, or after refining the model to different levels as detailed in the next section.  A basic evaluation requires that you define the current Stage of the Prospect - Seismic, Wildcat, Appraisal Development Plan or Development and assign the relevant probabilities of going from one stage to the next.  </t>
  </si>
  <si>
    <t>The Government Take Page shows the percentage Government Take for three categories, Royalty, Federal Tax and Provincial Tax for Varying Price and Reserves Cases</t>
  </si>
  <si>
    <t>2. Deepwater Exploration.  These lie principally on the continental slope to the South West and West South West of Sable Island, the prospects closest to Sable Island are most likely to be gas prone and those further to the West are more likely to be oil prone.  The deepwater exploration lies in water depths of between 1500 metres and 3500 metres and environmental conditions are similar to the Northern North Sea / Norwegian Sea with 100 year return period maximum wave heights reported to be in the range 26 to 28 metre (OceanWeather Inc).  Potential export routes for gas are either to existing offshore infrastructure at SOEP or Deep Panuke, or directly to Shore possibly close to Halifax or to Goldboro.</t>
  </si>
  <si>
    <t>This model provides costing and economic analysis for a number of development alternatives dependent on principle product and water depth, with the Sable Island area being classified as less than 200 metres and the deepwater as more than 200 metres as described below</t>
  </si>
  <si>
    <t>This is a full production facility with gas processing, it is intended for larger discoveries above 500bcf,  gas can be exported to shore or to existing infrastructure, in which case the model assumes a tariff is paid to the infrastructure owners.</t>
  </si>
  <si>
    <t>This is a full production facility with the same options as the Fixed Platform, it is moveable and has the possibility of reuse after field cessation</t>
  </si>
  <si>
    <t>This option flows gas from a deepwater field subsea to an existing infrastructure and for onward processing and transport to Goldboro.  There are a number of fields worldwide that flow gas subsea directly to shore up to 140 kilometres and a number of others are being planned.  Deepwater gas offshore Nova Scotia will most likely be discovered within 80 kilometres of existing infrastructure and this option assumes the gas is exported to infrastructure, the gas will require to be dry, less than 10 - 15 bbls / mscf .  As with the shallow water gas a tariff is paid to the transporting and processing facility.</t>
  </si>
  <si>
    <t>This is a Floating Production and Storage System, most likely ship-shaped although a cylindrical SEVAN design system would be an alternative cost competitive design.   Oil is produced from subsea wells and is offloaded onto dedicated shuttle tankers, since there are no existing tankers operating off Nova Scotia it is assumed that the tanker(s) are purchased and dedicated to the operation.</t>
  </si>
  <si>
    <t xml:space="preserve">As with shallow water a Floating Production and Storage System is utilised, it has a detachable turret and mooring system and is of double hulled design, most likely a new built ship-shaped design similar to BP's Skarv FPSO due to shortly commence production in the Norwegian Sea, although a cylindrical SEVAN design system would be an alternative cost competitive design.   Oil is produced from subsea wells and is stored on the vessel (assumed 1 million barrels) and offloaded onto dedicated shuttle tankers, since there are no existing tankers operating off Nova Scotia it is assumed that the tanker(s) are purchased and dedicated to the operation.   </t>
  </si>
  <si>
    <t>Deepwater Oil Field Greater than 200 Metres</t>
  </si>
  <si>
    <t>Deviated</t>
  </si>
  <si>
    <t>Not used - always deviated in clusters!</t>
  </si>
  <si>
    <t>Over Pressure</t>
  </si>
  <si>
    <t>Geo Pressure</t>
  </si>
  <si>
    <t>Overpressure</t>
  </si>
  <si>
    <t>Geopressure</t>
  </si>
  <si>
    <t>Water Depth</t>
  </si>
  <si>
    <t>Shallow</t>
  </si>
  <si>
    <t>Deep</t>
  </si>
  <si>
    <t>The Table Below shows the Analysis of Well Exploration Drilling in the Nova Scotia Offshore from 2000 to 2006, Base Drilling Times in Page Cost Assumptions and  the Well Time Multiplier (based on Pressure) on Page Sched &amp; Prod Assumptions are based on an analysis of this data. Source: Nova Scotia Department of Energy, Exploration Drilling Performance Review 2012</t>
  </si>
  <si>
    <t>Depth Range</t>
  </si>
  <si>
    <t>Well Type</t>
  </si>
  <si>
    <t>Field /  Prospect</t>
  </si>
  <si>
    <t>Operator</t>
  </si>
  <si>
    <t>Rig</t>
  </si>
  <si>
    <t>Latitude</t>
  </si>
  <si>
    <t>Longitude</t>
  </si>
  <si>
    <t>Spud Date</t>
  </si>
  <si>
    <t>Water Depth (m)</t>
  </si>
  <si>
    <t>MD (m)</t>
  </si>
  <si>
    <t>Total days</t>
  </si>
  <si>
    <t>Pre-spud days</t>
  </si>
  <si>
    <t>Spud to TD days</t>
  </si>
  <si>
    <t>Post Drill days</t>
  </si>
  <si>
    <t>No of Hole Sections</t>
  </si>
  <si>
    <t>ROP (m/day)</t>
  </si>
  <si>
    <t>Normal Pressure</t>
  </si>
  <si>
    <t>Panuke</t>
  </si>
  <si>
    <t>F-09</t>
  </si>
  <si>
    <t>PanCanadian</t>
  </si>
  <si>
    <t>RG 3</t>
  </si>
  <si>
    <t>43048'22.47"</t>
  </si>
  <si>
    <t>60045'57.64"</t>
  </si>
  <si>
    <t>M-79</t>
  </si>
  <si>
    <t>RG 4</t>
  </si>
  <si>
    <t>43048'48.81"</t>
  </si>
  <si>
    <t>60041'47.42"</t>
  </si>
  <si>
    <t>MusquodoboitE-23</t>
  </si>
  <si>
    <t>RG 5</t>
  </si>
  <si>
    <t>43042'15.82"</t>
  </si>
  <si>
    <t>60049'09.99"</t>
  </si>
  <si>
    <t>Queensland</t>
  </si>
  <si>
    <t>M-88</t>
  </si>
  <si>
    <t>PanCanadian-</t>
  </si>
  <si>
    <t>43047'55.26"</t>
  </si>
  <si>
    <t>60043'11.90"</t>
  </si>
  <si>
    <t>Marquis</t>
  </si>
  <si>
    <t>L-35</t>
  </si>
  <si>
    <t>Canadian</t>
  </si>
  <si>
    <t>44004'37.57"</t>
  </si>
  <si>
    <t>60020'52.72"</t>
  </si>
  <si>
    <t>Margaree</t>
  </si>
  <si>
    <t>F-70</t>
  </si>
  <si>
    <t>EnCana</t>
  </si>
  <si>
    <t>43049'16.94"</t>
  </si>
  <si>
    <t>60040'20.18"</t>
  </si>
  <si>
    <t>MarCoh</t>
  </si>
  <si>
    <t>D-41</t>
  </si>
  <si>
    <t>43050'09.48"</t>
  </si>
  <si>
    <t>60037'21.56"</t>
  </si>
  <si>
    <t>Dominion</t>
  </si>
  <si>
    <t>J-14</t>
  </si>
  <si>
    <t>Encana-Marauder</t>
  </si>
  <si>
    <t>RG 6</t>
  </si>
  <si>
    <t>43053'33.58"</t>
  </si>
  <si>
    <t>60031'54.21"</t>
  </si>
  <si>
    <t>Over-Pressure</t>
  </si>
  <si>
    <t>Emma</t>
  </si>
  <si>
    <t>N-03</t>
  </si>
  <si>
    <t>Mobil</t>
  </si>
  <si>
    <t>Galaxy II</t>
  </si>
  <si>
    <t>44002'47.78"</t>
  </si>
  <si>
    <t>60000'53.78"</t>
  </si>
  <si>
    <t>Adamant</t>
  </si>
  <si>
    <t>N-97</t>
  </si>
  <si>
    <t>43056'48.08"</t>
  </si>
  <si>
    <t>60014'27.66"</t>
  </si>
  <si>
    <t>Southampton</t>
  </si>
  <si>
    <t>A-25</t>
  </si>
  <si>
    <t>43034'09.66"</t>
  </si>
  <si>
    <t>60018'16.67"</t>
  </si>
  <si>
    <t>Mariner</t>
  </si>
  <si>
    <t>I-85</t>
  </si>
  <si>
    <t>Candian</t>
  </si>
  <si>
    <t>44004'30.74"</t>
  </si>
  <si>
    <t>59042'07.20"</t>
  </si>
  <si>
    <t>Cree</t>
  </si>
  <si>
    <t>I-34</t>
  </si>
  <si>
    <t>ExxonMobil</t>
  </si>
  <si>
    <t>43043'41.48"</t>
  </si>
  <si>
    <t>60034'42.62"</t>
  </si>
  <si>
    <t>Geo-Pressure</t>
  </si>
  <si>
    <t>Onondaga</t>
  </si>
  <si>
    <t>B-84</t>
  </si>
  <si>
    <t>Shell</t>
  </si>
  <si>
    <t>43043'08.92"</t>
  </si>
  <si>
    <t>60012'41.51"</t>
  </si>
  <si>
    <t>Low Complexity</t>
  </si>
  <si>
    <t>Annapolis</t>
  </si>
  <si>
    <t>B-24</t>
  </si>
  <si>
    <t>Marathon</t>
  </si>
  <si>
    <t>West Navion</t>
  </si>
  <si>
    <t>43023'07.91"</t>
  </si>
  <si>
    <t>59048'38.15"</t>
  </si>
  <si>
    <t>Torbrook</t>
  </si>
  <si>
    <t>C-15</t>
  </si>
  <si>
    <t>Eirik Raude</t>
  </si>
  <si>
    <t>42034'02.60"</t>
  </si>
  <si>
    <t>62017'35.64"</t>
  </si>
  <si>
    <t>Balvenie</t>
  </si>
  <si>
    <t>B-79</t>
  </si>
  <si>
    <t>Imperial</t>
  </si>
  <si>
    <t>43008'01.29"</t>
  </si>
  <si>
    <t>60010'56.84"</t>
  </si>
  <si>
    <t>High Complexity</t>
  </si>
  <si>
    <t>Newburn</t>
  </si>
  <si>
    <t>H-23</t>
  </si>
  <si>
    <t>Chevron</t>
  </si>
  <si>
    <t xml:space="preserve">DW </t>
  </si>
  <si>
    <t>43012'16.43"</t>
  </si>
  <si>
    <t>60048'21.20"</t>
  </si>
  <si>
    <t>G-24</t>
  </si>
  <si>
    <t>43023'22.94"</t>
  </si>
  <si>
    <t>59048'29.19"</t>
  </si>
  <si>
    <t>Weymouth</t>
  </si>
  <si>
    <t>A-45</t>
  </si>
  <si>
    <t>43004'01.38"</t>
  </si>
  <si>
    <t>60036'14.07"</t>
  </si>
  <si>
    <t>Crimson</t>
  </si>
  <si>
    <t>F-81</t>
  </si>
  <si>
    <t>DW Pathfinder</t>
  </si>
  <si>
    <t>43020'22.29"</t>
  </si>
  <si>
    <t>59042'57.03"</t>
  </si>
  <si>
    <t xml:space="preserve">This is a floating production facility solution with subsea production wells connected to one or more manifolds and tied back to the surface facility via risers.  Export is assumed via a steel catenary riser although other solutions are possible.  Export is either to existing infrastructure or direct to shore.  The base plan is for a deep draft semisubmersible as the floating production facility but a likely cost-competitive alternative is a SPAR, possibly one being designed for the Aasta Hansteen  development in 1400 metres water depth in the Norwegian Sea.   It has been assumed that the facility will be a pure production facility, and that any wellwork is preformed by a separate vessel.  Another possibility that could be considered would be a larger system with a drilling rig and mooring system designed to reposition the facility over the wells for reentry and wellwork such as employed by Shell on Perdido the world's deepest producing facility.  </t>
  </si>
  <si>
    <t>1. Sable Island area.  This is a mature area with two producing projects: 1. the Sable Offshore Energy Project, which produces gas from four gas fields, with a central facility at the Thebaud field and an export  pipeline to a gas plant at Goldboro, which in turn sends gas through the Maritimes and North East pipeline to the USA, and liquids to the Point Tupper fractionation Plant;  2. the Deep Panuke project which produces gas through a parallel pipeline to Goldboro and which also flows into with the Maritimes and North east pipeline.  There are a number of smaller and gas discoveries prospects in the region of Sable Island that could potentially produce into the existing infrastructure.  There is also potential for small to medium sized oil discoveries.  The Sable Island area lies on the continental shelf and water depths are in the main in the range 40 metres to 100 metres, environmental conditions are relatively similar to the Central North Sea with 100 year maximum wave height reported to be in the range 20 to 24 metres (OceanWeather Inc), the area to the south of Sable Island remains free of sea ice all year round.</t>
  </si>
  <si>
    <t>These tables show the NPV (at the selected discount rate) that would be assessed for the different stages of exploration / development for variations about the currently defined case for each of recoverable reserves, reservoir depth and economics scenario.   Negative NPVs are shown in yellow, positive NPVs in green, given a suitable discount rate, the boundary between the two may be seen as the Threshold at which it is financially viable to proceed with the next stage of exploration / development.   The order of the economic scenarios can be changed .</t>
  </si>
  <si>
    <t>Gas Liquids</t>
  </si>
  <si>
    <t>Cumulative Cash Flow</t>
  </si>
  <si>
    <t>FPSO Fixed Cost</t>
  </si>
  <si>
    <t>FPSO Platform Cost /MetreWater</t>
  </si>
  <si>
    <t>FPSO Platform Topside Fixed Cost</t>
  </si>
  <si>
    <t>FPSO Platform Variable Cost</t>
  </si>
  <si>
    <t>Rented FPSO Fixed Cost</t>
  </si>
  <si>
    <t>Rented FPSO Variable Cost inc Tankers</t>
  </si>
  <si>
    <t>Base +1.5% /y</t>
  </si>
  <si>
    <t>Base + 3%/y</t>
  </si>
  <si>
    <t>Base - 1.5%/y</t>
  </si>
  <si>
    <t>The economic model allows the development of five independent scenarios for the oil, gas and gas liquids (liquids associated with gas) prices, US$ / CAD exchange rate, cost inflation and interest rates.  These can then be selected from within the main model, and the results for each Scenario are compared in the Thresholds and Sensitivities pages.   This page also allows the definition of the netback differentials, in order to calculate the gas, oil and condensate prices at the field export point.</t>
  </si>
  <si>
    <t>Direct Pipeline Tie-in (subsea) - not used</t>
  </si>
  <si>
    <t>Update for Deepwater Leases for Approval</t>
  </si>
  <si>
    <t>Update for Deepwater Leases for Release</t>
  </si>
  <si>
    <t>Question</t>
  </si>
  <si>
    <t>Answer</t>
  </si>
  <si>
    <t>How do I Evaluate a Prospect in Basic Mode?</t>
  </si>
  <si>
    <t>How do I change the Prices in the Model?</t>
  </si>
  <si>
    <t>How are the Costs Derived in the model and how can I change the assumptions?</t>
  </si>
  <si>
    <t>How does the model determine the number of Wells?  How do I adjust the assumptions?</t>
  </si>
  <si>
    <t>The model has algorithms for the number of appraisal and development wells, these can be adjusted by adjusting the parameters and tables in sheet Sched &amp; Cost Assumptions</t>
  </si>
  <si>
    <t>Can I override Costs derived by the Model?</t>
  </si>
  <si>
    <t>Yes, but it is only recommended for the current phase where you have cost estimates, e.g. if you are in Wildcat phase, you may have a cost estimate for the Well and the model algorithms can be overwritten in Sheet Overrides.  It is not recommended that you adjust subsequent phases (although it is not prevented) because you will lose the benefits of the Thresholds and Sensitivities sheets.</t>
  </si>
  <si>
    <t>Does the model calculate Tariffs?  How do I define Tariff Rates in the model?</t>
  </si>
  <si>
    <t>The model calculates tariffs for cases where the prospect gas is sent through a third party facility and / or pipeline.  The rates for the tariffs are defined in the Rows 139 to 143 of the Sheet Cost Assumptions, the Tariffs Rates can be varied by type of service provided.</t>
  </si>
  <si>
    <t>How are the well drilling and completion times calculated?  Can I adjust these?</t>
  </si>
  <si>
    <t>Well drilling times per metre are input in rows 27 to 38 of the Sheet Cost Assumptions, these can vary for deep and shallow water.  An additional multiplier factor on well times is defined in Rows 63 to 65 of Sheet Sched &amp; Prod Assumptions, which adjusts for whether the reservoir is Normally Pressured, OverPressured or GeoPressured.  These times and factors are derived from the drilling history Sheet with adjustments for assumed performance improvements</t>
  </si>
  <si>
    <t>Go to the Sheet Input, and adjust the parameters for the Prospect in the second column according to the instructions in each cell.  The expected discounted values are shown in the right hand side of the Sheet.  You can adjust the Parameters and see how this affects the expected value.  The Cash flow for the Success Case is shown on the Next Sheet and Sensitivities on the subsequent Three Sheets</t>
  </si>
  <si>
    <t xml:space="preserve">There are five economics scenarios, that define assumptions for prices, inflation, interest rates and exchange rates.  Different Scenarios can be selected in the fourth row of Sheet Input.  Each of the scenarios can be modified and renamed in the sheet Economic Assumptions </t>
  </si>
  <si>
    <t>The model has algorithms for exploration, development and operations dependent on the parameters entered in Sheet Input and the Units Costs entered in Sheet Cost Assumptions.  There are five available set of Unit Costs defined in Cost Assumptions, the first is not modifiable (it is the Nova Scotia DOE set), the other four can be modified by the user, and selected in the fifth row of Sheet Input</t>
  </si>
  <si>
    <t>Fix for Historic Costs</t>
  </si>
  <si>
    <t>Protect Workbook</t>
  </si>
  <si>
    <t>Modify discounting in decision flow</t>
  </si>
  <si>
    <t>K$/MBOPD</t>
  </si>
  <si>
    <t>Scenario 2 : Base +1.5% /y</t>
  </si>
  <si>
    <t>Provide Petrofac estimate for DW Oil Topsides and Structure Only</t>
  </si>
  <si>
    <t>Update Price Projections and Rig Rates</t>
  </si>
  <si>
    <t>NS DOE April 2012</t>
  </si>
  <si>
    <t>NS DOE Petrofac DW Update 2015</t>
  </si>
  <si>
    <t>Set1 : NS DOE Petrofac DW Update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</si>
</sst>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4" formatCode="_(&quot;$&quot;* #,##0.00_);_(&quot;$&quot;* \(#,##0.00\);_(&quot;$&quot;* &quot;-&quot;??_);_(@_)"/>
    <numFmt numFmtId="43" formatCode="_(* #,##0.00_);_(* \(#,##0.00\);_(* &quot;-&quot;??_);_(@_)"/>
    <numFmt numFmtId="164" formatCode="&quot;£&quot;#,##0.00_);[Red]\(&quot;£&quot;#,##0.00\)"/>
    <numFmt numFmtId="165" formatCode="0.0%"/>
    <numFmt numFmtId="166" formatCode="0.0"/>
    <numFmt numFmtId="167" formatCode="#,##0.0"/>
    <numFmt numFmtId="168" formatCode="[$-409]d\-mmm\-yy;@"/>
    <numFmt numFmtId="169" formatCode="[$-409]mmmm\-yy;@"/>
    <numFmt numFmtId="170" formatCode="0.000%"/>
    <numFmt numFmtId="171" formatCode="0.000"/>
    <numFmt numFmtId="172" formatCode="[$-409]dd\-mmm\-yy;@"/>
    <numFmt numFmtId="173" formatCode="0.00000"/>
    <numFmt numFmtId="174" formatCode="0.0000000"/>
    <numFmt numFmtId="175" formatCode="0.0000"/>
    <numFmt numFmtId="176" formatCode="[$-409]mmm\-yy;@"/>
    <numFmt numFmtId="177" formatCode="dd/mm/yyyy;@"/>
    <numFmt numFmtId="178" formatCode="_-* #,##0.0_-;\-* #,##0.0_-;_-* &quot;-&quot;??_-;_-@_-"/>
    <numFmt numFmtId="179" formatCode="_-* #,##0_-;\-* #,##0_-;_-* &quot;-&quot;??_-;_-@_-"/>
    <numFmt numFmtId="180" formatCode="_-* #,##0.0_-;\-* #,##0.0_-;_-* &quot;-&quot;?_-;_-@_-"/>
    <numFmt numFmtId="181" formatCode="[$-409]d\-mmm\-yyyy;@"/>
    <numFmt numFmtId="182" formatCode="_-[$$-409]* #,##0.0_ ;_-[$$-409]* \-#,##0.0\ ;_-[$$-409]* &quot;-&quot;??_ ;_-@_ "/>
  </numFmts>
  <fonts count="46">
    <font>
      <sz val="11"/>
      <color theme="1"/>
      <name val="Calibri"/>
      <family val="2"/>
      <scheme val="minor"/>
    </font>
    <font>
      <sz val="14"/>
      <color indexed="8"/>
      <name val="Calibri"/>
      <family val="2"/>
    </font>
    <font>
      <b/>
      <sz val="14"/>
      <color indexed="8"/>
      <name val="Calibri"/>
      <family val="2"/>
    </font>
    <font>
      <sz val="11"/>
      <color theme="1"/>
      <name val="Calibri"/>
      <family val="2"/>
      <scheme val="minor"/>
    </font>
    <font>
      <u/>
      <sz val="11"/>
      <color theme="10"/>
      <name val="Calibri"/>
      <family val="2"/>
    </font>
    <font>
      <sz val="11"/>
      <color theme="3" tint="0.39997558519241921"/>
      <name val="Calibri"/>
      <family val="2"/>
      <scheme val="minor"/>
    </font>
    <font>
      <b/>
      <sz val="11"/>
      <color theme="1"/>
      <name val="Calibri"/>
      <family val="2"/>
      <scheme val="minor"/>
    </font>
    <font>
      <sz val="11"/>
      <color rgb="FFFF0000"/>
      <name val="Calibri"/>
      <family val="2"/>
      <scheme val="minor"/>
    </font>
    <font>
      <b/>
      <u/>
      <sz val="14"/>
      <color theme="1"/>
      <name val="Calibri"/>
      <family val="2"/>
      <scheme val="minor"/>
    </font>
    <font>
      <sz val="14"/>
      <color theme="1"/>
      <name val="Calibri"/>
      <family val="2"/>
      <scheme val="minor"/>
    </font>
    <font>
      <b/>
      <sz val="14"/>
      <color theme="1"/>
      <name val="Calibri"/>
      <family val="2"/>
      <scheme val="minor"/>
    </font>
    <font>
      <b/>
      <u/>
      <sz val="18"/>
      <color theme="1"/>
      <name val="Calibri"/>
      <family val="2"/>
      <scheme val="minor"/>
    </font>
    <font>
      <sz val="12"/>
      <color theme="1"/>
      <name val="Calibri"/>
      <family val="2"/>
      <scheme val="minor"/>
    </font>
    <font>
      <b/>
      <sz val="14"/>
      <color rgb="FFFF0000"/>
      <name val="Calibri"/>
      <family val="2"/>
      <scheme val="minor"/>
    </font>
    <font>
      <b/>
      <u/>
      <sz val="16"/>
      <color theme="1"/>
      <name val="Calibri"/>
      <family val="2"/>
      <scheme val="minor"/>
    </font>
    <font>
      <u/>
      <sz val="12"/>
      <color theme="1"/>
      <name val="Calibri"/>
      <family val="2"/>
      <scheme val="minor"/>
    </font>
    <font>
      <sz val="12"/>
      <color theme="3" tint="0.39997558519241921"/>
      <name val="Calibri"/>
      <family val="2"/>
      <scheme val="minor"/>
    </font>
    <font>
      <sz val="12"/>
      <name val="Calibri"/>
      <family val="2"/>
      <scheme val="minor"/>
    </font>
    <font>
      <sz val="12"/>
      <color theme="2"/>
      <name val="Calibri"/>
      <family val="2"/>
      <scheme val="minor"/>
    </font>
    <font>
      <sz val="12"/>
      <color theme="3" tint="0.39991454817346722"/>
      <name val="Calibri"/>
      <family val="2"/>
      <scheme val="minor"/>
    </font>
    <font>
      <b/>
      <sz val="18"/>
      <color theme="1"/>
      <name val="Calibri"/>
      <family val="2"/>
      <scheme val="minor"/>
    </font>
    <font>
      <i/>
      <sz val="11"/>
      <color theme="1"/>
      <name val="Calibri"/>
      <family val="2"/>
      <scheme val="minor"/>
    </font>
    <font>
      <u/>
      <sz val="11"/>
      <color theme="1"/>
      <name val="Calibri"/>
      <family val="2"/>
      <scheme val="minor"/>
    </font>
    <font>
      <b/>
      <u/>
      <sz val="11"/>
      <color theme="1"/>
      <name val="Calibri"/>
      <family val="2"/>
      <scheme val="minor"/>
    </font>
    <font>
      <b/>
      <u/>
      <sz val="12"/>
      <color theme="1"/>
      <name val="Calibri"/>
      <family val="2"/>
      <scheme val="minor"/>
    </font>
    <font>
      <b/>
      <i/>
      <u/>
      <sz val="11"/>
      <color theme="1"/>
      <name val="Calibri"/>
      <family val="2"/>
      <scheme val="minor"/>
    </font>
    <font>
      <i/>
      <u/>
      <sz val="11"/>
      <color theme="1"/>
      <name val="Calibri"/>
      <family val="2"/>
      <scheme val="minor"/>
    </font>
    <font>
      <sz val="11"/>
      <color theme="0" tint="-4.9989318521683403E-2"/>
      <name val="Calibri"/>
      <family val="2"/>
      <scheme val="minor"/>
    </font>
    <font>
      <u/>
      <sz val="12"/>
      <color theme="10"/>
      <name val="Calibri"/>
      <family val="2"/>
    </font>
    <font>
      <b/>
      <u/>
      <sz val="14"/>
      <color theme="10"/>
      <name val="Calibri"/>
      <family val="2"/>
    </font>
    <font>
      <b/>
      <u/>
      <sz val="14"/>
      <color theme="7" tint="-0.249977111117893"/>
      <name val="Calibri"/>
      <family val="2"/>
    </font>
    <font>
      <sz val="10"/>
      <color theme="1"/>
      <name val="Calibri"/>
      <family val="2"/>
      <scheme val="minor"/>
    </font>
    <font>
      <sz val="14"/>
      <color theme="0" tint="-4.9989318521683403E-2"/>
      <name val="Calibri"/>
      <family val="2"/>
      <scheme val="minor"/>
    </font>
    <font>
      <sz val="20"/>
      <color theme="1"/>
      <name val="Calibri"/>
      <family val="2"/>
      <scheme val="minor"/>
    </font>
    <font>
      <b/>
      <sz val="28"/>
      <color theme="1"/>
      <name val="Calibri"/>
      <family val="2"/>
      <scheme val="minor"/>
    </font>
    <font>
      <sz val="36"/>
      <color theme="1"/>
      <name val="Calibri"/>
      <family val="2"/>
    </font>
    <font>
      <u/>
      <sz val="16"/>
      <color theme="10"/>
      <name val="Calibri"/>
      <family val="2"/>
    </font>
    <font>
      <sz val="16"/>
      <color theme="0"/>
      <name val="Calibri"/>
      <family val="2"/>
      <scheme val="minor"/>
    </font>
    <font>
      <b/>
      <sz val="18"/>
      <color rgb="FF000000"/>
      <name val="Calibri"/>
      <family val="2"/>
      <scheme val="minor"/>
    </font>
    <font>
      <sz val="11"/>
      <color theme="2"/>
      <name val="Calibri"/>
      <family val="2"/>
      <scheme val="minor"/>
    </font>
    <font>
      <sz val="12"/>
      <color theme="0" tint="-4.9989318521683403E-2"/>
      <name val="Calibri"/>
      <family val="2"/>
      <scheme val="minor"/>
    </font>
    <font>
      <u/>
      <sz val="14"/>
      <color theme="10"/>
      <name val="Calibri"/>
      <family val="2"/>
    </font>
    <font>
      <sz val="11"/>
      <color theme="0"/>
      <name val="Calibri"/>
      <family val="2"/>
      <scheme val="minor"/>
    </font>
    <font>
      <sz val="8"/>
      <name val="Geneva"/>
      <family val="2"/>
    </font>
    <font>
      <sz val="10"/>
      <name val="Geneva"/>
      <family val="2"/>
    </font>
    <font>
      <sz val="10"/>
      <name val="Arial"/>
      <family val="2"/>
    </font>
  </fonts>
  <fills count="1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2"/>
        <bgColor indexed="64"/>
      </patternFill>
    </fill>
    <fill>
      <patternFill patternType="solid">
        <fgColor theme="6" tint="0.79998168889431442"/>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rgb="FFFF0000"/>
        <bgColor indexed="64"/>
      </patternFill>
    </fill>
    <fill>
      <patternFill patternType="solid">
        <fgColor theme="9" tint="-0.249977111117893"/>
        <bgColor indexed="64"/>
      </patternFill>
    </fill>
    <fill>
      <patternFill patternType="solid">
        <fgColor theme="6"/>
        <bgColor indexed="64"/>
      </patternFill>
    </fill>
    <fill>
      <patternFill patternType="solid">
        <fgColor rgb="FFFFC000"/>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0">
    <xf numFmtId="0" fontId="0" fillId="0" borderId="0"/>
    <xf numFmtId="43" fontId="3" fillId="0" borderId="0" applyFont="0" applyFill="0" applyBorder="0" applyAlignment="0" applyProtection="0"/>
    <xf numFmtId="0" fontId="4" fillId="0" borderId="0" applyNumberFormat="0" applyFill="0" applyBorder="0" applyAlignment="0" applyProtection="0">
      <alignment vertical="top"/>
      <protection locked="0"/>
    </xf>
    <xf numFmtId="0" fontId="5" fillId="2" borderId="1">
      <alignment horizontal="center"/>
      <protection locked="0"/>
    </xf>
    <xf numFmtId="9" fontId="3" fillId="0" borderId="0" applyFont="0" applyFill="0" applyBorder="0" applyAlignment="0" applyProtection="0"/>
    <xf numFmtId="43" fontId="3" fillId="0" borderId="1"/>
    <xf numFmtId="44" fontId="3" fillId="0" borderId="0" applyFont="0" applyFill="0" applyBorder="0" applyAlignment="0" applyProtection="0"/>
    <xf numFmtId="0" fontId="43" fillId="0" borderId="0"/>
    <xf numFmtId="9" fontId="44" fillId="0" borderId="0" applyFont="0" applyFill="0" applyBorder="0" applyAlignment="0" applyProtection="0"/>
    <xf numFmtId="0" fontId="45" fillId="0" borderId="0"/>
  </cellStyleXfs>
  <cellXfs count="607">
    <xf numFmtId="0" fontId="0" fillId="0" borderId="0" xfId="0"/>
    <xf numFmtId="0" fontId="0" fillId="3" borderId="0" xfId="0" applyFill="1"/>
    <xf numFmtId="0" fontId="8" fillId="4" borderId="0" xfId="0" applyFont="1" applyFill="1"/>
    <xf numFmtId="0" fontId="9" fillId="4" borderId="0" xfId="0" applyFont="1" applyFill="1"/>
    <xf numFmtId="0" fontId="0" fillId="2" borderId="0" xfId="0" applyFill="1"/>
    <xf numFmtId="0" fontId="8" fillId="3" borderId="0" xfId="0" applyFont="1" applyFill="1"/>
    <xf numFmtId="2" fontId="0" fillId="3" borderId="1" xfId="0" applyNumberFormat="1" applyFill="1" applyBorder="1"/>
    <xf numFmtId="0" fontId="0" fillId="3" borderId="3" xfId="0" applyFill="1" applyBorder="1" applyAlignment="1">
      <alignment horizontal="center"/>
    </xf>
    <xf numFmtId="0" fontId="0" fillId="3" borderId="4" xfId="0" applyFill="1" applyBorder="1" applyAlignment="1">
      <alignment horizontal="center"/>
    </xf>
    <xf numFmtId="0" fontId="0" fillId="3" borderId="5" xfId="0" applyFill="1" applyBorder="1" applyAlignment="1">
      <alignment horizontal="center"/>
    </xf>
    <xf numFmtId="0" fontId="0" fillId="3" borderId="3" xfId="0" applyFill="1" applyBorder="1"/>
    <xf numFmtId="0" fontId="11" fillId="3" borderId="0" xfId="0" applyFont="1" applyFill="1"/>
    <xf numFmtId="0" fontId="0" fillId="3" borderId="0" xfId="0" applyFill="1" applyBorder="1"/>
    <xf numFmtId="0" fontId="5" fillId="2" borderId="1" xfId="3">
      <alignment horizontal="center"/>
      <protection locked="0"/>
    </xf>
    <xf numFmtId="0" fontId="12" fillId="3" borderId="0" xfId="0" applyFont="1" applyFill="1"/>
    <xf numFmtId="0" fontId="0" fillId="4" borderId="0" xfId="0" applyFill="1"/>
    <xf numFmtId="0" fontId="5" fillId="4" borderId="1" xfId="0" applyFont="1" applyFill="1" applyBorder="1" applyAlignment="1" applyProtection="1">
      <alignment horizontal="center"/>
      <protection locked="0"/>
    </xf>
    <xf numFmtId="0" fontId="12" fillId="4" borderId="0" xfId="0" applyFont="1" applyFill="1"/>
    <xf numFmtId="0" fontId="16" fillId="2" borderId="12" xfId="3" applyFont="1" applyBorder="1">
      <alignment horizontal="center"/>
      <protection locked="0"/>
    </xf>
    <xf numFmtId="9" fontId="19" fillId="2" borderId="1" xfId="4" applyFont="1" applyFill="1" applyBorder="1" applyAlignment="1" applyProtection="1">
      <alignment horizontal="center" vertical="center"/>
      <protection locked="0"/>
    </xf>
    <xf numFmtId="9" fontId="19" fillId="2" borderId="1" xfId="4" applyNumberFormat="1" applyFont="1" applyFill="1" applyBorder="1" applyAlignment="1" applyProtection="1">
      <alignment horizontal="center" vertical="center"/>
      <protection locked="0"/>
    </xf>
    <xf numFmtId="0" fontId="0" fillId="4" borderId="0" xfId="0" applyFill="1" applyBorder="1" applyProtection="1">
      <protection hidden="1"/>
    </xf>
    <xf numFmtId="0" fontId="0" fillId="4" borderId="0" xfId="0" applyFill="1" applyProtection="1">
      <protection hidden="1"/>
    </xf>
    <xf numFmtId="0" fontId="0" fillId="4" borderId="0" xfId="0" applyFill="1" applyBorder="1" applyAlignment="1" applyProtection="1">
      <alignment horizontal="center"/>
      <protection hidden="1"/>
    </xf>
    <xf numFmtId="0" fontId="12" fillId="5" borderId="1" xfId="0" applyFont="1" applyFill="1" applyBorder="1" applyAlignment="1">
      <alignment horizontal="center"/>
    </xf>
    <xf numFmtId="166" fontId="12" fillId="4" borderId="1" xfId="0" applyNumberFormat="1" applyFont="1" applyFill="1" applyBorder="1" applyAlignment="1">
      <alignment horizontal="center"/>
    </xf>
    <xf numFmtId="0" fontId="0" fillId="4" borderId="0" xfId="0" applyFill="1" applyBorder="1"/>
    <xf numFmtId="0" fontId="0" fillId="4" borderId="0" xfId="0" applyFill="1" applyAlignment="1">
      <alignment horizontal="center"/>
    </xf>
    <xf numFmtId="0" fontId="0" fillId="4" borderId="1" xfId="0" applyFill="1" applyBorder="1"/>
    <xf numFmtId="0" fontId="22" fillId="4" borderId="0" xfId="0" applyFont="1" applyFill="1"/>
    <xf numFmtId="0" fontId="0" fillId="4" borderId="3" xfId="0" applyFill="1" applyBorder="1"/>
    <xf numFmtId="0" fontId="0" fillId="4" borderId="3" xfId="0" applyFill="1" applyBorder="1" applyAlignment="1">
      <alignment horizontal="center"/>
    </xf>
    <xf numFmtId="0" fontId="0" fillId="4" borderId="4" xfId="0" applyFill="1" applyBorder="1"/>
    <xf numFmtId="0" fontId="0" fillId="4" borderId="4" xfId="0" applyFill="1" applyBorder="1" applyAlignment="1">
      <alignment horizontal="center"/>
    </xf>
    <xf numFmtId="0" fontId="0" fillId="4" borderId="5" xfId="0" applyFill="1" applyBorder="1"/>
    <xf numFmtId="0" fontId="0" fillId="4" borderId="5" xfId="0" applyFill="1" applyBorder="1" applyAlignment="1">
      <alignment horizontal="center"/>
    </xf>
    <xf numFmtId="0" fontId="5" fillId="2" borderId="1" xfId="3" applyBorder="1">
      <alignment horizontal="center"/>
      <protection locked="0"/>
    </xf>
    <xf numFmtId="3" fontId="5" fillId="2" borderId="1" xfId="3" applyNumberFormat="1" applyBorder="1">
      <alignment horizontal="center"/>
      <protection locked="0"/>
    </xf>
    <xf numFmtId="3" fontId="5" fillId="2" borderId="3" xfId="3" applyNumberFormat="1" applyBorder="1">
      <alignment horizontal="center"/>
      <protection locked="0"/>
    </xf>
    <xf numFmtId="0" fontId="0" fillId="4" borderId="10" xfId="0" applyFill="1" applyBorder="1"/>
    <xf numFmtId="3" fontId="5" fillId="4" borderId="0" xfId="3" applyNumberFormat="1" applyFill="1" applyBorder="1">
      <alignment horizontal="center"/>
      <protection locked="0"/>
    </xf>
    <xf numFmtId="0" fontId="0" fillId="4" borderId="0" xfId="0" applyFill="1" applyBorder="1" applyAlignment="1">
      <alignment horizontal="center" vertical="top" wrapText="1"/>
    </xf>
    <xf numFmtId="166" fontId="0" fillId="4" borderId="4" xfId="0" applyNumberFormat="1" applyFill="1" applyBorder="1"/>
    <xf numFmtId="166" fontId="0" fillId="4" borderId="1" xfId="0" applyNumberFormat="1" applyFill="1" applyBorder="1"/>
    <xf numFmtId="166" fontId="0" fillId="4" borderId="0" xfId="0" applyNumberFormat="1" applyFill="1" applyBorder="1"/>
    <xf numFmtId="0" fontId="0" fillId="3" borderId="10" xfId="0" applyFont="1" applyFill="1" applyBorder="1"/>
    <xf numFmtId="0" fontId="23" fillId="3" borderId="0" xfId="0" applyFont="1" applyFill="1"/>
    <xf numFmtId="0" fontId="0" fillId="3" borderId="4" xfId="0" applyFill="1" applyBorder="1"/>
    <xf numFmtId="0" fontId="0" fillId="3" borderId="5" xfId="0" applyFill="1" applyBorder="1"/>
    <xf numFmtId="0" fontId="22" fillId="3" borderId="0" xfId="0" applyFont="1" applyFill="1"/>
    <xf numFmtId="0" fontId="0" fillId="3" borderId="1" xfId="0" applyFill="1" applyBorder="1" applyAlignment="1">
      <alignment horizontal="center" wrapText="1"/>
    </xf>
    <xf numFmtId="0" fontId="0" fillId="3" borderId="15" xfId="0" applyFill="1" applyBorder="1"/>
    <xf numFmtId="0" fontId="0" fillId="3" borderId="18" xfId="0" applyFill="1" applyBorder="1"/>
    <xf numFmtId="0" fontId="23" fillId="4" borderId="0" xfId="0" applyFont="1" applyFill="1"/>
    <xf numFmtId="165" fontId="5" fillId="2" borderId="1" xfId="4" applyNumberFormat="1" applyFont="1" applyFill="1" applyBorder="1" applyAlignment="1" applyProtection="1">
      <alignment horizontal="center"/>
      <protection locked="0"/>
    </xf>
    <xf numFmtId="0" fontId="5" fillId="2" borderId="1" xfId="0" applyFont="1" applyFill="1" applyBorder="1" applyAlignment="1" applyProtection="1">
      <alignment horizontal="center"/>
      <protection locked="0"/>
    </xf>
    <xf numFmtId="0" fontId="0" fillId="4" borderId="1" xfId="0" applyFill="1" applyBorder="1" applyAlignment="1">
      <alignment horizontal="center"/>
    </xf>
    <xf numFmtId="2" fontId="0" fillId="4" borderId="1" xfId="0" applyNumberFormat="1" applyFill="1" applyBorder="1"/>
    <xf numFmtId="9" fontId="5" fillId="2" borderId="1" xfId="4" applyFont="1" applyFill="1" applyBorder="1" applyAlignment="1" applyProtection="1">
      <alignment horizontal="center"/>
      <protection locked="0"/>
    </xf>
    <xf numFmtId="0" fontId="6" fillId="4" borderId="0" xfId="0" applyFont="1" applyFill="1"/>
    <xf numFmtId="0" fontId="5" fillId="3" borderId="1" xfId="3" applyFill="1">
      <alignment horizontal="center"/>
      <protection locked="0"/>
    </xf>
    <xf numFmtId="2" fontId="5" fillId="2" borderId="1" xfId="3" applyNumberFormat="1" applyFill="1">
      <alignment horizontal="center"/>
      <protection locked="0"/>
    </xf>
    <xf numFmtId="2" fontId="5" fillId="2" borderId="1" xfId="3" applyNumberFormat="1" applyFill="1" applyProtection="1">
      <alignment horizontal="center"/>
      <protection locked="0"/>
    </xf>
    <xf numFmtId="0" fontId="25" fillId="3" borderId="0" xfId="0" applyFont="1" applyFill="1"/>
    <xf numFmtId="0" fontId="26" fillId="3" borderId="0" xfId="0" applyFont="1" applyFill="1"/>
    <xf numFmtId="0" fontId="3" fillId="3" borderId="0" xfId="3" applyFont="1" applyFill="1" applyBorder="1" applyProtection="1">
      <alignment horizontal="center"/>
    </xf>
    <xf numFmtId="166" fontId="0" fillId="3" borderId="0" xfId="0" applyNumberFormat="1" applyFill="1" applyAlignment="1">
      <alignment horizontal="left"/>
    </xf>
    <xf numFmtId="0" fontId="0" fillId="3" borderId="0" xfId="0" applyFill="1" applyAlignment="1">
      <alignment horizontal="left"/>
    </xf>
    <xf numFmtId="0" fontId="12" fillId="5" borderId="3" xfId="0" applyFont="1" applyFill="1" applyBorder="1" applyAlignment="1">
      <alignment horizontal="center"/>
    </xf>
    <xf numFmtId="9" fontId="12" fillId="5" borderId="1" xfId="0" applyNumberFormat="1" applyFont="1" applyFill="1" applyBorder="1" applyAlignment="1">
      <alignment horizontal="center"/>
    </xf>
    <xf numFmtId="0" fontId="12" fillId="5" borderId="1" xfId="0" applyFont="1" applyFill="1" applyBorder="1"/>
    <xf numFmtId="166" fontId="18" fillId="5" borderId="0" xfId="0" applyNumberFormat="1" applyFont="1" applyFill="1" applyBorder="1" applyAlignment="1" applyProtection="1">
      <alignment horizontal="center"/>
      <protection hidden="1"/>
    </xf>
    <xf numFmtId="165" fontId="12" fillId="4" borderId="1" xfId="4" applyNumberFormat="1" applyFont="1" applyFill="1" applyBorder="1" applyAlignment="1">
      <alignment horizontal="center"/>
    </xf>
    <xf numFmtId="166" fontId="18" fillId="5" borderId="4" xfId="0" applyNumberFormat="1" applyFont="1" applyFill="1" applyBorder="1" applyAlignment="1" applyProtection="1">
      <alignment horizontal="center"/>
      <protection hidden="1"/>
    </xf>
    <xf numFmtId="2" fontId="12" fillId="4" borderId="1" xfId="0" applyNumberFormat="1" applyFont="1" applyFill="1" applyBorder="1" applyAlignment="1">
      <alignment horizontal="center"/>
    </xf>
    <xf numFmtId="2" fontId="12" fillId="5" borderId="3" xfId="0" applyNumberFormat="1" applyFont="1" applyFill="1" applyBorder="1" applyAlignment="1">
      <alignment horizontal="center"/>
    </xf>
    <xf numFmtId="9" fontId="12" fillId="4" borderId="1" xfId="4" applyFont="1" applyFill="1" applyBorder="1" applyAlignment="1">
      <alignment horizontal="center"/>
    </xf>
    <xf numFmtId="0" fontId="0" fillId="4" borderId="0" xfId="0" applyFill="1" applyAlignment="1" applyProtection="1">
      <alignment horizontal="center"/>
      <protection hidden="1"/>
    </xf>
    <xf numFmtId="166" fontId="0" fillId="4" borderId="0" xfId="0" applyNumberFormat="1" applyFill="1" applyProtection="1">
      <protection hidden="1"/>
    </xf>
    <xf numFmtId="9" fontId="0" fillId="4" borderId="0" xfId="0" applyNumberFormat="1" applyFill="1" applyProtection="1">
      <protection hidden="1"/>
    </xf>
    <xf numFmtId="165" fontId="3" fillId="4" borderId="0" xfId="4" applyNumberFormat="1" applyFont="1" applyFill="1" applyProtection="1">
      <protection hidden="1"/>
    </xf>
    <xf numFmtId="2" fontId="0" fillId="4" borderId="0" xfId="0" applyNumberFormat="1" applyFill="1" applyProtection="1">
      <protection hidden="1"/>
    </xf>
    <xf numFmtId="0" fontId="0" fillId="4" borderId="1" xfId="0" applyFill="1" applyBorder="1" applyAlignment="1">
      <alignment horizontal="center"/>
    </xf>
    <xf numFmtId="0" fontId="5" fillId="2" borderId="1" xfId="3">
      <alignment horizontal="center"/>
      <protection locked="0"/>
    </xf>
    <xf numFmtId="0" fontId="0" fillId="4" borderId="0" xfId="0" applyFill="1" applyAlignment="1" applyProtection="1">
      <alignment horizontal="right"/>
      <protection hidden="1"/>
    </xf>
    <xf numFmtId="0" fontId="0" fillId="4" borderId="0" xfId="0" applyFill="1" applyAlignment="1">
      <alignment horizontal="right"/>
    </xf>
    <xf numFmtId="0" fontId="0" fillId="3" borderId="0" xfId="0" quotePrefix="1" applyFill="1"/>
    <xf numFmtId="0" fontId="0" fillId="4" borderId="1" xfId="0" applyFill="1" applyBorder="1" applyAlignment="1">
      <alignment horizontal="center"/>
    </xf>
    <xf numFmtId="0" fontId="5" fillId="2" borderId="1" xfId="3">
      <alignment horizontal="center"/>
      <protection locked="0"/>
    </xf>
    <xf numFmtId="0" fontId="5" fillId="2" borderId="1" xfId="3">
      <alignment horizontal="center"/>
      <protection locked="0"/>
    </xf>
    <xf numFmtId="0" fontId="22" fillId="3" borderId="0" xfId="0" applyFont="1" applyFill="1" applyAlignment="1">
      <alignment horizontal="center"/>
    </xf>
    <xf numFmtId="2" fontId="0" fillId="3" borderId="10" xfId="0" applyNumberFormat="1" applyFill="1" applyBorder="1"/>
    <xf numFmtId="0" fontId="5" fillId="2" borderId="1" xfId="3">
      <alignment horizontal="center"/>
      <protection locked="0"/>
    </xf>
    <xf numFmtId="0" fontId="0" fillId="3" borderId="0" xfId="0" applyFill="1" applyProtection="1">
      <protection hidden="1"/>
    </xf>
    <xf numFmtId="0" fontId="27" fillId="3" borderId="0" xfId="0" applyFont="1" applyFill="1" applyProtection="1">
      <protection hidden="1"/>
    </xf>
    <xf numFmtId="177" fontId="5" fillId="3" borderId="1" xfId="3" applyNumberFormat="1" applyFill="1">
      <alignment horizontal="center"/>
      <protection locked="0"/>
    </xf>
    <xf numFmtId="0" fontId="22" fillId="4" borderId="0" xfId="0" applyFont="1" applyFill="1" applyBorder="1"/>
    <xf numFmtId="9" fontId="5" fillId="2" borderId="5" xfId="4" applyFont="1" applyFill="1" applyBorder="1" applyAlignment="1" applyProtection="1">
      <alignment horizontal="center"/>
      <protection locked="0"/>
    </xf>
    <xf numFmtId="0" fontId="5" fillId="2" borderId="1" xfId="3">
      <alignment horizontal="center"/>
      <protection locked="0"/>
    </xf>
    <xf numFmtId="178" fontId="5" fillId="2" borderId="1" xfId="1" applyNumberFormat="1" applyFont="1" applyFill="1" applyBorder="1" applyAlignment="1" applyProtection="1">
      <alignment horizontal="center"/>
      <protection locked="0"/>
    </xf>
    <xf numFmtId="0" fontId="0" fillId="4" borderId="12" xfId="0" applyFill="1" applyBorder="1"/>
    <xf numFmtId="0" fontId="0" fillId="3" borderId="14" xfId="0" applyFill="1" applyBorder="1" applyAlignment="1">
      <alignment horizontal="center"/>
    </xf>
    <xf numFmtId="0" fontId="12" fillId="3" borderId="1" xfId="0" applyFont="1" applyFill="1" applyBorder="1"/>
    <xf numFmtId="9" fontId="16" fillId="2" borderId="12" xfId="0" applyNumberFormat="1" applyFont="1" applyFill="1" applyBorder="1" applyAlignment="1" applyProtection="1">
      <alignment horizontal="center"/>
      <protection locked="0"/>
    </xf>
    <xf numFmtId="0" fontId="16" fillId="2" borderId="12" xfId="0" applyFont="1" applyFill="1" applyBorder="1" applyAlignment="1" applyProtection="1">
      <alignment horizontal="center"/>
      <protection locked="0"/>
    </xf>
    <xf numFmtId="0" fontId="28" fillId="3" borderId="1" xfId="2" applyFont="1" applyFill="1" applyBorder="1" applyAlignment="1" applyProtection="1"/>
    <xf numFmtId="0" fontId="29" fillId="6" borderId="1" xfId="2" applyFont="1" applyFill="1" applyBorder="1" applyAlignment="1" applyProtection="1">
      <alignment horizontal="center" vertical="center"/>
    </xf>
    <xf numFmtId="0" fontId="30" fillId="6" borderId="1" xfId="2" applyFont="1" applyFill="1" applyBorder="1" applyAlignment="1" applyProtection="1">
      <alignment horizontal="center" vertical="center"/>
    </xf>
    <xf numFmtId="10" fontId="0" fillId="3" borderId="1" xfId="0" applyNumberFormat="1" applyFill="1" applyBorder="1"/>
    <xf numFmtId="181" fontId="16" fillId="2" borderId="12" xfId="0" applyNumberFormat="1" applyFont="1" applyFill="1" applyBorder="1" applyAlignment="1" applyProtection="1">
      <alignment horizontal="center"/>
      <protection locked="0"/>
    </xf>
    <xf numFmtId="0" fontId="0" fillId="3" borderId="13" xfId="0" applyFill="1" applyBorder="1" applyAlignment="1">
      <alignment horizontal="center"/>
    </xf>
    <xf numFmtId="0" fontId="0" fillId="3" borderId="2" xfId="0" applyFill="1" applyBorder="1" applyAlignment="1">
      <alignment horizontal="center"/>
    </xf>
    <xf numFmtId="0" fontId="0" fillId="4" borderId="0" xfId="0" applyFill="1" applyBorder="1" applyAlignment="1" applyProtection="1">
      <alignment horizontal="right"/>
      <protection hidden="1"/>
    </xf>
    <xf numFmtId="0" fontId="12" fillId="5" borderId="0" xfId="0" applyFont="1" applyFill="1" applyBorder="1"/>
    <xf numFmtId="9" fontId="12" fillId="2" borderId="1" xfId="0" applyNumberFormat="1" applyFont="1" applyFill="1" applyBorder="1" applyAlignment="1">
      <alignment horizontal="center"/>
    </xf>
    <xf numFmtId="0" fontId="0" fillId="8" borderId="0" xfId="0" applyFill="1"/>
    <xf numFmtId="0" fontId="5" fillId="2" borderId="1" xfId="3">
      <alignment horizontal="center"/>
      <protection locked="0"/>
    </xf>
    <xf numFmtId="9" fontId="16" fillId="2" borderId="1" xfId="4" applyFont="1" applyFill="1" applyBorder="1" applyAlignment="1" applyProtection="1">
      <alignment horizontal="center"/>
      <protection locked="0"/>
    </xf>
    <xf numFmtId="0" fontId="0" fillId="9" borderId="0" xfId="0" applyFill="1"/>
    <xf numFmtId="0" fontId="5" fillId="2" borderId="1" xfId="3">
      <alignment horizontal="center"/>
      <protection locked="0"/>
    </xf>
    <xf numFmtId="0" fontId="0" fillId="4" borderId="1" xfId="0" applyFill="1" applyBorder="1" applyAlignment="1">
      <alignment horizontal="center"/>
    </xf>
    <xf numFmtId="166" fontId="5" fillId="2" borderId="1" xfId="3" applyNumberFormat="1" applyProtection="1">
      <alignment horizontal="center"/>
      <protection locked="0"/>
    </xf>
    <xf numFmtId="0" fontId="39" fillId="4" borderId="0" xfId="0" applyFont="1" applyFill="1" applyProtection="1">
      <protection hidden="1"/>
    </xf>
    <xf numFmtId="166" fontId="18" fillId="4" borderId="19" xfId="0" applyNumberFormat="1" applyFont="1" applyFill="1" applyBorder="1" applyAlignment="1" applyProtection="1">
      <alignment horizontal="center"/>
      <protection hidden="1"/>
    </xf>
    <xf numFmtId="0" fontId="0" fillId="0" borderId="0" xfId="0" applyProtection="1">
      <protection hidden="1"/>
    </xf>
    <xf numFmtId="165" fontId="39" fillId="4" borderId="0" xfId="4" applyNumberFormat="1" applyFont="1" applyFill="1" applyProtection="1">
      <protection hidden="1"/>
    </xf>
    <xf numFmtId="0" fontId="39" fillId="0" borderId="0" xfId="0" applyFont="1" applyProtection="1">
      <protection hidden="1"/>
    </xf>
    <xf numFmtId="0" fontId="27" fillId="3" borderId="0" xfId="0" applyFont="1" applyFill="1" applyBorder="1" applyProtection="1">
      <protection hidden="1"/>
    </xf>
    <xf numFmtId="9" fontId="27" fillId="3" borderId="0" xfId="0" applyNumberFormat="1" applyFont="1" applyFill="1" applyBorder="1" applyProtection="1">
      <protection hidden="1"/>
    </xf>
    <xf numFmtId="9" fontId="27" fillId="3" borderId="0" xfId="4" applyFont="1" applyFill="1" applyBorder="1" applyProtection="1">
      <protection hidden="1"/>
    </xf>
    <xf numFmtId="166" fontId="27" fillId="3" borderId="0" xfId="0" applyNumberFormat="1" applyFont="1" applyFill="1" applyBorder="1" applyProtection="1">
      <protection hidden="1"/>
    </xf>
    <xf numFmtId="0" fontId="40" fillId="3" borderId="0" xfId="0" applyFont="1" applyFill="1" applyBorder="1" applyProtection="1">
      <protection hidden="1"/>
    </xf>
    <xf numFmtId="166" fontId="40" fillId="3" borderId="0" xfId="0" applyNumberFormat="1" applyFont="1" applyFill="1" applyBorder="1" applyProtection="1">
      <protection hidden="1"/>
    </xf>
    <xf numFmtId="0" fontId="23" fillId="3" borderId="0" xfId="0" applyFont="1" applyFill="1" applyProtection="1">
      <protection hidden="1"/>
    </xf>
    <xf numFmtId="0" fontId="0" fillId="3" borderId="1" xfId="0" applyFill="1" applyBorder="1" applyProtection="1">
      <protection hidden="1"/>
    </xf>
    <xf numFmtId="165" fontId="3" fillId="3" borderId="1" xfId="4" applyNumberFormat="1" applyFont="1" applyFill="1" applyBorder="1" applyAlignment="1" applyProtection="1">
      <alignment horizontal="center"/>
      <protection hidden="1"/>
    </xf>
    <xf numFmtId="0" fontId="0" fillId="3" borderId="10" xfId="0" applyFont="1" applyFill="1" applyBorder="1" applyProtection="1">
      <protection hidden="1"/>
    </xf>
    <xf numFmtId="165" fontId="23" fillId="3" borderId="1" xfId="4" applyNumberFormat="1" applyFont="1" applyFill="1" applyBorder="1" applyAlignment="1" applyProtection="1">
      <alignment horizontal="center"/>
      <protection hidden="1"/>
    </xf>
    <xf numFmtId="0" fontId="0" fillId="3" borderId="1" xfId="0" applyFill="1" applyBorder="1" applyAlignment="1" applyProtection="1">
      <protection hidden="1"/>
    </xf>
    <xf numFmtId="0" fontId="0" fillId="3" borderId="3" xfId="0" applyFill="1" applyBorder="1" applyAlignment="1" applyProtection="1">
      <alignment horizontal="center"/>
      <protection hidden="1"/>
    </xf>
    <xf numFmtId="0" fontId="0" fillId="3" borderId="4" xfId="0" applyFill="1" applyBorder="1" applyAlignment="1" applyProtection="1">
      <alignment horizontal="center"/>
      <protection hidden="1"/>
    </xf>
    <xf numFmtId="179" fontId="3" fillId="3" borderId="1" xfId="1" applyNumberFormat="1" applyFont="1" applyFill="1" applyBorder="1" applyProtection="1">
      <protection hidden="1"/>
    </xf>
    <xf numFmtId="0" fontId="8" fillId="3" borderId="0" xfId="0" applyFont="1" applyFill="1" applyProtection="1">
      <protection hidden="1"/>
    </xf>
    <xf numFmtId="0" fontId="30" fillId="6" borderId="1" xfId="2" applyFont="1" applyFill="1" applyBorder="1" applyAlignment="1" applyProtection="1">
      <alignment horizontal="center" vertical="center"/>
      <protection hidden="1"/>
    </xf>
    <xf numFmtId="0" fontId="0" fillId="3" borderId="10" xfId="0" applyFill="1" applyBorder="1" applyProtection="1">
      <protection hidden="1"/>
    </xf>
    <xf numFmtId="0" fontId="0" fillId="3" borderId="11" xfId="0" applyFill="1" applyBorder="1" applyProtection="1">
      <protection hidden="1"/>
    </xf>
    <xf numFmtId="0" fontId="0" fillId="3" borderId="12" xfId="0" applyFill="1" applyBorder="1" applyProtection="1">
      <protection hidden="1"/>
    </xf>
    <xf numFmtId="165" fontId="3" fillId="3" borderId="1" xfId="4" applyNumberFormat="1" applyFont="1" applyFill="1" applyBorder="1" applyProtection="1">
      <protection hidden="1"/>
    </xf>
    <xf numFmtId="0" fontId="0" fillId="3" borderId="5" xfId="0" applyFill="1" applyBorder="1" applyAlignment="1" applyProtection="1">
      <alignment horizontal="center"/>
      <protection hidden="1"/>
    </xf>
    <xf numFmtId="15" fontId="0" fillId="3" borderId="1" xfId="0" applyNumberFormat="1" applyFill="1" applyBorder="1" applyProtection="1">
      <protection hidden="1"/>
    </xf>
    <xf numFmtId="1" fontId="0" fillId="3" borderId="1" xfId="0" applyNumberFormat="1" applyFill="1" applyBorder="1" applyProtection="1">
      <protection hidden="1"/>
    </xf>
    <xf numFmtId="178" fontId="3" fillId="3" borderId="1" xfId="1" applyNumberFormat="1" applyFont="1" applyFill="1" applyBorder="1" applyProtection="1">
      <protection hidden="1"/>
    </xf>
    <xf numFmtId="166" fontId="0" fillId="3" borderId="1" xfId="0" applyNumberFormat="1" applyFill="1" applyBorder="1" applyProtection="1">
      <protection hidden="1"/>
    </xf>
    <xf numFmtId="171" fontId="0" fillId="3" borderId="0" xfId="0" applyNumberFormat="1" applyFill="1" applyProtection="1">
      <protection hidden="1"/>
    </xf>
    <xf numFmtId="165" fontId="3" fillId="3" borderId="5" xfId="4" applyNumberFormat="1" applyFont="1" applyFill="1" applyBorder="1" applyAlignment="1" applyProtection="1">
      <alignment horizontal="center"/>
      <protection hidden="1"/>
    </xf>
    <xf numFmtId="0" fontId="0" fillId="3" borderId="1" xfId="0" applyFill="1" applyBorder="1" applyAlignment="1" applyProtection="1">
      <alignment horizontal="center"/>
      <protection hidden="1"/>
    </xf>
    <xf numFmtId="178" fontId="3" fillId="3" borderId="0" xfId="1" applyNumberFormat="1" applyFont="1" applyFill="1" applyProtection="1">
      <protection hidden="1"/>
    </xf>
    <xf numFmtId="0" fontId="0" fillId="3" borderId="3" xfId="0" applyFill="1" applyBorder="1" applyProtection="1">
      <protection hidden="1"/>
    </xf>
    <xf numFmtId="178" fontId="3" fillId="3" borderId="3" xfId="1" applyNumberFormat="1" applyFont="1" applyFill="1" applyBorder="1" applyProtection="1">
      <protection hidden="1"/>
    </xf>
    <xf numFmtId="0" fontId="0" fillId="3" borderId="4" xfId="0" applyFill="1" applyBorder="1" applyProtection="1">
      <protection hidden="1"/>
    </xf>
    <xf numFmtId="178" fontId="3" fillId="3" borderId="4" xfId="1" applyNumberFormat="1" applyFont="1" applyFill="1" applyBorder="1" applyProtection="1">
      <protection hidden="1"/>
    </xf>
    <xf numFmtId="0" fontId="0" fillId="3" borderId="5" xfId="0" applyFill="1" applyBorder="1" applyProtection="1">
      <protection hidden="1"/>
    </xf>
    <xf numFmtId="178" fontId="3" fillId="3" borderId="5" xfId="1" applyNumberFormat="1" applyFont="1" applyFill="1" applyBorder="1" applyProtection="1">
      <protection hidden="1"/>
    </xf>
    <xf numFmtId="0" fontId="9" fillId="3" borderId="0" xfId="0" applyFont="1" applyFill="1" applyProtection="1">
      <protection hidden="1"/>
    </xf>
    <xf numFmtId="15" fontId="0" fillId="3" borderId="0" xfId="0" applyNumberFormat="1" applyFill="1" applyProtection="1">
      <protection hidden="1"/>
    </xf>
    <xf numFmtId="14" fontId="0" fillId="3" borderId="0" xfId="0" applyNumberFormat="1" applyFill="1" applyProtection="1">
      <protection hidden="1"/>
    </xf>
    <xf numFmtId="0" fontId="0" fillId="3" borderId="0" xfId="0" applyFill="1" applyAlignment="1" applyProtection="1">
      <alignment horizontal="center"/>
      <protection hidden="1"/>
    </xf>
    <xf numFmtId="0" fontId="0" fillId="3" borderId="0" xfId="0" applyFill="1" applyBorder="1" applyProtection="1">
      <protection hidden="1"/>
    </xf>
    <xf numFmtId="0" fontId="7" fillId="3" borderId="1" xfId="0" applyFont="1" applyFill="1" applyBorder="1" applyProtection="1">
      <protection hidden="1"/>
    </xf>
    <xf numFmtId="0" fontId="0" fillId="3" borderId="18" xfId="0" applyFill="1" applyBorder="1" applyProtection="1">
      <protection hidden="1"/>
    </xf>
    <xf numFmtId="9" fontId="3" fillId="3" borderId="0" xfId="4" applyFont="1" applyFill="1" applyProtection="1">
      <protection hidden="1"/>
    </xf>
    <xf numFmtId="168" fontId="0" fillId="3" borderId="1" xfId="0" applyNumberFormat="1" applyFill="1" applyBorder="1" applyProtection="1">
      <protection hidden="1"/>
    </xf>
    <xf numFmtId="1" fontId="0" fillId="3" borderId="0" xfId="0" applyNumberFormat="1" applyFill="1" applyProtection="1">
      <protection hidden="1"/>
    </xf>
    <xf numFmtId="2" fontId="0" fillId="3" borderId="0" xfId="0" applyNumberFormat="1" applyFill="1" applyProtection="1">
      <protection hidden="1"/>
    </xf>
    <xf numFmtId="166" fontId="0" fillId="3" borderId="0" xfId="0" applyNumberFormat="1" applyFill="1" applyProtection="1">
      <protection hidden="1"/>
    </xf>
    <xf numFmtId="0" fontId="0" fillId="3" borderId="1" xfId="0" applyFill="1" applyBorder="1" applyAlignment="1" applyProtection="1">
      <alignment horizontal="left"/>
      <protection hidden="1"/>
    </xf>
    <xf numFmtId="168" fontId="0" fillId="3" borderId="1" xfId="0" applyNumberFormat="1" applyFill="1" applyBorder="1" applyAlignment="1" applyProtection="1">
      <alignment horizontal="center"/>
      <protection hidden="1"/>
    </xf>
    <xf numFmtId="1" fontId="0" fillId="3" borderId="1" xfId="0" applyNumberFormat="1" applyFill="1" applyBorder="1" applyAlignment="1" applyProtection="1">
      <alignment horizontal="center"/>
      <protection hidden="1"/>
    </xf>
    <xf numFmtId="2" fontId="0" fillId="3" borderId="10" xfId="0" applyNumberFormat="1" applyFill="1" applyBorder="1" applyProtection="1">
      <protection hidden="1"/>
    </xf>
    <xf numFmtId="0" fontId="23" fillId="3" borderId="0" xfId="0" applyFont="1" applyFill="1" applyAlignment="1" applyProtection="1">
      <alignment horizontal="left"/>
      <protection hidden="1"/>
    </xf>
    <xf numFmtId="0" fontId="0" fillId="3" borderId="1" xfId="0" applyNumberFormat="1" applyFill="1" applyBorder="1" applyProtection="1">
      <protection hidden="1"/>
    </xf>
    <xf numFmtId="9" fontId="3" fillId="3" borderId="1" xfId="4" applyFont="1" applyFill="1" applyBorder="1" applyProtection="1">
      <protection hidden="1"/>
    </xf>
    <xf numFmtId="2" fontId="0" fillId="3" borderId="1" xfId="0" applyNumberFormat="1" applyFill="1" applyBorder="1" applyProtection="1">
      <protection hidden="1"/>
    </xf>
    <xf numFmtId="172" fontId="0" fillId="3" borderId="0" xfId="0" applyNumberFormat="1" applyFill="1" applyProtection="1">
      <protection hidden="1"/>
    </xf>
    <xf numFmtId="9" fontId="3" fillId="3" borderId="3" xfId="4" applyFont="1" applyFill="1" applyBorder="1" applyProtection="1">
      <protection hidden="1"/>
    </xf>
    <xf numFmtId="179" fontId="3" fillId="3" borderId="0" xfId="1" applyNumberFormat="1" applyFont="1" applyFill="1" applyProtection="1">
      <protection hidden="1"/>
    </xf>
    <xf numFmtId="43" fontId="0" fillId="3" borderId="0" xfId="0" applyNumberFormat="1" applyFill="1" applyProtection="1">
      <protection hidden="1"/>
    </xf>
    <xf numFmtId="0" fontId="22" fillId="3" borderId="0" xfId="0" applyFont="1" applyFill="1" applyProtection="1">
      <protection hidden="1"/>
    </xf>
    <xf numFmtId="165" fontId="0" fillId="3" borderId="1" xfId="0" applyNumberFormat="1" applyFill="1" applyBorder="1" applyProtection="1">
      <protection hidden="1"/>
    </xf>
    <xf numFmtId="0" fontId="0" fillId="3" borderId="1" xfId="0" applyFill="1" applyBorder="1" applyAlignment="1" applyProtection="1">
      <alignment horizontal="center" wrapText="1"/>
      <protection hidden="1"/>
    </xf>
    <xf numFmtId="0" fontId="0" fillId="3" borderId="1" xfId="0" applyFill="1" applyBorder="1" applyAlignment="1" applyProtection="1">
      <alignment wrapText="1"/>
      <protection hidden="1"/>
    </xf>
    <xf numFmtId="0" fontId="0" fillId="3" borderId="12" xfId="0" applyFill="1" applyBorder="1" applyAlignment="1" applyProtection="1">
      <alignment horizontal="center"/>
      <protection hidden="1"/>
    </xf>
    <xf numFmtId="0" fontId="0" fillId="3" borderId="3" xfId="0" applyFill="1" applyBorder="1" applyAlignment="1" applyProtection="1">
      <alignment horizontal="center" wrapText="1"/>
      <protection hidden="1"/>
    </xf>
    <xf numFmtId="0" fontId="0" fillId="3" borderId="0" xfId="0" applyFill="1" applyBorder="1" applyAlignment="1" applyProtection="1">
      <alignment horizontal="center" wrapText="1"/>
      <protection hidden="1"/>
    </xf>
    <xf numFmtId="0" fontId="0" fillId="3" borderId="3" xfId="0" applyFill="1" applyBorder="1" applyAlignment="1" applyProtection="1">
      <alignment wrapText="1"/>
      <protection hidden="1"/>
    </xf>
    <xf numFmtId="0" fontId="0" fillId="3" borderId="0" xfId="0" applyFill="1" applyAlignment="1" applyProtection="1">
      <alignment horizontal="center" wrapText="1"/>
      <protection hidden="1"/>
    </xf>
    <xf numFmtId="165" fontId="3" fillId="3" borderId="0" xfId="4" applyNumberFormat="1" applyFont="1" applyFill="1" applyProtection="1">
      <protection hidden="1"/>
    </xf>
    <xf numFmtId="9" fontId="0" fillId="3" borderId="1" xfId="0" applyNumberFormat="1" applyFill="1" applyBorder="1" applyProtection="1">
      <protection hidden="1"/>
    </xf>
    <xf numFmtId="9" fontId="0" fillId="3" borderId="0" xfId="0" applyNumberFormat="1" applyFill="1" applyBorder="1" applyProtection="1">
      <protection hidden="1"/>
    </xf>
    <xf numFmtId="178" fontId="0" fillId="3" borderId="0" xfId="0" applyNumberFormat="1" applyFill="1" applyProtection="1">
      <protection hidden="1"/>
    </xf>
    <xf numFmtId="178" fontId="3" fillId="3" borderId="0" xfId="1" applyNumberFormat="1" applyFont="1" applyFill="1" applyBorder="1" applyProtection="1">
      <protection hidden="1"/>
    </xf>
    <xf numFmtId="1" fontId="0" fillId="3" borderId="3" xfId="0" applyNumberFormat="1" applyFill="1" applyBorder="1" applyProtection="1">
      <protection hidden="1"/>
    </xf>
    <xf numFmtId="2" fontId="0" fillId="3" borderId="3" xfId="0" applyNumberFormat="1" applyFill="1" applyBorder="1" applyProtection="1">
      <protection hidden="1"/>
    </xf>
    <xf numFmtId="1" fontId="0" fillId="3" borderId="4" xfId="0" applyNumberFormat="1" applyFill="1" applyBorder="1" applyProtection="1">
      <protection hidden="1"/>
    </xf>
    <xf numFmtId="2" fontId="0" fillId="3" borderId="4" xfId="0" applyNumberFormat="1" applyFill="1" applyBorder="1" applyProtection="1">
      <protection hidden="1"/>
    </xf>
    <xf numFmtId="1" fontId="0" fillId="3" borderId="5" xfId="0" applyNumberFormat="1" applyFill="1" applyBorder="1" applyProtection="1">
      <protection hidden="1"/>
    </xf>
    <xf numFmtId="2" fontId="0" fillId="3" borderId="5" xfId="0" applyNumberFormat="1" applyFill="1" applyBorder="1" applyProtection="1">
      <protection hidden="1"/>
    </xf>
    <xf numFmtId="0" fontId="8" fillId="3" borderId="14" xfId="0" applyFont="1" applyFill="1" applyBorder="1" applyProtection="1">
      <protection hidden="1"/>
    </xf>
    <xf numFmtId="0" fontId="8" fillId="3" borderId="15" xfId="0" applyFont="1" applyFill="1" applyBorder="1" applyProtection="1">
      <protection hidden="1"/>
    </xf>
    <xf numFmtId="0" fontId="0" fillId="3" borderId="15" xfId="0" applyFill="1" applyBorder="1" applyProtection="1">
      <protection hidden="1"/>
    </xf>
    <xf numFmtId="0" fontId="0" fillId="3" borderId="16" xfId="0" applyFill="1" applyBorder="1" applyProtection="1">
      <protection hidden="1"/>
    </xf>
    <xf numFmtId="0" fontId="0" fillId="3" borderId="2" xfId="0" applyFill="1" applyBorder="1" applyProtection="1">
      <protection hidden="1"/>
    </xf>
    <xf numFmtId="0" fontId="0" fillId="3" borderId="19" xfId="0" applyFill="1" applyBorder="1" applyProtection="1">
      <protection hidden="1"/>
    </xf>
    <xf numFmtId="15" fontId="0" fillId="3" borderId="5" xfId="0" applyNumberFormat="1" applyFill="1" applyBorder="1" applyProtection="1">
      <protection hidden="1"/>
    </xf>
    <xf numFmtId="9" fontId="0" fillId="3" borderId="0" xfId="0" applyNumberFormat="1" applyFill="1" applyProtection="1">
      <protection hidden="1"/>
    </xf>
    <xf numFmtId="173" fontId="0" fillId="3" borderId="1" xfId="0" applyNumberFormat="1" applyFill="1" applyBorder="1" applyProtection="1">
      <protection hidden="1"/>
    </xf>
    <xf numFmtId="174" fontId="0" fillId="3" borderId="0" xfId="0" applyNumberFormat="1" applyFill="1" applyProtection="1">
      <protection hidden="1"/>
    </xf>
    <xf numFmtId="166" fontId="0" fillId="3" borderId="0" xfId="0" applyNumberFormat="1" applyFill="1" applyBorder="1" applyProtection="1">
      <protection hidden="1"/>
    </xf>
    <xf numFmtId="10" fontId="3" fillId="3" borderId="1" xfId="4" applyNumberFormat="1" applyFont="1" applyFill="1" applyBorder="1" applyProtection="1">
      <protection hidden="1"/>
    </xf>
    <xf numFmtId="10" fontId="0" fillId="3" borderId="3" xfId="0" applyNumberFormat="1" applyFill="1" applyBorder="1" applyProtection="1">
      <protection hidden="1"/>
    </xf>
    <xf numFmtId="168" fontId="0" fillId="3" borderId="0" xfId="0" applyNumberFormat="1" applyFill="1" applyProtection="1">
      <protection hidden="1"/>
    </xf>
    <xf numFmtId="168" fontId="23" fillId="3" borderId="0" xfId="0" applyNumberFormat="1" applyFont="1" applyFill="1" applyProtection="1">
      <protection hidden="1"/>
    </xf>
    <xf numFmtId="0" fontId="0" fillId="3" borderId="0" xfId="0" applyFill="1" applyBorder="1" applyAlignment="1" applyProtection="1">
      <alignment horizontal="center"/>
      <protection hidden="1"/>
    </xf>
    <xf numFmtId="2" fontId="0" fillId="3" borderId="1" xfId="0" applyNumberFormat="1" applyFill="1" applyBorder="1" applyAlignment="1" applyProtection="1">
      <alignment horizontal="center"/>
      <protection hidden="1"/>
    </xf>
    <xf numFmtId="0" fontId="0" fillId="3" borderId="11" xfId="0" applyFill="1" applyBorder="1" applyAlignment="1" applyProtection="1">
      <alignment horizontal="center"/>
      <protection hidden="1"/>
    </xf>
    <xf numFmtId="2" fontId="0" fillId="3" borderId="11" xfId="0" applyNumberFormat="1" applyFill="1" applyBorder="1" applyAlignment="1" applyProtection="1">
      <alignment horizontal="center"/>
      <protection hidden="1"/>
    </xf>
    <xf numFmtId="165" fontId="3" fillId="3" borderId="0" xfId="4" applyNumberFormat="1" applyFont="1" applyFill="1" applyBorder="1" applyProtection="1">
      <protection hidden="1"/>
    </xf>
    <xf numFmtId="2" fontId="0" fillId="3" borderId="0" xfId="0" applyNumberFormat="1" applyFill="1" applyBorder="1" applyProtection="1">
      <protection hidden="1"/>
    </xf>
    <xf numFmtId="0" fontId="0" fillId="3" borderId="14" xfId="0" applyFill="1" applyBorder="1" applyProtection="1">
      <protection hidden="1"/>
    </xf>
    <xf numFmtId="0" fontId="24" fillId="3" borderId="0" xfId="0" applyFont="1" applyFill="1" applyProtection="1">
      <protection hidden="1"/>
    </xf>
    <xf numFmtId="178" fontId="3" fillId="3" borderId="1" xfId="1" applyNumberFormat="1" applyFont="1" applyFill="1" applyBorder="1" applyAlignment="1" applyProtection="1">
      <alignment horizontal="center"/>
      <protection hidden="1"/>
    </xf>
    <xf numFmtId="178" fontId="3" fillId="3" borderId="0" xfId="1" applyNumberFormat="1" applyFont="1" applyFill="1" applyBorder="1" applyAlignment="1" applyProtection="1">
      <alignment horizontal="center"/>
      <protection hidden="1"/>
    </xf>
    <xf numFmtId="9" fontId="22" fillId="3" borderId="0" xfId="0" applyNumberFormat="1" applyFont="1" applyFill="1" applyProtection="1">
      <protection hidden="1"/>
    </xf>
    <xf numFmtId="166" fontId="0" fillId="3" borderId="0" xfId="0" applyNumberFormat="1" applyFill="1" applyAlignment="1" applyProtection="1">
      <alignment horizontal="left"/>
      <protection hidden="1"/>
    </xf>
    <xf numFmtId="0" fontId="0" fillId="3" borderId="0" xfId="0" applyFill="1" applyAlignment="1" applyProtection="1">
      <alignment horizontal="left"/>
      <protection hidden="1"/>
    </xf>
    <xf numFmtId="9" fontId="0" fillId="3" borderId="1" xfId="0" applyNumberFormat="1" applyFill="1" applyBorder="1" applyAlignment="1" applyProtection="1">
      <protection hidden="1"/>
    </xf>
    <xf numFmtId="180" fontId="3" fillId="3" borderId="4" xfId="1" applyNumberFormat="1" applyFont="1" applyFill="1" applyBorder="1" applyProtection="1">
      <protection hidden="1"/>
    </xf>
    <xf numFmtId="180" fontId="3" fillId="3" borderId="5" xfId="1" applyNumberFormat="1" applyFont="1" applyFill="1" applyBorder="1" applyProtection="1">
      <protection hidden="1"/>
    </xf>
    <xf numFmtId="0" fontId="21" fillId="3" borderId="0" xfId="0" applyFont="1" applyFill="1" applyProtection="1">
      <protection hidden="1"/>
    </xf>
    <xf numFmtId="2" fontId="0" fillId="3" borderId="1" xfId="0" applyNumberFormat="1" applyFill="1" applyBorder="1" applyAlignment="1" applyProtection="1">
      <alignment horizontal="right"/>
      <protection hidden="1"/>
    </xf>
    <xf numFmtId="9" fontId="0" fillId="3" borderId="5" xfId="0" applyNumberFormat="1" applyFill="1" applyBorder="1" applyAlignment="1" applyProtection="1">
      <alignment horizontal="center"/>
      <protection hidden="1"/>
    </xf>
    <xf numFmtId="0" fontId="0" fillId="3" borderId="5" xfId="0" applyFill="1" applyBorder="1" applyAlignment="1" applyProtection="1">
      <protection hidden="1"/>
    </xf>
    <xf numFmtId="9" fontId="0" fillId="3" borderId="1" xfId="0" applyNumberFormat="1" applyFill="1" applyBorder="1" applyAlignment="1" applyProtection="1">
      <alignment horizontal="center"/>
      <protection hidden="1"/>
    </xf>
    <xf numFmtId="9" fontId="3" fillId="3" borderId="1" xfId="4" applyFont="1" applyFill="1" applyBorder="1" applyAlignment="1" applyProtection="1">
      <alignment horizontal="center"/>
      <protection hidden="1"/>
    </xf>
    <xf numFmtId="169" fontId="0" fillId="3" borderId="1" xfId="0" applyNumberFormat="1" applyFill="1" applyBorder="1" applyAlignment="1" applyProtection="1">
      <alignment horizontal="center"/>
      <protection hidden="1"/>
    </xf>
    <xf numFmtId="169" fontId="0" fillId="3" borderId="4" xfId="0" applyNumberFormat="1" applyFill="1" applyBorder="1" applyProtection="1">
      <protection hidden="1"/>
    </xf>
    <xf numFmtId="169" fontId="0" fillId="3" borderId="5" xfId="0" applyNumberFormat="1" applyFill="1" applyBorder="1" applyProtection="1">
      <protection hidden="1"/>
    </xf>
    <xf numFmtId="178" fontId="3" fillId="3" borderId="12" xfId="1" applyNumberFormat="1" applyFont="1" applyFill="1" applyBorder="1" applyProtection="1">
      <protection hidden="1"/>
    </xf>
    <xf numFmtId="178" fontId="3" fillId="3" borderId="16" xfId="1" applyNumberFormat="1" applyFont="1" applyFill="1" applyBorder="1" applyProtection="1">
      <protection hidden="1"/>
    </xf>
    <xf numFmtId="165" fontId="3" fillId="3" borderId="3" xfId="4" applyNumberFormat="1" applyFont="1" applyFill="1" applyBorder="1" applyProtection="1">
      <protection hidden="1"/>
    </xf>
    <xf numFmtId="165" fontId="3" fillId="3" borderId="4" xfId="4" applyNumberFormat="1" applyFont="1" applyFill="1" applyBorder="1" applyProtection="1">
      <protection hidden="1"/>
    </xf>
    <xf numFmtId="165" fontId="3" fillId="3" borderId="5" xfId="4" applyNumberFormat="1" applyFont="1" applyFill="1" applyBorder="1" applyProtection="1">
      <protection hidden="1"/>
    </xf>
    <xf numFmtId="167" fontId="0" fillId="3" borderId="1" xfId="0" applyNumberFormat="1" applyFill="1" applyBorder="1" applyProtection="1">
      <protection hidden="1"/>
    </xf>
    <xf numFmtId="167" fontId="0" fillId="3" borderId="1" xfId="0" applyNumberFormat="1" applyFill="1" applyBorder="1" applyAlignment="1" applyProtection="1">
      <alignment horizontal="center"/>
      <protection hidden="1"/>
    </xf>
    <xf numFmtId="167" fontId="0" fillId="3" borderId="0" xfId="0" applyNumberFormat="1" applyFill="1" applyProtection="1">
      <protection hidden="1"/>
    </xf>
    <xf numFmtId="167" fontId="0" fillId="3" borderId="3" xfId="0" applyNumberFormat="1" applyFill="1" applyBorder="1" applyProtection="1">
      <protection hidden="1"/>
    </xf>
    <xf numFmtId="10" fontId="3" fillId="3" borderId="3" xfId="4" applyNumberFormat="1" applyFont="1" applyFill="1" applyBorder="1" applyProtection="1">
      <protection hidden="1"/>
    </xf>
    <xf numFmtId="167" fontId="0" fillId="3" borderId="4" xfId="0" applyNumberFormat="1" applyFill="1" applyBorder="1" applyProtection="1">
      <protection hidden="1"/>
    </xf>
    <xf numFmtId="10" fontId="3" fillId="3" borderId="4" xfId="4" applyNumberFormat="1" applyFont="1" applyFill="1" applyBorder="1" applyProtection="1">
      <protection hidden="1"/>
    </xf>
    <xf numFmtId="167" fontId="0" fillId="3" borderId="5" xfId="0" applyNumberFormat="1" applyFill="1" applyBorder="1" applyProtection="1">
      <protection hidden="1"/>
    </xf>
    <xf numFmtId="10" fontId="3" fillId="3" borderId="5" xfId="4" applyNumberFormat="1" applyFont="1" applyFill="1" applyBorder="1" applyProtection="1">
      <protection hidden="1"/>
    </xf>
    <xf numFmtId="0" fontId="8" fillId="3" borderId="0" xfId="0" applyFont="1" applyFill="1" applyBorder="1" applyProtection="1">
      <protection hidden="1"/>
    </xf>
    <xf numFmtId="175" fontId="0" fillId="3" borderId="0" xfId="0" applyNumberFormat="1" applyFill="1" applyProtection="1">
      <protection hidden="1"/>
    </xf>
    <xf numFmtId="0" fontId="4" fillId="3" borderId="3" xfId="2" applyFill="1" applyBorder="1" applyAlignment="1" applyProtection="1">
      <alignment horizontal="center"/>
      <protection hidden="1"/>
    </xf>
    <xf numFmtId="10" fontId="0" fillId="3" borderId="0" xfId="0" applyNumberFormat="1" applyFill="1" applyProtection="1">
      <protection hidden="1"/>
    </xf>
    <xf numFmtId="167" fontId="0" fillId="3" borderId="13" xfId="0" applyNumberFormat="1" applyFill="1" applyBorder="1" applyProtection="1">
      <protection hidden="1"/>
    </xf>
    <xf numFmtId="167" fontId="0" fillId="3" borderId="17" xfId="0" applyNumberFormat="1" applyFill="1" applyBorder="1" applyProtection="1">
      <protection hidden="1"/>
    </xf>
    <xf numFmtId="168" fontId="0" fillId="3" borderId="3" xfId="0" applyNumberFormat="1" applyFill="1" applyBorder="1" applyProtection="1">
      <protection hidden="1"/>
    </xf>
    <xf numFmtId="164" fontId="0" fillId="3" borderId="0" xfId="0" applyNumberFormat="1" applyFill="1" applyProtection="1">
      <protection hidden="1"/>
    </xf>
    <xf numFmtId="168" fontId="0" fillId="3" borderId="4" xfId="0" applyNumberFormat="1" applyFill="1" applyBorder="1" applyProtection="1">
      <protection hidden="1"/>
    </xf>
    <xf numFmtId="168" fontId="0" fillId="3" borderId="5" xfId="0" applyNumberFormat="1" applyFill="1" applyBorder="1" applyProtection="1">
      <protection hidden="1"/>
    </xf>
    <xf numFmtId="0" fontId="0" fillId="0" borderId="0" xfId="0" applyBorder="1" applyProtection="1">
      <protection hidden="1"/>
    </xf>
    <xf numFmtId="166" fontId="0" fillId="3" borderId="5" xfId="0" applyNumberFormat="1" applyFill="1" applyBorder="1" applyProtection="1">
      <protection hidden="1"/>
    </xf>
    <xf numFmtId="1" fontId="0" fillId="3" borderId="1" xfId="0" applyNumberFormat="1" applyFill="1" applyBorder="1" applyAlignment="1" applyProtection="1">
      <alignment horizontal="right"/>
      <protection hidden="1"/>
    </xf>
    <xf numFmtId="171" fontId="0" fillId="3" borderId="3" xfId="0" applyNumberFormat="1" applyFill="1" applyBorder="1" applyProtection="1">
      <protection hidden="1"/>
    </xf>
    <xf numFmtId="175" fontId="0" fillId="3" borderId="3" xfId="0" applyNumberFormat="1" applyFill="1" applyBorder="1" applyProtection="1">
      <protection hidden="1"/>
    </xf>
    <xf numFmtId="175" fontId="3" fillId="3" borderId="3" xfId="4" applyNumberFormat="1" applyFont="1" applyFill="1" applyBorder="1" applyProtection="1">
      <protection hidden="1"/>
    </xf>
    <xf numFmtId="171" fontId="0" fillId="3" borderId="4" xfId="0" applyNumberFormat="1" applyFill="1" applyBorder="1" applyProtection="1">
      <protection hidden="1"/>
    </xf>
    <xf numFmtId="175" fontId="0" fillId="3" borderId="4" xfId="0" applyNumberFormat="1" applyFill="1" applyBorder="1" applyProtection="1">
      <protection hidden="1"/>
    </xf>
    <xf numFmtId="171" fontId="0" fillId="3" borderId="5" xfId="0" applyNumberFormat="1" applyFill="1" applyBorder="1" applyProtection="1">
      <protection hidden="1"/>
    </xf>
    <xf numFmtId="175" fontId="0" fillId="3" borderId="5" xfId="0" applyNumberFormat="1" applyFill="1" applyBorder="1" applyProtection="1">
      <protection hidden="1"/>
    </xf>
    <xf numFmtId="0" fontId="0" fillId="4" borderId="1" xfId="0" applyFill="1" applyBorder="1" applyAlignment="1" applyProtection="1">
      <alignment horizontal="center"/>
      <protection hidden="1"/>
    </xf>
    <xf numFmtId="176" fontId="0" fillId="4" borderId="1" xfId="0" applyNumberFormat="1" applyFill="1" applyBorder="1" applyAlignment="1" applyProtection="1">
      <alignment horizontal="center"/>
      <protection hidden="1"/>
    </xf>
    <xf numFmtId="0" fontId="0" fillId="4" borderId="3" xfId="0" applyFill="1" applyBorder="1" applyAlignment="1" applyProtection="1">
      <alignment horizontal="center"/>
      <protection hidden="1"/>
    </xf>
    <xf numFmtId="0" fontId="0" fillId="4" borderId="1" xfId="0" applyFill="1" applyBorder="1" applyProtection="1">
      <protection hidden="1"/>
    </xf>
    <xf numFmtId="166" fontId="0" fillId="4" borderId="3" xfId="0" applyNumberFormat="1" applyFill="1" applyBorder="1" applyProtection="1">
      <protection hidden="1"/>
    </xf>
    <xf numFmtId="166" fontId="0" fillId="4" borderId="4" xfId="0" applyNumberFormat="1" applyFill="1" applyBorder="1" applyProtection="1">
      <protection hidden="1"/>
    </xf>
    <xf numFmtId="166" fontId="0" fillId="4" borderId="5" xfId="0" applyNumberFormat="1" applyFill="1" applyBorder="1" applyProtection="1">
      <protection hidden="1"/>
    </xf>
    <xf numFmtId="178" fontId="3" fillId="4" borderId="0" xfId="1" applyNumberFormat="1" applyFont="1" applyFill="1" applyProtection="1">
      <protection hidden="1"/>
    </xf>
    <xf numFmtId="178" fontId="3" fillId="4" borderId="4" xfId="1" applyNumberFormat="1" applyFont="1" applyFill="1" applyBorder="1" applyProtection="1">
      <protection hidden="1"/>
    </xf>
    <xf numFmtId="178" fontId="3" fillId="4" borderId="5" xfId="1" applyNumberFormat="1" applyFont="1" applyFill="1" applyBorder="1" applyProtection="1">
      <protection hidden="1"/>
    </xf>
    <xf numFmtId="178" fontId="3" fillId="4" borderId="0" xfId="1" applyNumberFormat="1" applyFont="1" applyFill="1" applyBorder="1" applyProtection="1">
      <protection hidden="1"/>
    </xf>
    <xf numFmtId="178" fontId="3" fillId="4" borderId="3" xfId="1" applyNumberFormat="1" applyFont="1" applyFill="1" applyBorder="1" applyProtection="1">
      <protection hidden="1"/>
    </xf>
    <xf numFmtId="178" fontId="3" fillId="4" borderId="1" xfId="1" applyNumberFormat="1" applyFont="1" applyFill="1" applyBorder="1" applyProtection="1">
      <protection hidden="1"/>
    </xf>
    <xf numFmtId="0" fontId="11" fillId="4" borderId="0" xfId="0" applyFont="1" applyFill="1" applyProtection="1">
      <protection hidden="1"/>
    </xf>
    <xf numFmtId="0" fontId="0" fillId="5" borderId="1" xfId="0" applyFill="1" applyBorder="1" applyProtection="1">
      <protection hidden="1"/>
    </xf>
    <xf numFmtId="0" fontId="12" fillId="5" borderId="10" xfId="0" applyFont="1" applyFill="1" applyBorder="1" applyAlignment="1" applyProtection="1">
      <alignment horizontal="left"/>
      <protection hidden="1"/>
    </xf>
    <xf numFmtId="0" fontId="12" fillId="5" borderId="11" xfId="0" applyFont="1" applyFill="1" applyBorder="1" applyAlignment="1" applyProtection="1">
      <alignment horizontal="left"/>
      <protection hidden="1"/>
    </xf>
    <xf numFmtId="0" fontId="12" fillId="5" borderId="12" xfId="0" applyFont="1" applyFill="1" applyBorder="1" applyAlignment="1" applyProtection="1">
      <alignment horizontal="left"/>
      <protection hidden="1"/>
    </xf>
    <xf numFmtId="0" fontId="12" fillId="4" borderId="1" xfId="0" applyFont="1" applyFill="1" applyBorder="1" applyProtection="1">
      <protection hidden="1"/>
    </xf>
    <xf numFmtId="9" fontId="12" fillId="4" borderId="1" xfId="0" applyNumberFormat="1" applyFont="1" applyFill="1" applyBorder="1" applyAlignment="1" applyProtection="1">
      <alignment horizontal="center" vertical="center"/>
      <protection hidden="1"/>
    </xf>
    <xf numFmtId="166" fontId="12" fillId="4" borderId="0" xfId="0" applyNumberFormat="1" applyFont="1" applyFill="1" applyBorder="1" applyAlignment="1" applyProtection="1">
      <alignment horizontal="left"/>
      <protection hidden="1"/>
    </xf>
    <xf numFmtId="0" fontId="12" fillId="5" borderId="1" xfId="0" applyFont="1" applyFill="1" applyBorder="1" applyAlignment="1" applyProtection="1">
      <alignment horizontal="center"/>
      <protection hidden="1"/>
    </xf>
    <xf numFmtId="0" fontId="12" fillId="5" borderId="11" xfId="0" applyFont="1" applyFill="1" applyBorder="1" applyProtection="1">
      <protection hidden="1"/>
    </xf>
    <xf numFmtId="168" fontId="12" fillId="4" borderId="1" xfId="0" applyNumberFormat="1" applyFont="1" applyFill="1" applyBorder="1" applyAlignment="1" applyProtection="1">
      <alignment horizontal="center" vertical="center"/>
      <protection hidden="1"/>
    </xf>
    <xf numFmtId="0" fontId="12" fillId="5" borderId="10" xfId="0" applyFont="1" applyFill="1" applyBorder="1" applyProtection="1">
      <protection hidden="1"/>
    </xf>
    <xf numFmtId="168" fontId="12" fillId="5" borderId="1" xfId="4" applyNumberFormat="1" applyFont="1" applyFill="1" applyBorder="1" applyAlignment="1" applyProtection="1">
      <alignment horizontal="center"/>
      <protection hidden="1"/>
    </xf>
    <xf numFmtId="178" fontId="12" fillId="4" borderId="1" xfId="1" applyNumberFormat="1" applyFont="1" applyFill="1" applyBorder="1" applyAlignment="1" applyProtection="1">
      <alignment horizontal="center"/>
      <protection hidden="1"/>
    </xf>
    <xf numFmtId="165" fontId="12" fillId="5" borderId="1" xfId="4" applyNumberFormat="1" applyFont="1" applyFill="1" applyBorder="1" applyAlignment="1" applyProtection="1">
      <alignment horizontal="center"/>
      <protection hidden="1"/>
    </xf>
    <xf numFmtId="178" fontId="12" fillId="4" borderId="3" xfId="1" applyNumberFormat="1" applyFont="1" applyFill="1" applyBorder="1" applyProtection="1">
      <protection hidden="1"/>
    </xf>
    <xf numFmtId="178" fontId="12" fillId="4" borderId="4" xfId="1" applyNumberFormat="1" applyFont="1" applyFill="1" applyBorder="1" applyProtection="1">
      <protection hidden="1"/>
    </xf>
    <xf numFmtId="178" fontId="12" fillId="4" borderId="0" xfId="1" applyNumberFormat="1" applyFont="1" applyFill="1" applyProtection="1">
      <protection hidden="1"/>
    </xf>
    <xf numFmtId="0" fontId="12" fillId="4" borderId="1" xfId="0" applyFont="1" applyFill="1" applyBorder="1" applyAlignment="1" applyProtection="1">
      <alignment horizontal="center" vertical="center"/>
      <protection hidden="1"/>
    </xf>
    <xf numFmtId="178" fontId="12" fillId="4" borderId="5" xfId="1" applyNumberFormat="1" applyFont="1" applyFill="1" applyBorder="1" applyProtection="1">
      <protection hidden="1"/>
    </xf>
    <xf numFmtId="178" fontId="12" fillId="4" borderId="15" xfId="1" applyNumberFormat="1" applyFont="1" applyFill="1" applyBorder="1" applyProtection="1">
      <protection hidden="1"/>
    </xf>
    <xf numFmtId="178" fontId="12" fillId="4" borderId="1" xfId="1" applyNumberFormat="1" applyFont="1" applyFill="1" applyBorder="1" applyProtection="1">
      <protection hidden="1"/>
    </xf>
    <xf numFmtId="178" fontId="12" fillId="4" borderId="11" xfId="1" applyNumberFormat="1" applyFont="1" applyFill="1" applyBorder="1" applyProtection="1">
      <protection hidden="1"/>
    </xf>
    <xf numFmtId="178" fontId="12" fillId="4" borderId="16" xfId="1" applyNumberFormat="1" applyFont="1" applyFill="1" applyBorder="1" applyProtection="1">
      <protection hidden="1"/>
    </xf>
    <xf numFmtId="178" fontId="12" fillId="4" borderId="17" xfId="1" applyNumberFormat="1" applyFont="1" applyFill="1" applyBorder="1" applyProtection="1">
      <protection hidden="1"/>
    </xf>
    <xf numFmtId="178" fontId="12" fillId="4" borderId="0" xfId="1" applyNumberFormat="1" applyFont="1" applyFill="1" applyBorder="1" applyProtection="1">
      <protection hidden="1"/>
    </xf>
    <xf numFmtId="0" fontId="12" fillId="4" borderId="4" xfId="0" applyFont="1" applyFill="1" applyBorder="1" applyProtection="1">
      <protection hidden="1"/>
    </xf>
    <xf numFmtId="9" fontId="12" fillId="4" borderId="1" xfId="0" applyNumberFormat="1" applyFont="1" applyFill="1" applyBorder="1" applyAlignment="1" applyProtection="1">
      <alignment horizontal="center"/>
      <protection hidden="1"/>
    </xf>
    <xf numFmtId="9" fontId="12" fillId="4" borderId="1" xfId="4" applyFont="1" applyFill="1" applyBorder="1" applyAlignment="1" applyProtection="1">
      <alignment horizontal="center" vertical="center"/>
      <protection hidden="1"/>
    </xf>
    <xf numFmtId="168" fontId="12" fillId="5" borderId="1" xfId="0" applyNumberFormat="1" applyFont="1" applyFill="1" applyBorder="1" applyAlignment="1" applyProtection="1">
      <alignment horizontal="center"/>
      <protection hidden="1"/>
    </xf>
    <xf numFmtId="0" fontId="12" fillId="4" borderId="0" xfId="0" applyFont="1" applyFill="1" applyAlignment="1" applyProtection="1">
      <alignment horizontal="left"/>
      <protection hidden="1"/>
    </xf>
    <xf numFmtId="166" fontId="12" fillId="4" borderId="0" xfId="0" applyNumberFormat="1" applyFont="1" applyFill="1" applyAlignment="1" applyProtection="1">
      <alignment horizontal="left"/>
      <protection hidden="1"/>
    </xf>
    <xf numFmtId="9" fontId="3" fillId="4" borderId="0" xfId="4" applyFont="1" applyFill="1" applyProtection="1">
      <protection hidden="1"/>
    </xf>
    <xf numFmtId="166" fontId="3" fillId="4" borderId="0" xfId="4" applyNumberFormat="1" applyFont="1" applyFill="1" applyProtection="1">
      <protection hidden="1"/>
    </xf>
    <xf numFmtId="0" fontId="27" fillId="4" borderId="0" xfId="0" applyFont="1" applyFill="1" applyProtection="1">
      <protection hidden="1"/>
    </xf>
    <xf numFmtId="166" fontId="27" fillId="4" borderId="0" xfId="0" applyNumberFormat="1" applyFont="1" applyFill="1" applyProtection="1">
      <protection hidden="1"/>
    </xf>
    <xf numFmtId="0" fontId="14" fillId="4" borderId="0" xfId="0" applyFont="1" applyFill="1" applyProtection="1">
      <protection hidden="1"/>
    </xf>
    <xf numFmtId="15" fontId="9" fillId="4" borderId="0" xfId="0" applyNumberFormat="1" applyFont="1" applyFill="1" applyAlignment="1" applyProtection="1">
      <alignment horizontal="left"/>
      <protection hidden="1"/>
    </xf>
    <xf numFmtId="0" fontId="15" fillId="4" borderId="0" xfId="0" applyFont="1" applyFill="1" applyProtection="1">
      <protection hidden="1"/>
    </xf>
    <xf numFmtId="0" fontId="0" fillId="4" borderId="0" xfId="0" applyFont="1" applyFill="1" applyProtection="1">
      <protection hidden="1"/>
    </xf>
    <xf numFmtId="0" fontId="12" fillId="4" borderId="0" xfId="0" applyFont="1" applyFill="1" applyBorder="1" applyProtection="1">
      <protection hidden="1"/>
    </xf>
    <xf numFmtId="0" fontId="12" fillId="4" borderId="0" xfId="0" applyFont="1" applyFill="1" applyProtection="1">
      <protection hidden="1"/>
    </xf>
    <xf numFmtId="168" fontId="12" fillId="4" borderId="1" xfId="0" applyNumberFormat="1" applyFont="1" applyFill="1" applyBorder="1" applyAlignment="1" applyProtection="1">
      <alignment horizontal="center"/>
      <protection hidden="1"/>
    </xf>
    <xf numFmtId="0" fontId="12" fillId="4" borderId="10" xfId="1" applyNumberFormat="1" applyFont="1" applyFill="1" applyBorder="1" applyAlignment="1" applyProtection="1">
      <alignment horizontal="center"/>
      <protection hidden="1"/>
    </xf>
    <xf numFmtId="0" fontId="12" fillId="4" borderId="11" xfId="1" applyNumberFormat="1" applyFont="1" applyFill="1" applyBorder="1" applyAlignment="1" applyProtection="1">
      <alignment horizontal="center"/>
      <protection hidden="1"/>
    </xf>
    <xf numFmtId="0" fontId="12" fillId="4" borderId="12" xfId="1" applyNumberFormat="1" applyFont="1" applyFill="1" applyBorder="1" applyAlignment="1" applyProtection="1">
      <alignment horizontal="center"/>
      <protection hidden="1"/>
    </xf>
    <xf numFmtId="0" fontId="0" fillId="4" borderId="13" xfId="0" applyFill="1" applyBorder="1" applyProtection="1">
      <protection hidden="1"/>
    </xf>
    <xf numFmtId="0" fontId="12" fillId="4" borderId="1" xfId="0" applyFont="1" applyFill="1" applyBorder="1" applyAlignment="1" applyProtection="1">
      <alignment horizontal="center"/>
      <protection hidden="1"/>
    </xf>
    <xf numFmtId="166" fontId="17" fillId="5" borderId="1" xfId="0" applyNumberFormat="1" applyFont="1" applyFill="1" applyBorder="1" applyAlignment="1" applyProtection="1">
      <alignment horizontal="center"/>
      <protection hidden="1"/>
    </xf>
    <xf numFmtId="166" fontId="12" fillId="4" borderId="14" xfId="0" applyNumberFormat="1" applyFont="1" applyFill="1" applyBorder="1" applyAlignment="1" applyProtection="1">
      <alignment horizontal="center"/>
      <protection hidden="1"/>
    </xf>
    <xf numFmtId="166" fontId="12" fillId="4" borderId="15" xfId="0" applyNumberFormat="1" applyFont="1" applyFill="1" applyBorder="1" applyAlignment="1" applyProtection="1">
      <alignment horizontal="center"/>
      <protection hidden="1"/>
    </xf>
    <xf numFmtId="166" fontId="12" fillId="4" borderId="16" xfId="0" applyNumberFormat="1" applyFont="1" applyFill="1" applyBorder="1" applyAlignment="1" applyProtection="1">
      <alignment horizontal="center"/>
      <protection hidden="1"/>
    </xf>
    <xf numFmtId="166" fontId="12" fillId="4" borderId="13" xfId="0" applyNumberFormat="1" applyFont="1" applyFill="1" applyBorder="1" applyAlignment="1" applyProtection="1">
      <alignment horizontal="center"/>
      <protection hidden="1"/>
    </xf>
    <xf numFmtId="166" fontId="12" fillId="4" borderId="0" xfId="0" applyNumberFormat="1" applyFont="1" applyFill="1" applyBorder="1" applyAlignment="1" applyProtection="1">
      <alignment horizontal="center"/>
      <protection hidden="1"/>
    </xf>
    <xf numFmtId="166" fontId="12" fillId="4" borderId="17" xfId="0" applyNumberFormat="1" applyFont="1" applyFill="1" applyBorder="1" applyAlignment="1" applyProtection="1">
      <alignment horizontal="center"/>
      <protection hidden="1"/>
    </xf>
    <xf numFmtId="15" fontId="12" fillId="4" borderId="1" xfId="0" applyNumberFormat="1" applyFont="1" applyFill="1" applyBorder="1" applyAlignment="1" applyProtection="1">
      <alignment horizontal="center"/>
      <protection hidden="1"/>
    </xf>
    <xf numFmtId="166" fontId="12" fillId="4" borderId="2" xfId="0" applyNumberFormat="1" applyFont="1" applyFill="1" applyBorder="1" applyAlignment="1" applyProtection="1">
      <alignment horizontal="center"/>
      <protection hidden="1"/>
    </xf>
    <xf numFmtId="166" fontId="12" fillId="4" borderId="18" xfId="0" applyNumberFormat="1" applyFont="1" applyFill="1" applyBorder="1" applyAlignment="1" applyProtection="1">
      <alignment horizontal="center"/>
      <protection hidden="1"/>
    </xf>
    <xf numFmtId="166" fontId="12" fillId="4" borderId="19" xfId="0" applyNumberFormat="1" applyFont="1" applyFill="1" applyBorder="1" applyAlignment="1" applyProtection="1">
      <alignment horizontal="center"/>
      <protection hidden="1"/>
    </xf>
    <xf numFmtId="0" fontId="12" fillId="4" borderId="0" xfId="0" applyFont="1" applyFill="1" applyAlignment="1" applyProtection="1">
      <alignment horizontal="center"/>
      <protection hidden="1"/>
    </xf>
    <xf numFmtId="1" fontId="12" fillId="4" borderId="1" xfId="0" applyNumberFormat="1" applyFont="1" applyFill="1" applyBorder="1" applyAlignment="1" applyProtection="1">
      <alignment horizontal="center"/>
      <protection hidden="1"/>
    </xf>
    <xf numFmtId="0" fontId="12" fillId="4" borderId="10" xfId="5" applyNumberFormat="1" applyFont="1" applyFill="1" applyBorder="1" applyAlignment="1" applyProtection="1">
      <alignment horizontal="center"/>
      <protection hidden="1"/>
    </xf>
    <xf numFmtId="0" fontId="12" fillId="4" borderId="11" xfId="5" applyNumberFormat="1" applyFont="1" applyFill="1" applyBorder="1" applyAlignment="1" applyProtection="1">
      <alignment horizontal="center"/>
      <protection hidden="1"/>
    </xf>
    <xf numFmtId="0" fontId="12" fillId="4" borderId="12" xfId="5" applyNumberFormat="1" applyFont="1" applyFill="1" applyBorder="1" applyAlignment="1" applyProtection="1">
      <alignment horizontal="center"/>
      <protection hidden="1"/>
    </xf>
    <xf numFmtId="0" fontId="12" fillId="4" borderId="13" xfId="0" applyFont="1" applyFill="1" applyBorder="1" applyProtection="1">
      <protection hidden="1"/>
    </xf>
    <xf numFmtId="0" fontId="12" fillId="4" borderId="17" xfId="0" applyFont="1" applyFill="1" applyBorder="1" applyAlignment="1" applyProtection="1">
      <alignment horizontal="center"/>
      <protection hidden="1"/>
    </xf>
    <xf numFmtId="0" fontId="16" fillId="2" borderId="10" xfId="3" applyFont="1" applyBorder="1" applyProtection="1">
      <alignment horizontal="center"/>
      <protection locked="0" hidden="1"/>
    </xf>
    <xf numFmtId="0" fontId="16" fillId="2" borderId="11" xfId="3" applyFont="1" applyBorder="1" applyProtection="1">
      <alignment horizontal="center"/>
      <protection locked="0" hidden="1"/>
    </xf>
    <xf numFmtId="0" fontId="16" fillId="2" borderId="12" xfId="3" applyFont="1" applyBorder="1" applyProtection="1">
      <alignment horizontal="center"/>
      <protection locked="0" hidden="1"/>
    </xf>
    <xf numFmtId="0" fontId="18" fillId="4" borderId="0" xfId="0" applyFont="1" applyFill="1" applyAlignment="1" applyProtection="1">
      <alignment horizontal="center"/>
      <protection hidden="1"/>
    </xf>
    <xf numFmtId="166" fontId="12" fillId="5" borderId="1" xfId="0" applyNumberFormat="1" applyFont="1" applyFill="1" applyBorder="1" applyAlignment="1" applyProtection="1">
      <alignment horizontal="center"/>
      <protection hidden="1"/>
    </xf>
    <xf numFmtId="0" fontId="8" fillId="7" borderId="20" xfId="0" applyFont="1" applyFill="1" applyBorder="1" applyProtection="1">
      <protection hidden="1"/>
    </xf>
    <xf numFmtId="0" fontId="12" fillId="7" borderId="21" xfId="0" applyFont="1" applyFill="1" applyBorder="1" applyProtection="1">
      <protection hidden="1"/>
    </xf>
    <xf numFmtId="0" fontId="12" fillId="7" borderId="22" xfId="0" applyFont="1" applyFill="1" applyBorder="1" applyProtection="1">
      <protection hidden="1"/>
    </xf>
    <xf numFmtId="0" fontId="20" fillId="4" borderId="1" xfId="0" applyFont="1" applyFill="1" applyBorder="1" applyProtection="1">
      <protection hidden="1"/>
    </xf>
    <xf numFmtId="0" fontId="10" fillId="4" borderId="1" xfId="0" applyFont="1" applyFill="1" applyBorder="1" applyProtection="1">
      <protection hidden="1"/>
    </xf>
    <xf numFmtId="0" fontId="9" fillId="4" borderId="1" xfId="0" applyFont="1" applyFill="1" applyBorder="1" applyAlignment="1" applyProtection="1">
      <alignment horizontal="center"/>
      <protection hidden="1"/>
    </xf>
    <xf numFmtId="9" fontId="19" fillId="4" borderId="0" xfId="4" applyFont="1" applyFill="1" applyBorder="1" applyAlignment="1" applyProtection="1">
      <alignment horizontal="center" vertical="center"/>
      <protection locked="0" hidden="1"/>
    </xf>
    <xf numFmtId="9" fontId="19" fillId="4" borderId="0" xfId="4" applyNumberFormat="1" applyFont="1" applyFill="1" applyBorder="1" applyAlignment="1" applyProtection="1">
      <alignment horizontal="center" vertical="center"/>
      <protection locked="0" hidden="1"/>
    </xf>
    <xf numFmtId="9" fontId="12" fillId="4" borderId="0" xfId="4" applyFont="1" applyFill="1" applyBorder="1" applyAlignment="1" applyProtection="1">
      <alignment horizontal="center"/>
      <protection hidden="1"/>
    </xf>
    <xf numFmtId="0" fontId="20" fillId="4" borderId="0" xfId="0" applyFont="1" applyFill="1" applyAlignment="1" applyProtection="1">
      <alignment horizontal="center" vertical="top" wrapText="1"/>
      <protection hidden="1"/>
    </xf>
    <xf numFmtId="0" fontId="0" fillId="0" borderId="0" xfId="0" applyAlignment="1" applyProtection="1">
      <alignment vertical="top"/>
      <protection hidden="1"/>
    </xf>
    <xf numFmtId="168" fontId="12" fillId="4" borderId="0" xfId="0" applyNumberFormat="1" applyFont="1" applyFill="1" applyBorder="1" applyAlignment="1" applyProtection="1">
      <alignment horizontal="center"/>
      <protection hidden="1"/>
    </xf>
    <xf numFmtId="0" fontId="12" fillId="4" borderId="0" xfId="0" applyFont="1" applyFill="1" applyBorder="1" applyAlignment="1" applyProtection="1">
      <alignment horizontal="center"/>
      <protection hidden="1"/>
    </xf>
    <xf numFmtId="15" fontId="12" fillId="4" borderId="0" xfId="0" applyNumberFormat="1" applyFont="1" applyFill="1" applyBorder="1" applyAlignment="1" applyProtection="1">
      <alignment horizontal="center"/>
      <protection hidden="1"/>
    </xf>
    <xf numFmtId="1" fontId="12" fillId="4" borderId="0" xfId="0" applyNumberFormat="1" applyFont="1" applyFill="1" applyBorder="1" applyAlignment="1" applyProtection="1">
      <alignment horizontal="center"/>
      <protection hidden="1"/>
    </xf>
    <xf numFmtId="0" fontId="0" fillId="2" borderId="0" xfId="0" applyFill="1" applyProtection="1">
      <protection hidden="1"/>
    </xf>
    <xf numFmtId="0" fontId="10" fillId="4" borderId="0" xfId="0" applyFont="1" applyFill="1" applyProtection="1">
      <protection hidden="1"/>
    </xf>
    <xf numFmtId="0" fontId="0" fillId="3" borderId="3" xfId="0" applyFill="1" applyBorder="1" applyAlignment="1" applyProtection="1">
      <alignment vertical="top" wrapText="1"/>
      <protection hidden="1"/>
    </xf>
    <xf numFmtId="0" fontId="0" fillId="3" borderId="0" xfId="0" applyFill="1" applyBorder="1" applyAlignment="1" applyProtection="1">
      <alignment vertical="top" wrapText="1"/>
      <protection hidden="1"/>
    </xf>
    <xf numFmtId="2" fontId="0" fillId="3" borderId="3" xfId="0" applyNumberFormat="1" applyFont="1" applyFill="1" applyBorder="1" applyProtection="1">
      <protection hidden="1"/>
    </xf>
    <xf numFmtId="2" fontId="0" fillId="3" borderId="4" xfId="0" applyNumberFormat="1" applyFont="1" applyFill="1" applyBorder="1" applyProtection="1">
      <protection hidden="1"/>
    </xf>
    <xf numFmtId="2" fontId="0" fillId="3" borderId="5" xfId="0" applyNumberFormat="1" applyFont="1" applyFill="1" applyBorder="1" applyProtection="1">
      <protection hidden="1"/>
    </xf>
    <xf numFmtId="0" fontId="8" fillId="4" borderId="0" xfId="0" applyFont="1" applyFill="1" applyProtection="1">
      <protection hidden="1"/>
    </xf>
    <xf numFmtId="0" fontId="23" fillId="4" borderId="0" xfId="0" applyFont="1" applyFill="1" applyAlignment="1" applyProtection="1">
      <alignment horizontal="center"/>
      <protection hidden="1"/>
    </xf>
    <xf numFmtId="17" fontId="0" fillId="4" borderId="0" xfId="0" applyNumberFormat="1" applyFill="1" applyAlignment="1" applyProtection="1">
      <protection hidden="1"/>
    </xf>
    <xf numFmtId="0" fontId="6" fillId="4" borderId="0" xfId="0" applyFont="1" applyFill="1" applyProtection="1">
      <protection hidden="1"/>
    </xf>
    <xf numFmtId="0" fontId="0" fillId="4" borderId="3"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23" fillId="4" borderId="0" xfId="0" applyFont="1" applyFill="1" applyProtection="1">
      <protection hidden="1"/>
    </xf>
    <xf numFmtId="0" fontId="21" fillId="4" borderId="0" xfId="0" applyFont="1" applyFill="1" applyProtection="1">
      <protection hidden="1"/>
    </xf>
    <xf numFmtId="166" fontId="0" fillId="4" borderId="3" xfId="0" applyNumberFormat="1" applyFill="1" applyBorder="1" applyAlignment="1" applyProtection="1">
      <alignment horizontal="right"/>
      <protection hidden="1"/>
    </xf>
    <xf numFmtId="166" fontId="0" fillId="4" borderId="4" xfId="0" applyNumberFormat="1" applyFill="1" applyBorder="1" applyAlignment="1" applyProtection="1">
      <alignment horizontal="right"/>
      <protection hidden="1"/>
    </xf>
    <xf numFmtId="0" fontId="0" fillId="4" borderId="4" xfId="0" applyFill="1" applyBorder="1" applyAlignment="1" applyProtection="1">
      <alignment horizontal="right"/>
      <protection hidden="1"/>
    </xf>
    <xf numFmtId="0" fontId="0" fillId="4" borderId="5" xfId="0" applyFill="1" applyBorder="1" applyAlignment="1" applyProtection="1">
      <alignment horizontal="right"/>
      <protection hidden="1"/>
    </xf>
    <xf numFmtId="0" fontId="0" fillId="4" borderId="3" xfId="0" applyFill="1" applyBorder="1" applyAlignment="1" applyProtection="1">
      <alignment horizontal="right"/>
      <protection hidden="1"/>
    </xf>
    <xf numFmtId="0" fontId="0" fillId="4" borderId="14" xfId="0" applyFill="1" applyBorder="1" applyProtection="1">
      <protection hidden="1"/>
    </xf>
    <xf numFmtId="0" fontId="0" fillId="4" borderId="2" xfId="0" applyFill="1" applyBorder="1" applyProtection="1">
      <protection hidden="1"/>
    </xf>
    <xf numFmtId="0" fontId="0" fillId="4" borderId="1" xfId="0" applyFill="1" applyBorder="1" applyProtection="1"/>
    <xf numFmtId="0" fontId="0" fillId="4" borderId="0" xfId="0" applyFill="1" applyProtection="1"/>
    <xf numFmtId="178" fontId="3" fillId="4" borderId="0" xfId="1" applyNumberFormat="1" applyFont="1" applyFill="1" applyProtection="1"/>
    <xf numFmtId="178" fontId="3" fillId="4" borderId="0" xfId="1" applyNumberFormat="1" applyFont="1" applyFill="1" applyBorder="1" applyProtection="1"/>
    <xf numFmtId="0" fontId="5" fillId="2" borderId="1" xfId="3" applyProtection="1">
      <alignment horizontal="center"/>
      <protection locked="0"/>
    </xf>
    <xf numFmtId="0" fontId="14" fillId="3" borderId="0" xfId="0" applyFont="1" applyFill="1" applyProtection="1">
      <protection hidden="1"/>
    </xf>
    <xf numFmtId="181" fontId="0" fillId="3" borderId="0" xfId="0" applyNumberFormat="1" applyFill="1" applyBorder="1" applyProtection="1">
      <protection hidden="1"/>
    </xf>
    <xf numFmtId="0" fontId="0" fillId="3" borderId="6" xfId="0" applyFill="1" applyBorder="1" applyAlignment="1" applyProtection="1">
      <alignment horizontal="center"/>
      <protection hidden="1"/>
    </xf>
    <xf numFmtId="0" fontId="0" fillId="3" borderId="7" xfId="0" applyFont="1" applyFill="1" applyBorder="1" applyAlignment="1" applyProtection="1">
      <alignment horizontal="center"/>
      <protection hidden="1"/>
    </xf>
    <xf numFmtId="166" fontId="0" fillId="3" borderId="8" xfId="0" applyNumberFormat="1" applyFont="1" applyFill="1" applyBorder="1" applyAlignment="1" applyProtection="1">
      <alignment horizontal="center"/>
      <protection hidden="1"/>
    </xf>
    <xf numFmtId="166" fontId="0" fillId="3" borderId="9" xfId="0" applyNumberFormat="1" applyFont="1" applyFill="1" applyBorder="1" applyAlignment="1" applyProtection="1">
      <alignment horizontal="center"/>
      <protection hidden="1"/>
    </xf>
    <xf numFmtId="0" fontId="0" fillId="3" borderId="0" xfId="0" applyFont="1" applyFill="1" applyBorder="1" applyProtection="1">
      <protection hidden="1"/>
    </xf>
    <xf numFmtId="0" fontId="13" fillId="3" borderId="0" xfId="0" applyFont="1" applyFill="1" applyProtection="1">
      <protection hidden="1"/>
    </xf>
    <xf numFmtId="0" fontId="12" fillId="3" borderId="0" xfId="0" applyFont="1" applyFill="1" applyProtection="1">
      <protection hidden="1"/>
    </xf>
    <xf numFmtId="170" fontId="12" fillId="3" borderId="0" xfId="0" applyNumberFormat="1" applyFont="1" applyFill="1" applyProtection="1">
      <protection hidden="1"/>
    </xf>
    <xf numFmtId="181" fontId="12" fillId="5" borderId="1" xfId="4" applyNumberFormat="1" applyFont="1" applyFill="1" applyBorder="1" applyAlignment="1" applyProtection="1">
      <alignment horizontal="center"/>
      <protection hidden="1"/>
    </xf>
    <xf numFmtId="181" fontId="12" fillId="5" borderId="1" xfId="0" applyNumberFormat="1" applyFont="1" applyFill="1" applyBorder="1" applyAlignment="1" applyProtection="1">
      <alignment horizontal="center"/>
      <protection hidden="1"/>
    </xf>
    <xf numFmtId="0" fontId="10" fillId="5" borderId="10" xfId="0" applyFont="1" applyFill="1" applyBorder="1" applyProtection="1">
      <protection hidden="1"/>
    </xf>
    <xf numFmtId="166" fontId="12" fillId="5" borderId="12" xfId="0" applyNumberFormat="1" applyFont="1" applyFill="1" applyBorder="1" applyAlignment="1" applyProtection="1">
      <alignment horizontal="center"/>
      <protection hidden="1"/>
    </xf>
    <xf numFmtId="182" fontId="12" fillId="5" borderId="1" xfId="1" applyNumberFormat="1" applyFont="1" applyFill="1" applyBorder="1" applyAlignment="1" applyProtection="1">
      <alignment horizontal="center"/>
      <protection hidden="1"/>
    </xf>
    <xf numFmtId="0" fontId="10" fillId="5" borderId="11" xfId="0" applyFont="1" applyFill="1" applyBorder="1" applyProtection="1">
      <protection hidden="1"/>
    </xf>
    <xf numFmtId="182" fontId="10" fillId="5" borderId="1" xfId="1" applyNumberFormat="1" applyFont="1" applyFill="1" applyBorder="1" applyAlignment="1" applyProtection="1">
      <alignment horizontal="center"/>
      <protection hidden="1"/>
    </xf>
    <xf numFmtId="9" fontId="12" fillId="5" borderId="1" xfId="4" applyFont="1" applyFill="1" applyBorder="1" applyAlignment="1" applyProtection="1">
      <alignment horizontal="center"/>
      <protection hidden="1"/>
    </xf>
    <xf numFmtId="2" fontId="12" fillId="5" borderId="1" xfId="0" applyNumberFormat="1" applyFont="1" applyFill="1" applyBorder="1" applyAlignment="1" applyProtection="1">
      <alignment horizontal="center"/>
      <protection hidden="1"/>
    </xf>
    <xf numFmtId="0" fontId="0" fillId="9" borderId="1" xfId="0" applyFill="1" applyBorder="1" applyAlignment="1" applyProtection="1">
      <alignment horizontal="center" vertical="top"/>
      <protection hidden="1"/>
    </xf>
    <xf numFmtId="0" fontId="0" fillId="9" borderId="1" xfId="0" applyFill="1" applyBorder="1" applyAlignment="1" applyProtection="1">
      <alignment horizontal="center" vertical="top" wrapText="1"/>
      <protection hidden="1"/>
    </xf>
    <xf numFmtId="15" fontId="0" fillId="3" borderId="3" xfId="0" applyNumberFormat="1" applyFill="1" applyBorder="1" applyProtection="1">
      <protection hidden="1"/>
    </xf>
    <xf numFmtId="15" fontId="0" fillId="3" borderId="4" xfId="0" applyNumberFormat="1" applyFill="1" applyBorder="1" applyProtection="1">
      <protection hidden="1"/>
    </xf>
    <xf numFmtId="0" fontId="0" fillId="9" borderId="0" xfId="0" applyFill="1" applyProtection="1">
      <protection hidden="1"/>
    </xf>
    <xf numFmtId="0" fontId="22" fillId="10" borderId="0" xfId="0" applyFont="1" applyFill="1" applyProtection="1">
      <protection hidden="1"/>
    </xf>
    <xf numFmtId="0" fontId="0" fillId="10" borderId="0" xfId="0" applyFill="1" applyProtection="1">
      <protection hidden="1"/>
    </xf>
    <xf numFmtId="0" fontId="0" fillId="9" borderId="0" xfId="0" applyFill="1" applyAlignment="1" applyProtection="1">
      <alignment vertical="top" wrapText="1"/>
      <protection hidden="1"/>
    </xf>
    <xf numFmtId="0" fontId="15" fillId="10" borderId="0" xfId="0" applyFont="1" applyFill="1" applyAlignment="1" applyProtection="1">
      <protection hidden="1"/>
    </xf>
    <xf numFmtId="0" fontId="12" fillId="10" borderId="0" xfId="0" applyFont="1" applyFill="1" applyAlignment="1" applyProtection="1">
      <protection hidden="1"/>
    </xf>
    <xf numFmtId="0" fontId="22" fillId="9" borderId="0" xfId="0" applyFont="1" applyFill="1" applyProtection="1">
      <protection hidden="1"/>
    </xf>
    <xf numFmtId="0" fontId="0" fillId="10" borderId="0" xfId="0" applyFill="1" applyAlignment="1" applyProtection="1">
      <alignment vertical="top"/>
      <protection hidden="1"/>
    </xf>
    <xf numFmtId="0" fontId="0" fillId="9" borderId="0" xfId="0" applyFill="1" applyAlignment="1" applyProtection="1">
      <alignment horizontal="left" vertical="top" wrapText="1"/>
      <protection hidden="1"/>
    </xf>
    <xf numFmtId="0" fontId="0" fillId="10" borderId="0" xfId="0" applyFill="1" applyAlignment="1" applyProtection="1">
      <alignment horizontal="left" vertical="top" wrapText="1"/>
      <protection hidden="1"/>
    </xf>
    <xf numFmtId="0" fontId="32" fillId="6" borderId="10" xfId="0" applyFont="1" applyFill="1" applyBorder="1" applyAlignment="1" applyProtection="1">
      <alignment horizontal="center" vertical="center"/>
      <protection hidden="1"/>
    </xf>
    <xf numFmtId="0" fontId="32" fillId="6" borderId="11" xfId="0" applyFont="1" applyFill="1" applyBorder="1" applyAlignment="1" applyProtection="1">
      <alignment horizontal="center" vertical="center"/>
      <protection hidden="1"/>
    </xf>
    <xf numFmtId="0" fontId="32" fillId="6" borderId="1" xfId="0" applyFont="1" applyFill="1" applyBorder="1" applyAlignment="1" applyProtection="1">
      <alignment horizontal="center" vertical="center"/>
      <protection hidden="1"/>
    </xf>
    <xf numFmtId="0" fontId="0" fillId="6" borderId="1" xfId="0" applyFill="1" applyBorder="1" applyAlignment="1" applyProtection="1">
      <alignment horizontal="center" vertical="center"/>
      <protection hidden="1"/>
    </xf>
    <xf numFmtId="0" fontId="31" fillId="7" borderId="1" xfId="0" applyFont="1" applyFill="1" applyBorder="1" applyAlignment="1" applyProtection="1">
      <alignment wrapText="1"/>
      <protection hidden="1"/>
    </xf>
    <xf numFmtId="0" fontId="0" fillId="6" borderId="1" xfId="0" applyFill="1" applyBorder="1" applyProtection="1">
      <protection hidden="1"/>
    </xf>
    <xf numFmtId="0" fontId="0" fillId="6" borderId="1" xfId="0" applyFill="1" applyBorder="1" applyAlignment="1" applyProtection="1">
      <alignment horizontal="center" vertical="center" wrapText="1"/>
      <protection hidden="1"/>
    </xf>
    <xf numFmtId="0" fontId="31" fillId="3" borderId="1" xfId="0" applyFont="1" applyFill="1" applyBorder="1" applyAlignment="1" applyProtection="1">
      <alignment wrapText="1"/>
      <protection hidden="1"/>
    </xf>
    <xf numFmtId="0" fontId="4" fillId="6" borderId="1" xfId="2" applyFill="1" applyBorder="1" applyAlignment="1" applyProtection="1">
      <alignment horizontal="center" vertical="center"/>
      <protection hidden="1"/>
    </xf>
    <xf numFmtId="0" fontId="31" fillId="3" borderId="1" xfId="0" applyFont="1" applyFill="1" applyBorder="1" applyAlignment="1" applyProtection="1">
      <alignment vertical="top" wrapText="1"/>
      <protection hidden="1"/>
    </xf>
    <xf numFmtId="0" fontId="31" fillId="7" borderId="1" xfId="0" applyFont="1" applyFill="1" applyBorder="1" applyAlignment="1" applyProtection="1">
      <alignment horizontal="left" vertical="top" wrapText="1"/>
      <protection hidden="1"/>
    </xf>
    <xf numFmtId="0" fontId="31" fillId="3" borderId="1" xfId="0" applyFont="1" applyFill="1" applyBorder="1" applyAlignment="1" applyProtection="1">
      <alignment horizontal="left" vertical="top" wrapText="1"/>
      <protection hidden="1"/>
    </xf>
    <xf numFmtId="0" fontId="35" fillId="2" borderId="0" xfId="0" applyFont="1" applyFill="1" applyProtection="1">
      <protection hidden="1"/>
    </xf>
    <xf numFmtId="0" fontId="36" fillId="2" borderId="0" xfId="2" applyFont="1" applyFill="1" applyAlignment="1" applyProtection="1">
      <protection hidden="1"/>
    </xf>
    <xf numFmtId="0" fontId="0" fillId="8" borderId="0" xfId="0" applyFill="1" applyProtection="1">
      <protection hidden="1"/>
    </xf>
    <xf numFmtId="0" fontId="33" fillId="8" borderId="0" xfId="0" applyFont="1" applyFill="1" applyProtection="1">
      <protection hidden="1"/>
    </xf>
    <xf numFmtId="0" fontId="20" fillId="8" borderId="0" xfId="0" applyFont="1" applyFill="1" applyProtection="1">
      <protection hidden="1"/>
    </xf>
    <xf numFmtId="0" fontId="34" fillId="8" borderId="0" xfId="0" applyFont="1" applyFill="1" applyProtection="1">
      <protection hidden="1"/>
    </xf>
    <xf numFmtId="0" fontId="0" fillId="8" borderId="1" xfId="0" applyFill="1" applyBorder="1" applyAlignment="1" applyProtection="1">
      <alignment horizontal="center"/>
      <protection hidden="1"/>
    </xf>
    <xf numFmtId="0" fontId="0" fillId="8" borderId="10" xfId="0" applyFill="1" applyBorder="1" applyAlignment="1" applyProtection="1">
      <alignment horizontal="center"/>
      <protection hidden="1"/>
    </xf>
    <xf numFmtId="0" fontId="0" fillId="8" borderId="11" xfId="0" applyFill="1" applyBorder="1" applyAlignment="1" applyProtection="1">
      <alignment horizontal="center"/>
      <protection hidden="1"/>
    </xf>
    <xf numFmtId="0" fontId="0" fillId="8" borderId="12" xfId="0" applyFill="1" applyBorder="1" applyAlignment="1" applyProtection="1">
      <alignment horizontal="center"/>
      <protection hidden="1"/>
    </xf>
    <xf numFmtId="15" fontId="0" fillId="8" borderId="1" xfId="0" applyNumberFormat="1" applyFill="1" applyBorder="1" applyProtection="1">
      <protection hidden="1"/>
    </xf>
    <xf numFmtId="2" fontId="0" fillId="8" borderId="1" xfId="0" applyNumberFormat="1" applyFill="1" applyBorder="1" applyProtection="1">
      <protection hidden="1"/>
    </xf>
    <xf numFmtId="0" fontId="0" fillId="8" borderId="10" xfId="0" applyFill="1" applyBorder="1" applyProtection="1">
      <protection hidden="1"/>
    </xf>
    <xf numFmtId="0" fontId="0" fillId="8" borderId="11" xfId="0" applyFill="1" applyBorder="1" applyProtection="1">
      <protection hidden="1"/>
    </xf>
    <xf numFmtId="0" fontId="0" fillId="8" borderId="12" xfId="0" applyFill="1" applyBorder="1" applyProtection="1">
      <protection hidden="1"/>
    </xf>
    <xf numFmtId="2" fontId="0" fillId="8" borderId="1" xfId="0" applyNumberFormat="1" applyFill="1" applyBorder="1" applyAlignment="1" applyProtection="1">
      <alignment horizontal="right"/>
      <protection hidden="1"/>
    </xf>
    <xf numFmtId="0" fontId="0" fillId="8" borderId="1" xfId="0" applyFill="1" applyBorder="1" applyProtection="1">
      <protection hidden="1"/>
    </xf>
    <xf numFmtId="0" fontId="0" fillId="8" borderId="1" xfId="0" applyFill="1" applyBorder="1" applyAlignment="1" applyProtection="1">
      <alignment vertical="top" wrapText="1"/>
      <protection hidden="1"/>
    </xf>
    <xf numFmtId="2" fontId="0" fillId="8" borderId="1" xfId="0" applyNumberFormat="1" applyFill="1" applyBorder="1" applyAlignment="1" applyProtection="1">
      <alignment vertical="top" wrapText="1"/>
      <protection hidden="1"/>
    </xf>
    <xf numFmtId="0" fontId="0" fillId="8" borderId="10" xfId="0" applyFill="1" applyBorder="1" applyAlignment="1" applyProtection="1">
      <alignment vertical="top" wrapText="1"/>
      <protection hidden="1"/>
    </xf>
    <xf numFmtId="0" fontId="0" fillId="8" borderId="11" xfId="0" applyFill="1" applyBorder="1" applyAlignment="1" applyProtection="1">
      <alignment vertical="top" wrapText="1"/>
      <protection hidden="1"/>
    </xf>
    <xf numFmtId="2" fontId="0" fillId="3" borderId="3" xfId="0" applyNumberFormat="1" applyFill="1" applyBorder="1"/>
    <xf numFmtId="2" fontId="0" fillId="3" borderId="4" xfId="0" applyNumberFormat="1" applyFill="1" applyBorder="1"/>
    <xf numFmtId="2" fontId="0" fillId="3" borderId="5" xfId="0" applyNumberFormat="1" applyFill="1" applyBorder="1"/>
    <xf numFmtId="165" fontId="3" fillId="3" borderId="1" xfId="4" applyNumberFormat="1" applyFont="1" applyFill="1" applyBorder="1"/>
    <xf numFmtId="178" fontId="3" fillId="3" borderId="3" xfId="1" applyNumberFormat="1" applyFont="1" applyFill="1" applyBorder="1"/>
    <xf numFmtId="178" fontId="3" fillId="3" borderId="4" xfId="1" applyNumberFormat="1" applyFont="1" applyFill="1" applyBorder="1"/>
    <xf numFmtId="178" fontId="3" fillId="3" borderId="5" xfId="1" applyNumberFormat="1" applyFont="1" applyFill="1" applyBorder="1"/>
    <xf numFmtId="43" fontId="3" fillId="4" borderId="1" xfId="1" applyFont="1" applyFill="1" applyBorder="1" applyProtection="1">
      <protection hidden="1"/>
    </xf>
    <xf numFmtId="43" fontId="3" fillId="4" borderId="1" xfId="5" applyFill="1" applyProtection="1">
      <protection hidden="1"/>
    </xf>
    <xf numFmtId="0" fontId="30" fillId="4" borderId="0" xfId="2" applyFont="1" applyFill="1" applyBorder="1" applyAlignment="1" applyProtection="1">
      <alignment horizontal="center" vertical="center"/>
    </xf>
    <xf numFmtId="0" fontId="0" fillId="4" borderId="10" xfId="0" applyFill="1" applyBorder="1" applyProtection="1">
      <protection hidden="1"/>
    </xf>
    <xf numFmtId="0" fontId="0" fillId="4" borderId="11" xfId="0" applyFill="1" applyBorder="1" applyProtection="1">
      <protection hidden="1"/>
    </xf>
    <xf numFmtId="0" fontId="0" fillId="4" borderId="12" xfId="0" applyFill="1" applyBorder="1" applyProtection="1">
      <protection hidden="1"/>
    </xf>
    <xf numFmtId="179" fontId="12" fillId="4" borderId="10" xfId="1" applyNumberFormat="1" applyFont="1" applyFill="1" applyBorder="1" applyProtection="1">
      <protection hidden="1"/>
    </xf>
    <xf numFmtId="179" fontId="12" fillId="4" borderId="11" xfId="1" applyNumberFormat="1" applyFont="1" applyFill="1" applyBorder="1" applyProtection="1">
      <protection hidden="1"/>
    </xf>
    <xf numFmtId="179" fontId="12" fillId="4" borderId="12" xfId="1" applyNumberFormat="1" applyFont="1" applyFill="1" applyBorder="1" applyProtection="1">
      <protection hidden="1"/>
    </xf>
    <xf numFmtId="0" fontId="9" fillId="6" borderId="1" xfId="0" applyFont="1" applyFill="1" applyBorder="1" applyAlignment="1" applyProtection="1">
      <alignment horizontal="center" vertical="center" wrapText="1"/>
      <protection locked="0"/>
    </xf>
    <xf numFmtId="0" fontId="31" fillId="7" borderId="1" xfId="0" applyFont="1" applyFill="1" applyBorder="1" applyAlignment="1" applyProtection="1">
      <alignment vertical="center" wrapText="1"/>
      <protection locked="0"/>
    </xf>
    <xf numFmtId="0" fontId="41" fillId="6" borderId="1" xfId="2" applyFont="1" applyFill="1" applyBorder="1" applyAlignment="1" applyProtection="1">
      <alignment horizontal="center" vertical="center"/>
      <protection locked="0"/>
    </xf>
    <xf numFmtId="0" fontId="5" fillId="2" borderId="1" xfId="3" applyBorder="1">
      <alignment horizontal="center"/>
      <protection locked="0"/>
    </xf>
    <xf numFmtId="0" fontId="5" fillId="2" borderId="1" xfId="3">
      <alignment horizontal="center"/>
      <protection locked="0"/>
    </xf>
    <xf numFmtId="15" fontId="0" fillId="8" borderId="1" xfId="0" applyNumberFormat="1" applyFill="1" applyBorder="1" applyAlignment="1" applyProtection="1">
      <alignment vertical="top" wrapText="1"/>
      <protection hidden="1"/>
    </xf>
    <xf numFmtId="0" fontId="0" fillId="3" borderId="0" xfId="0" applyFill="1" applyProtection="1"/>
    <xf numFmtId="0" fontId="27" fillId="3" borderId="0" xfId="0" applyFont="1" applyFill="1" applyProtection="1"/>
    <xf numFmtId="0" fontId="0" fillId="3" borderId="0" xfId="0" applyFill="1" applyBorder="1" applyAlignment="1" applyProtection="1">
      <alignment horizontal="center"/>
    </xf>
    <xf numFmtId="0" fontId="27" fillId="3" borderId="0" xfId="0" applyFont="1" applyFill="1" applyAlignment="1" applyProtection="1">
      <alignment horizontal="center"/>
    </xf>
    <xf numFmtId="166" fontId="0" fillId="3" borderId="0" xfId="0" applyNumberFormat="1" applyFill="1" applyBorder="1" applyProtection="1"/>
    <xf numFmtId="166" fontId="27" fillId="3" borderId="0" xfId="0" applyNumberFormat="1" applyFont="1" applyFill="1" applyProtection="1"/>
    <xf numFmtId="2" fontId="0" fillId="3" borderId="0" xfId="0" applyNumberFormat="1" applyFill="1" applyProtection="1"/>
    <xf numFmtId="2" fontId="27" fillId="3" borderId="0" xfId="0" applyNumberFormat="1" applyFont="1" applyFill="1" applyProtection="1"/>
    <xf numFmtId="164" fontId="0" fillId="3" borderId="0" xfId="0" applyNumberFormat="1" applyFill="1" applyProtection="1"/>
    <xf numFmtId="9" fontId="0" fillId="3" borderId="0" xfId="0" applyNumberFormat="1" applyFill="1" applyProtection="1"/>
    <xf numFmtId="0" fontId="0" fillId="3" borderId="0" xfId="0" applyFill="1" applyBorder="1" applyProtection="1"/>
    <xf numFmtId="0" fontId="42" fillId="3" borderId="0" xfId="0" applyFont="1" applyFill="1" applyProtection="1"/>
    <xf numFmtId="1" fontId="42" fillId="3" borderId="0" xfId="0" applyNumberFormat="1" applyFont="1" applyFill="1" applyProtection="1"/>
    <xf numFmtId="175" fontId="42" fillId="3" borderId="0" xfId="0" applyNumberFormat="1" applyFont="1" applyFill="1" applyProtection="1"/>
    <xf numFmtId="0" fontId="42" fillId="3" borderId="0" xfId="0" applyFont="1" applyFill="1" applyAlignment="1" applyProtection="1">
      <alignment horizontal="center"/>
    </xf>
    <xf numFmtId="9" fontId="42" fillId="3" borderId="0" xfId="0" applyNumberFormat="1" applyFont="1" applyFill="1" applyProtection="1"/>
    <xf numFmtId="10" fontId="42" fillId="3" borderId="0" xfId="0" applyNumberFormat="1" applyFont="1" applyFill="1" applyProtection="1"/>
    <xf numFmtId="166" fontId="42" fillId="3" borderId="0" xfId="0" applyNumberFormat="1" applyFont="1" applyFill="1" applyProtection="1"/>
    <xf numFmtId="2" fontId="42" fillId="3" borderId="0" xfId="0" applyNumberFormat="1" applyFont="1" applyFill="1" applyProtection="1"/>
    <xf numFmtId="11" fontId="42" fillId="3" borderId="0" xfId="0" applyNumberFormat="1" applyFont="1" applyFill="1" applyProtection="1"/>
    <xf numFmtId="10" fontId="0" fillId="3" borderId="0" xfId="0" applyNumberFormat="1" applyFill="1"/>
    <xf numFmtId="0" fontId="0" fillId="8" borderId="10" xfId="0" applyFill="1" applyBorder="1" applyAlignment="1" applyProtection="1">
      <alignment horizontal="left" vertical="top" wrapText="1"/>
      <protection hidden="1"/>
    </xf>
    <xf numFmtId="0" fontId="0" fillId="8" borderId="11" xfId="0" applyFill="1" applyBorder="1" applyAlignment="1" applyProtection="1">
      <alignment horizontal="left" vertical="top" wrapText="1"/>
      <protection hidden="1"/>
    </xf>
    <xf numFmtId="0" fontId="0" fillId="8" borderId="12" xfId="0" applyFill="1" applyBorder="1" applyAlignment="1" applyProtection="1">
      <alignment horizontal="left" vertical="top" wrapText="1"/>
      <protection hidden="1"/>
    </xf>
    <xf numFmtId="0" fontId="37" fillId="11" borderId="10" xfId="0" applyFont="1" applyFill="1" applyBorder="1" applyAlignment="1" applyProtection="1">
      <alignment horizontal="center" vertical="center"/>
      <protection hidden="1"/>
    </xf>
    <xf numFmtId="0" fontId="37" fillId="11" borderId="11" xfId="0" applyFont="1" applyFill="1" applyBorder="1" applyAlignment="1" applyProtection="1">
      <alignment horizontal="center" vertical="center"/>
      <protection hidden="1"/>
    </xf>
    <xf numFmtId="0" fontId="37" fillId="11" borderId="12" xfId="0" applyFont="1" applyFill="1" applyBorder="1" applyAlignment="1" applyProtection="1">
      <alignment horizontal="center" vertical="center"/>
      <protection hidden="1"/>
    </xf>
    <xf numFmtId="0" fontId="37" fillId="12" borderId="10" xfId="0" applyFont="1" applyFill="1" applyBorder="1" applyAlignment="1" applyProtection="1">
      <alignment horizontal="center" vertical="center"/>
      <protection hidden="1"/>
    </xf>
    <xf numFmtId="0" fontId="0" fillId="12" borderId="11" xfId="0" applyFill="1" applyBorder="1" applyAlignment="1" applyProtection="1">
      <alignment horizontal="center" vertical="center"/>
      <protection hidden="1"/>
    </xf>
    <xf numFmtId="0" fontId="0" fillId="12" borderId="12" xfId="0" applyFill="1" applyBorder="1" applyAlignment="1" applyProtection="1">
      <alignment horizontal="center" vertical="center"/>
      <protection hidden="1"/>
    </xf>
    <xf numFmtId="0" fontId="37" fillId="9" borderId="10" xfId="0" applyFont="1" applyFill="1" applyBorder="1" applyAlignment="1" applyProtection="1">
      <alignment horizontal="center" vertical="center"/>
      <protection hidden="1"/>
    </xf>
    <xf numFmtId="0" fontId="37" fillId="9" borderId="11" xfId="0" applyFont="1" applyFill="1" applyBorder="1" applyAlignment="1" applyProtection="1">
      <alignment horizontal="center" vertical="center"/>
      <protection hidden="1"/>
    </xf>
    <xf numFmtId="0" fontId="37" fillId="9" borderId="12" xfId="0" applyFont="1" applyFill="1" applyBorder="1" applyAlignment="1" applyProtection="1">
      <alignment horizontal="center" vertical="center"/>
      <protection hidden="1"/>
    </xf>
    <xf numFmtId="0" fontId="37" fillId="13" borderId="10" xfId="0" applyFont="1" applyFill="1" applyBorder="1" applyAlignment="1" applyProtection="1">
      <alignment horizontal="center"/>
      <protection hidden="1"/>
    </xf>
    <xf numFmtId="0" fontId="37" fillId="13" borderId="11" xfId="0" applyFont="1" applyFill="1" applyBorder="1" applyAlignment="1" applyProtection="1">
      <alignment horizontal="center"/>
      <protection hidden="1"/>
    </xf>
    <xf numFmtId="0" fontId="37" fillId="13" borderId="12" xfId="0" applyFont="1" applyFill="1" applyBorder="1" applyAlignment="1" applyProtection="1">
      <alignment horizontal="center"/>
      <protection hidden="1"/>
    </xf>
    <xf numFmtId="0" fontId="0" fillId="9" borderId="0" xfId="0" applyFill="1" applyAlignment="1" applyProtection="1">
      <alignment horizontal="left" vertical="top" wrapText="1"/>
      <protection hidden="1"/>
    </xf>
    <xf numFmtId="0" fontId="0" fillId="9" borderId="14" xfId="0" applyFill="1" applyBorder="1" applyAlignment="1" applyProtection="1">
      <alignment horizontal="left" wrapText="1"/>
      <protection hidden="1"/>
    </xf>
    <xf numFmtId="0" fontId="0" fillId="9" borderId="15" xfId="0" applyFill="1" applyBorder="1" applyAlignment="1" applyProtection="1">
      <alignment horizontal="left" wrapText="1"/>
      <protection hidden="1"/>
    </xf>
    <xf numFmtId="0" fontId="0" fillId="9" borderId="16" xfId="0" applyFill="1" applyBorder="1" applyAlignment="1" applyProtection="1">
      <alignment horizontal="left" wrapText="1"/>
      <protection hidden="1"/>
    </xf>
    <xf numFmtId="0" fontId="0" fillId="9" borderId="2" xfId="0" applyFill="1" applyBorder="1" applyAlignment="1" applyProtection="1">
      <alignment horizontal="left" wrapText="1"/>
      <protection hidden="1"/>
    </xf>
    <xf numFmtId="0" fontId="0" fillId="9" borderId="18" xfId="0" applyFill="1" applyBorder="1" applyAlignment="1" applyProtection="1">
      <alignment horizontal="left" wrapText="1"/>
      <protection hidden="1"/>
    </xf>
    <xf numFmtId="0" fontId="0" fillId="9" borderId="19" xfId="0" applyFill="1" applyBorder="1" applyAlignment="1" applyProtection="1">
      <alignment horizontal="left" wrapText="1"/>
      <protection hidden="1"/>
    </xf>
    <xf numFmtId="9" fontId="0" fillId="3" borderId="0" xfId="0" applyNumberFormat="1" applyFont="1" applyFill="1" applyBorder="1" applyAlignment="1" applyProtection="1">
      <alignment horizontal="center" vertical="center"/>
      <protection hidden="1"/>
    </xf>
    <xf numFmtId="0" fontId="0" fillId="14" borderId="5" xfId="0" applyFont="1" applyFill="1" applyBorder="1" applyAlignment="1" applyProtection="1">
      <alignment horizontal="center" vertical="center"/>
      <protection hidden="1"/>
    </xf>
    <xf numFmtId="0" fontId="10" fillId="3" borderId="10" xfId="0" applyFont="1" applyFill="1" applyBorder="1" applyAlignment="1">
      <alignment horizontal="center"/>
    </xf>
    <xf numFmtId="0" fontId="10" fillId="3" borderId="11" xfId="0" applyFont="1" applyFill="1" applyBorder="1" applyAlignment="1">
      <alignment horizontal="center"/>
    </xf>
    <xf numFmtId="168" fontId="0" fillId="14" borderId="14" xfId="0" applyNumberFormat="1" applyFill="1" applyBorder="1" applyAlignment="1" applyProtection="1">
      <alignment horizontal="center"/>
      <protection hidden="1"/>
    </xf>
    <xf numFmtId="168" fontId="0" fillId="14" borderId="16" xfId="0" applyNumberFormat="1" applyFill="1" applyBorder="1" applyAlignment="1" applyProtection="1">
      <alignment horizontal="center"/>
      <protection hidden="1"/>
    </xf>
    <xf numFmtId="181" fontId="0" fillId="14" borderId="14" xfId="0" applyNumberFormat="1" applyFill="1" applyBorder="1" applyAlignment="1" applyProtection="1">
      <alignment horizontal="center"/>
      <protection hidden="1"/>
    </xf>
    <xf numFmtId="181" fontId="0" fillId="14" borderId="16" xfId="0" applyNumberFormat="1" applyFill="1" applyBorder="1" applyAlignment="1" applyProtection="1">
      <alignment horizontal="center"/>
      <protection hidden="1"/>
    </xf>
    <xf numFmtId="181" fontId="0" fillId="14" borderId="3" xfId="0" applyNumberFormat="1" applyFill="1" applyBorder="1" applyAlignment="1" applyProtection="1">
      <alignment horizontal="center"/>
      <protection hidden="1"/>
    </xf>
    <xf numFmtId="0" fontId="0" fillId="14" borderId="2" xfId="0" applyFont="1" applyFill="1" applyBorder="1" applyAlignment="1" applyProtection="1">
      <alignment horizontal="center" vertical="center"/>
      <protection hidden="1"/>
    </xf>
    <xf numFmtId="0" fontId="0" fillId="14" borderId="19" xfId="0" applyFont="1" applyFill="1" applyBorder="1" applyAlignment="1" applyProtection="1">
      <alignment horizontal="center" vertical="center"/>
      <protection hidden="1"/>
    </xf>
    <xf numFmtId="0" fontId="10" fillId="3" borderId="18" xfId="0" applyFont="1" applyFill="1" applyBorder="1" applyAlignment="1">
      <alignment horizontal="center"/>
    </xf>
    <xf numFmtId="0" fontId="10" fillId="3" borderId="2" xfId="0" applyFont="1" applyFill="1" applyBorder="1" applyAlignment="1">
      <alignment horizontal="center"/>
    </xf>
    <xf numFmtId="0" fontId="10" fillId="3" borderId="19" xfId="0" applyFont="1" applyFill="1" applyBorder="1" applyAlignment="1">
      <alignment horizontal="center"/>
    </xf>
    <xf numFmtId="0" fontId="12" fillId="5" borderId="3" xfId="0" applyFont="1" applyFill="1" applyBorder="1" applyAlignment="1" applyProtection="1">
      <alignment horizontal="center" vertical="top" wrapText="1"/>
      <protection hidden="1"/>
    </xf>
    <xf numFmtId="0" fontId="12" fillId="5" borderId="5" xfId="0" applyFont="1" applyFill="1" applyBorder="1" applyAlignment="1" applyProtection="1">
      <alignment horizontal="center" vertical="top" wrapText="1"/>
      <protection hidden="1"/>
    </xf>
    <xf numFmtId="0" fontId="12" fillId="5" borderId="3" xfId="0" applyFont="1" applyFill="1" applyBorder="1" applyAlignment="1" applyProtection="1">
      <alignment horizontal="center" vertical="top"/>
      <protection hidden="1"/>
    </xf>
    <xf numFmtId="0" fontId="12" fillId="5" borderId="5" xfId="0" applyFont="1" applyFill="1" applyBorder="1" applyAlignment="1" applyProtection="1">
      <alignment horizontal="center" vertical="top"/>
      <protection hidden="1"/>
    </xf>
    <xf numFmtId="0" fontId="10" fillId="4" borderId="10" xfId="0" applyFont="1" applyFill="1" applyBorder="1" applyAlignment="1" applyProtection="1">
      <alignment horizontal="center"/>
      <protection hidden="1"/>
    </xf>
    <xf numFmtId="0" fontId="10" fillId="4" borderId="12" xfId="0" applyFont="1" applyFill="1" applyBorder="1" applyAlignment="1" applyProtection="1">
      <alignment horizontal="center"/>
      <protection hidden="1"/>
    </xf>
    <xf numFmtId="0" fontId="12" fillId="7" borderId="23" xfId="0" applyFont="1" applyFill="1" applyBorder="1" applyAlignment="1" applyProtection="1">
      <alignment horizontal="left" vertical="top" wrapText="1"/>
      <protection hidden="1"/>
    </xf>
    <xf numFmtId="0" fontId="12" fillId="7" borderId="0" xfId="0" applyFont="1" applyFill="1" applyBorder="1" applyAlignment="1" applyProtection="1">
      <alignment horizontal="left" vertical="top" wrapText="1"/>
      <protection hidden="1"/>
    </xf>
    <xf numFmtId="0" fontId="12" fillId="7" borderId="24" xfId="0" applyFont="1" applyFill="1" applyBorder="1" applyAlignment="1" applyProtection="1">
      <alignment horizontal="left" vertical="top" wrapText="1"/>
      <protection hidden="1"/>
    </xf>
    <xf numFmtId="0" fontId="12" fillId="7" borderId="25" xfId="0" applyFont="1" applyFill="1" applyBorder="1" applyAlignment="1" applyProtection="1">
      <alignment horizontal="left" vertical="top" wrapText="1"/>
      <protection hidden="1"/>
    </xf>
    <xf numFmtId="0" fontId="12" fillId="7" borderId="26" xfId="0" applyFont="1" applyFill="1" applyBorder="1" applyAlignment="1" applyProtection="1">
      <alignment horizontal="left" vertical="top" wrapText="1"/>
      <protection hidden="1"/>
    </xf>
    <xf numFmtId="0" fontId="12" fillId="7" borderId="27" xfId="0" applyFont="1" applyFill="1" applyBorder="1" applyAlignment="1" applyProtection="1">
      <alignment horizontal="left" vertical="top" wrapText="1"/>
      <protection hidden="1"/>
    </xf>
    <xf numFmtId="9" fontId="12" fillId="4" borderId="10" xfId="4" applyFont="1" applyFill="1" applyBorder="1" applyAlignment="1" applyProtection="1">
      <alignment horizontal="center"/>
      <protection hidden="1"/>
    </xf>
    <xf numFmtId="9" fontId="12" fillId="4" borderId="12" xfId="4" applyFont="1" applyFill="1" applyBorder="1" applyAlignment="1" applyProtection="1">
      <alignment horizontal="center"/>
      <protection hidden="1"/>
    </xf>
    <xf numFmtId="0" fontId="12" fillId="4" borderId="10" xfId="0" applyFont="1" applyFill="1" applyBorder="1" applyAlignment="1" applyProtection="1">
      <alignment horizontal="center"/>
      <protection hidden="1"/>
    </xf>
    <xf numFmtId="0" fontId="12" fillId="4" borderId="12" xfId="0" applyFont="1" applyFill="1" applyBorder="1" applyAlignment="1" applyProtection="1">
      <alignment horizontal="center"/>
      <protection hidden="1"/>
    </xf>
    <xf numFmtId="0" fontId="10" fillId="4" borderId="11" xfId="0" applyFont="1" applyFill="1" applyBorder="1" applyAlignment="1" applyProtection="1">
      <alignment horizontal="center"/>
      <protection hidden="1"/>
    </xf>
    <xf numFmtId="15" fontId="12" fillId="4" borderId="10" xfId="0" applyNumberFormat="1" applyFont="1" applyFill="1" applyBorder="1" applyAlignment="1" applyProtection="1">
      <alignment horizontal="center"/>
      <protection hidden="1"/>
    </xf>
    <xf numFmtId="15" fontId="12" fillId="4" borderId="12" xfId="0" applyNumberFormat="1" applyFont="1" applyFill="1" applyBorder="1" applyAlignment="1" applyProtection="1">
      <alignment horizontal="center"/>
      <protection hidden="1"/>
    </xf>
    <xf numFmtId="9" fontId="12" fillId="4" borderId="1" xfId="4" applyFont="1" applyFill="1" applyBorder="1" applyAlignment="1" applyProtection="1">
      <alignment horizontal="center"/>
      <protection hidden="1"/>
    </xf>
    <xf numFmtId="0" fontId="12" fillId="7" borderId="20" xfId="0" applyFont="1" applyFill="1" applyBorder="1" applyAlignment="1" applyProtection="1">
      <alignment horizontal="left" vertical="top" wrapText="1"/>
      <protection hidden="1"/>
    </xf>
    <xf numFmtId="0" fontId="12" fillId="7" borderId="21" xfId="0" applyFont="1" applyFill="1" applyBorder="1" applyAlignment="1" applyProtection="1">
      <alignment horizontal="left" vertical="top" wrapText="1"/>
      <protection hidden="1"/>
    </xf>
    <xf numFmtId="0" fontId="12" fillId="7" borderId="22" xfId="0" applyFont="1" applyFill="1" applyBorder="1" applyAlignment="1" applyProtection="1">
      <alignment horizontal="left" vertical="top" wrapText="1"/>
      <protection hidden="1"/>
    </xf>
    <xf numFmtId="168" fontId="12" fillId="4" borderId="10" xfId="0" applyNumberFormat="1" applyFont="1" applyFill="1" applyBorder="1" applyAlignment="1" applyProtection="1">
      <alignment horizontal="center"/>
      <protection hidden="1"/>
    </xf>
    <xf numFmtId="168" fontId="12" fillId="4" borderId="12" xfId="0" applyNumberFormat="1" applyFont="1" applyFill="1" applyBorder="1" applyAlignment="1" applyProtection="1">
      <alignment horizontal="center"/>
      <protection hidden="1"/>
    </xf>
    <xf numFmtId="1" fontId="12" fillId="4" borderId="10" xfId="0" applyNumberFormat="1" applyFont="1" applyFill="1" applyBorder="1" applyAlignment="1" applyProtection="1">
      <alignment horizontal="center"/>
      <protection hidden="1"/>
    </xf>
    <xf numFmtId="1" fontId="12" fillId="4" borderId="12" xfId="0" applyNumberFormat="1" applyFont="1" applyFill="1" applyBorder="1" applyAlignment="1" applyProtection="1">
      <alignment horizontal="center"/>
      <protection hidden="1"/>
    </xf>
    <xf numFmtId="0" fontId="38" fillId="4" borderId="0" xfId="0" applyFont="1" applyFill="1" applyAlignment="1" applyProtection="1">
      <alignment horizontal="center" wrapText="1"/>
      <protection hidden="1"/>
    </xf>
    <xf numFmtId="0" fontId="0" fillId="4" borderId="3" xfId="0" applyFill="1" applyBorder="1" applyAlignment="1">
      <alignment horizontal="center" wrapText="1"/>
    </xf>
    <xf numFmtId="0" fontId="0" fillId="4" borderId="4" xfId="0" applyFill="1" applyBorder="1" applyAlignment="1">
      <alignment horizontal="center" wrapText="1"/>
    </xf>
    <xf numFmtId="0" fontId="0" fillId="4" borderId="5" xfId="0" applyFill="1" applyBorder="1" applyAlignment="1">
      <alignment horizontal="center" wrapText="1"/>
    </xf>
    <xf numFmtId="0" fontId="0" fillId="3" borderId="3" xfId="0" applyFill="1" applyBorder="1" applyAlignment="1">
      <alignment horizontal="center" wrapText="1"/>
    </xf>
    <xf numFmtId="0" fontId="0" fillId="3" borderId="4" xfId="0" applyFill="1" applyBorder="1" applyAlignment="1">
      <alignment horizontal="center" wrapText="1"/>
    </xf>
    <xf numFmtId="0" fontId="0" fillId="3" borderId="5" xfId="0" applyFill="1" applyBorder="1" applyAlignment="1">
      <alignment horizontal="center" wrapText="1"/>
    </xf>
    <xf numFmtId="168" fontId="0" fillId="4" borderId="10" xfId="0" applyNumberFormat="1" applyFill="1" applyBorder="1" applyAlignment="1" applyProtection="1">
      <alignment horizontal="center"/>
      <protection hidden="1"/>
    </xf>
    <xf numFmtId="168" fontId="0" fillId="4" borderId="12" xfId="0" applyNumberFormat="1" applyFill="1" applyBorder="1" applyAlignment="1" applyProtection="1">
      <alignment horizontal="center"/>
      <protection hidden="1"/>
    </xf>
    <xf numFmtId="168" fontId="5" fillId="2" borderId="1" xfId="3" applyNumberFormat="1" applyProtection="1">
      <alignment horizontal="center"/>
      <protection locked="0"/>
    </xf>
    <xf numFmtId="0" fontId="0" fillId="4" borderId="10" xfId="0" applyFill="1" applyBorder="1" applyAlignment="1" applyProtection="1">
      <alignment horizontal="center"/>
      <protection hidden="1"/>
    </xf>
    <xf numFmtId="0" fontId="0" fillId="4" borderId="12" xfId="0" applyFill="1" applyBorder="1" applyAlignment="1" applyProtection="1">
      <alignment horizontal="center"/>
      <protection hidden="1"/>
    </xf>
    <xf numFmtId="0" fontId="5" fillId="2" borderId="1" xfId="3" applyProtection="1">
      <alignment horizontal="center"/>
      <protection locked="0"/>
    </xf>
    <xf numFmtId="0" fontId="0" fillId="4" borderId="1" xfId="0" applyFill="1" applyBorder="1" applyAlignment="1" applyProtection="1">
      <alignment horizontal="center"/>
      <protection hidden="1"/>
    </xf>
    <xf numFmtId="0" fontId="0" fillId="4" borderId="10" xfId="0" applyFill="1" applyBorder="1" applyAlignment="1">
      <alignment horizontal="center"/>
    </xf>
    <xf numFmtId="0" fontId="0" fillId="4" borderId="11" xfId="0" applyFill="1" applyBorder="1" applyAlignment="1">
      <alignment horizontal="center"/>
    </xf>
    <xf numFmtId="0" fontId="0" fillId="4" borderId="12" xfId="0" applyFill="1" applyBorder="1" applyAlignment="1">
      <alignment horizontal="center"/>
    </xf>
    <xf numFmtId="0" fontId="0" fillId="3" borderId="0" xfId="0" applyFill="1" applyAlignment="1" applyProtection="1">
      <alignment horizontal="left" wrapText="1"/>
      <protection hidden="1"/>
    </xf>
    <xf numFmtId="0" fontId="0" fillId="3" borderId="0" xfId="0" applyFill="1" applyAlignment="1" applyProtection="1">
      <alignment horizontal="center"/>
      <protection hidden="1"/>
    </xf>
    <xf numFmtId="0" fontId="0" fillId="3" borderId="10" xfId="0" applyFill="1" applyBorder="1" applyAlignment="1" applyProtection="1">
      <alignment horizontal="center"/>
      <protection hidden="1"/>
    </xf>
    <xf numFmtId="0" fontId="0" fillId="3" borderId="11" xfId="0" applyFill="1" applyBorder="1" applyAlignment="1" applyProtection="1">
      <alignment horizontal="center"/>
      <protection hidden="1"/>
    </xf>
    <xf numFmtId="0" fontId="0" fillId="3" borderId="12" xfId="0" applyFill="1" applyBorder="1" applyAlignment="1" applyProtection="1">
      <alignment horizontal="center"/>
      <protection hidden="1"/>
    </xf>
    <xf numFmtId="0" fontId="0" fillId="3" borderId="3" xfId="0" applyFill="1" applyBorder="1" applyAlignment="1" applyProtection="1">
      <alignment horizontal="center" vertical="top" wrapText="1"/>
      <protection hidden="1"/>
    </xf>
    <xf numFmtId="0" fontId="0" fillId="3" borderId="5" xfId="0" applyFill="1" applyBorder="1" applyAlignment="1" applyProtection="1">
      <alignment horizontal="center" vertical="top" wrapText="1"/>
      <protection hidden="1"/>
    </xf>
    <xf numFmtId="0" fontId="0" fillId="3" borderId="14" xfId="0" applyFill="1" applyBorder="1" applyAlignment="1" applyProtection="1">
      <alignment horizontal="center"/>
      <protection hidden="1"/>
    </xf>
    <xf numFmtId="0" fontId="0" fillId="3" borderId="15" xfId="0" applyFill="1" applyBorder="1" applyAlignment="1" applyProtection="1">
      <alignment horizontal="center"/>
      <protection hidden="1"/>
    </xf>
    <xf numFmtId="0" fontId="0" fillId="3" borderId="16" xfId="0" applyFill="1" applyBorder="1" applyAlignment="1" applyProtection="1">
      <alignment horizontal="center"/>
      <protection hidden="1"/>
    </xf>
  </cellXfs>
  <cellStyles count="10">
    <cellStyle name="Comma" xfId="1" builtinId="3"/>
    <cellStyle name="Currency 2" xfId="6"/>
    <cellStyle name="Hyperlink" xfId="2" builtinId="8"/>
    <cellStyle name="inputns" xfId="3"/>
    <cellStyle name="Normal" xfId="0" builtinId="0"/>
    <cellStyle name="Normal 2" xfId="9"/>
    <cellStyle name="Normal 4" xfId="7"/>
    <cellStyle name="Percent" xfId="4" builtinId="5"/>
    <cellStyle name="Percent 3" xfId="8"/>
    <cellStyle name="protected" xfId="5"/>
  </cellStyles>
  <dxfs count="32">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ont>
        <color theme="4"/>
      </font>
      <fill>
        <patternFill>
          <bgColor theme="3" tint="0.79998168889431442"/>
        </patternFill>
      </fill>
    </dxf>
    <dxf>
      <fill>
        <patternFill>
          <bgColor rgb="FFFF0000"/>
        </patternFill>
      </fill>
    </dxf>
    <dxf>
      <font>
        <color theme="0" tint="-4.9989318521683403E-2"/>
      </font>
      <fill>
        <patternFill>
          <bgColor theme="0" tint="-4.9989318521683403E-2"/>
        </patternFill>
      </fill>
    </dxf>
    <dxf>
      <fill>
        <patternFill>
          <bgColor rgb="FFFF0000"/>
        </patternFill>
      </fill>
    </dxf>
    <dxf>
      <font>
        <color theme="0" tint="-4.9989318521683403E-2"/>
      </font>
      <fill>
        <patternFill>
          <bgColor theme="0" tint="-4.9989318521683403E-2"/>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lor theme="2"/>
      </font>
      <fill>
        <patternFill>
          <bgColor theme="0" tint="-4.9989318521683403E-2"/>
        </patternFill>
      </fill>
      <border>
        <left style="hair">
          <color indexed="64"/>
        </left>
        <right style="hair">
          <color indexed="64"/>
        </right>
        <top style="hair">
          <color indexed="64"/>
        </top>
        <bottom style="hair">
          <color indexed="64"/>
        </bottom>
      </border>
    </dxf>
    <dxf>
      <font>
        <color theme="2"/>
      </font>
      <fill>
        <patternFill>
          <bgColor theme="0" tint="-4.9989318521683403E-2"/>
        </patternFill>
      </fill>
      <border>
        <left style="hair">
          <color indexed="64"/>
        </left>
        <right style="hair">
          <color indexed="64"/>
        </right>
        <top style="hair">
          <color indexed="64"/>
        </top>
        <bottom style="hair">
          <color indexed="64"/>
        </bottom>
      </border>
    </dxf>
    <dxf>
      <font>
        <color theme="2"/>
      </font>
      <fill>
        <patternFill>
          <bgColor theme="0" tint="-4.9989318521683403E-2"/>
        </patternFill>
      </fill>
      <border>
        <left style="hair">
          <color indexed="64"/>
        </left>
        <right style="hair">
          <color indexed="64"/>
        </right>
        <top style="hair">
          <color indexed="64"/>
        </top>
        <bottom style="hair">
          <color indexed="64"/>
        </bottom>
      </border>
    </dxf>
    <dxf>
      <font>
        <color theme="2"/>
      </font>
      <fill>
        <patternFill>
          <bgColor theme="0" tint="-4.9989318521683403E-2"/>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0"/>
          <c:tx>
            <c:strRef>
              <c:f>Input!$D$77</c:f>
              <c:strCache>
                <c:ptCount val="1"/>
                <c:pt idx="0">
                  <c:v>Blank</c:v>
                </c:pt>
              </c:strCache>
            </c:strRef>
          </c:tx>
          <c:spPr>
            <a:noFill/>
            <a:ln>
              <a:noFill/>
            </a:ln>
          </c:spPr>
          <c:invertIfNegative val="0"/>
          <c:cat>
            <c:strRef>
              <c:f>Input!$E$76:$R$76</c:f>
              <c:strCache>
                <c:ptCount val="14"/>
                <c:pt idx="0">
                  <c:v>Gas Revenue</c:v>
                </c:pt>
                <c:pt idx="1">
                  <c:v>Liquids Revenue</c:v>
                </c:pt>
                <c:pt idx="2">
                  <c:v>Seismic</c:v>
                </c:pt>
                <c:pt idx="3">
                  <c:v>Wildcat</c:v>
                </c:pt>
                <c:pt idx="4">
                  <c:v>Appraisal</c:v>
                </c:pt>
                <c:pt idx="5">
                  <c:v>Development Planning</c:v>
                </c:pt>
                <c:pt idx="6">
                  <c:v>Facilities &amp; Pipelines</c:v>
                </c:pt>
                <c:pt idx="7">
                  <c:v>Development Drilling</c:v>
                </c:pt>
                <c:pt idx="8">
                  <c:v>Operations</c:v>
                </c:pt>
                <c:pt idx="9">
                  <c:v>Royalty</c:v>
                </c:pt>
                <c:pt idx="10">
                  <c:v>Provincial Income Tax</c:v>
                </c:pt>
                <c:pt idx="11">
                  <c:v>Federal Income Tax</c:v>
                </c:pt>
                <c:pt idx="12">
                  <c:v>Abandonment</c:v>
                </c:pt>
                <c:pt idx="13">
                  <c:v>NPV</c:v>
                </c:pt>
              </c:strCache>
            </c:strRef>
          </c:cat>
          <c:val>
            <c:numRef>
              <c:f>Input!$E$77:$R$77</c:f>
              <c:numCache>
                <c:formatCode>0.0</c:formatCode>
                <c:ptCount val="14"/>
                <c:pt idx="0">
                  <c:v>0</c:v>
                </c:pt>
                <c:pt idx="1">
                  <c:v>2685.0284121467957</c:v>
                </c:pt>
                <c:pt idx="2">
                  <c:v>17020.286579575488</c:v>
                </c:pt>
                <c:pt idx="3">
                  <c:v>17020.286579575488</c:v>
                </c:pt>
                <c:pt idx="4">
                  <c:v>17020.286579575488</c:v>
                </c:pt>
                <c:pt idx="5">
                  <c:v>17020.286579575488</c:v>
                </c:pt>
                <c:pt idx="6">
                  <c:v>13573.872544113856</c:v>
                </c:pt>
                <c:pt idx="7">
                  <c:v>12506.480895832214</c:v>
                </c:pt>
                <c:pt idx="8">
                  <c:v>10138.384987079851</c:v>
                </c:pt>
                <c:pt idx="9">
                  <c:v>7051.891090034338</c:v>
                </c:pt>
                <c:pt idx="10">
                  <c:v>5740.7650422641864</c:v>
                </c:pt>
                <c:pt idx="11">
                  <c:v>4107.6666823526593</c:v>
                </c:pt>
                <c:pt idx="12">
                  <c:v>4078.9826495114462</c:v>
                </c:pt>
              </c:numCache>
            </c:numRef>
          </c:val>
          <c:extLst xmlns:c16r2="http://schemas.microsoft.com/office/drawing/2015/06/chart">
            <c:ext xmlns:c16="http://schemas.microsoft.com/office/drawing/2014/chart" uri="{C3380CC4-5D6E-409C-BE32-E72D297353CC}">
              <c16:uniqueId val="{00000000-7A9F-4C0D-83D5-89B1AEF75939}"/>
            </c:ext>
          </c:extLst>
        </c:ser>
        <c:ser>
          <c:idx val="0"/>
          <c:order val="1"/>
          <c:tx>
            <c:strRef>
              <c:f>Input!$D$78</c:f>
              <c:strCache>
                <c:ptCount val="1"/>
                <c:pt idx="0">
                  <c:v>Revenue</c:v>
                </c:pt>
              </c:strCache>
            </c:strRef>
          </c:tx>
          <c:spPr>
            <a:solidFill>
              <a:schemeClr val="tx2">
                <a:lumMod val="60000"/>
                <a:lumOff val="40000"/>
              </a:schemeClr>
            </a:solidFill>
          </c:spPr>
          <c:invertIfNegative val="0"/>
          <c:cat>
            <c:strRef>
              <c:f>Input!$E$76:$R$76</c:f>
              <c:strCache>
                <c:ptCount val="14"/>
                <c:pt idx="0">
                  <c:v>Gas Revenue</c:v>
                </c:pt>
                <c:pt idx="1">
                  <c:v>Liquids Revenue</c:v>
                </c:pt>
                <c:pt idx="2">
                  <c:v>Seismic</c:v>
                </c:pt>
                <c:pt idx="3">
                  <c:v>Wildcat</c:v>
                </c:pt>
                <c:pt idx="4">
                  <c:v>Appraisal</c:v>
                </c:pt>
                <c:pt idx="5">
                  <c:v>Development Planning</c:v>
                </c:pt>
                <c:pt idx="6">
                  <c:v>Facilities &amp; Pipelines</c:v>
                </c:pt>
                <c:pt idx="7">
                  <c:v>Development Drilling</c:v>
                </c:pt>
                <c:pt idx="8">
                  <c:v>Operations</c:v>
                </c:pt>
                <c:pt idx="9">
                  <c:v>Royalty</c:v>
                </c:pt>
                <c:pt idx="10">
                  <c:v>Provincial Income Tax</c:v>
                </c:pt>
                <c:pt idx="11">
                  <c:v>Federal Income Tax</c:v>
                </c:pt>
                <c:pt idx="12">
                  <c:v>Abandonment</c:v>
                </c:pt>
                <c:pt idx="13">
                  <c:v>NPV</c:v>
                </c:pt>
              </c:strCache>
            </c:strRef>
          </c:cat>
          <c:val>
            <c:numRef>
              <c:f>Input!$E$78:$R$78</c:f>
              <c:numCache>
                <c:formatCode>General</c:formatCode>
                <c:ptCount val="14"/>
                <c:pt idx="0">
                  <c:v>2685.0284121467967</c:v>
                </c:pt>
                <c:pt idx="1">
                  <c:v>14335.258167428692</c:v>
                </c:pt>
              </c:numCache>
            </c:numRef>
          </c:val>
          <c:extLst xmlns:c16r2="http://schemas.microsoft.com/office/drawing/2015/06/chart">
            <c:ext xmlns:c16="http://schemas.microsoft.com/office/drawing/2014/chart" uri="{C3380CC4-5D6E-409C-BE32-E72D297353CC}">
              <c16:uniqueId val="{00000001-7A9F-4C0D-83D5-89B1AEF75939}"/>
            </c:ext>
          </c:extLst>
        </c:ser>
        <c:ser>
          <c:idx val="2"/>
          <c:order val="2"/>
          <c:tx>
            <c:strRef>
              <c:f>Input!$D$79</c:f>
              <c:strCache>
                <c:ptCount val="1"/>
                <c:pt idx="0">
                  <c:v>Cost Pos</c:v>
                </c:pt>
              </c:strCache>
            </c:strRef>
          </c:tx>
          <c:spPr>
            <a:solidFill>
              <a:srgbClr val="FFC000"/>
            </a:solidFill>
          </c:spPr>
          <c:invertIfNegative val="0"/>
          <c:cat>
            <c:strRef>
              <c:f>Input!$E$76:$R$76</c:f>
              <c:strCache>
                <c:ptCount val="14"/>
                <c:pt idx="0">
                  <c:v>Gas Revenue</c:v>
                </c:pt>
                <c:pt idx="1">
                  <c:v>Liquids Revenue</c:v>
                </c:pt>
                <c:pt idx="2">
                  <c:v>Seismic</c:v>
                </c:pt>
                <c:pt idx="3">
                  <c:v>Wildcat</c:v>
                </c:pt>
                <c:pt idx="4">
                  <c:v>Appraisal</c:v>
                </c:pt>
                <c:pt idx="5">
                  <c:v>Development Planning</c:v>
                </c:pt>
                <c:pt idx="6">
                  <c:v>Facilities &amp; Pipelines</c:v>
                </c:pt>
                <c:pt idx="7">
                  <c:v>Development Drilling</c:v>
                </c:pt>
                <c:pt idx="8">
                  <c:v>Operations</c:v>
                </c:pt>
                <c:pt idx="9">
                  <c:v>Royalty</c:v>
                </c:pt>
                <c:pt idx="10">
                  <c:v>Provincial Income Tax</c:v>
                </c:pt>
                <c:pt idx="11">
                  <c:v>Federal Income Tax</c:v>
                </c:pt>
                <c:pt idx="12">
                  <c:v>Abandonment</c:v>
                </c:pt>
                <c:pt idx="13">
                  <c:v>NPV</c:v>
                </c:pt>
              </c:strCache>
            </c:strRef>
          </c:cat>
          <c:val>
            <c:numRef>
              <c:f>Input!$E$79:$R$79</c:f>
              <c:numCache>
                <c:formatCode>General</c:formatCode>
                <c:ptCount val="14"/>
                <c:pt idx="2">
                  <c:v>0</c:v>
                </c:pt>
                <c:pt idx="3">
                  <c:v>0</c:v>
                </c:pt>
                <c:pt idx="4">
                  <c:v>0</c:v>
                </c:pt>
                <c:pt idx="5">
                  <c:v>0</c:v>
                </c:pt>
                <c:pt idx="6">
                  <c:v>3446.4140354616316</c:v>
                </c:pt>
                <c:pt idx="7">
                  <c:v>1067.391648281643</c:v>
                </c:pt>
                <c:pt idx="8">
                  <c:v>2368.0959087523634</c:v>
                </c:pt>
                <c:pt idx="9">
                  <c:v>3086.4938970455132</c:v>
                </c:pt>
                <c:pt idx="10">
                  <c:v>1311.1260477701517</c:v>
                </c:pt>
                <c:pt idx="11">
                  <c:v>1633.0983599115268</c:v>
                </c:pt>
                <c:pt idx="12">
                  <c:v>28.684032841213252</c:v>
                </c:pt>
              </c:numCache>
            </c:numRef>
          </c:val>
          <c:extLst xmlns:c16r2="http://schemas.microsoft.com/office/drawing/2015/06/chart">
            <c:ext xmlns:c16="http://schemas.microsoft.com/office/drawing/2014/chart" uri="{C3380CC4-5D6E-409C-BE32-E72D297353CC}">
              <c16:uniqueId val="{00000002-7A9F-4C0D-83D5-89B1AEF75939}"/>
            </c:ext>
          </c:extLst>
        </c:ser>
        <c:ser>
          <c:idx val="4"/>
          <c:order val="3"/>
          <c:tx>
            <c:strRef>
              <c:f>Input!$D$80</c:f>
              <c:strCache>
                <c:ptCount val="1"/>
                <c:pt idx="0">
                  <c:v>Cost Neg</c:v>
                </c:pt>
              </c:strCache>
            </c:strRef>
          </c:tx>
          <c:spPr>
            <a:solidFill>
              <a:srgbClr val="FFC000"/>
            </a:solidFill>
          </c:spPr>
          <c:invertIfNegative val="0"/>
          <c:cat>
            <c:strRef>
              <c:f>Input!$E$76:$R$76</c:f>
              <c:strCache>
                <c:ptCount val="14"/>
                <c:pt idx="0">
                  <c:v>Gas Revenue</c:v>
                </c:pt>
                <c:pt idx="1">
                  <c:v>Liquids Revenue</c:v>
                </c:pt>
                <c:pt idx="2">
                  <c:v>Seismic</c:v>
                </c:pt>
                <c:pt idx="3">
                  <c:v>Wildcat</c:v>
                </c:pt>
                <c:pt idx="4">
                  <c:v>Appraisal</c:v>
                </c:pt>
                <c:pt idx="5">
                  <c:v>Development Planning</c:v>
                </c:pt>
                <c:pt idx="6">
                  <c:v>Facilities &amp; Pipelines</c:v>
                </c:pt>
                <c:pt idx="7">
                  <c:v>Development Drilling</c:v>
                </c:pt>
                <c:pt idx="8">
                  <c:v>Operations</c:v>
                </c:pt>
                <c:pt idx="9">
                  <c:v>Royalty</c:v>
                </c:pt>
                <c:pt idx="10">
                  <c:v>Provincial Income Tax</c:v>
                </c:pt>
                <c:pt idx="11">
                  <c:v>Federal Income Tax</c:v>
                </c:pt>
                <c:pt idx="12">
                  <c:v>Abandonment</c:v>
                </c:pt>
                <c:pt idx="13">
                  <c:v>NPV</c:v>
                </c:pt>
              </c:strCache>
            </c:strRef>
          </c:cat>
          <c:val>
            <c:numRef>
              <c:f>Input!$E$80:$R$80</c:f>
              <c:numCache>
                <c:formatCode>General</c:formatCode>
                <c:ptCount val="14"/>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3-7A9F-4C0D-83D5-89B1AEF75939}"/>
            </c:ext>
          </c:extLst>
        </c:ser>
        <c:ser>
          <c:idx val="3"/>
          <c:order val="4"/>
          <c:tx>
            <c:strRef>
              <c:f>Input!$D$81</c:f>
              <c:strCache>
                <c:ptCount val="1"/>
                <c:pt idx="0">
                  <c:v>Value pos</c:v>
                </c:pt>
              </c:strCache>
            </c:strRef>
          </c:tx>
          <c:spPr>
            <a:solidFill>
              <a:srgbClr val="00B050"/>
            </a:solidFill>
          </c:spPr>
          <c:invertIfNegative val="0"/>
          <c:cat>
            <c:strRef>
              <c:f>Input!$E$76:$R$76</c:f>
              <c:strCache>
                <c:ptCount val="14"/>
                <c:pt idx="0">
                  <c:v>Gas Revenue</c:v>
                </c:pt>
                <c:pt idx="1">
                  <c:v>Liquids Revenue</c:v>
                </c:pt>
                <c:pt idx="2">
                  <c:v>Seismic</c:v>
                </c:pt>
                <c:pt idx="3">
                  <c:v>Wildcat</c:v>
                </c:pt>
                <c:pt idx="4">
                  <c:v>Appraisal</c:v>
                </c:pt>
                <c:pt idx="5">
                  <c:v>Development Planning</c:v>
                </c:pt>
                <c:pt idx="6">
                  <c:v>Facilities &amp; Pipelines</c:v>
                </c:pt>
                <c:pt idx="7">
                  <c:v>Development Drilling</c:v>
                </c:pt>
                <c:pt idx="8">
                  <c:v>Operations</c:v>
                </c:pt>
                <c:pt idx="9">
                  <c:v>Royalty</c:v>
                </c:pt>
                <c:pt idx="10">
                  <c:v>Provincial Income Tax</c:v>
                </c:pt>
                <c:pt idx="11">
                  <c:v>Federal Income Tax</c:v>
                </c:pt>
                <c:pt idx="12">
                  <c:v>Abandonment</c:v>
                </c:pt>
                <c:pt idx="13">
                  <c:v>NPV</c:v>
                </c:pt>
              </c:strCache>
            </c:strRef>
          </c:cat>
          <c:val>
            <c:numRef>
              <c:f>Input!$E$81:$R$81</c:f>
              <c:numCache>
                <c:formatCode>General</c:formatCode>
                <c:ptCount val="14"/>
                <c:pt idx="13">
                  <c:v>4078.982649511448</c:v>
                </c:pt>
              </c:numCache>
            </c:numRef>
          </c:val>
          <c:extLst xmlns:c16r2="http://schemas.microsoft.com/office/drawing/2015/06/chart">
            <c:ext xmlns:c16="http://schemas.microsoft.com/office/drawing/2014/chart" uri="{C3380CC4-5D6E-409C-BE32-E72D297353CC}">
              <c16:uniqueId val="{00000004-7A9F-4C0D-83D5-89B1AEF75939}"/>
            </c:ext>
          </c:extLst>
        </c:ser>
        <c:ser>
          <c:idx val="5"/>
          <c:order val="5"/>
          <c:tx>
            <c:strRef>
              <c:f>Input!$D$82</c:f>
              <c:strCache>
                <c:ptCount val="1"/>
                <c:pt idx="0">
                  <c:v>Value neg</c:v>
                </c:pt>
              </c:strCache>
            </c:strRef>
          </c:tx>
          <c:spPr>
            <a:solidFill>
              <a:srgbClr val="FF0000"/>
            </a:solidFill>
          </c:spPr>
          <c:invertIfNegative val="0"/>
          <c:cat>
            <c:strRef>
              <c:f>Input!$E$76:$R$76</c:f>
              <c:strCache>
                <c:ptCount val="14"/>
                <c:pt idx="0">
                  <c:v>Gas Revenue</c:v>
                </c:pt>
                <c:pt idx="1">
                  <c:v>Liquids Revenue</c:v>
                </c:pt>
                <c:pt idx="2">
                  <c:v>Seismic</c:v>
                </c:pt>
                <c:pt idx="3">
                  <c:v>Wildcat</c:v>
                </c:pt>
                <c:pt idx="4">
                  <c:v>Appraisal</c:v>
                </c:pt>
                <c:pt idx="5">
                  <c:v>Development Planning</c:v>
                </c:pt>
                <c:pt idx="6">
                  <c:v>Facilities &amp; Pipelines</c:v>
                </c:pt>
                <c:pt idx="7">
                  <c:v>Development Drilling</c:v>
                </c:pt>
                <c:pt idx="8">
                  <c:v>Operations</c:v>
                </c:pt>
                <c:pt idx="9">
                  <c:v>Royalty</c:v>
                </c:pt>
                <c:pt idx="10">
                  <c:v>Provincial Income Tax</c:v>
                </c:pt>
                <c:pt idx="11">
                  <c:v>Federal Income Tax</c:v>
                </c:pt>
                <c:pt idx="12">
                  <c:v>Abandonment</c:v>
                </c:pt>
                <c:pt idx="13">
                  <c:v>NPV</c:v>
                </c:pt>
              </c:strCache>
            </c:strRef>
          </c:cat>
          <c:val>
            <c:numRef>
              <c:f>Input!$E$82:$R$82</c:f>
              <c:numCache>
                <c:formatCode>General</c:formatCode>
                <c:ptCount val="14"/>
                <c:pt idx="13">
                  <c:v>0</c:v>
                </c:pt>
              </c:numCache>
            </c:numRef>
          </c:val>
          <c:extLst xmlns:c16r2="http://schemas.microsoft.com/office/drawing/2015/06/chart">
            <c:ext xmlns:c16="http://schemas.microsoft.com/office/drawing/2014/chart" uri="{C3380CC4-5D6E-409C-BE32-E72D297353CC}">
              <c16:uniqueId val="{00000005-7A9F-4C0D-83D5-89B1AEF75939}"/>
            </c:ext>
          </c:extLst>
        </c:ser>
        <c:dLbls>
          <c:showLegendKey val="0"/>
          <c:showVal val="0"/>
          <c:showCatName val="0"/>
          <c:showSerName val="0"/>
          <c:showPercent val="0"/>
          <c:showBubbleSize val="0"/>
        </c:dLbls>
        <c:gapWidth val="0"/>
        <c:overlap val="100"/>
        <c:axId val="310237768"/>
        <c:axId val="310238160"/>
      </c:barChart>
      <c:catAx>
        <c:axId val="310237768"/>
        <c:scaling>
          <c:orientation val="minMax"/>
        </c:scaling>
        <c:delete val="0"/>
        <c:axPos val="b"/>
        <c:numFmt formatCode="General" sourceLinked="1"/>
        <c:majorTickMark val="none"/>
        <c:minorTickMark val="none"/>
        <c:tickLblPos val="low"/>
        <c:spPr>
          <a:ln>
            <a:noFill/>
          </a:ln>
        </c:spPr>
        <c:txPr>
          <a:bodyPr rot="-2700000" vert="horz"/>
          <a:lstStyle/>
          <a:p>
            <a:pPr>
              <a:defRPr sz="1100" b="0" i="0" u="none" strike="noStrike" baseline="0">
                <a:solidFill>
                  <a:srgbClr val="000000"/>
                </a:solidFill>
                <a:latin typeface="Calibri"/>
                <a:ea typeface="Calibri"/>
                <a:cs typeface="Calibri"/>
              </a:defRPr>
            </a:pPr>
            <a:endParaRPr lang="en-US"/>
          </a:p>
        </c:txPr>
        <c:crossAx val="310238160"/>
        <c:crosses val="autoZero"/>
        <c:auto val="1"/>
        <c:lblAlgn val="ctr"/>
        <c:lblOffset val="100"/>
        <c:noMultiLvlLbl val="0"/>
      </c:catAx>
      <c:valAx>
        <c:axId val="310238160"/>
        <c:scaling>
          <c:orientation val="minMax"/>
        </c:scaling>
        <c:delete val="0"/>
        <c:axPos val="l"/>
        <c:majorGridlines>
          <c:spPr>
            <a:ln>
              <a:solidFill>
                <a:sysClr val="windowText" lastClr="000000"/>
              </a:solidFill>
            </a:ln>
            <a:effectLst/>
          </c:spPr>
        </c:majorGridlines>
        <c:numFmt formatCode="0.0" sourceLinked="1"/>
        <c:majorTickMark val="none"/>
        <c:minorTickMark val="none"/>
        <c:tickLblPos val="nextTo"/>
        <c:spPr>
          <a:ln>
            <a:noFill/>
          </a:ln>
        </c:spPr>
        <c:txPr>
          <a:bodyPr rot="0" vert="horz"/>
          <a:lstStyle/>
          <a:p>
            <a:pPr>
              <a:defRPr sz="1100" b="0" i="0" u="none" strike="noStrike" baseline="0">
                <a:solidFill>
                  <a:srgbClr val="000000"/>
                </a:solidFill>
                <a:latin typeface="Calibri"/>
                <a:ea typeface="Calibri"/>
                <a:cs typeface="Calibri"/>
              </a:defRPr>
            </a:pPr>
            <a:endParaRPr lang="en-US"/>
          </a:p>
        </c:txPr>
        <c:crossAx val="310237768"/>
        <c:crosses val="autoZero"/>
        <c:crossBetween val="between"/>
      </c:valAx>
      <c:spPr>
        <a:solidFill>
          <a:schemeClr val="bg1">
            <a:lumMod val="95000"/>
          </a:schemeClr>
        </a:solidFill>
        <a:ln>
          <a:noFill/>
        </a:ln>
      </c:spPr>
    </c:plotArea>
    <c:plotVisOnly val="1"/>
    <c:dispBlanksAs val="gap"/>
    <c:showDLblsOverMax val="0"/>
  </c:chart>
  <c:spPr>
    <a:solidFill>
      <a:schemeClr val="bg1">
        <a:lumMod val="95000"/>
      </a:schemeClr>
    </a:solid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44" l="0.70000000000000062" r="0.70000000000000062" t="0.75000000000000144"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Real Oil Price $US / BBL</a:t>
            </a:r>
          </a:p>
        </c:rich>
      </c:tx>
      <c:overlay val="0"/>
    </c:title>
    <c:autoTitleDeleted val="0"/>
    <c:plotArea>
      <c:layout/>
      <c:scatterChart>
        <c:scatterStyle val="smoothMarker"/>
        <c:varyColors val="0"/>
        <c:ser>
          <c:idx val="0"/>
          <c:order val="0"/>
          <c:tx>
            <c:strRef>
              <c:f>'Price Charts'!$I$34</c:f>
              <c:strCache>
                <c:ptCount val="1"/>
                <c:pt idx="0">
                  <c:v>Base</c:v>
                </c:pt>
              </c:strCache>
            </c:strRef>
          </c:tx>
          <c:marker>
            <c:symbol val="none"/>
          </c:marker>
          <c:xVal>
            <c:numRef>
              <c:f>'Price Charts'!$H$35:$H$63</c:f>
              <c:numCache>
                <c:formatCode>General</c:formatCode>
                <c:ptCount val="2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pt idx="19">
                  <c:v>2031</c:v>
                </c:pt>
                <c:pt idx="20">
                  <c:v>2032</c:v>
                </c:pt>
                <c:pt idx="21">
                  <c:v>2033</c:v>
                </c:pt>
                <c:pt idx="22">
                  <c:v>2034</c:v>
                </c:pt>
                <c:pt idx="23">
                  <c:v>2035</c:v>
                </c:pt>
                <c:pt idx="24">
                  <c:v>2036</c:v>
                </c:pt>
                <c:pt idx="25">
                  <c:v>2037</c:v>
                </c:pt>
                <c:pt idx="26">
                  <c:v>2038</c:v>
                </c:pt>
                <c:pt idx="27">
                  <c:v>2039</c:v>
                </c:pt>
                <c:pt idx="28">
                  <c:v>2040</c:v>
                </c:pt>
              </c:numCache>
            </c:numRef>
          </c:xVal>
          <c:yVal>
            <c:numRef>
              <c:f>'Price Charts'!$I$35:$I$63</c:f>
              <c:numCache>
                <c:formatCode>0.00</c:formatCode>
                <c:ptCount val="29"/>
                <c:pt idx="0">
                  <c:v>104</c:v>
                </c:pt>
                <c:pt idx="1">
                  <c:v>101.46341463414635</c:v>
                </c:pt>
                <c:pt idx="2">
                  <c:v>93.277810826888768</c:v>
                </c:pt>
                <c:pt idx="3">
                  <c:v>42.715572902308452</c:v>
                </c:pt>
                <c:pt idx="4">
                  <c:v>49.827285463986534</c:v>
                </c:pt>
                <c:pt idx="5">
                  <c:v>61.869800132666214</c:v>
                </c:pt>
                <c:pt idx="6">
                  <c:v>64.67226494703786</c:v>
                </c:pt>
                <c:pt idx="7">
                  <c:v>67.30121880667356</c:v>
                </c:pt>
                <c:pt idx="8">
                  <c:v>66.644621550023075</c:v>
                </c:pt>
                <c:pt idx="9">
                  <c:v>65.994430120266756</c:v>
                </c:pt>
                <c:pt idx="10">
                  <c:v>65.350582021532446</c:v>
                </c:pt>
                <c:pt idx="11">
                  <c:v>64.713015367663829</c:v>
                </c:pt>
                <c:pt idx="12">
                  <c:v>64.081668876271991</c:v>
                </c:pt>
                <c:pt idx="13">
                  <c:v>63.456481862844946</c:v>
                </c:pt>
                <c:pt idx="14">
                  <c:v>62.837394234914754</c:v>
                </c:pt>
                <c:pt idx="15">
                  <c:v>62.224346486281441</c:v>
                </c:pt>
                <c:pt idx="16">
                  <c:v>61.617279691293334</c:v>
                </c:pt>
                <c:pt idx="17">
                  <c:v>61.01613549918315</c:v>
                </c:pt>
                <c:pt idx="18">
                  <c:v>60.42085612845942</c:v>
                </c:pt>
                <c:pt idx="19">
                  <c:v>59.831384361352491</c:v>
                </c:pt>
                <c:pt idx="20">
                  <c:v>59.24766353831491</c:v>
                </c:pt>
                <c:pt idx="21">
                  <c:v>58.669637552575253</c:v>
                </c:pt>
                <c:pt idx="22">
                  <c:v>58.097250844745247</c:v>
                </c:pt>
                <c:pt idx="23">
                  <c:v>57.530448397479439</c:v>
                </c:pt>
                <c:pt idx="24">
                  <c:v>56.969175730186947</c:v>
                </c:pt>
                <c:pt idx="25">
                  <c:v>56.413378893794885</c:v>
                </c:pt>
                <c:pt idx="26">
                  <c:v>55.863004465562739</c:v>
                </c:pt>
                <c:pt idx="27">
                  <c:v>55.317999543947479</c:v>
                </c:pt>
                <c:pt idx="28">
                  <c:v>54.778311743518721</c:v>
                </c:pt>
              </c:numCache>
            </c:numRef>
          </c:yVal>
          <c:smooth val="1"/>
          <c:extLst xmlns:c16r2="http://schemas.microsoft.com/office/drawing/2015/06/chart">
            <c:ext xmlns:c16="http://schemas.microsoft.com/office/drawing/2014/chart" uri="{C3380CC4-5D6E-409C-BE32-E72D297353CC}">
              <c16:uniqueId val="{00000000-F3F4-41F7-959D-62A14A2AFA37}"/>
            </c:ext>
          </c:extLst>
        </c:ser>
        <c:ser>
          <c:idx val="1"/>
          <c:order val="1"/>
          <c:tx>
            <c:strRef>
              <c:f>'Price Charts'!$J$34</c:f>
              <c:strCache>
                <c:ptCount val="1"/>
                <c:pt idx="0">
                  <c:v>Base +1.5% /y</c:v>
                </c:pt>
              </c:strCache>
            </c:strRef>
          </c:tx>
          <c:marker>
            <c:symbol val="none"/>
          </c:marker>
          <c:xVal>
            <c:numRef>
              <c:f>'Price Charts'!$H$35:$H$63</c:f>
              <c:numCache>
                <c:formatCode>General</c:formatCode>
                <c:ptCount val="2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pt idx="19">
                  <c:v>2031</c:v>
                </c:pt>
                <c:pt idx="20">
                  <c:v>2032</c:v>
                </c:pt>
                <c:pt idx="21">
                  <c:v>2033</c:v>
                </c:pt>
                <c:pt idx="22">
                  <c:v>2034</c:v>
                </c:pt>
                <c:pt idx="23">
                  <c:v>2035</c:v>
                </c:pt>
                <c:pt idx="24">
                  <c:v>2036</c:v>
                </c:pt>
                <c:pt idx="25">
                  <c:v>2037</c:v>
                </c:pt>
                <c:pt idx="26">
                  <c:v>2038</c:v>
                </c:pt>
                <c:pt idx="27">
                  <c:v>2039</c:v>
                </c:pt>
                <c:pt idx="28">
                  <c:v>2040</c:v>
                </c:pt>
              </c:numCache>
            </c:numRef>
          </c:xVal>
          <c:yVal>
            <c:numRef>
              <c:f>'Price Charts'!$J$35:$J$63</c:f>
              <c:numCache>
                <c:formatCode>0.00</c:formatCode>
                <c:ptCount val="29"/>
                <c:pt idx="0">
                  <c:v>104</c:v>
                </c:pt>
                <c:pt idx="1">
                  <c:v>101.46341463414635</c:v>
                </c:pt>
                <c:pt idx="2">
                  <c:v>93.277810826888768</c:v>
                </c:pt>
                <c:pt idx="3">
                  <c:v>42.715572902308452</c:v>
                </c:pt>
                <c:pt idx="4">
                  <c:v>49.827285463986534</c:v>
                </c:pt>
                <c:pt idx="5">
                  <c:v>62.598979919944057</c:v>
                </c:pt>
                <c:pt idx="6">
                  <c:v>66.299742494430049</c:v>
                </c:pt>
                <c:pt idx="7">
                  <c:v>69.859241913803928</c:v>
                </c:pt>
                <c:pt idx="8">
                  <c:v>70.162584219132754</c:v>
                </c:pt>
                <c:pt idx="9">
                  <c:v>70.453358346995216</c:v>
                </c:pt>
                <c:pt idx="10">
                  <c:v>70.731780657565011</c:v>
                </c:pt>
                <c:pt idx="11">
                  <c:v>70.998064485611181</c:v>
                </c:pt>
                <c:pt idx="12">
                  <c:v>71.252420178936873</c:v>
                </c:pt>
                <c:pt idx="13">
                  <c:v>71.4950551363561</c:v>
                </c:pt>
                <c:pt idx="14">
                  <c:v>71.726173845213765</c:v>
                </c:pt>
                <c:pt idx="15">
                  <c:v>71.945977918454346</c:v>
                </c:pt>
                <c:pt idx="16">
                  <c:v>72.154666131244269</c:v>
                </c:pt>
                <c:pt idx="17">
                  <c:v>72.352434457153493</c:v>
                </c:pt>
                <c:pt idx="18">
                  <c:v>72.539476103901009</c:v>
                </c:pt>
                <c:pt idx="19">
                  <c:v>72.71598154866966</c:v>
                </c:pt>
                <c:pt idx="20">
                  <c:v>72.882138572995117</c:v>
                </c:pt>
                <c:pt idx="21">
                  <c:v>73.038132297233915</c:v>
                </c:pt>
                <c:pt idx="22">
                  <c:v>73.184145214615654</c:v>
                </c:pt>
                <c:pt idx="23">
                  <c:v>73.320357224883949</c:v>
                </c:pt>
                <c:pt idx="24">
                  <c:v>73.446945667531097</c:v>
                </c:pt>
                <c:pt idx="25">
                  <c:v>73.564085354631089</c:v>
                </c:pt>
                <c:pt idx="26">
                  <c:v>73.671948603275567</c:v>
                </c:pt>
                <c:pt idx="27">
                  <c:v>73.770705267617686</c:v>
                </c:pt>
                <c:pt idx="28">
                  <c:v>73.86052277052795</c:v>
                </c:pt>
              </c:numCache>
            </c:numRef>
          </c:yVal>
          <c:smooth val="1"/>
          <c:extLst xmlns:c16r2="http://schemas.microsoft.com/office/drawing/2015/06/chart">
            <c:ext xmlns:c16="http://schemas.microsoft.com/office/drawing/2014/chart" uri="{C3380CC4-5D6E-409C-BE32-E72D297353CC}">
              <c16:uniqueId val="{00000001-F3F4-41F7-959D-62A14A2AFA37}"/>
            </c:ext>
          </c:extLst>
        </c:ser>
        <c:ser>
          <c:idx val="2"/>
          <c:order val="2"/>
          <c:tx>
            <c:strRef>
              <c:f>'Price Charts'!$K$34</c:f>
              <c:strCache>
                <c:ptCount val="1"/>
                <c:pt idx="0">
                  <c:v>Base + 3%/y</c:v>
                </c:pt>
              </c:strCache>
            </c:strRef>
          </c:tx>
          <c:marker>
            <c:symbol val="none"/>
          </c:marker>
          <c:xVal>
            <c:numRef>
              <c:f>'Price Charts'!$H$35:$H$63</c:f>
              <c:numCache>
                <c:formatCode>General</c:formatCode>
                <c:ptCount val="2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pt idx="19">
                  <c:v>2031</c:v>
                </c:pt>
                <c:pt idx="20">
                  <c:v>2032</c:v>
                </c:pt>
                <c:pt idx="21">
                  <c:v>2033</c:v>
                </c:pt>
                <c:pt idx="22">
                  <c:v>2034</c:v>
                </c:pt>
                <c:pt idx="23">
                  <c:v>2035</c:v>
                </c:pt>
                <c:pt idx="24">
                  <c:v>2036</c:v>
                </c:pt>
                <c:pt idx="25">
                  <c:v>2037</c:v>
                </c:pt>
                <c:pt idx="26">
                  <c:v>2038</c:v>
                </c:pt>
                <c:pt idx="27">
                  <c:v>2039</c:v>
                </c:pt>
                <c:pt idx="28">
                  <c:v>2040</c:v>
                </c:pt>
              </c:numCache>
            </c:numRef>
          </c:xVal>
          <c:yVal>
            <c:numRef>
              <c:f>'Price Charts'!$K$35:$K$63</c:f>
              <c:numCache>
                <c:formatCode>0.00</c:formatCode>
                <c:ptCount val="29"/>
                <c:pt idx="0">
                  <c:v>104</c:v>
                </c:pt>
                <c:pt idx="1">
                  <c:v>101.46341463414635</c:v>
                </c:pt>
                <c:pt idx="2">
                  <c:v>93.277810826888768</c:v>
                </c:pt>
                <c:pt idx="3">
                  <c:v>42.715572902308452</c:v>
                </c:pt>
                <c:pt idx="4">
                  <c:v>49.827285463986534</c:v>
                </c:pt>
                <c:pt idx="5">
                  <c:v>63.328159707221921</c:v>
                </c:pt>
                <c:pt idx="6">
                  <c:v>67.948561889254805</c:v>
                </c:pt>
                <c:pt idx="7">
                  <c:v>72.48634446413169</c:v>
                </c:pt>
                <c:pt idx="8">
                  <c:v>73.824832273322684</c:v>
                </c:pt>
                <c:pt idx="9">
                  <c:v>75.16024055099777</c:v>
                </c:pt>
                <c:pt idx="10">
                  <c:v>76.492648018860208</c:v>
                </c:pt>
                <c:pt idx="11">
                  <c:v>77.822132868047802</c:v>
                </c:pt>
                <c:pt idx="12">
                  <c:v>79.148772765467513</c:v>
                </c:pt>
                <c:pt idx="13">
                  <c:v>80.472644860073785</c:v>
                </c:pt>
                <c:pt idx="14">
                  <c:v>81.7938257890914</c:v>
                </c:pt>
                <c:pt idx="15">
                  <c:v>83.112391684183294</c:v>
                </c:pt>
                <c:pt idx="16">
                  <c:v>84.428418177563913</c:v>
                </c:pt>
                <c:pt idx="17">
                  <c:v>85.74198040805878</c:v>
                </c:pt>
                <c:pt idx="18">
                  <c:v>87.053153027110554</c:v>
                </c:pt>
                <c:pt idx="19">
                  <c:v>88.362010204732442</c:v>
                </c:pt>
                <c:pt idx="20">
                  <c:v>89.668625635409455</c:v>
                </c:pt>
                <c:pt idx="21">
                  <c:v>90.973072543947794</c:v>
                </c:pt>
                <c:pt idx="22">
                  <c:v>92.275423691273033</c:v>
                </c:pt>
                <c:pt idx="23">
                  <c:v>93.575751380177948</c:v>
                </c:pt>
                <c:pt idx="24">
                  <c:v>94.874127461019953</c:v>
                </c:pt>
                <c:pt idx="25">
                  <c:v>96.170623337369136</c:v>
                </c:pt>
                <c:pt idx="26">
                  <c:v>97.46530997160697</c:v>
                </c:pt>
                <c:pt idx="27">
                  <c:v>98.758257890476699</c:v>
                </c:pt>
                <c:pt idx="28">
                  <c:v>100.04953719058558</c:v>
                </c:pt>
              </c:numCache>
            </c:numRef>
          </c:yVal>
          <c:smooth val="1"/>
          <c:extLst xmlns:c16r2="http://schemas.microsoft.com/office/drawing/2015/06/chart">
            <c:ext xmlns:c16="http://schemas.microsoft.com/office/drawing/2014/chart" uri="{C3380CC4-5D6E-409C-BE32-E72D297353CC}">
              <c16:uniqueId val="{00000002-F3F4-41F7-959D-62A14A2AFA37}"/>
            </c:ext>
          </c:extLst>
        </c:ser>
        <c:ser>
          <c:idx val="3"/>
          <c:order val="3"/>
          <c:tx>
            <c:strRef>
              <c:f>'Price Charts'!$L$34</c:f>
              <c:strCache>
                <c:ptCount val="1"/>
                <c:pt idx="0">
                  <c:v>Base - 1.5%/y</c:v>
                </c:pt>
              </c:strCache>
            </c:strRef>
          </c:tx>
          <c:marker>
            <c:symbol val="none"/>
          </c:marker>
          <c:xVal>
            <c:numRef>
              <c:f>'Price Charts'!$H$35:$H$63</c:f>
              <c:numCache>
                <c:formatCode>General</c:formatCode>
                <c:ptCount val="2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pt idx="19">
                  <c:v>2031</c:v>
                </c:pt>
                <c:pt idx="20">
                  <c:v>2032</c:v>
                </c:pt>
                <c:pt idx="21">
                  <c:v>2033</c:v>
                </c:pt>
                <c:pt idx="22">
                  <c:v>2034</c:v>
                </c:pt>
                <c:pt idx="23">
                  <c:v>2035</c:v>
                </c:pt>
                <c:pt idx="24">
                  <c:v>2036</c:v>
                </c:pt>
                <c:pt idx="25">
                  <c:v>2037</c:v>
                </c:pt>
                <c:pt idx="26">
                  <c:v>2038</c:v>
                </c:pt>
                <c:pt idx="27">
                  <c:v>2039</c:v>
                </c:pt>
                <c:pt idx="28">
                  <c:v>2040</c:v>
                </c:pt>
              </c:numCache>
            </c:numRef>
          </c:xVal>
          <c:yVal>
            <c:numRef>
              <c:f>'Price Charts'!$L$35:$L$63</c:f>
              <c:numCache>
                <c:formatCode>0.00</c:formatCode>
                <c:ptCount val="29"/>
                <c:pt idx="0">
                  <c:v>104</c:v>
                </c:pt>
                <c:pt idx="1">
                  <c:v>101.46341463414635</c:v>
                </c:pt>
                <c:pt idx="2">
                  <c:v>93.277810826888768</c:v>
                </c:pt>
                <c:pt idx="3">
                  <c:v>42.715572902308452</c:v>
                </c:pt>
                <c:pt idx="4">
                  <c:v>49.827285463986534</c:v>
                </c:pt>
                <c:pt idx="5">
                  <c:v>61.140620345388356</c:v>
                </c:pt>
                <c:pt idx="6">
                  <c:v>63.066129247078166</c:v>
                </c:pt>
                <c:pt idx="7">
                  <c:v>64.811338183584908</c:v>
                </c:pt>
                <c:pt idx="8">
                  <c:v>63.267011115054864</c:v>
                </c:pt>
                <c:pt idx="9">
                  <c:v>61.773341728370127</c:v>
                </c:pt>
                <c:pt idx="10">
                  <c:v>60.328446882193731</c:v>
                </c:pt>
                <c:pt idx="11">
                  <c:v>58.930516009057371</c:v>
                </c:pt>
                <c:pt idx="12">
                  <c:v>57.577808292133142</c:v>
                </c:pt>
                <c:pt idx="13">
                  <c:v>56.268649952092893</c:v>
                </c:pt>
                <c:pt idx="14">
                  <c:v>55.00143163976017</c:v>
                </c:pt>
                <c:pt idx="15">
                  <c:v>53.774605930426823</c:v>
                </c:pt>
                <c:pt idx="16">
                  <c:v>52.586684915867941</c:v>
                </c:pt>
                <c:pt idx="17">
                  <c:v>51.436237890243234</c:v>
                </c:pt>
                <c:pt idx="18">
                  <c:v>50.321889126221791</c:v>
                </c:pt>
                <c:pt idx="19">
                  <c:v>49.242315737810095</c:v>
                </c:pt>
                <c:pt idx="20">
                  <c:v>48.196245626500719</c:v>
                </c:pt>
                <c:pt idx="21">
                  <c:v>47.182455507490666</c:v>
                </c:pt>
                <c:pt idx="22">
                  <c:v>46.199769012845785</c:v>
                </c:pt>
                <c:pt idx="23">
                  <c:v>45.247054868609048</c:v>
                </c:pt>
                <c:pt idx="24">
                  <c:v>44.3232251429679</c:v>
                </c:pt>
                <c:pt idx="25">
                  <c:v>43.427233562708473</c:v>
                </c:pt>
                <c:pt idx="26">
                  <c:v>42.558073895292459</c:v>
                </c:pt>
                <c:pt idx="27">
                  <c:v>41.714778393996589</c:v>
                </c:pt>
                <c:pt idx="28">
                  <c:v>40.896416303654483</c:v>
                </c:pt>
              </c:numCache>
            </c:numRef>
          </c:yVal>
          <c:smooth val="1"/>
          <c:extLst xmlns:c16r2="http://schemas.microsoft.com/office/drawing/2015/06/chart">
            <c:ext xmlns:c16="http://schemas.microsoft.com/office/drawing/2014/chart" uri="{C3380CC4-5D6E-409C-BE32-E72D297353CC}">
              <c16:uniqueId val="{00000003-F3F4-41F7-959D-62A14A2AFA37}"/>
            </c:ext>
          </c:extLst>
        </c:ser>
        <c:ser>
          <c:idx val="4"/>
          <c:order val="4"/>
          <c:tx>
            <c:strRef>
              <c:f>'Price Charts'!$M$34</c:f>
              <c:strCache>
                <c:ptCount val="1"/>
                <c:pt idx="0">
                  <c:v>Flat Real</c:v>
                </c:pt>
              </c:strCache>
            </c:strRef>
          </c:tx>
          <c:marker>
            <c:symbol val="none"/>
          </c:marker>
          <c:xVal>
            <c:numRef>
              <c:f>'Price Charts'!$H$35:$H$63</c:f>
              <c:numCache>
                <c:formatCode>General</c:formatCode>
                <c:ptCount val="2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pt idx="19">
                  <c:v>2031</c:v>
                </c:pt>
                <c:pt idx="20">
                  <c:v>2032</c:v>
                </c:pt>
                <c:pt idx="21">
                  <c:v>2033</c:v>
                </c:pt>
                <c:pt idx="22">
                  <c:v>2034</c:v>
                </c:pt>
                <c:pt idx="23">
                  <c:v>2035</c:v>
                </c:pt>
                <c:pt idx="24">
                  <c:v>2036</c:v>
                </c:pt>
                <c:pt idx="25">
                  <c:v>2037</c:v>
                </c:pt>
                <c:pt idx="26">
                  <c:v>2038</c:v>
                </c:pt>
                <c:pt idx="27">
                  <c:v>2039</c:v>
                </c:pt>
                <c:pt idx="28">
                  <c:v>2040</c:v>
                </c:pt>
              </c:numCache>
            </c:numRef>
          </c:xVal>
          <c:yVal>
            <c:numRef>
              <c:f>'Price Charts'!$M$35:$M$63</c:f>
              <c:numCache>
                <c:formatCode>0.00</c:formatCode>
                <c:ptCount val="29"/>
                <c:pt idx="0">
                  <c:v>104</c:v>
                </c:pt>
                <c:pt idx="1">
                  <c:v>101.46341463414635</c:v>
                </c:pt>
                <c:pt idx="2">
                  <c:v>93.277810826888768</c:v>
                </c:pt>
                <c:pt idx="3">
                  <c:v>42.715572902308452</c:v>
                </c:pt>
                <c:pt idx="4">
                  <c:v>42.715572902308452</c:v>
                </c:pt>
                <c:pt idx="5">
                  <c:v>42.715572902308452</c:v>
                </c:pt>
                <c:pt idx="6">
                  <c:v>42.715572902308452</c:v>
                </c:pt>
                <c:pt idx="7">
                  <c:v>42.715572902308459</c:v>
                </c:pt>
                <c:pt idx="8">
                  <c:v>42.715572902308459</c:v>
                </c:pt>
                <c:pt idx="9">
                  <c:v>42.715572902308459</c:v>
                </c:pt>
                <c:pt idx="10">
                  <c:v>42.715572902308466</c:v>
                </c:pt>
                <c:pt idx="11">
                  <c:v>42.715572902308459</c:v>
                </c:pt>
                <c:pt idx="12">
                  <c:v>42.715572902308459</c:v>
                </c:pt>
                <c:pt idx="13">
                  <c:v>42.715572902308466</c:v>
                </c:pt>
                <c:pt idx="14">
                  <c:v>42.715572902308466</c:v>
                </c:pt>
                <c:pt idx="15">
                  <c:v>42.715572902308466</c:v>
                </c:pt>
                <c:pt idx="16">
                  <c:v>42.715572902308466</c:v>
                </c:pt>
                <c:pt idx="17">
                  <c:v>42.715572902308466</c:v>
                </c:pt>
                <c:pt idx="18">
                  <c:v>42.715572902308466</c:v>
                </c:pt>
                <c:pt idx="19">
                  <c:v>42.715572902308466</c:v>
                </c:pt>
                <c:pt idx="20">
                  <c:v>42.715572902308466</c:v>
                </c:pt>
                <c:pt idx="21">
                  <c:v>42.715572902308473</c:v>
                </c:pt>
                <c:pt idx="22">
                  <c:v>42.715572902308473</c:v>
                </c:pt>
                <c:pt idx="23">
                  <c:v>42.715572902308473</c:v>
                </c:pt>
                <c:pt idx="24">
                  <c:v>42.715572902308473</c:v>
                </c:pt>
                <c:pt idx="25">
                  <c:v>42.715572902308473</c:v>
                </c:pt>
                <c:pt idx="26">
                  <c:v>42.715572902308466</c:v>
                </c:pt>
                <c:pt idx="27">
                  <c:v>42.715572902308459</c:v>
                </c:pt>
                <c:pt idx="28">
                  <c:v>42.715572902308459</c:v>
                </c:pt>
              </c:numCache>
            </c:numRef>
          </c:yVal>
          <c:smooth val="1"/>
          <c:extLst xmlns:c16r2="http://schemas.microsoft.com/office/drawing/2015/06/chart">
            <c:ext xmlns:c16="http://schemas.microsoft.com/office/drawing/2014/chart" uri="{C3380CC4-5D6E-409C-BE32-E72D297353CC}">
              <c16:uniqueId val="{00000004-F3F4-41F7-959D-62A14A2AFA37}"/>
            </c:ext>
          </c:extLst>
        </c:ser>
        <c:dLbls>
          <c:showLegendKey val="0"/>
          <c:showVal val="0"/>
          <c:showCatName val="0"/>
          <c:showSerName val="0"/>
          <c:showPercent val="0"/>
          <c:showBubbleSize val="0"/>
        </c:dLbls>
        <c:axId val="312181888"/>
        <c:axId val="312182280"/>
      </c:scatterChart>
      <c:valAx>
        <c:axId val="31218188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2182280"/>
        <c:crosses val="autoZero"/>
        <c:crossBetween val="midCat"/>
      </c:valAx>
      <c:valAx>
        <c:axId val="312182280"/>
        <c:scaling>
          <c:orientation val="minMax"/>
        </c:scaling>
        <c:delete val="0"/>
        <c:axPos val="l"/>
        <c:majorGridlines/>
        <c:numFmt formatCode="0" sourceLinked="0"/>
        <c:majorTickMark val="out"/>
        <c:minorTickMark val="none"/>
        <c:tickLblPos val="nextTo"/>
        <c:crossAx val="312181888"/>
        <c:crosses val="autoZero"/>
        <c:crossBetween val="midCat"/>
      </c:valAx>
      <c:spPr>
        <a:solidFill>
          <a:schemeClr val="bg1">
            <a:lumMod val="95000"/>
          </a:schemeClr>
        </a:solidFill>
      </c:spPr>
    </c:plotArea>
    <c:legend>
      <c:legendPos val="b"/>
      <c:overlay val="0"/>
    </c:legend>
    <c:plotVisOnly val="1"/>
    <c:dispBlanksAs val="gap"/>
    <c:showDLblsOverMax val="0"/>
  </c:chart>
  <c:spPr>
    <a:solidFill>
      <a:schemeClr val="bg1">
        <a:lumMod val="95000"/>
      </a:schemeClr>
    </a:solidFill>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Nominal HH Gas Price $US / MMBTU</a:t>
            </a:r>
          </a:p>
        </c:rich>
      </c:tx>
      <c:overlay val="0"/>
    </c:title>
    <c:autoTitleDeleted val="0"/>
    <c:plotArea>
      <c:layout/>
      <c:scatterChart>
        <c:scatterStyle val="smoothMarker"/>
        <c:varyColors val="0"/>
        <c:ser>
          <c:idx val="0"/>
          <c:order val="0"/>
          <c:tx>
            <c:strRef>
              <c:f>'Price Charts'!$P$34</c:f>
              <c:strCache>
                <c:ptCount val="1"/>
                <c:pt idx="0">
                  <c:v>Base</c:v>
                </c:pt>
              </c:strCache>
            </c:strRef>
          </c:tx>
          <c:marker>
            <c:symbol val="none"/>
          </c:marker>
          <c:xVal>
            <c:numRef>
              <c:f>'Price Charts'!$O$35:$O$63</c:f>
              <c:numCache>
                <c:formatCode>General</c:formatCode>
                <c:ptCount val="2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pt idx="19">
                  <c:v>2031</c:v>
                </c:pt>
                <c:pt idx="20">
                  <c:v>2032</c:v>
                </c:pt>
                <c:pt idx="21">
                  <c:v>2033</c:v>
                </c:pt>
                <c:pt idx="22">
                  <c:v>2034</c:v>
                </c:pt>
                <c:pt idx="23">
                  <c:v>2035</c:v>
                </c:pt>
                <c:pt idx="24">
                  <c:v>2036</c:v>
                </c:pt>
                <c:pt idx="25">
                  <c:v>2037</c:v>
                </c:pt>
                <c:pt idx="26">
                  <c:v>2038</c:v>
                </c:pt>
                <c:pt idx="27">
                  <c:v>2039</c:v>
                </c:pt>
                <c:pt idx="28">
                  <c:v>2040</c:v>
                </c:pt>
              </c:numCache>
            </c:numRef>
          </c:xVal>
          <c:yVal>
            <c:numRef>
              <c:f>'Price Charts'!$P$35:$P$63</c:f>
              <c:numCache>
                <c:formatCode>0.00</c:formatCode>
                <c:ptCount val="29"/>
                <c:pt idx="0">
                  <c:v>2.6</c:v>
                </c:pt>
                <c:pt idx="1">
                  <c:v>3.6</c:v>
                </c:pt>
                <c:pt idx="2">
                  <c:v>3.9</c:v>
                </c:pt>
                <c:pt idx="3">
                  <c:v>2.75</c:v>
                </c:pt>
                <c:pt idx="4">
                  <c:v>3</c:v>
                </c:pt>
                <c:pt idx="5">
                  <c:v>3.5</c:v>
                </c:pt>
                <c:pt idx="6">
                  <c:v>4</c:v>
                </c:pt>
                <c:pt idx="7">
                  <c:v>4.5</c:v>
                </c:pt>
                <c:pt idx="8">
                  <c:v>4.75</c:v>
                </c:pt>
                <c:pt idx="9">
                  <c:v>4.8212499999999991</c:v>
                </c:pt>
                <c:pt idx="10">
                  <c:v>4.8935687499999982</c:v>
                </c:pt>
                <c:pt idx="11">
                  <c:v>4.9669722812499977</c:v>
                </c:pt>
                <c:pt idx="12">
                  <c:v>5.0414768654687467</c:v>
                </c:pt>
                <c:pt idx="13">
                  <c:v>5.1170990184507774</c:v>
                </c:pt>
                <c:pt idx="14">
                  <c:v>5.1810627561814115</c:v>
                </c:pt>
                <c:pt idx="15">
                  <c:v>5.2458260406336787</c:v>
                </c:pt>
                <c:pt idx="16">
                  <c:v>5.3113988661415998</c:v>
                </c:pt>
                <c:pt idx="17">
                  <c:v>5.3777913519683693</c:v>
                </c:pt>
                <c:pt idx="18">
                  <c:v>5.4450137438679738</c:v>
                </c:pt>
                <c:pt idx="19">
                  <c:v>5.5130764156663234</c:v>
                </c:pt>
                <c:pt idx="20">
                  <c:v>5.5819898708621523</c:v>
                </c:pt>
                <c:pt idx="21">
                  <c:v>5.6517647442479291</c:v>
                </c:pt>
                <c:pt idx="22">
                  <c:v>5.7224118035510276</c:v>
                </c:pt>
                <c:pt idx="23">
                  <c:v>5.7939419510954151</c:v>
                </c:pt>
                <c:pt idx="24">
                  <c:v>5.8663662254841071</c:v>
                </c:pt>
                <c:pt idx="25">
                  <c:v>5.9396958033026586</c:v>
                </c:pt>
                <c:pt idx="26">
                  <c:v>6.0139420008439419</c:v>
                </c:pt>
                <c:pt idx="27">
                  <c:v>6.089116275854491</c:v>
                </c:pt>
                <c:pt idx="28">
                  <c:v>6.1652302293026722</c:v>
                </c:pt>
              </c:numCache>
            </c:numRef>
          </c:yVal>
          <c:smooth val="1"/>
          <c:extLst xmlns:c16r2="http://schemas.microsoft.com/office/drawing/2015/06/chart">
            <c:ext xmlns:c16="http://schemas.microsoft.com/office/drawing/2014/chart" uri="{C3380CC4-5D6E-409C-BE32-E72D297353CC}">
              <c16:uniqueId val="{00000000-06D6-4D7D-A8B2-8432C2642ADE}"/>
            </c:ext>
          </c:extLst>
        </c:ser>
        <c:ser>
          <c:idx val="1"/>
          <c:order val="1"/>
          <c:tx>
            <c:strRef>
              <c:f>'Price Charts'!$Q$34</c:f>
              <c:strCache>
                <c:ptCount val="1"/>
                <c:pt idx="0">
                  <c:v>Base +1.5% /y</c:v>
                </c:pt>
              </c:strCache>
            </c:strRef>
          </c:tx>
          <c:marker>
            <c:symbol val="none"/>
          </c:marker>
          <c:xVal>
            <c:numRef>
              <c:f>'Price Charts'!$O$35:$O$63</c:f>
              <c:numCache>
                <c:formatCode>General</c:formatCode>
                <c:ptCount val="2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pt idx="19">
                  <c:v>2031</c:v>
                </c:pt>
                <c:pt idx="20">
                  <c:v>2032</c:v>
                </c:pt>
                <c:pt idx="21">
                  <c:v>2033</c:v>
                </c:pt>
                <c:pt idx="22">
                  <c:v>2034</c:v>
                </c:pt>
                <c:pt idx="23">
                  <c:v>2035</c:v>
                </c:pt>
                <c:pt idx="24">
                  <c:v>2036</c:v>
                </c:pt>
                <c:pt idx="25">
                  <c:v>2037</c:v>
                </c:pt>
                <c:pt idx="26">
                  <c:v>2038</c:v>
                </c:pt>
                <c:pt idx="27">
                  <c:v>2039</c:v>
                </c:pt>
                <c:pt idx="28">
                  <c:v>2040</c:v>
                </c:pt>
              </c:numCache>
            </c:numRef>
          </c:xVal>
          <c:yVal>
            <c:numRef>
              <c:f>'Price Charts'!$Q$35:$Q$63</c:f>
              <c:numCache>
                <c:formatCode>0.00</c:formatCode>
                <c:ptCount val="29"/>
                <c:pt idx="0">
                  <c:v>2.6</c:v>
                </c:pt>
                <c:pt idx="1">
                  <c:v>3.6</c:v>
                </c:pt>
                <c:pt idx="2">
                  <c:v>3.9</c:v>
                </c:pt>
                <c:pt idx="3">
                  <c:v>2.75</c:v>
                </c:pt>
                <c:pt idx="4">
                  <c:v>3</c:v>
                </c:pt>
                <c:pt idx="5">
                  <c:v>3.5449999999999999</c:v>
                </c:pt>
                <c:pt idx="6">
                  <c:v>4.0981749999999995</c:v>
                </c:pt>
                <c:pt idx="7">
                  <c:v>4.659647624999999</c:v>
                </c:pt>
                <c:pt idx="8">
                  <c:v>4.9795423393749987</c:v>
                </c:pt>
                <c:pt idx="9">
                  <c:v>5.1254854744656226</c:v>
                </c:pt>
                <c:pt idx="10">
                  <c:v>5.2746865065826052</c:v>
                </c:pt>
                <c:pt idx="11">
                  <c:v>5.4272103354313428</c:v>
                </c:pt>
                <c:pt idx="12">
                  <c:v>5.5831230746815619</c:v>
                </c:pt>
                <c:pt idx="13">
                  <c:v>5.7424920737838159</c:v>
                </c:pt>
                <c:pt idx="14">
                  <c:v>5.8925931926212067</c:v>
                </c:pt>
                <c:pt idx="15">
                  <c:v>6.0457453749627916</c:v>
                </c:pt>
                <c:pt idx="16">
                  <c:v>6.2020043810951542</c:v>
                </c:pt>
                <c:pt idx="17">
                  <c:v>6.3614269326383504</c:v>
                </c:pt>
                <c:pt idx="18">
                  <c:v>6.524070728527529</c:v>
                </c:pt>
                <c:pt idx="19">
                  <c:v>6.6899944612537912</c:v>
                </c:pt>
                <c:pt idx="20">
                  <c:v>6.8592578333684262</c:v>
                </c:pt>
                <c:pt idx="21">
                  <c:v>7.0319215742547287</c:v>
                </c:pt>
                <c:pt idx="22">
                  <c:v>7.2080474571716477</c:v>
                </c:pt>
                <c:pt idx="23">
                  <c:v>7.3876983165736094</c:v>
                </c:pt>
                <c:pt idx="24">
                  <c:v>7.5709380657109051</c:v>
                </c:pt>
                <c:pt idx="25">
                  <c:v>7.7578317145151194</c:v>
                </c:pt>
                <c:pt idx="26">
                  <c:v>7.9484453877741288</c:v>
                </c:pt>
                <c:pt idx="27">
                  <c:v>8.1428463436012883</c:v>
                </c:pt>
                <c:pt idx="28">
                  <c:v>8.3411029922034885</c:v>
                </c:pt>
              </c:numCache>
            </c:numRef>
          </c:yVal>
          <c:smooth val="1"/>
          <c:extLst xmlns:c16r2="http://schemas.microsoft.com/office/drawing/2015/06/chart">
            <c:ext xmlns:c16="http://schemas.microsoft.com/office/drawing/2014/chart" uri="{C3380CC4-5D6E-409C-BE32-E72D297353CC}">
              <c16:uniqueId val="{00000001-06D6-4D7D-A8B2-8432C2642ADE}"/>
            </c:ext>
          </c:extLst>
        </c:ser>
        <c:ser>
          <c:idx val="2"/>
          <c:order val="2"/>
          <c:tx>
            <c:strRef>
              <c:f>'Price Charts'!$R$34</c:f>
              <c:strCache>
                <c:ptCount val="1"/>
                <c:pt idx="0">
                  <c:v>Base + 3%/y</c:v>
                </c:pt>
              </c:strCache>
            </c:strRef>
          </c:tx>
          <c:marker>
            <c:symbol val="none"/>
          </c:marker>
          <c:xVal>
            <c:numRef>
              <c:f>'Price Charts'!$O$35:$O$63</c:f>
              <c:numCache>
                <c:formatCode>General</c:formatCode>
                <c:ptCount val="2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pt idx="19">
                  <c:v>2031</c:v>
                </c:pt>
                <c:pt idx="20">
                  <c:v>2032</c:v>
                </c:pt>
                <c:pt idx="21">
                  <c:v>2033</c:v>
                </c:pt>
                <c:pt idx="22">
                  <c:v>2034</c:v>
                </c:pt>
                <c:pt idx="23">
                  <c:v>2035</c:v>
                </c:pt>
                <c:pt idx="24">
                  <c:v>2036</c:v>
                </c:pt>
                <c:pt idx="25">
                  <c:v>2037</c:v>
                </c:pt>
                <c:pt idx="26">
                  <c:v>2038</c:v>
                </c:pt>
                <c:pt idx="27">
                  <c:v>2039</c:v>
                </c:pt>
                <c:pt idx="28">
                  <c:v>2040</c:v>
                </c:pt>
              </c:numCache>
            </c:numRef>
          </c:xVal>
          <c:yVal>
            <c:numRef>
              <c:f>'Price Charts'!$R$35:$R$63</c:f>
              <c:numCache>
                <c:formatCode>0.00</c:formatCode>
                <c:ptCount val="29"/>
                <c:pt idx="0">
                  <c:v>2.6</c:v>
                </c:pt>
                <c:pt idx="1">
                  <c:v>3.6</c:v>
                </c:pt>
                <c:pt idx="2">
                  <c:v>3.9</c:v>
                </c:pt>
                <c:pt idx="3">
                  <c:v>2.75</c:v>
                </c:pt>
                <c:pt idx="4">
                  <c:v>3</c:v>
                </c:pt>
                <c:pt idx="5">
                  <c:v>3.59</c:v>
                </c:pt>
                <c:pt idx="6">
                  <c:v>4.1976999999999993</c:v>
                </c:pt>
                <c:pt idx="7">
                  <c:v>4.8236309999999998</c:v>
                </c:pt>
                <c:pt idx="8">
                  <c:v>5.21833993</c:v>
                </c:pt>
                <c:pt idx="9">
                  <c:v>5.4461401278999997</c:v>
                </c:pt>
                <c:pt idx="10">
                  <c:v>5.6818430817369991</c:v>
                </c:pt>
                <c:pt idx="11">
                  <c:v>5.9257019054391087</c:v>
                </c:pt>
                <c:pt idx="12">
                  <c:v>6.1779775468210314</c:v>
                </c:pt>
                <c:pt idx="13">
                  <c:v>6.4389390262076933</c:v>
                </c:pt>
                <c:pt idx="14">
                  <c:v>6.6960709347245588</c:v>
                </c:pt>
                <c:pt idx="15">
                  <c:v>6.9617163472185633</c:v>
                </c:pt>
                <c:pt idx="16">
                  <c:v>7.2361406631430416</c:v>
                </c:pt>
                <c:pt idx="17">
                  <c:v>7.5196173688641021</c:v>
                </c:pt>
                <c:pt idx="18">
                  <c:v>7.8124282818296296</c:v>
                </c:pt>
                <c:pt idx="19">
                  <c:v>8.1148638020828692</c:v>
                </c:pt>
                <c:pt idx="20">
                  <c:v>8.4272231713411827</c:v>
                </c:pt>
                <c:pt idx="21">
                  <c:v>8.7498147398671957</c:v>
                </c:pt>
                <c:pt idx="22">
                  <c:v>9.0829562413663112</c:v>
                </c:pt>
                <c:pt idx="23">
                  <c:v>9.4269750761516882</c:v>
                </c:pt>
                <c:pt idx="24">
                  <c:v>9.7822086028249302</c:v>
                </c:pt>
                <c:pt idx="25">
                  <c:v>10.14900443872823</c:v>
                </c:pt>
                <c:pt idx="26">
                  <c:v>10.527720769431362</c:v>
                </c:pt>
                <c:pt idx="27">
                  <c:v>10.918726667524851</c:v>
                </c:pt>
                <c:pt idx="28">
                  <c:v>11.322402420998777</c:v>
                </c:pt>
              </c:numCache>
            </c:numRef>
          </c:yVal>
          <c:smooth val="1"/>
          <c:extLst xmlns:c16r2="http://schemas.microsoft.com/office/drawing/2015/06/chart">
            <c:ext xmlns:c16="http://schemas.microsoft.com/office/drawing/2014/chart" uri="{C3380CC4-5D6E-409C-BE32-E72D297353CC}">
              <c16:uniqueId val="{00000002-06D6-4D7D-A8B2-8432C2642ADE}"/>
            </c:ext>
          </c:extLst>
        </c:ser>
        <c:ser>
          <c:idx val="3"/>
          <c:order val="3"/>
          <c:tx>
            <c:strRef>
              <c:f>'Price Charts'!$S$34</c:f>
              <c:strCache>
                <c:ptCount val="1"/>
                <c:pt idx="0">
                  <c:v>Base - 1.5%/y</c:v>
                </c:pt>
              </c:strCache>
            </c:strRef>
          </c:tx>
          <c:marker>
            <c:symbol val="none"/>
          </c:marker>
          <c:xVal>
            <c:numRef>
              <c:f>'Price Charts'!$O$35:$O$63</c:f>
              <c:numCache>
                <c:formatCode>General</c:formatCode>
                <c:ptCount val="2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pt idx="19">
                  <c:v>2031</c:v>
                </c:pt>
                <c:pt idx="20">
                  <c:v>2032</c:v>
                </c:pt>
                <c:pt idx="21">
                  <c:v>2033</c:v>
                </c:pt>
                <c:pt idx="22">
                  <c:v>2034</c:v>
                </c:pt>
                <c:pt idx="23">
                  <c:v>2035</c:v>
                </c:pt>
                <c:pt idx="24">
                  <c:v>2036</c:v>
                </c:pt>
                <c:pt idx="25">
                  <c:v>2037</c:v>
                </c:pt>
                <c:pt idx="26">
                  <c:v>2038</c:v>
                </c:pt>
                <c:pt idx="27">
                  <c:v>2039</c:v>
                </c:pt>
                <c:pt idx="28">
                  <c:v>2040</c:v>
                </c:pt>
              </c:numCache>
            </c:numRef>
          </c:xVal>
          <c:yVal>
            <c:numRef>
              <c:f>'Price Charts'!$S$35:$S$63</c:f>
              <c:numCache>
                <c:formatCode>0.00</c:formatCode>
                <c:ptCount val="29"/>
                <c:pt idx="0">
                  <c:v>2.6</c:v>
                </c:pt>
                <c:pt idx="1">
                  <c:v>3.6</c:v>
                </c:pt>
                <c:pt idx="2">
                  <c:v>3.9</c:v>
                </c:pt>
                <c:pt idx="3">
                  <c:v>2.75</c:v>
                </c:pt>
                <c:pt idx="4">
                  <c:v>3</c:v>
                </c:pt>
                <c:pt idx="5">
                  <c:v>3.4550000000000001</c:v>
                </c:pt>
                <c:pt idx="6">
                  <c:v>3.9031750000000001</c:v>
                </c:pt>
                <c:pt idx="7">
                  <c:v>4.344627375</c:v>
                </c:pt>
                <c:pt idx="8">
                  <c:v>4.5294579643750001</c:v>
                </c:pt>
                <c:pt idx="9">
                  <c:v>4.5327660949093742</c:v>
                </c:pt>
                <c:pt idx="10">
                  <c:v>4.5370933534857327</c:v>
                </c:pt>
                <c:pt idx="11">
                  <c:v>4.5424404844334463</c:v>
                </c:pt>
                <c:pt idx="12">
                  <c:v>4.5488084613856934</c:v>
                </c:pt>
                <c:pt idx="13">
                  <c:v>4.556198487446939</c:v>
                </c:pt>
                <c:pt idx="14">
                  <c:v>4.5518192478658692</c:v>
                </c:pt>
                <c:pt idx="15">
                  <c:v>4.5483052436001481</c:v>
                </c:pt>
                <c:pt idx="16">
                  <c:v>4.5456534904540673</c:v>
                </c:pt>
                <c:pt idx="17">
                  <c:v>4.543861173924026</c:v>
                </c:pt>
                <c:pt idx="18">
                  <c:v>4.5429256482147702</c:v>
                </c:pt>
                <c:pt idx="19">
                  <c:v>4.542844435289898</c:v>
                </c:pt>
                <c:pt idx="20">
                  <c:v>4.5436152239563778</c:v>
                </c:pt>
                <c:pt idx="21">
                  <c:v>4.5452358689828092</c:v>
                </c:pt>
                <c:pt idx="22">
                  <c:v>4.5477043902511651</c:v>
                </c:pt>
                <c:pt idx="23">
                  <c:v>4.5510189719417848</c:v>
                </c:pt>
                <c:pt idx="24">
                  <c:v>4.5551779617513501</c:v>
                </c:pt>
                <c:pt idx="25">
                  <c:v>4.5601798701436316</c:v>
                </c:pt>
                <c:pt idx="26">
                  <c:v>4.5660233696327603</c:v>
                </c:pt>
                <c:pt idx="27">
                  <c:v>4.5727072940988176</c:v>
                </c:pt>
                <c:pt idx="28">
                  <c:v>4.5802306381355162</c:v>
                </c:pt>
              </c:numCache>
            </c:numRef>
          </c:yVal>
          <c:smooth val="1"/>
          <c:extLst xmlns:c16r2="http://schemas.microsoft.com/office/drawing/2015/06/chart">
            <c:ext xmlns:c16="http://schemas.microsoft.com/office/drawing/2014/chart" uri="{C3380CC4-5D6E-409C-BE32-E72D297353CC}">
              <c16:uniqueId val="{00000003-06D6-4D7D-A8B2-8432C2642ADE}"/>
            </c:ext>
          </c:extLst>
        </c:ser>
        <c:ser>
          <c:idx val="4"/>
          <c:order val="4"/>
          <c:tx>
            <c:strRef>
              <c:f>'Price Charts'!$T$34</c:f>
              <c:strCache>
                <c:ptCount val="1"/>
                <c:pt idx="0">
                  <c:v>Flat Real</c:v>
                </c:pt>
              </c:strCache>
            </c:strRef>
          </c:tx>
          <c:marker>
            <c:symbol val="none"/>
          </c:marker>
          <c:xVal>
            <c:numRef>
              <c:f>'Price Charts'!$O$35:$O$63</c:f>
              <c:numCache>
                <c:formatCode>General</c:formatCode>
                <c:ptCount val="2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pt idx="19">
                  <c:v>2031</c:v>
                </c:pt>
                <c:pt idx="20">
                  <c:v>2032</c:v>
                </c:pt>
                <c:pt idx="21">
                  <c:v>2033</c:v>
                </c:pt>
                <c:pt idx="22">
                  <c:v>2034</c:v>
                </c:pt>
                <c:pt idx="23">
                  <c:v>2035</c:v>
                </c:pt>
                <c:pt idx="24">
                  <c:v>2036</c:v>
                </c:pt>
                <c:pt idx="25">
                  <c:v>2037</c:v>
                </c:pt>
                <c:pt idx="26">
                  <c:v>2038</c:v>
                </c:pt>
                <c:pt idx="27">
                  <c:v>2039</c:v>
                </c:pt>
                <c:pt idx="28">
                  <c:v>2040</c:v>
                </c:pt>
              </c:numCache>
            </c:numRef>
          </c:xVal>
          <c:yVal>
            <c:numRef>
              <c:f>'Price Charts'!$T$35:$T$63</c:f>
              <c:numCache>
                <c:formatCode>0.00</c:formatCode>
                <c:ptCount val="29"/>
                <c:pt idx="0">
                  <c:v>2.6</c:v>
                </c:pt>
                <c:pt idx="1">
                  <c:v>3.6</c:v>
                </c:pt>
                <c:pt idx="2">
                  <c:v>3.9</c:v>
                </c:pt>
                <c:pt idx="3">
                  <c:v>2.75</c:v>
                </c:pt>
                <c:pt idx="4">
                  <c:v>2.8187499999999996</c:v>
                </c:pt>
                <c:pt idx="5">
                  <c:v>2.8892187499999995</c:v>
                </c:pt>
                <c:pt idx="6">
                  <c:v>2.9614492187499994</c:v>
                </c:pt>
                <c:pt idx="7">
                  <c:v>3.0354854492187493</c:v>
                </c:pt>
                <c:pt idx="8">
                  <c:v>3.1113725854492178</c:v>
                </c:pt>
                <c:pt idx="9">
                  <c:v>3.1891569000854481</c:v>
                </c:pt>
                <c:pt idx="10">
                  <c:v>3.2688858225875839</c:v>
                </c:pt>
                <c:pt idx="11">
                  <c:v>3.3506079681522731</c:v>
                </c:pt>
                <c:pt idx="12">
                  <c:v>3.4343731673560796</c:v>
                </c:pt>
                <c:pt idx="13">
                  <c:v>3.5202324965399812</c:v>
                </c:pt>
                <c:pt idx="14">
                  <c:v>3.6082383089534802</c:v>
                </c:pt>
                <c:pt idx="15">
                  <c:v>3.698444266677317</c:v>
                </c:pt>
                <c:pt idx="16">
                  <c:v>3.7909053733442497</c:v>
                </c:pt>
                <c:pt idx="17">
                  <c:v>3.8856780076778556</c:v>
                </c:pt>
                <c:pt idx="18">
                  <c:v>3.9828199578698018</c:v>
                </c:pt>
                <c:pt idx="19">
                  <c:v>4.0823904568165466</c:v>
                </c:pt>
                <c:pt idx="20">
                  <c:v>4.1844502182369601</c:v>
                </c:pt>
                <c:pt idx="21">
                  <c:v>4.2890614736928834</c:v>
                </c:pt>
                <c:pt idx="22">
                  <c:v>4.3962880105352049</c:v>
                </c:pt>
                <c:pt idx="23">
                  <c:v>4.5061952107985848</c:v>
                </c:pt>
                <c:pt idx="24">
                  <c:v>4.6188500910685493</c:v>
                </c:pt>
                <c:pt idx="25">
                  <c:v>4.7343213433452629</c:v>
                </c:pt>
                <c:pt idx="26">
                  <c:v>4.8526793769288936</c:v>
                </c:pt>
                <c:pt idx="27">
                  <c:v>4.9739963613521159</c:v>
                </c:pt>
                <c:pt idx="28">
                  <c:v>5.0983462703859184</c:v>
                </c:pt>
              </c:numCache>
            </c:numRef>
          </c:yVal>
          <c:smooth val="1"/>
          <c:extLst xmlns:c16r2="http://schemas.microsoft.com/office/drawing/2015/06/chart">
            <c:ext xmlns:c16="http://schemas.microsoft.com/office/drawing/2014/chart" uri="{C3380CC4-5D6E-409C-BE32-E72D297353CC}">
              <c16:uniqueId val="{00000004-06D6-4D7D-A8B2-8432C2642ADE}"/>
            </c:ext>
          </c:extLst>
        </c:ser>
        <c:dLbls>
          <c:showLegendKey val="0"/>
          <c:showVal val="0"/>
          <c:showCatName val="0"/>
          <c:showSerName val="0"/>
          <c:showPercent val="0"/>
          <c:showBubbleSize val="0"/>
        </c:dLbls>
        <c:axId val="313281288"/>
        <c:axId val="313281680"/>
      </c:scatterChart>
      <c:valAx>
        <c:axId val="31328128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281680"/>
        <c:crosses val="autoZero"/>
        <c:crossBetween val="midCat"/>
      </c:valAx>
      <c:valAx>
        <c:axId val="313281680"/>
        <c:scaling>
          <c:orientation val="minMax"/>
        </c:scaling>
        <c:delete val="0"/>
        <c:axPos val="l"/>
        <c:majorGridlines/>
        <c:numFmt formatCode="0.00" sourceLinked="1"/>
        <c:majorTickMark val="out"/>
        <c:minorTickMark val="none"/>
        <c:tickLblPos val="nextTo"/>
        <c:crossAx val="313281288"/>
        <c:crosses val="autoZero"/>
        <c:crossBetween val="midCat"/>
      </c:valAx>
      <c:spPr>
        <a:solidFill>
          <a:schemeClr val="bg1">
            <a:lumMod val="95000"/>
          </a:schemeClr>
        </a:solidFill>
      </c:spPr>
    </c:plotArea>
    <c:plotVisOnly val="1"/>
    <c:dispBlanksAs val="gap"/>
    <c:showDLblsOverMax val="0"/>
  </c:chart>
  <c:spPr>
    <a:solidFill>
      <a:schemeClr val="bg1">
        <a:lumMod val="95000"/>
      </a:schemeClr>
    </a:solidFill>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Real HH Gas Price $US / MMBTU</a:t>
            </a:r>
          </a:p>
        </c:rich>
      </c:tx>
      <c:overlay val="0"/>
    </c:title>
    <c:autoTitleDeleted val="0"/>
    <c:plotArea>
      <c:layout/>
      <c:scatterChart>
        <c:scatterStyle val="smoothMarker"/>
        <c:varyColors val="0"/>
        <c:ser>
          <c:idx val="0"/>
          <c:order val="0"/>
          <c:tx>
            <c:strRef>
              <c:f>'Price Charts'!$W$34</c:f>
              <c:strCache>
                <c:ptCount val="1"/>
                <c:pt idx="0">
                  <c:v>Base</c:v>
                </c:pt>
              </c:strCache>
            </c:strRef>
          </c:tx>
          <c:marker>
            <c:symbol val="none"/>
          </c:marker>
          <c:xVal>
            <c:numRef>
              <c:f>'Price Charts'!$V$35:$V$63</c:f>
              <c:numCache>
                <c:formatCode>General</c:formatCode>
                <c:ptCount val="2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pt idx="19">
                  <c:v>2031</c:v>
                </c:pt>
                <c:pt idx="20">
                  <c:v>2032</c:v>
                </c:pt>
                <c:pt idx="21">
                  <c:v>2033</c:v>
                </c:pt>
                <c:pt idx="22">
                  <c:v>2034</c:v>
                </c:pt>
                <c:pt idx="23">
                  <c:v>2035</c:v>
                </c:pt>
                <c:pt idx="24">
                  <c:v>2036</c:v>
                </c:pt>
                <c:pt idx="25">
                  <c:v>2037</c:v>
                </c:pt>
                <c:pt idx="26">
                  <c:v>2038</c:v>
                </c:pt>
                <c:pt idx="27">
                  <c:v>2039</c:v>
                </c:pt>
                <c:pt idx="28">
                  <c:v>2040</c:v>
                </c:pt>
              </c:numCache>
            </c:numRef>
          </c:xVal>
          <c:yVal>
            <c:numRef>
              <c:f>'Price Charts'!$W$35:$W$63</c:f>
              <c:numCache>
                <c:formatCode>0.00</c:formatCode>
                <c:ptCount val="29"/>
                <c:pt idx="0">
                  <c:v>2.6</c:v>
                </c:pt>
                <c:pt idx="1">
                  <c:v>3.51219512195122</c:v>
                </c:pt>
                <c:pt idx="2">
                  <c:v>3.7120761451516957</c:v>
                </c:pt>
                <c:pt idx="3">
                  <c:v>2.5536483800293097</c:v>
                </c:pt>
                <c:pt idx="4">
                  <c:v>2.7178519343992655</c:v>
                </c:pt>
                <c:pt idx="5">
                  <c:v>3.0934900066333109</c:v>
                </c:pt>
                <c:pt idx="6">
                  <c:v>3.4491874638420192</c:v>
                </c:pt>
                <c:pt idx="7">
                  <c:v>3.7856935578753874</c:v>
                </c:pt>
                <c:pt idx="8">
                  <c:v>3.8985462113621878</c:v>
                </c:pt>
                <c:pt idx="9">
                  <c:v>3.8605116141781664</c:v>
                </c:pt>
                <c:pt idx="10">
                  <c:v>3.8228480862349645</c:v>
                </c:pt>
                <c:pt idx="11">
                  <c:v>3.785552007344867</c:v>
                </c:pt>
                <c:pt idx="12">
                  <c:v>3.748619792639063</c:v>
                </c:pt>
                <c:pt idx="13">
                  <c:v>3.7120478922230724</c:v>
                </c:pt>
                <c:pt idx="14">
                  <c:v>3.6667790154886446</c:v>
                </c:pt>
                <c:pt idx="15">
                  <c:v>3.6220621982265881</c:v>
                </c:pt>
                <c:pt idx="16">
                  <c:v>3.577890708004313</c:v>
                </c:pt>
                <c:pt idx="17">
                  <c:v>3.5342578944920651</c:v>
                </c:pt>
                <c:pt idx="18">
                  <c:v>3.4911571884616746</c:v>
                </c:pt>
                <c:pt idx="19">
                  <c:v>3.4485821007975082</c:v>
                </c:pt>
                <c:pt idx="20">
                  <c:v>3.4065262215194898</c:v>
                </c:pt>
                <c:pt idx="21">
                  <c:v>3.3649832188180331</c:v>
                </c:pt>
                <c:pt idx="22">
                  <c:v>3.3239468381007402</c:v>
                </c:pt>
                <c:pt idx="23">
                  <c:v>3.2834109010507313</c:v>
                </c:pt>
                <c:pt idx="24">
                  <c:v>3.2433693046964538</c:v>
                </c:pt>
                <c:pt idx="25">
                  <c:v>3.2038160204928388</c:v>
                </c:pt>
                <c:pt idx="26">
                  <c:v>3.1647450934136581</c:v>
                </c:pt>
                <c:pt idx="27">
                  <c:v>3.1261506410549549</c:v>
                </c:pt>
                <c:pt idx="28">
                  <c:v>3.0880268527494068</c:v>
                </c:pt>
              </c:numCache>
            </c:numRef>
          </c:yVal>
          <c:smooth val="1"/>
          <c:extLst xmlns:c16r2="http://schemas.microsoft.com/office/drawing/2015/06/chart">
            <c:ext xmlns:c16="http://schemas.microsoft.com/office/drawing/2014/chart" uri="{C3380CC4-5D6E-409C-BE32-E72D297353CC}">
              <c16:uniqueId val="{00000000-8CF2-41DA-828B-0A10B0127F05}"/>
            </c:ext>
          </c:extLst>
        </c:ser>
        <c:ser>
          <c:idx val="1"/>
          <c:order val="1"/>
          <c:tx>
            <c:strRef>
              <c:f>'Price Charts'!$X$34</c:f>
              <c:strCache>
                <c:ptCount val="1"/>
                <c:pt idx="0">
                  <c:v>Base +1.5% /y</c:v>
                </c:pt>
              </c:strCache>
            </c:strRef>
          </c:tx>
          <c:marker>
            <c:symbol val="none"/>
          </c:marker>
          <c:xVal>
            <c:numRef>
              <c:f>'Price Charts'!$V$35:$V$63</c:f>
              <c:numCache>
                <c:formatCode>General</c:formatCode>
                <c:ptCount val="2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pt idx="19">
                  <c:v>2031</c:v>
                </c:pt>
                <c:pt idx="20">
                  <c:v>2032</c:v>
                </c:pt>
                <c:pt idx="21">
                  <c:v>2033</c:v>
                </c:pt>
                <c:pt idx="22">
                  <c:v>2034</c:v>
                </c:pt>
                <c:pt idx="23">
                  <c:v>2035</c:v>
                </c:pt>
                <c:pt idx="24">
                  <c:v>2036</c:v>
                </c:pt>
                <c:pt idx="25">
                  <c:v>2037</c:v>
                </c:pt>
                <c:pt idx="26">
                  <c:v>2038</c:v>
                </c:pt>
                <c:pt idx="27">
                  <c:v>2039</c:v>
                </c:pt>
                <c:pt idx="28">
                  <c:v>2040</c:v>
                </c:pt>
              </c:numCache>
            </c:numRef>
          </c:xVal>
          <c:yVal>
            <c:numRef>
              <c:f>'Price Charts'!$X$35:$X$63</c:f>
              <c:numCache>
                <c:formatCode>0.00</c:formatCode>
                <c:ptCount val="29"/>
                <c:pt idx="0">
                  <c:v>2.6</c:v>
                </c:pt>
                <c:pt idx="1">
                  <c:v>3.51219512195122</c:v>
                </c:pt>
                <c:pt idx="2">
                  <c:v>3.7120761451516957</c:v>
                </c:pt>
                <c:pt idx="3">
                  <c:v>2.5536483800293097</c:v>
                </c:pt>
                <c:pt idx="4">
                  <c:v>2.7178519343992655</c:v>
                </c:pt>
                <c:pt idx="5">
                  <c:v>3.1332634495757388</c:v>
                </c:pt>
                <c:pt idx="6">
                  <c:v>3.5338434586576914</c:v>
                </c:pt>
                <c:pt idx="7">
                  <c:v>3.9199995546515214</c:v>
                </c:pt>
                <c:pt idx="8">
                  <c:v>4.0869422992606328</c:v>
                </c:pt>
                <c:pt idx="9">
                  <c:v>4.1041215872389998</c:v>
                </c:pt>
                <c:pt idx="10">
                  <c:v>4.1205766685465921</c:v>
                </c:pt>
                <c:pt idx="11">
                  <c:v>4.1363200388959163</c:v>
                </c:pt>
                <c:pt idx="12">
                  <c:v>4.1513640191117345</c:v>
                </c:pt>
                <c:pt idx="13">
                  <c:v>4.1657207573541433</c:v>
                </c:pt>
                <c:pt idx="14">
                  <c:v>4.1703484559680417</c:v>
                </c:pt>
                <c:pt idx="15">
                  <c:v>4.1743789468304104</c:v>
                </c:pt>
                <c:pt idx="16">
                  <c:v>4.1778247887909252</c:v>
                </c:pt>
                <c:pt idx="17">
                  <c:v>4.1806983360710666</c:v>
                </c:pt>
                <c:pt idx="18">
                  <c:v>4.1830117412617396</c:v>
                </c:pt>
                <c:pt idx="19">
                  <c:v>4.1847769582794507</c:v>
                </c:pt>
                <c:pt idx="20">
                  <c:v>4.1860057452815713</c:v>
                </c:pt>
                <c:pt idx="21">
                  <c:v>4.1867096675412574</c:v>
                </c:pt>
                <c:pt idx="22">
                  <c:v>4.1869001002825383</c:v>
                </c:pt>
                <c:pt idx="23">
                  <c:v>4.186588231476132</c:v>
                </c:pt>
                <c:pt idx="24">
                  <c:v>4.1857850645964954</c:v>
                </c:pt>
                <c:pt idx="25">
                  <c:v>4.1845014213406326</c:v>
                </c:pt>
                <c:pt idx="26">
                  <c:v>4.1827479443091731</c:v>
                </c:pt>
                <c:pt idx="27">
                  <c:v>4.1805350996502249</c:v>
                </c:pt>
                <c:pt idx="28">
                  <c:v>4.177873179666503</c:v>
                </c:pt>
              </c:numCache>
            </c:numRef>
          </c:yVal>
          <c:smooth val="1"/>
          <c:extLst xmlns:c16r2="http://schemas.microsoft.com/office/drawing/2015/06/chart">
            <c:ext xmlns:c16="http://schemas.microsoft.com/office/drawing/2014/chart" uri="{C3380CC4-5D6E-409C-BE32-E72D297353CC}">
              <c16:uniqueId val="{00000001-8CF2-41DA-828B-0A10B0127F05}"/>
            </c:ext>
          </c:extLst>
        </c:ser>
        <c:ser>
          <c:idx val="2"/>
          <c:order val="2"/>
          <c:tx>
            <c:strRef>
              <c:f>'Price Charts'!$Y$34</c:f>
              <c:strCache>
                <c:ptCount val="1"/>
                <c:pt idx="0">
                  <c:v>Base + 3%/y</c:v>
                </c:pt>
              </c:strCache>
            </c:strRef>
          </c:tx>
          <c:marker>
            <c:symbol val="none"/>
          </c:marker>
          <c:xVal>
            <c:numRef>
              <c:f>'Price Charts'!$V$35:$V$63</c:f>
              <c:numCache>
                <c:formatCode>General</c:formatCode>
                <c:ptCount val="2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pt idx="19">
                  <c:v>2031</c:v>
                </c:pt>
                <c:pt idx="20">
                  <c:v>2032</c:v>
                </c:pt>
                <c:pt idx="21">
                  <c:v>2033</c:v>
                </c:pt>
                <c:pt idx="22">
                  <c:v>2034</c:v>
                </c:pt>
                <c:pt idx="23">
                  <c:v>2035</c:v>
                </c:pt>
                <c:pt idx="24">
                  <c:v>2036</c:v>
                </c:pt>
                <c:pt idx="25">
                  <c:v>2037</c:v>
                </c:pt>
                <c:pt idx="26">
                  <c:v>2038</c:v>
                </c:pt>
                <c:pt idx="27">
                  <c:v>2039</c:v>
                </c:pt>
                <c:pt idx="28">
                  <c:v>2040</c:v>
                </c:pt>
              </c:numCache>
            </c:numRef>
          </c:xVal>
          <c:yVal>
            <c:numRef>
              <c:f>'Price Charts'!$Y$35:$Y$63</c:f>
              <c:numCache>
                <c:formatCode>0.00</c:formatCode>
                <c:ptCount val="29"/>
                <c:pt idx="0">
                  <c:v>2.6</c:v>
                </c:pt>
                <c:pt idx="1">
                  <c:v>3.51219512195122</c:v>
                </c:pt>
                <c:pt idx="2">
                  <c:v>3.7120761451516957</c:v>
                </c:pt>
                <c:pt idx="3">
                  <c:v>2.5536483800293097</c:v>
                </c:pt>
                <c:pt idx="4">
                  <c:v>2.7178519343992655</c:v>
                </c:pt>
                <c:pt idx="5">
                  <c:v>3.1730368925181671</c:v>
                </c:pt>
                <c:pt idx="6">
                  <c:v>3.6196635542424103</c:v>
                </c:pt>
                <c:pt idx="7">
                  <c:v>4.0579530671706694</c:v>
                </c:pt>
                <c:pt idx="8">
                  <c:v>4.2829346028845316</c:v>
                </c:pt>
                <c:pt idx="9">
                  <c:v>4.3608788625770734</c:v>
                </c:pt>
                <c:pt idx="10">
                  <c:v>4.4386467343093257</c:v>
                </c:pt>
                <c:pt idx="11">
                  <c:v>4.516242787933785</c:v>
                </c:pt>
                <c:pt idx="12">
                  <c:v>4.5936715626165574</c:v>
                </c:pt>
                <c:pt idx="13">
                  <c:v>4.6709375672045272</c:v>
                </c:pt>
                <c:pt idx="14">
                  <c:v>4.7389915052423923</c:v>
                </c:pt>
                <c:pt idx="15">
                  <c:v>4.8068253542373398</c:v>
                </c:pt>
                <c:pt idx="16">
                  <c:v>4.8744447730168705</c:v>
                </c:pt>
                <c:pt idx="17">
                  <c:v>4.9418553659096887</c:v>
                </c:pt>
                <c:pt idx="18">
                  <c:v>5.009062683481103</c:v>
                </c:pt>
                <c:pt idx="19">
                  <c:v>5.0760722232598132</c:v>
                </c:pt>
                <c:pt idx="20">
                  <c:v>5.1428894304561714</c:v>
                </c:pt>
                <c:pt idx="21">
                  <c:v>5.2095196986720502</c:v>
                </c:pt>
                <c:pt idx="22">
                  <c:v>5.2759683706023779</c:v>
                </c:pt>
                <c:pt idx="23">
                  <c:v>5.3422407387284965</c:v>
                </c:pt>
                <c:pt idx="24">
                  <c:v>5.4083420460034004</c:v>
                </c:pt>
                <c:pt idx="25">
                  <c:v>5.4742774865289849</c:v>
                </c:pt>
                <c:pt idx="26">
                  <c:v>5.540052206225381</c:v>
                </c:pt>
                <c:pt idx="27">
                  <c:v>5.6056713034925005</c:v>
                </c:pt>
                <c:pt idx="28">
                  <c:v>5.6711398298638658</c:v>
                </c:pt>
              </c:numCache>
            </c:numRef>
          </c:yVal>
          <c:smooth val="1"/>
          <c:extLst xmlns:c16r2="http://schemas.microsoft.com/office/drawing/2015/06/chart">
            <c:ext xmlns:c16="http://schemas.microsoft.com/office/drawing/2014/chart" uri="{C3380CC4-5D6E-409C-BE32-E72D297353CC}">
              <c16:uniqueId val="{00000002-8CF2-41DA-828B-0A10B0127F05}"/>
            </c:ext>
          </c:extLst>
        </c:ser>
        <c:ser>
          <c:idx val="3"/>
          <c:order val="3"/>
          <c:tx>
            <c:strRef>
              <c:f>'Price Charts'!$Z$34</c:f>
              <c:strCache>
                <c:ptCount val="1"/>
                <c:pt idx="0">
                  <c:v>Base - 1.5%/y</c:v>
                </c:pt>
              </c:strCache>
            </c:strRef>
          </c:tx>
          <c:marker>
            <c:symbol val="none"/>
          </c:marker>
          <c:xVal>
            <c:numRef>
              <c:f>'Price Charts'!$V$35:$V$63</c:f>
              <c:numCache>
                <c:formatCode>General</c:formatCode>
                <c:ptCount val="2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pt idx="19">
                  <c:v>2031</c:v>
                </c:pt>
                <c:pt idx="20">
                  <c:v>2032</c:v>
                </c:pt>
                <c:pt idx="21">
                  <c:v>2033</c:v>
                </c:pt>
                <c:pt idx="22">
                  <c:v>2034</c:v>
                </c:pt>
                <c:pt idx="23">
                  <c:v>2035</c:v>
                </c:pt>
                <c:pt idx="24">
                  <c:v>2036</c:v>
                </c:pt>
                <c:pt idx="25">
                  <c:v>2037</c:v>
                </c:pt>
                <c:pt idx="26">
                  <c:v>2038</c:v>
                </c:pt>
                <c:pt idx="27">
                  <c:v>2039</c:v>
                </c:pt>
                <c:pt idx="28">
                  <c:v>2040</c:v>
                </c:pt>
              </c:numCache>
            </c:numRef>
          </c:xVal>
          <c:yVal>
            <c:numRef>
              <c:f>'Price Charts'!$Z$35:$Z$63</c:f>
              <c:numCache>
                <c:formatCode>0.00</c:formatCode>
                <c:ptCount val="29"/>
                <c:pt idx="0">
                  <c:v>2.6</c:v>
                </c:pt>
                <c:pt idx="1">
                  <c:v>3.51219512195122</c:v>
                </c:pt>
                <c:pt idx="2">
                  <c:v>3.7120761451516957</c:v>
                </c:pt>
                <c:pt idx="3">
                  <c:v>2.5536483800293097</c:v>
                </c:pt>
                <c:pt idx="4">
                  <c:v>2.7178519343992655</c:v>
                </c:pt>
                <c:pt idx="5">
                  <c:v>3.0537165636908825</c:v>
                </c:pt>
                <c:pt idx="6">
                  <c:v>3.3656955697953932</c:v>
                </c:pt>
                <c:pt idx="7">
                  <c:v>3.6549839699792344</c:v>
                </c:pt>
                <c:pt idx="8">
                  <c:v>3.7175370919028308</c:v>
                </c:pt>
                <c:pt idx="9">
                  <c:v>3.6295143694582639</c:v>
                </c:pt>
                <c:pt idx="10">
                  <c:v>3.5443700762234753</c:v>
                </c:pt>
                <c:pt idx="11">
                  <c:v>3.461997313535266</c:v>
                </c:pt>
                <c:pt idx="12">
                  <c:v>3.3822933014072287</c:v>
                </c:pt>
                <c:pt idx="13">
                  <c:v>3.3051592183177623</c:v>
                </c:pt>
                <c:pt idx="14">
                  <c:v>3.2214462718983259</c:v>
                </c:pt>
                <c:pt idx="15">
                  <c:v>3.1404481126960579</c:v>
                </c:pt>
                <c:pt idx="16">
                  <c:v>3.062065530227756</c:v>
                </c:pt>
                <c:pt idx="17">
                  <c:v>2.9862031035359937</c:v>
                </c:pt>
                <c:pt idx="18">
                  <c:v>2.9127690543064442</c:v>
                </c:pt>
                <c:pt idx="19">
                  <c:v>2.8416751057049932</c:v>
                </c:pt>
                <c:pt idx="20">
                  <c:v>2.7728363467115971</c:v>
                </c:pt>
                <c:pt idx="21">
                  <c:v>2.7061711017365049</c:v>
                </c:pt>
                <c:pt idx="22">
                  <c:v>2.6416008053128608</c:v>
                </c:pt>
                <c:pt idx="23">
                  <c:v>2.5790498816677334</c:v>
                </c:pt>
                <c:pt idx="24">
                  <c:v>2.5184456289813184</c:v>
                </c:pt>
                <c:pt idx="25">
                  <c:v>2.4597181081515171</c:v>
                </c:pt>
                <c:pt idx="26">
                  <c:v>2.4028000358881996</c:v>
                </c:pt>
                <c:pt idx="27">
                  <c:v>2.3476266819683387</c:v>
                </c:pt>
                <c:pt idx="28">
                  <c:v>2.2941357704897567</c:v>
                </c:pt>
              </c:numCache>
            </c:numRef>
          </c:yVal>
          <c:smooth val="1"/>
          <c:extLst xmlns:c16r2="http://schemas.microsoft.com/office/drawing/2015/06/chart">
            <c:ext xmlns:c16="http://schemas.microsoft.com/office/drawing/2014/chart" uri="{C3380CC4-5D6E-409C-BE32-E72D297353CC}">
              <c16:uniqueId val="{00000003-8CF2-41DA-828B-0A10B0127F05}"/>
            </c:ext>
          </c:extLst>
        </c:ser>
        <c:ser>
          <c:idx val="4"/>
          <c:order val="4"/>
          <c:tx>
            <c:strRef>
              <c:f>'Price Charts'!$AA$34</c:f>
              <c:strCache>
                <c:ptCount val="1"/>
                <c:pt idx="0">
                  <c:v>Flat Real</c:v>
                </c:pt>
              </c:strCache>
            </c:strRef>
          </c:tx>
          <c:marker>
            <c:symbol val="none"/>
          </c:marker>
          <c:xVal>
            <c:numRef>
              <c:f>'Price Charts'!$V$35:$V$63</c:f>
              <c:numCache>
                <c:formatCode>General</c:formatCode>
                <c:ptCount val="2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pt idx="19">
                  <c:v>2031</c:v>
                </c:pt>
                <c:pt idx="20">
                  <c:v>2032</c:v>
                </c:pt>
                <c:pt idx="21">
                  <c:v>2033</c:v>
                </c:pt>
                <c:pt idx="22">
                  <c:v>2034</c:v>
                </c:pt>
                <c:pt idx="23">
                  <c:v>2035</c:v>
                </c:pt>
                <c:pt idx="24">
                  <c:v>2036</c:v>
                </c:pt>
                <c:pt idx="25">
                  <c:v>2037</c:v>
                </c:pt>
                <c:pt idx="26">
                  <c:v>2038</c:v>
                </c:pt>
                <c:pt idx="27">
                  <c:v>2039</c:v>
                </c:pt>
                <c:pt idx="28">
                  <c:v>2040</c:v>
                </c:pt>
              </c:numCache>
            </c:numRef>
          </c:xVal>
          <c:yVal>
            <c:numRef>
              <c:f>'Price Charts'!$AA$35:$AA$63</c:f>
              <c:numCache>
                <c:formatCode>0.00</c:formatCode>
                <c:ptCount val="29"/>
                <c:pt idx="0">
                  <c:v>2.6</c:v>
                </c:pt>
                <c:pt idx="1">
                  <c:v>3.51219512195122</c:v>
                </c:pt>
                <c:pt idx="2">
                  <c:v>3.7120761451516957</c:v>
                </c:pt>
                <c:pt idx="3">
                  <c:v>2.5536483800293097</c:v>
                </c:pt>
                <c:pt idx="4">
                  <c:v>2.5536483800293097</c:v>
                </c:pt>
                <c:pt idx="5">
                  <c:v>2.5536483800293097</c:v>
                </c:pt>
                <c:pt idx="6">
                  <c:v>2.5536483800293102</c:v>
                </c:pt>
                <c:pt idx="7">
                  <c:v>2.5536483800293102</c:v>
                </c:pt>
                <c:pt idx="8">
                  <c:v>2.5536483800293102</c:v>
                </c:pt>
                <c:pt idx="9">
                  <c:v>2.5536483800293102</c:v>
                </c:pt>
                <c:pt idx="10">
                  <c:v>2.5536483800293102</c:v>
                </c:pt>
                <c:pt idx="11">
                  <c:v>2.5536483800293102</c:v>
                </c:pt>
                <c:pt idx="12">
                  <c:v>2.5536483800293102</c:v>
                </c:pt>
                <c:pt idx="13">
                  <c:v>2.5536483800293102</c:v>
                </c:pt>
                <c:pt idx="14">
                  <c:v>2.5536483800293102</c:v>
                </c:pt>
                <c:pt idx="15">
                  <c:v>2.5536483800293102</c:v>
                </c:pt>
                <c:pt idx="16">
                  <c:v>2.5536483800293102</c:v>
                </c:pt>
                <c:pt idx="17">
                  <c:v>2.5536483800293102</c:v>
                </c:pt>
                <c:pt idx="18">
                  <c:v>2.5536483800293106</c:v>
                </c:pt>
                <c:pt idx="19">
                  <c:v>2.5536483800293106</c:v>
                </c:pt>
                <c:pt idx="20">
                  <c:v>2.5536483800293106</c:v>
                </c:pt>
                <c:pt idx="21">
                  <c:v>2.5536483800293106</c:v>
                </c:pt>
                <c:pt idx="22">
                  <c:v>2.5536483800293106</c:v>
                </c:pt>
                <c:pt idx="23">
                  <c:v>2.5536483800293106</c:v>
                </c:pt>
                <c:pt idx="24">
                  <c:v>2.5536483800293106</c:v>
                </c:pt>
                <c:pt idx="25">
                  <c:v>2.553648380029311</c:v>
                </c:pt>
                <c:pt idx="26">
                  <c:v>2.5536483800293106</c:v>
                </c:pt>
                <c:pt idx="27">
                  <c:v>2.5536483800293106</c:v>
                </c:pt>
                <c:pt idx="28">
                  <c:v>2.5536483800293106</c:v>
                </c:pt>
              </c:numCache>
            </c:numRef>
          </c:yVal>
          <c:smooth val="1"/>
          <c:extLst xmlns:c16r2="http://schemas.microsoft.com/office/drawing/2015/06/chart">
            <c:ext xmlns:c16="http://schemas.microsoft.com/office/drawing/2014/chart" uri="{C3380CC4-5D6E-409C-BE32-E72D297353CC}">
              <c16:uniqueId val="{00000004-8CF2-41DA-828B-0A10B0127F05}"/>
            </c:ext>
          </c:extLst>
        </c:ser>
        <c:dLbls>
          <c:showLegendKey val="0"/>
          <c:showVal val="0"/>
          <c:showCatName val="0"/>
          <c:showSerName val="0"/>
          <c:showPercent val="0"/>
          <c:showBubbleSize val="0"/>
        </c:dLbls>
        <c:axId val="313282464"/>
        <c:axId val="313282856"/>
      </c:scatterChart>
      <c:valAx>
        <c:axId val="313282464"/>
        <c:scaling>
          <c:orientation val="minMax"/>
          <c:max val="2040"/>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282856"/>
        <c:crosses val="autoZero"/>
        <c:crossBetween val="midCat"/>
      </c:valAx>
      <c:valAx>
        <c:axId val="313282856"/>
        <c:scaling>
          <c:orientation val="minMax"/>
        </c:scaling>
        <c:delete val="0"/>
        <c:axPos val="l"/>
        <c:majorGridlines/>
        <c:numFmt formatCode="0.00" sourceLinked="1"/>
        <c:majorTickMark val="out"/>
        <c:minorTickMark val="none"/>
        <c:tickLblPos val="nextTo"/>
        <c:crossAx val="313282464"/>
        <c:crosses val="autoZero"/>
        <c:crossBetween val="midCat"/>
      </c:valAx>
      <c:spPr>
        <a:solidFill>
          <a:schemeClr val="bg1">
            <a:lumMod val="95000"/>
          </a:schemeClr>
        </a:solidFill>
      </c:spPr>
    </c:plotArea>
    <c:legend>
      <c:legendPos val="b"/>
      <c:overlay val="0"/>
    </c:legend>
    <c:plotVisOnly val="1"/>
    <c:dispBlanksAs val="gap"/>
    <c:showDLblsOverMax val="0"/>
  </c:chart>
  <c:spPr>
    <a:solidFill>
      <a:schemeClr val="bg1">
        <a:lumMod val="95000"/>
      </a:schemeClr>
    </a:solid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CashFlow!$F$100</c:f>
              <c:strCache>
                <c:ptCount val="1"/>
                <c:pt idx="0">
                  <c:v>Net Cash Flow</c:v>
                </c:pt>
              </c:strCache>
            </c:strRef>
          </c:tx>
          <c:spPr>
            <a:solidFill>
              <a:schemeClr val="accent4"/>
            </a:solidFill>
          </c:spPr>
          <c:invertIfNegative val="0"/>
          <c:cat>
            <c:numRef>
              <c:f>CashFlow!$G$99:$AF$99</c:f>
              <c:numCache>
                <c:formatCode>General</c:formatCode>
                <c:ptCount val="2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numCache>
            </c:numRef>
          </c:cat>
          <c:val>
            <c:numRef>
              <c:f>CashFlow!$G$100:$AF$100</c:f>
              <c:numCache>
                <c:formatCode>0.0</c:formatCode>
                <c:ptCount val="26"/>
                <c:pt idx="0">
                  <c:v>-617.31334395596411</c:v>
                </c:pt>
                <c:pt idx="1">
                  <c:v>-3165.8326904824785</c:v>
                </c:pt>
                <c:pt idx="2">
                  <c:v>-14.34461943459246</c:v>
                </c:pt>
                <c:pt idx="3">
                  <c:v>2067.2692247478394</c:v>
                </c:pt>
                <c:pt idx="4">
                  <c:v>2125.2083930838926</c:v>
                </c:pt>
                <c:pt idx="5">
                  <c:v>1822.7791467923455</c:v>
                </c:pt>
                <c:pt idx="6">
                  <c:v>1450.4903408149798</c:v>
                </c:pt>
                <c:pt idx="7">
                  <c:v>1261.8615166358461</c:v>
                </c:pt>
                <c:pt idx="8">
                  <c:v>1078.377922101319</c:v>
                </c:pt>
                <c:pt idx="9">
                  <c:v>934.01930845593938</c:v>
                </c:pt>
                <c:pt idx="10">
                  <c:v>794.3749808962682</c:v>
                </c:pt>
                <c:pt idx="11">
                  <c:v>684.14011335447049</c:v>
                </c:pt>
                <c:pt idx="12">
                  <c:v>580.95167807693713</c:v>
                </c:pt>
                <c:pt idx="13">
                  <c:v>499.07293115901325</c:v>
                </c:pt>
                <c:pt idx="14">
                  <c:v>419.26750392189956</c:v>
                </c:pt>
                <c:pt idx="15">
                  <c:v>355.92295695826976</c:v>
                </c:pt>
                <c:pt idx="16">
                  <c:v>296.34150889407579</c:v>
                </c:pt>
                <c:pt idx="17">
                  <c:v>248.66259737943915</c:v>
                </c:pt>
                <c:pt idx="18">
                  <c:v>202.04241286254739</c:v>
                </c:pt>
                <c:pt idx="19">
                  <c:v>164.69834527873485</c:v>
                </c:pt>
                <c:pt idx="20">
                  <c:v>129.47985497007352</c:v>
                </c:pt>
                <c:pt idx="21">
                  <c:v>100.99202208624644</c:v>
                </c:pt>
                <c:pt idx="22">
                  <c:v>73.096431593941588</c:v>
                </c:pt>
                <c:pt idx="23">
                  <c:v>50.463409515644742</c:v>
                </c:pt>
                <c:pt idx="24">
                  <c:v>23.562065766087414</c:v>
                </c:pt>
                <c:pt idx="25">
                  <c:v>-2.3511505015615057</c:v>
                </c:pt>
              </c:numCache>
            </c:numRef>
          </c:val>
          <c:extLst xmlns:c16r2="http://schemas.microsoft.com/office/drawing/2015/06/chart">
            <c:ext xmlns:c16="http://schemas.microsoft.com/office/drawing/2014/chart" uri="{C3380CC4-5D6E-409C-BE32-E72D297353CC}">
              <c16:uniqueId val="{00000000-BB04-4E44-8A4B-9131C66666C2}"/>
            </c:ext>
          </c:extLst>
        </c:ser>
        <c:ser>
          <c:idx val="1"/>
          <c:order val="1"/>
          <c:tx>
            <c:strRef>
              <c:f>CashFlow!$F$101</c:f>
              <c:strCache>
                <c:ptCount val="1"/>
                <c:pt idx="0">
                  <c:v>Royalty</c:v>
                </c:pt>
              </c:strCache>
            </c:strRef>
          </c:tx>
          <c:spPr>
            <a:solidFill>
              <a:srgbClr val="00B0F0"/>
            </a:solidFill>
          </c:spPr>
          <c:invertIfNegative val="0"/>
          <c:cat>
            <c:numRef>
              <c:f>CashFlow!$G$99:$AF$99</c:f>
              <c:numCache>
                <c:formatCode>General</c:formatCode>
                <c:ptCount val="2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numCache>
            </c:numRef>
          </c:cat>
          <c:val>
            <c:numRef>
              <c:f>CashFlow!$G$101:$AF$101</c:f>
              <c:numCache>
                <c:formatCode>0.0</c:formatCode>
                <c:ptCount val="26"/>
                <c:pt idx="0">
                  <c:v>0</c:v>
                </c:pt>
                <c:pt idx="1">
                  <c:v>0</c:v>
                </c:pt>
                <c:pt idx="2">
                  <c:v>40.253029583267661</c:v>
                </c:pt>
                <c:pt idx="3">
                  <c:v>61.739633184691748</c:v>
                </c:pt>
                <c:pt idx="4">
                  <c:v>105.01426729796469</c:v>
                </c:pt>
                <c:pt idx="5">
                  <c:v>620.3931787451113</c:v>
                </c:pt>
                <c:pt idx="6">
                  <c:v>1063.1943201312893</c:v>
                </c:pt>
                <c:pt idx="7">
                  <c:v>928.14439472291224</c:v>
                </c:pt>
                <c:pt idx="8">
                  <c:v>802.82914264057251</c:v>
                </c:pt>
                <c:pt idx="9">
                  <c:v>694.82710641616757</c:v>
                </c:pt>
                <c:pt idx="10">
                  <c:v>595.97328556906155</c:v>
                </c:pt>
                <c:pt idx="11">
                  <c:v>511.00797090497775</c:v>
                </c:pt>
                <c:pt idx="12">
                  <c:v>436.41828598128313</c:v>
                </c:pt>
                <c:pt idx="13">
                  <c:v>372.0777201823891</c:v>
                </c:pt>
                <c:pt idx="14">
                  <c:v>313.19294759785419</c:v>
                </c:pt>
                <c:pt idx="15">
                  <c:v>262.62440910698518</c:v>
                </c:pt>
                <c:pt idx="16">
                  <c:v>218.14092467341024</c:v>
                </c:pt>
                <c:pt idx="17">
                  <c:v>179.65377657039809</c:v>
                </c:pt>
                <c:pt idx="18">
                  <c:v>144.36488063960266</c:v>
                </c:pt>
                <c:pt idx="19">
                  <c:v>113.92598675304457</c:v>
                </c:pt>
                <c:pt idx="20">
                  <c:v>87.031752130869492</c:v>
                </c:pt>
                <c:pt idx="21">
                  <c:v>63.622457633548358</c:v>
                </c:pt>
                <c:pt idx="22">
                  <c:v>42.068919886620094</c:v>
                </c:pt>
                <c:pt idx="23">
                  <c:v>23.322944402173245</c:v>
                </c:pt>
                <c:pt idx="24">
                  <c:v>15.069719363846581</c:v>
                </c:pt>
                <c:pt idx="25">
                  <c:v>13.174776978891137</c:v>
                </c:pt>
              </c:numCache>
            </c:numRef>
          </c:val>
          <c:extLst xmlns:c16r2="http://schemas.microsoft.com/office/drawing/2015/06/chart">
            <c:ext xmlns:c16="http://schemas.microsoft.com/office/drawing/2014/chart" uri="{C3380CC4-5D6E-409C-BE32-E72D297353CC}">
              <c16:uniqueId val="{00000001-BB04-4E44-8A4B-9131C66666C2}"/>
            </c:ext>
          </c:extLst>
        </c:ser>
        <c:ser>
          <c:idx val="2"/>
          <c:order val="2"/>
          <c:tx>
            <c:strRef>
              <c:f>CashFlow!$F$102</c:f>
              <c:strCache>
                <c:ptCount val="1"/>
                <c:pt idx="0">
                  <c:v>Provincial Income Tax</c:v>
                </c:pt>
              </c:strCache>
            </c:strRef>
          </c:tx>
          <c:spPr>
            <a:solidFill>
              <a:srgbClr val="FF0000"/>
            </a:solidFill>
          </c:spPr>
          <c:invertIfNegative val="0"/>
          <c:cat>
            <c:numRef>
              <c:f>CashFlow!$G$99:$AF$99</c:f>
              <c:numCache>
                <c:formatCode>General</c:formatCode>
                <c:ptCount val="2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numCache>
            </c:numRef>
          </c:cat>
          <c:val>
            <c:numRef>
              <c:f>CashFlow!$G$102:$AF$102</c:f>
              <c:numCache>
                <c:formatCode>0.0</c:formatCode>
                <c:ptCount val="26"/>
                <c:pt idx="0">
                  <c:v>-6.9854608901269284</c:v>
                </c:pt>
                <c:pt idx="1">
                  <c:v>-25.077497244263874</c:v>
                </c:pt>
                <c:pt idx="2">
                  <c:v>131.93213601801324</c:v>
                </c:pt>
                <c:pt idx="3">
                  <c:v>247.40117278625877</c:v>
                </c:pt>
                <c:pt idx="4">
                  <c:v>330.27996883465198</c:v>
                </c:pt>
                <c:pt idx="5">
                  <c:v>301.9695550737265</c:v>
                </c:pt>
                <c:pt idx="6">
                  <c:v>248.60064974718745</c:v>
                </c:pt>
                <c:pt idx="7">
                  <c:v>227.1293508490219</c:v>
                </c:pt>
                <c:pt idx="8">
                  <c:v>203.61529948699376</c:v>
                </c:pt>
                <c:pt idx="9">
                  <c:v>181.63610141575748</c:v>
                </c:pt>
                <c:pt idx="10">
                  <c:v>159.71362562594416</c:v>
                </c:pt>
                <c:pt idx="11">
                  <c:v>139.9660550069203</c:v>
                </c:pt>
                <c:pt idx="12">
                  <c:v>121.86263011809699</c:v>
                </c:pt>
                <c:pt idx="13">
                  <c:v>105.74669362597373</c:v>
                </c:pt>
                <c:pt idx="14">
                  <c:v>90.469608366048291</c:v>
                </c:pt>
                <c:pt idx="15">
                  <c:v>77.09188752642514</c:v>
                </c:pt>
                <c:pt idx="16">
                  <c:v>65.100656348533761</c:v>
                </c:pt>
                <c:pt idx="17">
                  <c:v>54.582164971630363</c:v>
                </c:pt>
                <c:pt idx="18">
                  <c:v>44.785245818659412</c:v>
                </c:pt>
                <c:pt idx="19">
                  <c:v>36.264203896364585</c:v>
                </c:pt>
                <c:pt idx="20">
                  <c:v>28.67507146826685</c:v>
                </c:pt>
                <c:pt idx="21">
                  <c:v>22.033599756820188</c:v>
                </c:pt>
                <c:pt idx="22">
                  <c:v>15.878779870408698</c:v>
                </c:pt>
                <c:pt idx="23">
                  <c:v>10.512926373424888</c:v>
                </c:pt>
                <c:pt idx="24">
                  <c:v>4.3708598404034795</c:v>
                </c:pt>
                <c:pt idx="25">
                  <c:v>-1.893879347805115</c:v>
                </c:pt>
              </c:numCache>
            </c:numRef>
          </c:val>
          <c:extLst xmlns:c16r2="http://schemas.microsoft.com/office/drawing/2015/06/chart">
            <c:ext xmlns:c16="http://schemas.microsoft.com/office/drawing/2014/chart" uri="{C3380CC4-5D6E-409C-BE32-E72D297353CC}">
              <c16:uniqueId val="{00000002-BB04-4E44-8A4B-9131C66666C2}"/>
            </c:ext>
          </c:extLst>
        </c:ser>
        <c:ser>
          <c:idx val="3"/>
          <c:order val="3"/>
          <c:tx>
            <c:strRef>
              <c:f>CashFlow!$F$103</c:f>
              <c:strCache>
                <c:ptCount val="1"/>
                <c:pt idx="0">
                  <c:v>Federal Income Tax</c:v>
                </c:pt>
              </c:strCache>
            </c:strRef>
          </c:tx>
          <c:spPr>
            <a:solidFill>
              <a:srgbClr val="92D050"/>
            </a:solidFill>
          </c:spPr>
          <c:invertIfNegative val="0"/>
          <c:cat>
            <c:numRef>
              <c:f>CashFlow!$G$99:$AF$99</c:f>
              <c:numCache>
                <c:formatCode>General</c:formatCode>
                <c:ptCount val="2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numCache>
            </c:numRef>
          </c:cat>
          <c:val>
            <c:numRef>
              <c:f>CashFlow!$G$103:$AF$103</c:f>
              <c:numCache>
                <c:formatCode>0.0</c:formatCode>
                <c:ptCount val="26"/>
                <c:pt idx="0">
                  <c:v>-9.6573996806004789</c:v>
                </c:pt>
                <c:pt idx="1">
                  <c:v>-32.130543344213088</c:v>
                </c:pt>
                <c:pt idx="2">
                  <c:v>164.91517002251655</c:v>
                </c:pt>
                <c:pt idx="3">
                  <c:v>364.53741232261257</c:v>
                </c:pt>
                <c:pt idx="4">
                  <c:v>445.26885272034707</c:v>
                </c:pt>
                <c:pt idx="5">
                  <c:v>380.69775903721597</c:v>
                </c:pt>
                <c:pt idx="6">
                  <c:v>311.79495586515947</c:v>
                </c:pt>
                <c:pt idx="7">
                  <c:v>268.88701991869476</c:v>
                </c:pt>
                <c:pt idx="8">
                  <c:v>241.171354979916</c:v>
                </c:pt>
                <c:pt idx="9">
                  <c:v>205.27749998632061</c:v>
                </c:pt>
                <c:pt idx="10">
                  <c:v>181.84840259714016</c:v>
                </c:pt>
                <c:pt idx="11">
                  <c:v>152.88928651479799</c:v>
                </c:pt>
                <c:pt idx="12">
                  <c:v>134.7215704108003</c:v>
                </c:pt>
                <c:pt idx="13">
                  <c:v>112.48515309201258</c:v>
                </c:pt>
                <c:pt idx="14">
                  <c:v>97.615875743058922</c:v>
                </c:pt>
                <c:pt idx="15">
                  <c:v>79.986789457911286</c:v>
                </c:pt>
                <c:pt idx="16">
                  <c:v>68.637159179094908</c:v>
                </c:pt>
                <c:pt idx="17">
                  <c:v>55.165989100718633</c:v>
                </c:pt>
                <c:pt idx="18">
                  <c:v>45.944730557338715</c:v>
                </c:pt>
                <c:pt idx="19">
                  <c:v>35.274483642442895</c:v>
                </c:pt>
                <c:pt idx="20">
                  <c:v>28.209703505199339</c:v>
                </c:pt>
                <c:pt idx="21">
                  <c:v>20.012731679760392</c:v>
                </c:pt>
                <c:pt idx="22">
                  <c:v>14.241925072512648</c:v>
                </c:pt>
                <c:pt idx="23">
                  <c:v>7.6954729502903536</c:v>
                </c:pt>
                <c:pt idx="24">
                  <c:v>1.5989257218653543</c:v>
                </c:pt>
                <c:pt idx="25">
                  <c:v>-5.9386089298189875</c:v>
                </c:pt>
              </c:numCache>
            </c:numRef>
          </c:val>
          <c:extLst xmlns:c16r2="http://schemas.microsoft.com/office/drawing/2015/06/chart">
            <c:ext xmlns:c16="http://schemas.microsoft.com/office/drawing/2014/chart" uri="{C3380CC4-5D6E-409C-BE32-E72D297353CC}">
              <c16:uniqueId val="{00000003-BB04-4E44-8A4B-9131C66666C2}"/>
            </c:ext>
          </c:extLst>
        </c:ser>
        <c:dLbls>
          <c:showLegendKey val="0"/>
          <c:showVal val="0"/>
          <c:showCatName val="0"/>
          <c:showSerName val="0"/>
          <c:showPercent val="0"/>
          <c:showBubbleSize val="0"/>
        </c:dLbls>
        <c:gapWidth val="72"/>
        <c:overlap val="100"/>
        <c:axId val="310238944"/>
        <c:axId val="310239336"/>
      </c:barChart>
      <c:catAx>
        <c:axId val="310238944"/>
        <c:scaling>
          <c:orientation val="minMax"/>
        </c:scaling>
        <c:delete val="0"/>
        <c:axPos val="b"/>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310239336"/>
        <c:crosses val="autoZero"/>
        <c:auto val="1"/>
        <c:lblAlgn val="ctr"/>
        <c:lblOffset val="100"/>
        <c:tickLblSkip val="2"/>
        <c:tickMarkSkip val="2"/>
        <c:noMultiLvlLbl val="0"/>
      </c:catAx>
      <c:valAx>
        <c:axId val="310239336"/>
        <c:scaling>
          <c:orientation val="minMax"/>
        </c:scaling>
        <c:delete val="0"/>
        <c:axPos val="l"/>
        <c:majorGridlines/>
        <c:numFmt formatCode="0.0" sourceLinked="1"/>
        <c:majorTickMark val="out"/>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310238944"/>
        <c:crosses val="autoZero"/>
        <c:crossBetween val="between"/>
      </c:valAx>
      <c:spPr>
        <a:solidFill>
          <a:schemeClr val="bg2"/>
        </a:solidFill>
      </c:spPr>
    </c:plotArea>
    <c:legend>
      <c:legendPos val="tr"/>
      <c:layout>
        <c:manualLayout>
          <c:xMode val="edge"/>
          <c:yMode val="edge"/>
          <c:x val="0.74287499817524205"/>
          <c:y val="0.51227508326165117"/>
          <c:w val="0.24104180354939075"/>
          <c:h val="0.34078514863753617"/>
        </c:manualLayout>
      </c:layout>
      <c:overlay val="1"/>
      <c:spPr>
        <a:solidFill>
          <a:schemeClr val="bg2"/>
        </a:solidFill>
        <a:ln>
          <a:solidFill>
            <a:schemeClr val="tx1"/>
          </a:solidFill>
        </a:ln>
      </c:spPr>
      <c:txPr>
        <a:bodyPr/>
        <a:lstStyle/>
        <a:p>
          <a:pPr>
            <a:defRPr sz="110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chemeClr val="bg2"/>
    </a:solid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22" l="0.70000000000000018" r="0.70000000000000018" t="0.75000000000000022" header="0.3000000000000001" footer="0.30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GB"/>
              <a:t>Sensitivity of IRR </a:t>
            </a:r>
          </a:p>
        </c:rich>
      </c:tx>
      <c:layout>
        <c:manualLayout>
          <c:xMode val="edge"/>
          <c:yMode val="edge"/>
          <c:x val="0.34594594594594597"/>
          <c:y val="3.1579063088318149E-2"/>
        </c:manualLayout>
      </c:layout>
      <c:overlay val="0"/>
    </c:title>
    <c:autoTitleDeleted val="0"/>
    <c:plotArea>
      <c:layout>
        <c:manualLayout>
          <c:layoutTarget val="inner"/>
          <c:xMode val="edge"/>
          <c:yMode val="edge"/>
          <c:x val="0.38738806902461509"/>
          <c:y val="0.24736842105263168"/>
          <c:w val="0.55855954138432817"/>
          <c:h val="0.7131578947368421"/>
        </c:manualLayout>
      </c:layout>
      <c:barChart>
        <c:barDir val="bar"/>
        <c:grouping val="stacked"/>
        <c:varyColors val="0"/>
        <c:ser>
          <c:idx val="0"/>
          <c:order val="0"/>
          <c:spPr>
            <a:noFill/>
          </c:spPr>
          <c:invertIfNegative val="0"/>
          <c:cat>
            <c:strRef>
              <c:f>'Sensitivity Ranges'!$I$61:$I$67</c:f>
              <c:strCache>
                <c:ptCount val="7"/>
                <c:pt idx="0">
                  <c:v>Reserves</c:v>
                </c:pt>
                <c:pt idx="1">
                  <c:v>Oil Price</c:v>
                </c:pt>
                <c:pt idx="2">
                  <c:v>Gas Price</c:v>
                </c:pt>
                <c:pt idx="3">
                  <c:v>Exploration Costs</c:v>
                </c:pt>
                <c:pt idx="4">
                  <c:v>Development Costs</c:v>
                </c:pt>
                <c:pt idx="5">
                  <c:v>Operating Costs</c:v>
                </c:pt>
                <c:pt idx="6">
                  <c:v>Chance of Development</c:v>
                </c:pt>
              </c:strCache>
            </c:strRef>
          </c:cat>
          <c:val>
            <c:numRef>
              <c:f>'Sensitivity Ranges'!$O$61:$O$67</c:f>
              <c:numCache>
                <c:formatCode>General</c:formatCode>
                <c:ptCount val="7"/>
                <c:pt idx="0">
                  <c:v>0.26297467434887534</c:v>
                </c:pt>
                <c:pt idx="1">
                  <c:v>0.21908217933017807</c:v>
                </c:pt>
                <c:pt idx="2">
                  <c:v>0.28750799757714879</c:v>
                </c:pt>
                <c:pt idx="3">
                  <c:v>0.30037683905341267</c:v>
                </c:pt>
                <c:pt idx="4">
                  <c:v>0.23480739567782896</c:v>
                </c:pt>
                <c:pt idx="5">
                  <c:v>0.28392561534692129</c:v>
                </c:pt>
                <c:pt idx="6">
                  <c:v>0.30037683905341267</c:v>
                </c:pt>
              </c:numCache>
            </c:numRef>
          </c:val>
          <c:extLst xmlns:c16r2="http://schemas.microsoft.com/office/drawing/2015/06/chart">
            <c:ext xmlns:c16="http://schemas.microsoft.com/office/drawing/2014/chart" uri="{C3380CC4-5D6E-409C-BE32-E72D297353CC}">
              <c16:uniqueId val="{00000000-3892-460C-B841-E8A9285FB450}"/>
            </c:ext>
          </c:extLst>
        </c:ser>
        <c:ser>
          <c:idx val="1"/>
          <c:order val="1"/>
          <c:spPr>
            <a:solidFill>
              <a:srgbClr val="00B0F0"/>
            </a:solidFill>
          </c:spPr>
          <c:invertIfNegative val="0"/>
          <c:cat>
            <c:strRef>
              <c:f>'Sensitivity Ranges'!$I$61:$I$67</c:f>
              <c:strCache>
                <c:ptCount val="7"/>
                <c:pt idx="0">
                  <c:v>Reserves</c:v>
                </c:pt>
                <c:pt idx="1">
                  <c:v>Oil Price</c:v>
                </c:pt>
                <c:pt idx="2">
                  <c:v>Gas Price</c:v>
                </c:pt>
                <c:pt idx="3">
                  <c:v>Exploration Costs</c:v>
                </c:pt>
                <c:pt idx="4">
                  <c:v>Development Costs</c:v>
                </c:pt>
                <c:pt idx="5">
                  <c:v>Operating Costs</c:v>
                </c:pt>
                <c:pt idx="6">
                  <c:v>Chance of Development</c:v>
                </c:pt>
              </c:strCache>
            </c:strRef>
          </c:cat>
          <c:val>
            <c:numRef>
              <c:f>'Sensitivity Ranges'!$P$61:$P$67</c:f>
              <c:numCache>
                <c:formatCode>General</c:formatCode>
                <c:ptCount val="7"/>
                <c:pt idx="0">
                  <c:v>3.7402164704537333E-2</c:v>
                </c:pt>
                <c:pt idx="1">
                  <c:v>8.1294659723234602E-2</c:v>
                </c:pt>
                <c:pt idx="2">
                  <c:v>1.2868841476263881E-2</c:v>
                </c:pt>
                <c:pt idx="3">
                  <c:v>0</c:v>
                </c:pt>
                <c:pt idx="4">
                  <c:v>6.5569443375583708E-2</c:v>
                </c:pt>
                <c:pt idx="5">
                  <c:v>1.645122370649138E-2</c:v>
                </c:pt>
                <c:pt idx="6">
                  <c:v>0</c:v>
                </c:pt>
              </c:numCache>
            </c:numRef>
          </c:val>
          <c:extLst xmlns:c16r2="http://schemas.microsoft.com/office/drawing/2015/06/chart">
            <c:ext xmlns:c16="http://schemas.microsoft.com/office/drawing/2014/chart" uri="{C3380CC4-5D6E-409C-BE32-E72D297353CC}">
              <c16:uniqueId val="{00000001-3892-460C-B841-E8A9285FB450}"/>
            </c:ext>
          </c:extLst>
        </c:ser>
        <c:ser>
          <c:idx val="2"/>
          <c:order val="2"/>
          <c:spPr>
            <a:solidFill>
              <a:srgbClr val="92D050"/>
            </a:solidFill>
          </c:spPr>
          <c:invertIfNegative val="0"/>
          <c:cat>
            <c:strRef>
              <c:f>'Sensitivity Ranges'!$I$61:$I$67</c:f>
              <c:strCache>
                <c:ptCount val="7"/>
                <c:pt idx="0">
                  <c:v>Reserves</c:v>
                </c:pt>
                <c:pt idx="1">
                  <c:v>Oil Price</c:v>
                </c:pt>
                <c:pt idx="2">
                  <c:v>Gas Price</c:v>
                </c:pt>
                <c:pt idx="3">
                  <c:v>Exploration Costs</c:v>
                </c:pt>
                <c:pt idx="4">
                  <c:v>Development Costs</c:v>
                </c:pt>
                <c:pt idx="5">
                  <c:v>Operating Costs</c:v>
                </c:pt>
                <c:pt idx="6">
                  <c:v>Chance of Development</c:v>
                </c:pt>
              </c:strCache>
            </c:strRef>
          </c:cat>
          <c:val>
            <c:numRef>
              <c:f>'Sensitivity Ranges'!$Q$61:$Q$67</c:f>
              <c:numCache>
                <c:formatCode>General</c:formatCode>
                <c:ptCount val="7"/>
                <c:pt idx="0">
                  <c:v>4.7129256812185272E-2</c:v>
                </c:pt>
                <c:pt idx="1">
                  <c:v>7.8440197105836995E-2</c:v>
                </c:pt>
                <c:pt idx="2">
                  <c:v>1.6371528921904466E-2</c:v>
                </c:pt>
                <c:pt idx="3">
                  <c:v>0</c:v>
                </c:pt>
                <c:pt idx="4">
                  <c:v>9.2966313354017449E-2</c:v>
                </c:pt>
                <c:pt idx="5">
                  <c:v>2.0539633937833035E-2</c:v>
                </c:pt>
                <c:pt idx="6">
                  <c:v>0</c:v>
                </c:pt>
              </c:numCache>
            </c:numRef>
          </c:val>
          <c:extLst xmlns:c16r2="http://schemas.microsoft.com/office/drawing/2015/06/chart">
            <c:ext xmlns:c16="http://schemas.microsoft.com/office/drawing/2014/chart" uri="{C3380CC4-5D6E-409C-BE32-E72D297353CC}">
              <c16:uniqueId val="{00000002-3892-460C-B841-E8A9285FB450}"/>
            </c:ext>
          </c:extLst>
        </c:ser>
        <c:ser>
          <c:idx val="3"/>
          <c:order val="3"/>
          <c:spPr>
            <a:solidFill>
              <a:srgbClr val="92D050"/>
            </a:solidFill>
          </c:spPr>
          <c:invertIfNegative val="0"/>
          <c:cat>
            <c:strRef>
              <c:f>'Sensitivity Ranges'!$I$61:$I$67</c:f>
              <c:strCache>
                <c:ptCount val="7"/>
                <c:pt idx="0">
                  <c:v>Reserves</c:v>
                </c:pt>
                <c:pt idx="1">
                  <c:v>Oil Price</c:v>
                </c:pt>
                <c:pt idx="2">
                  <c:v>Gas Price</c:v>
                </c:pt>
                <c:pt idx="3">
                  <c:v>Exploration Costs</c:v>
                </c:pt>
                <c:pt idx="4">
                  <c:v>Development Costs</c:v>
                </c:pt>
                <c:pt idx="5">
                  <c:v>Operating Costs</c:v>
                </c:pt>
                <c:pt idx="6">
                  <c:v>Chance of Development</c:v>
                </c:pt>
              </c:strCache>
            </c:strRef>
          </c:cat>
          <c:val>
            <c:numRef>
              <c:f>'Sensitivity Ranges'!$R$61:$R$67</c:f>
              <c:numCache>
                <c:formatCode>General</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3-3892-460C-B841-E8A9285FB450}"/>
            </c:ext>
          </c:extLst>
        </c:ser>
        <c:ser>
          <c:idx val="4"/>
          <c:order val="4"/>
          <c:spPr>
            <a:solidFill>
              <a:srgbClr val="00B0F0"/>
            </a:solidFill>
          </c:spPr>
          <c:invertIfNegative val="0"/>
          <c:cat>
            <c:strRef>
              <c:f>'Sensitivity Ranges'!$I$61:$I$67</c:f>
              <c:strCache>
                <c:ptCount val="7"/>
                <c:pt idx="0">
                  <c:v>Reserves</c:v>
                </c:pt>
                <c:pt idx="1">
                  <c:v>Oil Price</c:v>
                </c:pt>
                <c:pt idx="2">
                  <c:v>Gas Price</c:v>
                </c:pt>
                <c:pt idx="3">
                  <c:v>Exploration Costs</c:v>
                </c:pt>
                <c:pt idx="4">
                  <c:v>Development Costs</c:v>
                </c:pt>
                <c:pt idx="5">
                  <c:v>Operating Costs</c:v>
                </c:pt>
                <c:pt idx="6">
                  <c:v>Chance of Development</c:v>
                </c:pt>
              </c:strCache>
            </c:strRef>
          </c:cat>
          <c:val>
            <c:numRef>
              <c:f>'Sensitivity Ranges'!$S$61:$S$67</c:f>
              <c:numCache>
                <c:formatCode>General</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4-3892-460C-B841-E8A9285FB450}"/>
            </c:ext>
          </c:extLst>
        </c:ser>
        <c:dLbls>
          <c:showLegendKey val="0"/>
          <c:showVal val="0"/>
          <c:showCatName val="0"/>
          <c:showSerName val="0"/>
          <c:showPercent val="0"/>
          <c:showBubbleSize val="0"/>
        </c:dLbls>
        <c:gapWidth val="150"/>
        <c:overlap val="100"/>
        <c:axId val="310240120"/>
        <c:axId val="310240512"/>
      </c:barChart>
      <c:catAx>
        <c:axId val="310240120"/>
        <c:scaling>
          <c:orientation val="maxMin"/>
        </c:scaling>
        <c:delete val="0"/>
        <c:axPos val="l"/>
        <c:numFmt formatCode="General" sourceLinked="1"/>
        <c:majorTickMark val="none"/>
        <c:minorTickMark val="none"/>
        <c:tickLblPos val="low"/>
        <c:spPr>
          <a:ln>
            <a:noFill/>
          </a:ln>
        </c:spPr>
        <c:txPr>
          <a:bodyPr rot="0" vert="horz"/>
          <a:lstStyle/>
          <a:p>
            <a:pPr>
              <a:defRPr sz="1400" b="0" i="0" u="none" strike="noStrike" baseline="0">
                <a:solidFill>
                  <a:srgbClr val="000000"/>
                </a:solidFill>
                <a:latin typeface="Calibri"/>
                <a:ea typeface="Calibri"/>
                <a:cs typeface="Calibri"/>
              </a:defRPr>
            </a:pPr>
            <a:endParaRPr lang="en-US"/>
          </a:p>
        </c:txPr>
        <c:crossAx val="310240512"/>
        <c:crosses val="autoZero"/>
        <c:auto val="1"/>
        <c:lblAlgn val="ctr"/>
        <c:lblOffset val="100"/>
        <c:noMultiLvlLbl val="0"/>
      </c:catAx>
      <c:valAx>
        <c:axId val="310240512"/>
        <c:scaling>
          <c:orientation val="minMax"/>
        </c:scaling>
        <c:delete val="0"/>
        <c:axPos val="t"/>
        <c:majorGridlines/>
        <c:numFmt formatCode="0%" sourceLinked="0"/>
        <c:majorTickMark val="out"/>
        <c:minorTickMark val="none"/>
        <c:tickLblPos val="nextTo"/>
        <c:spPr>
          <a:ln w="15875"/>
        </c:spPr>
        <c:txPr>
          <a:bodyPr rot="0" vert="horz"/>
          <a:lstStyle/>
          <a:p>
            <a:pPr>
              <a:defRPr sz="1200" b="0" i="0" u="none" strike="noStrike" baseline="0">
                <a:solidFill>
                  <a:srgbClr val="000000"/>
                </a:solidFill>
                <a:latin typeface="Calibri"/>
                <a:ea typeface="Calibri"/>
                <a:cs typeface="Calibri"/>
              </a:defRPr>
            </a:pPr>
            <a:endParaRPr lang="en-US"/>
          </a:p>
        </c:txPr>
        <c:crossAx val="310240120"/>
        <c:crosses val="autoZero"/>
        <c:crossBetween val="between"/>
      </c:valAx>
      <c:spPr>
        <a:solidFill>
          <a:schemeClr val="bg2"/>
        </a:solidFill>
        <a:ln w="41275" cmpd="sng">
          <a:solidFill>
            <a:sysClr val="windowText" lastClr="000000">
              <a:tint val="75000"/>
              <a:shade val="95000"/>
              <a:satMod val="105000"/>
            </a:sysClr>
          </a:solidFill>
        </a:ln>
      </c:spPr>
    </c:plotArea>
    <c:plotVisOnly val="1"/>
    <c:dispBlanksAs val="gap"/>
    <c:showDLblsOverMax val="0"/>
  </c:chart>
  <c:spPr>
    <a:solidFill>
      <a:schemeClr val="bg2"/>
    </a:solid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 l="0.70000000000000062" r="0.70000000000000062" t="0.75000000000000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GB"/>
              <a:t>Sensitivity of NPV </a:t>
            </a:r>
          </a:p>
        </c:rich>
      </c:tx>
      <c:layout>
        <c:manualLayout>
          <c:xMode val="edge"/>
          <c:yMode val="edge"/>
          <c:x val="0.3327205882352941"/>
          <c:y val="3.1496062992125984E-2"/>
        </c:manualLayout>
      </c:layout>
      <c:overlay val="0"/>
    </c:title>
    <c:autoTitleDeleted val="0"/>
    <c:plotArea>
      <c:layout>
        <c:manualLayout>
          <c:layoutTarget val="inner"/>
          <c:xMode val="edge"/>
          <c:yMode val="edge"/>
          <c:x val="0.39705917992013373"/>
          <c:y val="0.2467197924863449"/>
          <c:w val="0.54963284627833331"/>
          <c:h val="0.71391259102431659"/>
        </c:manualLayout>
      </c:layout>
      <c:barChart>
        <c:barDir val="bar"/>
        <c:grouping val="stacked"/>
        <c:varyColors val="0"/>
        <c:ser>
          <c:idx val="0"/>
          <c:order val="0"/>
          <c:spPr>
            <a:noFill/>
          </c:spPr>
          <c:invertIfNegative val="0"/>
          <c:cat>
            <c:strRef>
              <c:f>'Sensitivity Ranges'!$I$51:$I$57</c:f>
              <c:strCache>
                <c:ptCount val="7"/>
                <c:pt idx="0">
                  <c:v>Reserves</c:v>
                </c:pt>
                <c:pt idx="1">
                  <c:v>Oil Price</c:v>
                </c:pt>
                <c:pt idx="2">
                  <c:v>Gas Price</c:v>
                </c:pt>
                <c:pt idx="3">
                  <c:v>Exploration Costs</c:v>
                </c:pt>
                <c:pt idx="4">
                  <c:v>Development Costs</c:v>
                </c:pt>
                <c:pt idx="5">
                  <c:v>Operating Costs</c:v>
                </c:pt>
                <c:pt idx="6">
                  <c:v>Chance of Development</c:v>
                </c:pt>
              </c:strCache>
            </c:strRef>
          </c:cat>
          <c:val>
            <c:numRef>
              <c:f>'Sensitivity Ranges'!$O$51:$O$57</c:f>
              <c:numCache>
                <c:formatCode>General</c:formatCode>
                <c:ptCount val="7"/>
                <c:pt idx="0">
                  <c:v>2994.3757826587653</c:v>
                </c:pt>
                <c:pt idx="1">
                  <c:v>2277.0551268729296</c:v>
                </c:pt>
                <c:pt idx="2">
                  <c:v>3745.333272712905</c:v>
                </c:pt>
                <c:pt idx="3">
                  <c:v>4078.982649511448</c:v>
                </c:pt>
                <c:pt idx="4">
                  <c:v>3421.7362266177524</c:v>
                </c:pt>
                <c:pt idx="5">
                  <c:v>3610.9634226637518</c:v>
                </c:pt>
                <c:pt idx="6">
                  <c:v>4078.982649511448</c:v>
                </c:pt>
              </c:numCache>
            </c:numRef>
          </c:val>
          <c:extLst xmlns:c16r2="http://schemas.microsoft.com/office/drawing/2015/06/chart">
            <c:ext xmlns:c16="http://schemas.microsoft.com/office/drawing/2014/chart" uri="{C3380CC4-5D6E-409C-BE32-E72D297353CC}">
              <c16:uniqueId val="{00000000-F6E4-40C7-AB03-8F4294B869B1}"/>
            </c:ext>
          </c:extLst>
        </c:ser>
        <c:ser>
          <c:idx val="1"/>
          <c:order val="1"/>
          <c:spPr>
            <a:solidFill>
              <a:srgbClr val="00B0F0"/>
            </a:solidFill>
          </c:spPr>
          <c:invertIfNegative val="0"/>
          <c:cat>
            <c:strRef>
              <c:f>'Sensitivity Ranges'!$I$51:$I$57</c:f>
              <c:strCache>
                <c:ptCount val="7"/>
                <c:pt idx="0">
                  <c:v>Reserves</c:v>
                </c:pt>
                <c:pt idx="1">
                  <c:v>Oil Price</c:v>
                </c:pt>
                <c:pt idx="2">
                  <c:v>Gas Price</c:v>
                </c:pt>
                <c:pt idx="3">
                  <c:v>Exploration Costs</c:v>
                </c:pt>
                <c:pt idx="4">
                  <c:v>Development Costs</c:v>
                </c:pt>
                <c:pt idx="5">
                  <c:v>Operating Costs</c:v>
                </c:pt>
                <c:pt idx="6">
                  <c:v>Chance of Development</c:v>
                </c:pt>
              </c:strCache>
            </c:strRef>
          </c:cat>
          <c:val>
            <c:numRef>
              <c:f>'Sensitivity Ranges'!$P$51:$P$57</c:f>
              <c:numCache>
                <c:formatCode>General</c:formatCode>
                <c:ptCount val="7"/>
                <c:pt idx="0">
                  <c:v>1084.6068668526827</c:v>
                </c:pt>
                <c:pt idx="1">
                  <c:v>1801.9275226385184</c:v>
                </c:pt>
                <c:pt idx="2">
                  <c:v>333.64937679854302</c:v>
                </c:pt>
                <c:pt idx="3">
                  <c:v>0</c:v>
                </c:pt>
                <c:pt idx="4">
                  <c:v>657.24642289369558</c:v>
                </c:pt>
                <c:pt idx="5">
                  <c:v>468.01922684769625</c:v>
                </c:pt>
                <c:pt idx="6">
                  <c:v>0</c:v>
                </c:pt>
              </c:numCache>
            </c:numRef>
          </c:val>
          <c:extLst xmlns:c16r2="http://schemas.microsoft.com/office/drawing/2015/06/chart">
            <c:ext xmlns:c16="http://schemas.microsoft.com/office/drawing/2014/chart" uri="{C3380CC4-5D6E-409C-BE32-E72D297353CC}">
              <c16:uniqueId val="{00000001-F6E4-40C7-AB03-8F4294B869B1}"/>
            </c:ext>
          </c:extLst>
        </c:ser>
        <c:ser>
          <c:idx val="2"/>
          <c:order val="2"/>
          <c:spPr>
            <a:solidFill>
              <a:srgbClr val="92D050"/>
            </a:solidFill>
          </c:spPr>
          <c:invertIfNegative val="0"/>
          <c:cat>
            <c:strRef>
              <c:f>'Sensitivity Ranges'!$I$51:$I$57</c:f>
              <c:strCache>
                <c:ptCount val="7"/>
                <c:pt idx="0">
                  <c:v>Reserves</c:v>
                </c:pt>
                <c:pt idx="1">
                  <c:v>Oil Price</c:v>
                </c:pt>
                <c:pt idx="2">
                  <c:v>Gas Price</c:v>
                </c:pt>
                <c:pt idx="3">
                  <c:v>Exploration Costs</c:v>
                </c:pt>
                <c:pt idx="4">
                  <c:v>Development Costs</c:v>
                </c:pt>
                <c:pt idx="5">
                  <c:v>Operating Costs</c:v>
                </c:pt>
                <c:pt idx="6">
                  <c:v>Chance of Development</c:v>
                </c:pt>
              </c:strCache>
            </c:strRef>
          </c:cat>
          <c:val>
            <c:numRef>
              <c:f>'Sensitivity Ranges'!$Q$51:$Q$57</c:f>
              <c:numCache>
                <c:formatCode>General</c:formatCode>
                <c:ptCount val="7"/>
                <c:pt idx="0">
                  <c:v>2097.8085110731877</c:v>
                </c:pt>
                <c:pt idx="1">
                  <c:v>1798.4591992354694</c:v>
                </c:pt>
                <c:pt idx="2">
                  <c:v>341.92926482530993</c:v>
                </c:pt>
                <c:pt idx="3">
                  <c:v>0</c:v>
                </c:pt>
                <c:pt idx="4">
                  <c:v>558.45284275944732</c:v>
                </c:pt>
                <c:pt idx="5">
                  <c:v>497.86478566973392</c:v>
                </c:pt>
                <c:pt idx="6">
                  <c:v>0</c:v>
                </c:pt>
              </c:numCache>
            </c:numRef>
          </c:val>
          <c:extLst xmlns:c16r2="http://schemas.microsoft.com/office/drawing/2015/06/chart">
            <c:ext xmlns:c16="http://schemas.microsoft.com/office/drawing/2014/chart" uri="{C3380CC4-5D6E-409C-BE32-E72D297353CC}">
              <c16:uniqueId val="{00000002-F6E4-40C7-AB03-8F4294B869B1}"/>
            </c:ext>
          </c:extLst>
        </c:ser>
        <c:ser>
          <c:idx val="3"/>
          <c:order val="3"/>
          <c:spPr>
            <a:solidFill>
              <a:srgbClr val="92D050"/>
            </a:solidFill>
          </c:spPr>
          <c:invertIfNegative val="0"/>
          <c:cat>
            <c:strRef>
              <c:f>'Sensitivity Ranges'!$I$51:$I$57</c:f>
              <c:strCache>
                <c:ptCount val="7"/>
                <c:pt idx="0">
                  <c:v>Reserves</c:v>
                </c:pt>
                <c:pt idx="1">
                  <c:v>Oil Price</c:v>
                </c:pt>
                <c:pt idx="2">
                  <c:v>Gas Price</c:v>
                </c:pt>
                <c:pt idx="3">
                  <c:v>Exploration Costs</c:v>
                </c:pt>
                <c:pt idx="4">
                  <c:v>Development Costs</c:v>
                </c:pt>
                <c:pt idx="5">
                  <c:v>Operating Costs</c:v>
                </c:pt>
                <c:pt idx="6">
                  <c:v>Chance of Development</c:v>
                </c:pt>
              </c:strCache>
            </c:strRef>
          </c:cat>
          <c:val>
            <c:numRef>
              <c:f>'Sensitivity Ranges'!$R$51:$R$57</c:f>
              <c:numCache>
                <c:formatCode>General</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3-F6E4-40C7-AB03-8F4294B869B1}"/>
            </c:ext>
          </c:extLst>
        </c:ser>
        <c:ser>
          <c:idx val="4"/>
          <c:order val="4"/>
          <c:spPr>
            <a:solidFill>
              <a:srgbClr val="00B0F0"/>
            </a:solidFill>
          </c:spPr>
          <c:invertIfNegative val="0"/>
          <c:cat>
            <c:strRef>
              <c:f>'Sensitivity Ranges'!$I$51:$I$57</c:f>
              <c:strCache>
                <c:ptCount val="7"/>
                <c:pt idx="0">
                  <c:v>Reserves</c:v>
                </c:pt>
                <c:pt idx="1">
                  <c:v>Oil Price</c:v>
                </c:pt>
                <c:pt idx="2">
                  <c:v>Gas Price</c:v>
                </c:pt>
                <c:pt idx="3">
                  <c:v>Exploration Costs</c:v>
                </c:pt>
                <c:pt idx="4">
                  <c:v>Development Costs</c:v>
                </c:pt>
                <c:pt idx="5">
                  <c:v>Operating Costs</c:v>
                </c:pt>
                <c:pt idx="6">
                  <c:v>Chance of Development</c:v>
                </c:pt>
              </c:strCache>
            </c:strRef>
          </c:cat>
          <c:val>
            <c:numRef>
              <c:f>'Sensitivity Ranges'!$S$51:$S$57</c:f>
              <c:numCache>
                <c:formatCode>General</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4-F6E4-40C7-AB03-8F4294B869B1}"/>
            </c:ext>
          </c:extLst>
        </c:ser>
        <c:dLbls>
          <c:showLegendKey val="0"/>
          <c:showVal val="0"/>
          <c:showCatName val="0"/>
          <c:showSerName val="0"/>
          <c:showPercent val="0"/>
          <c:showBubbleSize val="0"/>
        </c:dLbls>
        <c:gapWidth val="150"/>
        <c:overlap val="100"/>
        <c:axId val="312319360"/>
        <c:axId val="312319752"/>
      </c:barChart>
      <c:catAx>
        <c:axId val="312319360"/>
        <c:scaling>
          <c:orientation val="maxMin"/>
        </c:scaling>
        <c:delete val="0"/>
        <c:axPos val="l"/>
        <c:numFmt formatCode="General" sourceLinked="1"/>
        <c:majorTickMark val="none"/>
        <c:minorTickMark val="none"/>
        <c:tickLblPos val="low"/>
        <c:spPr>
          <a:ln>
            <a:noFill/>
          </a:ln>
        </c:spPr>
        <c:txPr>
          <a:bodyPr rot="0" vert="horz"/>
          <a:lstStyle/>
          <a:p>
            <a:pPr>
              <a:defRPr sz="1400" b="0" i="0" u="none" strike="noStrike" baseline="0">
                <a:solidFill>
                  <a:srgbClr val="000000"/>
                </a:solidFill>
                <a:latin typeface="Calibri"/>
                <a:ea typeface="Calibri"/>
                <a:cs typeface="Calibri"/>
              </a:defRPr>
            </a:pPr>
            <a:endParaRPr lang="en-US"/>
          </a:p>
        </c:txPr>
        <c:crossAx val="312319752"/>
        <c:crosses val="autoZero"/>
        <c:auto val="1"/>
        <c:lblAlgn val="ctr"/>
        <c:lblOffset val="100"/>
        <c:noMultiLvlLbl val="0"/>
      </c:catAx>
      <c:valAx>
        <c:axId val="312319752"/>
        <c:scaling>
          <c:orientation val="minMax"/>
        </c:scaling>
        <c:delete val="0"/>
        <c:axPos val="t"/>
        <c:majorGridlines/>
        <c:numFmt formatCode="General" sourceLinked="1"/>
        <c:majorTickMark val="out"/>
        <c:minorTickMark val="none"/>
        <c:tickLblPos val="nextTo"/>
        <c:spPr>
          <a:ln w="15875"/>
        </c:spPr>
        <c:txPr>
          <a:bodyPr rot="0" vert="horz"/>
          <a:lstStyle/>
          <a:p>
            <a:pPr>
              <a:defRPr sz="1200" b="0" i="0" u="none" strike="noStrike" baseline="0">
                <a:solidFill>
                  <a:srgbClr val="000000"/>
                </a:solidFill>
                <a:latin typeface="Calibri"/>
                <a:ea typeface="Calibri"/>
                <a:cs typeface="Calibri"/>
              </a:defRPr>
            </a:pPr>
            <a:endParaRPr lang="en-US"/>
          </a:p>
        </c:txPr>
        <c:crossAx val="312319360"/>
        <c:crosses val="autoZero"/>
        <c:crossBetween val="between"/>
      </c:valAx>
      <c:spPr>
        <a:solidFill>
          <a:schemeClr val="bg2"/>
        </a:solidFill>
        <a:ln w="41275" cmpd="sng">
          <a:solidFill>
            <a:sysClr val="windowText" lastClr="000000">
              <a:tint val="75000"/>
              <a:shade val="95000"/>
              <a:satMod val="105000"/>
            </a:sysClr>
          </a:solidFill>
        </a:ln>
      </c:spPr>
    </c:plotArea>
    <c:plotVisOnly val="1"/>
    <c:dispBlanksAs val="gap"/>
    <c:showDLblsOverMax val="0"/>
  </c:chart>
  <c:spPr>
    <a:solidFill>
      <a:schemeClr val="bg2"/>
    </a:solid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 l="0.70000000000000062" r="0.70000000000000062" t="0.75000000000000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GB"/>
              <a:t>Sensitivity of DROI</a:t>
            </a:r>
          </a:p>
        </c:rich>
      </c:tx>
      <c:layout>
        <c:manualLayout>
          <c:xMode val="edge"/>
          <c:yMode val="edge"/>
          <c:x val="0.32536764705882354"/>
          <c:y val="3.3519553072625698E-2"/>
        </c:manualLayout>
      </c:layout>
      <c:overlay val="0"/>
    </c:title>
    <c:autoTitleDeleted val="0"/>
    <c:plotArea>
      <c:layout>
        <c:manualLayout>
          <c:layoutTarget val="inner"/>
          <c:xMode val="edge"/>
          <c:yMode val="edge"/>
          <c:x val="0.39705917992013373"/>
          <c:y val="0.26536349042462798"/>
          <c:w val="0.5533093201664826"/>
          <c:h val="0.69273837500323932"/>
        </c:manualLayout>
      </c:layout>
      <c:barChart>
        <c:barDir val="bar"/>
        <c:grouping val="stacked"/>
        <c:varyColors val="0"/>
        <c:ser>
          <c:idx val="0"/>
          <c:order val="0"/>
          <c:spPr>
            <a:noFill/>
          </c:spPr>
          <c:invertIfNegative val="0"/>
          <c:cat>
            <c:strRef>
              <c:f>'Sensitivity Ranges'!$I$71:$I$77</c:f>
              <c:strCache>
                <c:ptCount val="7"/>
                <c:pt idx="0">
                  <c:v>Reserves</c:v>
                </c:pt>
                <c:pt idx="1">
                  <c:v>Oil Price</c:v>
                </c:pt>
                <c:pt idx="2">
                  <c:v>Gas Price</c:v>
                </c:pt>
                <c:pt idx="3">
                  <c:v>Exploration Costs</c:v>
                </c:pt>
                <c:pt idx="4">
                  <c:v>Development Costs</c:v>
                </c:pt>
                <c:pt idx="5">
                  <c:v>Operating Costs</c:v>
                </c:pt>
                <c:pt idx="6">
                  <c:v>Chance of Development</c:v>
                </c:pt>
              </c:strCache>
            </c:strRef>
          </c:cat>
          <c:val>
            <c:numRef>
              <c:f>'Sensitivity Ranges'!$O$71:$O$77</c:f>
              <c:numCache>
                <c:formatCode>General</c:formatCode>
                <c:ptCount val="7"/>
                <c:pt idx="0">
                  <c:v>0.71579941093465116</c:v>
                </c:pt>
                <c:pt idx="1">
                  <c:v>0.50446458851205578</c:v>
                </c:pt>
                <c:pt idx="2">
                  <c:v>0.8297506660957813</c:v>
                </c:pt>
                <c:pt idx="3">
                  <c:v>0.90366819825721212</c:v>
                </c:pt>
                <c:pt idx="4">
                  <c:v>0.58312319451092831</c:v>
                </c:pt>
                <c:pt idx="5">
                  <c:v>0.79998202750925684</c:v>
                </c:pt>
                <c:pt idx="6">
                  <c:v>0.90366819825721212</c:v>
                </c:pt>
              </c:numCache>
            </c:numRef>
          </c:val>
          <c:extLst xmlns:c16r2="http://schemas.microsoft.com/office/drawing/2015/06/chart">
            <c:ext xmlns:c16="http://schemas.microsoft.com/office/drawing/2014/chart" uri="{C3380CC4-5D6E-409C-BE32-E72D297353CC}">
              <c16:uniqueId val="{00000000-A2EB-4D96-822F-8CA41A744FC1}"/>
            </c:ext>
          </c:extLst>
        </c:ser>
        <c:ser>
          <c:idx val="1"/>
          <c:order val="1"/>
          <c:spPr>
            <a:solidFill>
              <a:srgbClr val="00B0F0"/>
            </a:solidFill>
          </c:spPr>
          <c:invertIfNegative val="0"/>
          <c:cat>
            <c:strRef>
              <c:f>'Sensitivity Ranges'!$I$71:$I$77</c:f>
              <c:strCache>
                <c:ptCount val="7"/>
                <c:pt idx="0">
                  <c:v>Reserves</c:v>
                </c:pt>
                <c:pt idx="1">
                  <c:v>Oil Price</c:v>
                </c:pt>
                <c:pt idx="2">
                  <c:v>Gas Price</c:v>
                </c:pt>
                <c:pt idx="3">
                  <c:v>Exploration Costs</c:v>
                </c:pt>
                <c:pt idx="4">
                  <c:v>Development Costs</c:v>
                </c:pt>
                <c:pt idx="5">
                  <c:v>Operating Costs</c:v>
                </c:pt>
                <c:pt idx="6">
                  <c:v>Chance of Development</c:v>
                </c:pt>
              </c:strCache>
            </c:strRef>
          </c:cat>
          <c:val>
            <c:numRef>
              <c:f>'Sensitivity Ranges'!$P$71:$P$77</c:f>
              <c:numCache>
                <c:formatCode>General</c:formatCode>
                <c:ptCount val="7"/>
                <c:pt idx="0">
                  <c:v>0.18786878732256096</c:v>
                </c:pt>
                <c:pt idx="1">
                  <c:v>0.39920360974515634</c:v>
                </c:pt>
                <c:pt idx="2">
                  <c:v>7.3917532161430821E-2</c:v>
                </c:pt>
                <c:pt idx="3">
                  <c:v>0</c:v>
                </c:pt>
                <c:pt idx="4">
                  <c:v>0.32054500374628381</c:v>
                </c:pt>
                <c:pt idx="5">
                  <c:v>0.10368617074795528</c:v>
                </c:pt>
                <c:pt idx="6">
                  <c:v>0</c:v>
                </c:pt>
              </c:numCache>
            </c:numRef>
          </c:val>
          <c:extLst xmlns:c16r2="http://schemas.microsoft.com/office/drawing/2015/06/chart">
            <c:ext xmlns:c16="http://schemas.microsoft.com/office/drawing/2014/chart" uri="{C3380CC4-5D6E-409C-BE32-E72D297353CC}">
              <c16:uniqueId val="{00000001-A2EB-4D96-822F-8CA41A744FC1}"/>
            </c:ext>
          </c:extLst>
        </c:ser>
        <c:ser>
          <c:idx val="2"/>
          <c:order val="2"/>
          <c:spPr>
            <a:solidFill>
              <a:srgbClr val="92D050"/>
            </a:solidFill>
          </c:spPr>
          <c:invertIfNegative val="0"/>
          <c:cat>
            <c:strRef>
              <c:f>'Sensitivity Ranges'!$I$71:$I$77</c:f>
              <c:strCache>
                <c:ptCount val="7"/>
                <c:pt idx="0">
                  <c:v>Reserves</c:v>
                </c:pt>
                <c:pt idx="1">
                  <c:v>Oil Price</c:v>
                </c:pt>
                <c:pt idx="2">
                  <c:v>Gas Price</c:v>
                </c:pt>
                <c:pt idx="3">
                  <c:v>Exploration Costs</c:v>
                </c:pt>
                <c:pt idx="4">
                  <c:v>Development Costs</c:v>
                </c:pt>
                <c:pt idx="5">
                  <c:v>Operating Costs</c:v>
                </c:pt>
                <c:pt idx="6">
                  <c:v>Chance of Development</c:v>
                </c:pt>
              </c:strCache>
            </c:strRef>
          </c:cat>
          <c:val>
            <c:numRef>
              <c:f>'Sensitivity Ranges'!$Q$71:$Q$77</c:f>
              <c:numCache>
                <c:formatCode>General</c:formatCode>
                <c:ptCount val="7"/>
                <c:pt idx="0">
                  <c:v>0.25108813174042988</c:v>
                </c:pt>
                <c:pt idx="1">
                  <c:v>0.39843522855064895</c:v>
                </c:pt>
                <c:pt idx="2">
                  <c:v>7.575187962937513E-2</c:v>
                </c:pt>
                <c:pt idx="3">
                  <c:v>0</c:v>
                </c:pt>
                <c:pt idx="4">
                  <c:v>0.4661841516782701</c:v>
                </c:pt>
                <c:pt idx="5">
                  <c:v>0.11029823181419229</c:v>
                </c:pt>
                <c:pt idx="6">
                  <c:v>0</c:v>
                </c:pt>
              </c:numCache>
            </c:numRef>
          </c:val>
          <c:extLst xmlns:c16r2="http://schemas.microsoft.com/office/drawing/2015/06/chart">
            <c:ext xmlns:c16="http://schemas.microsoft.com/office/drawing/2014/chart" uri="{C3380CC4-5D6E-409C-BE32-E72D297353CC}">
              <c16:uniqueId val="{00000002-A2EB-4D96-822F-8CA41A744FC1}"/>
            </c:ext>
          </c:extLst>
        </c:ser>
        <c:ser>
          <c:idx val="3"/>
          <c:order val="3"/>
          <c:spPr>
            <a:solidFill>
              <a:srgbClr val="92D050"/>
            </a:solidFill>
          </c:spPr>
          <c:invertIfNegative val="0"/>
          <c:cat>
            <c:strRef>
              <c:f>'Sensitivity Ranges'!$I$71:$I$77</c:f>
              <c:strCache>
                <c:ptCount val="7"/>
                <c:pt idx="0">
                  <c:v>Reserves</c:v>
                </c:pt>
                <c:pt idx="1">
                  <c:v>Oil Price</c:v>
                </c:pt>
                <c:pt idx="2">
                  <c:v>Gas Price</c:v>
                </c:pt>
                <c:pt idx="3">
                  <c:v>Exploration Costs</c:v>
                </c:pt>
                <c:pt idx="4">
                  <c:v>Development Costs</c:v>
                </c:pt>
                <c:pt idx="5">
                  <c:v>Operating Costs</c:v>
                </c:pt>
                <c:pt idx="6">
                  <c:v>Chance of Development</c:v>
                </c:pt>
              </c:strCache>
            </c:strRef>
          </c:cat>
          <c:val>
            <c:numRef>
              <c:f>'Sensitivity Ranges'!$R$71:$R$77</c:f>
              <c:numCache>
                <c:formatCode>General</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3-A2EB-4D96-822F-8CA41A744FC1}"/>
            </c:ext>
          </c:extLst>
        </c:ser>
        <c:ser>
          <c:idx val="4"/>
          <c:order val="4"/>
          <c:spPr>
            <a:solidFill>
              <a:srgbClr val="00B0F0"/>
            </a:solidFill>
          </c:spPr>
          <c:invertIfNegative val="0"/>
          <c:cat>
            <c:strRef>
              <c:f>'Sensitivity Ranges'!$I$71:$I$77</c:f>
              <c:strCache>
                <c:ptCount val="7"/>
                <c:pt idx="0">
                  <c:v>Reserves</c:v>
                </c:pt>
                <c:pt idx="1">
                  <c:v>Oil Price</c:v>
                </c:pt>
                <c:pt idx="2">
                  <c:v>Gas Price</c:v>
                </c:pt>
                <c:pt idx="3">
                  <c:v>Exploration Costs</c:v>
                </c:pt>
                <c:pt idx="4">
                  <c:v>Development Costs</c:v>
                </c:pt>
                <c:pt idx="5">
                  <c:v>Operating Costs</c:v>
                </c:pt>
                <c:pt idx="6">
                  <c:v>Chance of Development</c:v>
                </c:pt>
              </c:strCache>
            </c:strRef>
          </c:cat>
          <c:val>
            <c:numRef>
              <c:f>'Sensitivity Ranges'!$S$71:$S$77</c:f>
              <c:numCache>
                <c:formatCode>General</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4-A2EB-4D96-822F-8CA41A744FC1}"/>
            </c:ext>
          </c:extLst>
        </c:ser>
        <c:dLbls>
          <c:showLegendKey val="0"/>
          <c:showVal val="0"/>
          <c:showCatName val="0"/>
          <c:showSerName val="0"/>
          <c:showPercent val="0"/>
          <c:showBubbleSize val="0"/>
        </c:dLbls>
        <c:gapWidth val="150"/>
        <c:overlap val="100"/>
        <c:axId val="312322496"/>
        <c:axId val="312322888"/>
      </c:barChart>
      <c:catAx>
        <c:axId val="312322496"/>
        <c:scaling>
          <c:orientation val="maxMin"/>
        </c:scaling>
        <c:delete val="0"/>
        <c:axPos val="l"/>
        <c:numFmt formatCode="General" sourceLinked="1"/>
        <c:majorTickMark val="none"/>
        <c:minorTickMark val="none"/>
        <c:tickLblPos val="low"/>
        <c:spPr>
          <a:ln>
            <a:noFill/>
          </a:ln>
        </c:spPr>
        <c:txPr>
          <a:bodyPr rot="0" vert="horz"/>
          <a:lstStyle/>
          <a:p>
            <a:pPr>
              <a:defRPr sz="1400" b="0" i="0" u="none" strike="noStrike" baseline="0">
                <a:solidFill>
                  <a:srgbClr val="000000"/>
                </a:solidFill>
                <a:latin typeface="Calibri"/>
                <a:ea typeface="Calibri"/>
                <a:cs typeface="Calibri"/>
              </a:defRPr>
            </a:pPr>
            <a:endParaRPr lang="en-US"/>
          </a:p>
        </c:txPr>
        <c:crossAx val="312322888"/>
        <c:crosses val="autoZero"/>
        <c:auto val="1"/>
        <c:lblAlgn val="ctr"/>
        <c:lblOffset val="100"/>
        <c:noMultiLvlLbl val="0"/>
      </c:catAx>
      <c:valAx>
        <c:axId val="312322888"/>
        <c:scaling>
          <c:orientation val="minMax"/>
        </c:scaling>
        <c:delete val="0"/>
        <c:axPos val="t"/>
        <c:majorGridlines/>
        <c:numFmt formatCode="General" sourceLinked="1"/>
        <c:majorTickMark val="out"/>
        <c:minorTickMark val="none"/>
        <c:tickLblPos val="nextTo"/>
        <c:spPr>
          <a:ln w="15875"/>
        </c:spPr>
        <c:txPr>
          <a:bodyPr rot="0" vert="horz"/>
          <a:lstStyle/>
          <a:p>
            <a:pPr>
              <a:defRPr sz="1200" b="0" i="0" u="none" strike="noStrike" baseline="0">
                <a:solidFill>
                  <a:srgbClr val="000000"/>
                </a:solidFill>
                <a:latin typeface="Calibri"/>
                <a:ea typeface="Calibri"/>
                <a:cs typeface="Calibri"/>
              </a:defRPr>
            </a:pPr>
            <a:endParaRPr lang="en-US"/>
          </a:p>
        </c:txPr>
        <c:crossAx val="312322496"/>
        <c:crosses val="autoZero"/>
        <c:crossBetween val="between"/>
      </c:valAx>
      <c:spPr>
        <a:solidFill>
          <a:schemeClr val="bg2"/>
        </a:solidFill>
        <a:ln w="41275" cmpd="sng">
          <a:solidFill>
            <a:sysClr val="windowText" lastClr="000000">
              <a:tint val="75000"/>
              <a:shade val="95000"/>
              <a:satMod val="105000"/>
            </a:sysClr>
          </a:solidFill>
        </a:ln>
      </c:spPr>
    </c:plotArea>
    <c:plotVisOnly val="1"/>
    <c:dispBlanksAs val="gap"/>
    <c:showDLblsOverMax val="0"/>
  </c:chart>
  <c:spPr>
    <a:solidFill>
      <a:schemeClr val="bg2"/>
    </a:solid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44" l="0.70000000000000062" r="0.70000000000000062" t="0.75000000000000144"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GB"/>
              <a:t>Sensitivity of Committed DROI</a:t>
            </a:r>
          </a:p>
        </c:rich>
      </c:tx>
      <c:layout>
        <c:manualLayout>
          <c:xMode val="edge"/>
          <c:yMode val="edge"/>
          <c:x val="0.21731123388581952"/>
          <c:y val="3.3426047096225646E-2"/>
        </c:manualLayout>
      </c:layout>
      <c:overlay val="0"/>
    </c:title>
    <c:autoTitleDeleted val="0"/>
    <c:plotArea>
      <c:layout>
        <c:manualLayout>
          <c:layoutTarget val="inner"/>
          <c:xMode val="edge"/>
          <c:yMode val="edge"/>
          <c:x val="0.39779077065847057"/>
          <c:y val="0.2618384401114206"/>
          <c:w val="0.55617042934656524"/>
          <c:h val="0.69637883008356583"/>
        </c:manualLayout>
      </c:layout>
      <c:barChart>
        <c:barDir val="bar"/>
        <c:grouping val="stacked"/>
        <c:varyColors val="0"/>
        <c:ser>
          <c:idx val="0"/>
          <c:order val="0"/>
          <c:spPr>
            <a:noFill/>
          </c:spPr>
          <c:invertIfNegative val="0"/>
          <c:cat>
            <c:strRef>
              <c:f>'Sensitivity Ranges'!$I$71:$I$77</c:f>
              <c:strCache>
                <c:ptCount val="7"/>
                <c:pt idx="0">
                  <c:v>Reserves</c:v>
                </c:pt>
                <c:pt idx="1">
                  <c:v>Oil Price</c:v>
                </c:pt>
                <c:pt idx="2">
                  <c:v>Gas Price</c:v>
                </c:pt>
                <c:pt idx="3">
                  <c:v>Exploration Costs</c:v>
                </c:pt>
                <c:pt idx="4">
                  <c:v>Development Costs</c:v>
                </c:pt>
                <c:pt idx="5">
                  <c:v>Operating Costs</c:v>
                </c:pt>
                <c:pt idx="6">
                  <c:v>Chance of Development</c:v>
                </c:pt>
              </c:strCache>
            </c:strRef>
          </c:cat>
          <c:val>
            <c:numRef>
              <c:f>'Sensitivity Ranges'!$O$82:$O$88</c:f>
              <c:numCache>
                <c:formatCode>General</c:formatCode>
                <c:ptCount val="7"/>
                <c:pt idx="0">
                  <c:v>0.71579941093465116</c:v>
                </c:pt>
                <c:pt idx="1">
                  <c:v>0.50446458851205578</c:v>
                </c:pt>
                <c:pt idx="2">
                  <c:v>0.8297506660957813</c:v>
                </c:pt>
                <c:pt idx="3">
                  <c:v>0.90366819825721212</c:v>
                </c:pt>
                <c:pt idx="4">
                  <c:v>0.58312319451092831</c:v>
                </c:pt>
                <c:pt idx="5">
                  <c:v>0.79998202750925684</c:v>
                </c:pt>
                <c:pt idx="6">
                  <c:v>0.90366819825721212</c:v>
                </c:pt>
              </c:numCache>
            </c:numRef>
          </c:val>
          <c:extLst xmlns:c16r2="http://schemas.microsoft.com/office/drawing/2015/06/chart">
            <c:ext xmlns:c16="http://schemas.microsoft.com/office/drawing/2014/chart" uri="{C3380CC4-5D6E-409C-BE32-E72D297353CC}">
              <c16:uniqueId val="{00000000-683E-4543-80AF-596C4CBD5963}"/>
            </c:ext>
          </c:extLst>
        </c:ser>
        <c:ser>
          <c:idx val="1"/>
          <c:order val="1"/>
          <c:spPr>
            <a:solidFill>
              <a:srgbClr val="00B0F0"/>
            </a:solidFill>
          </c:spPr>
          <c:invertIfNegative val="0"/>
          <c:cat>
            <c:strRef>
              <c:f>'Sensitivity Ranges'!$I$71:$I$77</c:f>
              <c:strCache>
                <c:ptCount val="7"/>
                <c:pt idx="0">
                  <c:v>Reserves</c:v>
                </c:pt>
                <c:pt idx="1">
                  <c:v>Oil Price</c:v>
                </c:pt>
                <c:pt idx="2">
                  <c:v>Gas Price</c:v>
                </c:pt>
                <c:pt idx="3">
                  <c:v>Exploration Costs</c:v>
                </c:pt>
                <c:pt idx="4">
                  <c:v>Development Costs</c:v>
                </c:pt>
                <c:pt idx="5">
                  <c:v>Operating Costs</c:v>
                </c:pt>
                <c:pt idx="6">
                  <c:v>Chance of Development</c:v>
                </c:pt>
              </c:strCache>
            </c:strRef>
          </c:cat>
          <c:val>
            <c:numRef>
              <c:f>'Sensitivity Ranges'!$P$82:$P$88</c:f>
              <c:numCache>
                <c:formatCode>General</c:formatCode>
                <c:ptCount val="7"/>
                <c:pt idx="0">
                  <c:v>0.18786878732256096</c:v>
                </c:pt>
                <c:pt idx="1">
                  <c:v>0.39920360974515634</c:v>
                </c:pt>
                <c:pt idx="2">
                  <c:v>7.3917532161430821E-2</c:v>
                </c:pt>
                <c:pt idx="3">
                  <c:v>0</c:v>
                </c:pt>
                <c:pt idx="4">
                  <c:v>0.32054500374628381</c:v>
                </c:pt>
                <c:pt idx="5">
                  <c:v>0.10368617074795528</c:v>
                </c:pt>
                <c:pt idx="6">
                  <c:v>0</c:v>
                </c:pt>
              </c:numCache>
            </c:numRef>
          </c:val>
          <c:extLst xmlns:c16r2="http://schemas.microsoft.com/office/drawing/2015/06/chart">
            <c:ext xmlns:c16="http://schemas.microsoft.com/office/drawing/2014/chart" uri="{C3380CC4-5D6E-409C-BE32-E72D297353CC}">
              <c16:uniqueId val="{00000001-683E-4543-80AF-596C4CBD5963}"/>
            </c:ext>
          </c:extLst>
        </c:ser>
        <c:ser>
          <c:idx val="2"/>
          <c:order val="2"/>
          <c:spPr>
            <a:solidFill>
              <a:srgbClr val="92D050"/>
            </a:solidFill>
          </c:spPr>
          <c:invertIfNegative val="0"/>
          <c:cat>
            <c:strRef>
              <c:f>'Sensitivity Ranges'!$I$71:$I$77</c:f>
              <c:strCache>
                <c:ptCount val="7"/>
                <c:pt idx="0">
                  <c:v>Reserves</c:v>
                </c:pt>
                <c:pt idx="1">
                  <c:v>Oil Price</c:v>
                </c:pt>
                <c:pt idx="2">
                  <c:v>Gas Price</c:v>
                </c:pt>
                <c:pt idx="3">
                  <c:v>Exploration Costs</c:v>
                </c:pt>
                <c:pt idx="4">
                  <c:v>Development Costs</c:v>
                </c:pt>
                <c:pt idx="5">
                  <c:v>Operating Costs</c:v>
                </c:pt>
                <c:pt idx="6">
                  <c:v>Chance of Development</c:v>
                </c:pt>
              </c:strCache>
            </c:strRef>
          </c:cat>
          <c:val>
            <c:numRef>
              <c:f>'Sensitivity Ranges'!$Q$82:$Q$88</c:f>
              <c:numCache>
                <c:formatCode>General</c:formatCode>
                <c:ptCount val="7"/>
                <c:pt idx="0">
                  <c:v>0.25108813174042988</c:v>
                </c:pt>
                <c:pt idx="1">
                  <c:v>0.39843522855064895</c:v>
                </c:pt>
                <c:pt idx="2">
                  <c:v>7.575187962937513E-2</c:v>
                </c:pt>
                <c:pt idx="3">
                  <c:v>0</c:v>
                </c:pt>
                <c:pt idx="4">
                  <c:v>0.4661841516782701</c:v>
                </c:pt>
                <c:pt idx="5">
                  <c:v>0.11029823181419229</c:v>
                </c:pt>
                <c:pt idx="6">
                  <c:v>0</c:v>
                </c:pt>
              </c:numCache>
            </c:numRef>
          </c:val>
          <c:extLst xmlns:c16r2="http://schemas.microsoft.com/office/drawing/2015/06/chart">
            <c:ext xmlns:c16="http://schemas.microsoft.com/office/drawing/2014/chart" uri="{C3380CC4-5D6E-409C-BE32-E72D297353CC}">
              <c16:uniqueId val="{00000002-683E-4543-80AF-596C4CBD5963}"/>
            </c:ext>
          </c:extLst>
        </c:ser>
        <c:ser>
          <c:idx val="3"/>
          <c:order val="3"/>
          <c:spPr>
            <a:solidFill>
              <a:srgbClr val="92D050"/>
            </a:solidFill>
          </c:spPr>
          <c:invertIfNegative val="0"/>
          <c:cat>
            <c:strRef>
              <c:f>'Sensitivity Ranges'!$I$71:$I$77</c:f>
              <c:strCache>
                <c:ptCount val="7"/>
                <c:pt idx="0">
                  <c:v>Reserves</c:v>
                </c:pt>
                <c:pt idx="1">
                  <c:v>Oil Price</c:v>
                </c:pt>
                <c:pt idx="2">
                  <c:v>Gas Price</c:v>
                </c:pt>
                <c:pt idx="3">
                  <c:v>Exploration Costs</c:v>
                </c:pt>
                <c:pt idx="4">
                  <c:v>Development Costs</c:v>
                </c:pt>
                <c:pt idx="5">
                  <c:v>Operating Costs</c:v>
                </c:pt>
                <c:pt idx="6">
                  <c:v>Chance of Development</c:v>
                </c:pt>
              </c:strCache>
            </c:strRef>
          </c:cat>
          <c:val>
            <c:numRef>
              <c:f>'Sensitivity Ranges'!$R$82:$R$88</c:f>
              <c:numCache>
                <c:formatCode>General</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3-683E-4543-80AF-596C4CBD5963}"/>
            </c:ext>
          </c:extLst>
        </c:ser>
        <c:ser>
          <c:idx val="4"/>
          <c:order val="4"/>
          <c:spPr>
            <a:solidFill>
              <a:srgbClr val="00B0F0"/>
            </a:solidFill>
          </c:spPr>
          <c:invertIfNegative val="0"/>
          <c:cat>
            <c:strRef>
              <c:f>'Sensitivity Ranges'!$I$71:$I$77</c:f>
              <c:strCache>
                <c:ptCount val="7"/>
                <c:pt idx="0">
                  <c:v>Reserves</c:v>
                </c:pt>
                <c:pt idx="1">
                  <c:v>Oil Price</c:v>
                </c:pt>
                <c:pt idx="2">
                  <c:v>Gas Price</c:v>
                </c:pt>
                <c:pt idx="3">
                  <c:v>Exploration Costs</c:v>
                </c:pt>
                <c:pt idx="4">
                  <c:v>Development Costs</c:v>
                </c:pt>
                <c:pt idx="5">
                  <c:v>Operating Costs</c:v>
                </c:pt>
                <c:pt idx="6">
                  <c:v>Chance of Development</c:v>
                </c:pt>
              </c:strCache>
            </c:strRef>
          </c:cat>
          <c:val>
            <c:numRef>
              <c:f>'Sensitivity Ranges'!$S$82:$S$88</c:f>
              <c:numCache>
                <c:formatCode>General</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4-683E-4543-80AF-596C4CBD5963}"/>
            </c:ext>
          </c:extLst>
        </c:ser>
        <c:dLbls>
          <c:showLegendKey val="0"/>
          <c:showVal val="0"/>
          <c:showCatName val="0"/>
          <c:showSerName val="0"/>
          <c:showPercent val="0"/>
          <c:showBubbleSize val="0"/>
        </c:dLbls>
        <c:gapWidth val="150"/>
        <c:overlap val="100"/>
        <c:axId val="312179144"/>
        <c:axId val="312179536"/>
      </c:barChart>
      <c:catAx>
        <c:axId val="312179144"/>
        <c:scaling>
          <c:orientation val="maxMin"/>
        </c:scaling>
        <c:delete val="0"/>
        <c:axPos val="l"/>
        <c:numFmt formatCode="General" sourceLinked="1"/>
        <c:majorTickMark val="none"/>
        <c:minorTickMark val="none"/>
        <c:tickLblPos val="low"/>
        <c:spPr>
          <a:ln>
            <a:noFill/>
          </a:ln>
        </c:spPr>
        <c:txPr>
          <a:bodyPr rot="0" vert="horz"/>
          <a:lstStyle/>
          <a:p>
            <a:pPr>
              <a:defRPr sz="1400" b="0" i="0" u="none" strike="noStrike" baseline="0">
                <a:solidFill>
                  <a:srgbClr val="000000"/>
                </a:solidFill>
                <a:latin typeface="Calibri"/>
                <a:ea typeface="Calibri"/>
                <a:cs typeface="Calibri"/>
              </a:defRPr>
            </a:pPr>
            <a:endParaRPr lang="en-US"/>
          </a:p>
        </c:txPr>
        <c:crossAx val="312179536"/>
        <c:crosses val="autoZero"/>
        <c:auto val="1"/>
        <c:lblAlgn val="ctr"/>
        <c:lblOffset val="100"/>
        <c:noMultiLvlLbl val="0"/>
      </c:catAx>
      <c:valAx>
        <c:axId val="312179536"/>
        <c:scaling>
          <c:orientation val="minMax"/>
        </c:scaling>
        <c:delete val="0"/>
        <c:axPos val="t"/>
        <c:majorGridlines/>
        <c:numFmt formatCode="General" sourceLinked="1"/>
        <c:majorTickMark val="out"/>
        <c:minorTickMark val="none"/>
        <c:tickLblPos val="nextTo"/>
        <c:spPr>
          <a:ln w="15875"/>
        </c:spPr>
        <c:txPr>
          <a:bodyPr rot="0" vert="horz"/>
          <a:lstStyle/>
          <a:p>
            <a:pPr>
              <a:defRPr sz="1200" b="0" i="0" u="none" strike="noStrike" baseline="0">
                <a:solidFill>
                  <a:srgbClr val="000000"/>
                </a:solidFill>
                <a:latin typeface="Calibri"/>
                <a:ea typeface="Calibri"/>
                <a:cs typeface="Calibri"/>
              </a:defRPr>
            </a:pPr>
            <a:endParaRPr lang="en-US"/>
          </a:p>
        </c:txPr>
        <c:crossAx val="312179144"/>
        <c:crosses val="autoZero"/>
        <c:crossBetween val="between"/>
      </c:valAx>
      <c:spPr>
        <a:solidFill>
          <a:schemeClr val="bg2"/>
        </a:solidFill>
        <a:ln w="41275" cmpd="sng">
          <a:solidFill>
            <a:sysClr val="windowText" lastClr="000000">
              <a:tint val="75000"/>
              <a:shade val="95000"/>
              <a:satMod val="105000"/>
            </a:sysClr>
          </a:solidFill>
        </a:ln>
      </c:spPr>
    </c:plotArea>
    <c:plotVisOnly val="1"/>
    <c:dispBlanksAs val="gap"/>
    <c:showDLblsOverMax val="0"/>
  </c:chart>
  <c:spPr>
    <a:solidFill>
      <a:schemeClr val="bg2"/>
    </a:solid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44" l="0.70000000000000062" r="0.70000000000000062" t="0.75000000000000144"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GB" sz="1800"/>
              <a:t>Government Take as a Percentage of Risked Cash Flow for Varying Price Cases</a:t>
            </a:r>
          </a:p>
        </c:rich>
      </c:tx>
      <c:overlay val="0"/>
    </c:title>
    <c:autoTitleDeleted val="0"/>
    <c:plotArea>
      <c:layout/>
      <c:barChart>
        <c:barDir val="col"/>
        <c:grouping val="stacked"/>
        <c:varyColors val="0"/>
        <c:ser>
          <c:idx val="2"/>
          <c:order val="0"/>
          <c:tx>
            <c:strRef>
              <c:f>Thresholds!$R$67</c:f>
              <c:strCache>
                <c:ptCount val="1"/>
                <c:pt idx="0">
                  <c:v>Net Cash Flow</c:v>
                </c:pt>
              </c:strCache>
            </c:strRef>
          </c:tx>
          <c:spPr>
            <a:solidFill>
              <a:srgbClr val="7030A0"/>
            </a:solidFill>
          </c:spPr>
          <c:invertIfNegative val="0"/>
          <c:dLbls>
            <c:spPr>
              <a:noFill/>
              <a:ln>
                <a:noFill/>
              </a:ln>
              <a:effectLst/>
            </c:spPr>
            <c:txPr>
              <a:bodyPr/>
              <a:lstStyle/>
              <a:p>
                <a:pPr>
                  <a:defRPr sz="11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Thresholds!$S$63:$W$63</c:f>
              <c:strCache>
                <c:ptCount val="5"/>
                <c:pt idx="0">
                  <c:v>Flat Real</c:v>
                </c:pt>
                <c:pt idx="1">
                  <c:v>Base - 1.5%/y</c:v>
                </c:pt>
                <c:pt idx="2">
                  <c:v>Base</c:v>
                </c:pt>
                <c:pt idx="3">
                  <c:v>Base +1.5% /y</c:v>
                </c:pt>
                <c:pt idx="4">
                  <c:v>Base + 3%/y</c:v>
                </c:pt>
              </c:strCache>
            </c:strRef>
          </c:cat>
          <c:val>
            <c:numRef>
              <c:f>Thresholds!$S$67:$W$67</c:f>
              <c:numCache>
                <c:formatCode>0.0%</c:formatCode>
                <c:ptCount val="5"/>
                <c:pt idx="0">
                  <c:v>0.51794661616074622</c:v>
                </c:pt>
                <c:pt idx="1">
                  <c:v>0.46517702589768506</c:v>
                </c:pt>
                <c:pt idx="2">
                  <c:v>0.45971811453010458</c:v>
                </c:pt>
                <c:pt idx="3">
                  <c:v>0.45418553697378899</c:v>
                </c:pt>
                <c:pt idx="4">
                  <c:v>0.4503808235480678</c:v>
                </c:pt>
              </c:numCache>
            </c:numRef>
          </c:val>
          <c:extLst xmlns:c16r2="http://schemas.microsoft.com/office/drawing/2015/06/chart">
            <c:ext xmlns:c16="http://schemas.microsoft.com/office/drawing/2014/chart" uri="{C3380CC4-5D6E-409C-BE32-E72D297353CC}">
              <c16:uniqueId val="{00000000-F560-4F53-AF10-08F5D9B1F6F9}"/>
            </c:ext>
          </c:extLst>
        </c:ser>
        <c:ser>
          <c:idx val="3"/>
          <c:order val="1"/>
          <c:tx>
            <c:strRef>
              <c:f>Thresholds!$R$64</c:f>
              <c:strCache>
                <c:ptCount val="1"/>
                <c:pt idx="0">
                  <c:v>Royalty</c:v>
                </c:pt>
              </c:strCache>
            </c:strRef>
          </c:tx>
          <c:spPr>
            <a:solidFill>
              <a:srgbClr val="0070C0"/>
            </a:solidFill>
          </c:spPr>
          <c:invertIfNegative val="0"/>
          <c:dLbls>
            <c:spPr>
              <a:noFill/>
              <a:ln>
                <a:noFill/>
              </a:ln>
              <a:effectLst/>
            </c:spPr>
            <c:txPr>
              <a:bodyPr/>
              <a:lstStyle/>
              <a:p>
                <a:pPr>
                  <a:defRPr sz="11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Thresholds!$S$63:$W$63</c:f>
              <c:strCache>
                <c:ptCount val="5"/>
                <c:pt idx="0">
                  <c:v>Flat Real</c:v>
                </c:pt>
                <c:pt idx="1">
                  <c:v>Base - 1.5%/y</c:v>
                </c:pt>
                <c:pt idx="2">
                  <c:v>Base</c:v>
                </c:pt>
                <c:pt idx="3">
                  <c:v>Base +1.5% /y</c:v>
                </c:pt>
                <c:pt idx="4">
                  <c:v>Base + 3%/y</c:v>
                </c:pt>
              </c:strCache>
            </c:strRef>
          </c:cat>
          <c:val>
            <c:numRef>
              <c:f>Thresholds!$S$64:$W$64</c:f>
              <c:numCache>
                <c:formatCode>0.0%</c:formatCode>
                <c:ptCount val="5"/>
                <c:pt idx="0">
                  <c:v>0.21116169620921602</c:v>
                </c:pt>
                <c:pt idx="1">
                  <c:v>0.28853642464531576</c:v>
                </c:pt>
                <c:pt idx="2">
                  <c:v>0.29634894210129931</c:v>
                </c:pt>
                <c:pt idx="3">
                  <c:v>0.30434445240834518</c:v>
                </c:pt>
                <c:pt idx="4">
                  <c:v>0.30974046219217488</c:v>
                </c:pt>
              </c:numCache>
            </c:numRef>
          </c:val>
          <c:extLst xmlns:c16r2="http://schemas.microsoft.com/office/drawing/2015/06/chart">
            <c:ext xmlns:c16="http://schemas.microsoft.com/office/drawing/2014/chart" uri="{C3380CC4-5D6E-409C-BE32-E72D297353CC}">
              <c16:uniqueId val="{00000001-F560-4F53-AF10-08F5D9B1F6F9}"/>
            </c:ext>
          </c:extLst>
        </c:ser>
        <c:ser>
          <c:idx val="0"/>
          <c:order val="2"/>
          <c:tx>
            <c:strRef>
              <c:f>Thresholds!$R$65</c:f>
              <c:strCache>
                <c:ptCount val="1"/>
                <c:pt idx="0">
                  <c:v>Provincial Income Tax</c:v>
                </c:pt>
              </c:strCache>
            </c:strRef>
          </c:tx>
          <c:spPr>
            <a:solidFill>
              <a:srgbClr val="FF0000"/>
            </a:solidFill>
          </c:spPr>
          <c:invertIfNegative val="0"/>
          <c:dLbls>
            <c:spPr>
              <a:noFill/>
              <a:ln>
                <a:noFill/>
              </a:ln>
              <a:effectLst/>
            </c:spPr>
            <c:txPr>
              <a:bodyPr/>
              <a:lstStyle/>
              <a:p>
                <a:pPr>
                  <a:defRPr sz="11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Thresholds!$S$63:$W$63</c:f>
              <c:strCache>
                <c:ptCount val="5"/>
                <c:pt idx="0">
                  <c:v>Flat Real</c:v>
                </c:pt>
                <c:pt idx="1">
                  <c:v>Base - 1.5%/y</c:v>
                </c:pt>
                <c:pt idx="2">
                  <c:v>Base</c:v>
                </c:pt>
                <c:pt idx="3">
                  <c:v>Base +1.5% /y</c:v>
                </c:pt>
                <c:pt idx="4">
                  <c:v>Base + 3%/y</c:v>
                </c:pt>
              </c:strCache>
            </c:strRef>
          </c:cat>
          <c:val>
            <c:numRef>
              <c:f>Thresholds!$S$65:$W$65</c:f>
              <c:numCache>
                <c:formatCode>0.0%</c:formatCode>
                <c:ptCount val="5"/>
                <c:pt idx="0">
                  <c:v>0.12389360782476976</c:v>
                </c:pt>
                <c:pt idx="1">
                  <c:v>0.11248857399945818</c:v>
                </c:pt>
                <c:pt idx="2">
                  <c:v>0.11142123227841941</c:v>
                </c:pt>
                <c:pt idx="3">
                  <c:v>0.11030373790981808</c:v>
                </c:pt>
                <c:pt idx="4">
                  <c:v>0.1095845485643486</c:v>
                </c:pt>
              </c:numCache>
            </c:numRef>
          </c:val>
          <c:extLst xmlns:c16r2="http://schemas.microsoft.com/office/drawing/2015/06/chart">
            <c:ext xmlns:c16="http://schemas.microsoft.com/office/drawing/2014/chart" uri="{C3380CC4-5D6E-409C-BE32-E72D297353CC}">
              <c16:uniqueId val="{00000002-F560-4F53-AF10-08F5D9B1F6F9}"/>
            </c:ext>
          </c:extLst>
        </c:ser>
        <c:ser>
          <c:idx val="1"/>
          <c:order val="3"/>
          <c:tx>
            <c:strRef>
              <c:f>Thresholds!$R$66</c:f>
              <c:strCache>
                <c:ptCount val="1"/>
                <c:pt idx="0">
                  <c:v>Federal Income Tax</c:v>
                </c:pt>
              </c:strCache>
            </c:strRef>
          </c:tx>
          <c:spPr>
            <a:solidFill>
              <a:srgbClr val="92D050"/>
            </a:solidFill>
          </c:spPr>
          <c:invertIfNegative val="0"/>
          <c:dLbls>
            <c:spPr>
              <a:noFill/>
              <a:ln>
                <a:noFill/>
              </a:ln>
              <a:effectLst/>
            </c:spPr>
            <c:txPr>
              <a:bodyPr/>
              <a:lstStyle/>
              <a:p>
                <a:pPr>
                  <a:defRPr sz="11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Thresholds!$S$63:$W$63</c:f>
              <c:strCache>
                <c:ptCount val="5"/>
                <c:pt idx="0">
                  <c:v>Flat Real</c:v>
                </c:pt>
                <c:pt idx="1">
                  <c:v>Base - 1.5%/y</c:v>
                </c:pt>
                <c:pt idx="2">
                  <c:v>Base</c:v>
                </c:pt>
                <c:pt idx="3">
                  <c:v>Base +1.5% /y</c:v>
                </c:pt>
                <c:pt idx="4">
                  <c:v>Base + 3%/y</c:v>
                </c:pt>
              </c:strCache>
            </c:strRef>
          </c:cat>
          <c:val>
            <c:numRef>
              <c:f>Thresholds!$S$66:$W$66</c:f>
              <c:numCache>
                <c:formatCode>0.0%</c:formatCode>
                <c:ptCount val="5"/>
                <c:pt idx="0">
                  <c:v>0.14699807980526808</c:v>
                </c:pt>
                <c:pt idx="1">
                  <c:v>0.13379797545754113</c:v>
                </c:pt>
                <c:pt idx="2">
                  <c:v>0.1325117110901767</c:v>
                </c:pt>
                <c:pt idx="3">
                  <c:v>0.13116627270804787</c:v>
                </c:pt>
                <c:pt idx="4">
                  <c:v>0.13029416569540883</c:v>
                </c:pt>
              </c:numCache>
            </c:numRef>
          </c:val>
          <c:extLst xmlns:c16r2="http://schemas.microsoft.com/office/drawing/2015/06/chart">
            <c:ext xmlns:c16="http://schemas.microsoft.com/office/drawing/2014/chart" uri="{C3380CC4-5D6E-409C-BE32-E72D297353CC}">
              <c16:uniqueId val="{00000003-F560-4F53-AF10-08F5D9B1F6F9}"/>
            </c:ext>
          </c:extLst>
        </c:ser>
        <c:dLbls>
          <c:showLegendKey val="0"/>
          <c:showVal val="0"/>
          <c:showCatName val="0"/>
          <c:showSerName val="0"/>
          <c:showPercent val="0"/>
          <c:showBubbleSize val="0"/>
        </c:dLbls>
        <c:gapWidth val="95"/>
        <c:overlap val="100"/>
        <c:axId val="312321712"/>
        <c:axId val="312321320"/>
      </c:barChart>
      <c:catAx>
        <c:axId val="312321712"/>
        <c:scaling>
          <c:orientation val="minMax"/>
        </c:scaling>
        <c:delete val="0"/>
        <c:axPos val="b"/>
        <c:numFmt formatCode="General" sourceLinked="1"/>
        <c:majorTickMark val="none"/>
        <c:minorTickMark val="none"/>
        <c:tickLblPos val="nextTo"/>
        <c:txPr>
          <a:bodyPr rot="0" vert="horz"/>
          <a:lstStyle/>
          <a:p>
            <a:pPr>
              <a:defRPr sz="1400" b="0" i="0" u="none" strike="noStrike" baseline="0">
                <a:solidFill>
                  <a:srgbClr val="000000"/>
                </a:solidFill>
                <a:latin typeface="Calibri"/>
                <a:ea typeface="Calibri"/>
                <a:cs typeface="Calibri"/>
              </a:defRPr>
            </a:pPr>
            <a:endParaRPr lang="en-US"/>
          </a:p>
        </c:txPr>
        <c:crossAx val="312321320"/>
        <c:crosses val="autoZero"/>
        <c:auto val="1"/>
        <c:lblAlgn val="ctr"/>
        <c:lblOffset val="100"/>
        <c:noMultiLvlLbl val="0"/>
      </c:catAx>
      <c:valAx>
        <c:axId val="312321320"/>
        <c:scaling>
          <c:orientation val="minMax"/>
        </c:scaling>
        <c:delete val="1"/>
        <c:axPos val="l"/>
        <c:numFmt formatCode="0.0%" sourceLinked="1"/>
        <c:majorTickMark val="out"/>
        <c:minorTickMark val="none"/>
        <c:tickLblPos val="nextTo"/>
        <c:crossAx val="312321712"/>
        <c:crosses val="autoZero"/>
        <c:crossBetween val="between"/>
      </c:valAx>
      <c:spPr>
        <a:solidFill>
          <a:srgbClr val="EEECE1"/>
        </a:solidFill>
        <a:ln>
          <a:noFill/>
        </a:ln>
      </c:spPr>
    </c:plotArea>
    <c:legend>
      <c:legendPos val="b"/>
      <c:overlay val="0"/>
      <c:txPr>
        <a:bodyPr/>
        <a:lstStyle/>
        <a:p>
          <a:pPr>
            <a:defRPr sz="140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chemeClr val="bg2"/>
    </a:solid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22" l="0.70000000000000018" r="0.70000000000000018" t="0.75000000000000022" header="0.3000000000000001" footer="0.300000000000000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25968296557188E-2"/>
          <c:y val="0"/>
          <c:w val="0.96154806340688559"/>
          <c:h val="0.76490051703296402"/>
        </c:manualLayout>
      </c:layout>
      <c:barChart>
        <c:barDir val="col"/>
        <c:grouping val="stacked"/>
        <c:varyColors val="0"/>
        <c:ser>
          <c:idx val="2"/>
          <c:order val="0"/>
          <c:tx>
            <c:strRef>
              <c:f>Thresholds!$R$74</c:f>
              <c:strCache>
                <c:ptCount val="1"/>
                <c:pt idx="0">
                  <c:v>Net Cash Flow</c:v>
                </c:pt>
              </c:strCache>
            </c:strRef>
          </c:tx>
          <c:spPr>
            <a:solidFill>
              <a:srgbClr val="7030A0"/>
            </a:solidFill>
          </c:spPr>
          <c:invertIfNegative val="0"/>
          <c:dLbls>
            <c:spPr>
              <a:noFill/>
              <a:ln>
                <a:noFill/>
              </a:ln>
              <a:effectLst/>
            </c:spPr>
            <c:txPr>
              <a:bodyPr/>
              <a:lstStyle/>
              <a:p>
                <a:pPr>
                  <a:defRPr sz="11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Thresholds!$S$70:$X$70</c:f>
              <c:numCache>
                <c:formatCode>General</c:formatCode>
                <c:ptCount val="6"/>
                <c:pt idx="0">
                  <c:v>40</c:v>
                </c:pt>
                <c:pt idx="1">
                  <c:v>140</c:v>
                </c:pt>
                <c:pt idx="2">
                  <c:v>240</c:v>
                </c:pt>
                <c:pt idx="3">
                  <c:v>340</c:v>
                </c:pt>
                <c:pt idx="4">
                  <c:v>440</c:v>
                </c:pt>
                <c:pt idx="5">
                  <c:v>540</c:v>
                </c:pt>
              </c:numCache>
            </c:numRef>
          </c:cat>
          <c:val>
            <c:numRef>
              <c:f>Thresholds!$S$74:$X$74</c:f>
              <c:numCache>
                <c:formatCode>0.0%</c:formatCode>
                <c:ptCount val="6"/>
                <c:pt idx="0">
                  <c:v>0.5381241202043664</c:v>
                </c:pt>
                <c:pt idx="1">
                  <c:v>0.49952466686761021</c:v>
                </c:pt>
                <c:pt idx="2">
                  <c:v>0.46220241539737955</c:v>
                </c:pt>
                <c:pt idx="3">
                  <c:v>0.45000559506043913</c:v>
                </c:pt>
                <c:pt idx="4">
                  <c:v>0.44474771195211099</c:v>
                </c:pt>
                <c:pt idx="5">
                  <c:v>0.4408244402975941</c:v>
                </c:pt>
              </c:numCache>
            </c:numRef>
          </c:val>
          <c:extLst xmlns:c16r2="http://schemas.microsoft.com/office/drawing/2015/06/chart">
            <c:ext xmlns:c16="http://schemas.microsoft.com/office/drawing/2014/chart" uri="{C3380CC4-5D6E-409C-BE32-E72D297353CC}">
              <c16:uniqueId val="{00000000-2F91-47D8-9833-7F92DEC08ADD}"/>
            </c:ext>
          </c:extLst>
        </c:ser>
        <c:ser>
          <c:idx val="3"/>
          <c:order val="1"/>
          <c:tx>
            <c:strRef>
              <c:f>Thresholds!$R$71</c:f>
              <c:strCache>
                <c:ptCount val="1"/>
                <c:pt idx="0">
                  <c:v>Royalty</c:v>
                </c:pt>
              </c:strCache>
            </c:strRef>
          </c:tx>
          <c:spPr>
            <a:solidFill>
              <a:srgbClr val="0070C0"/>
            </a:solidFill>
          </c:spPr>
          <c:invertIfNegative val="0"/>
          <c:dLbls>
            <c:spPr>
              <a:noFill/>
              <a:ln>
                <a:noFill/>
              </a:ln>
              <a:effectLst/>
            </c:spPr>
            <c:txPr>
              <a:bodyPr/>
              <a:lstStyle/>
              <a:p>
                <a:pPr>
                  <a:defRPr sz="11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Thresholds!$S$70:$X$70</c:f>
              <c:numCache>
                <c:formatCode>General</c:formatCode>
                <c:ptCount val="6"/>
                <c:pt idx="0">
                  <c:v>40</c:v>
                </c:pt>
                <c:pt idx="1">
                  <c:v>140</c:v>
                </c:pt>
                <c:pt idx="2">
                  <c:v>240</c:v>
                </c:pt>
                <c:pt idx="3">
                  <c:v>340</c:v>
                </c:pt>
                <c:pt idx="4">
                  <c:v>440</c:v>
                </c:pt>
                <c:pt idx="5">
                  <c:v>540</c:v>
                </c:pt>
              </c:numCache>
            </c:numRef>
          </c:cat>
          <c:val>
            <c:numRef>
              <c:f>Thresholds!$S$71:$X$71</c:f>
              <c:numCache>
                <c:formatCode>0.0%</c:formatCode>
                <c:ptCount val="6"/>
                <c:pt idx="0">
                  <c:v>0.27248006758701293</c:v>
                </c:pt>
                <c:pt idx="1">
                  <c:v>0.23965532034227044</c:v>
                </c:pt>
                <c:pt idx="2">
                  <c:v>0.29291188872590596</c:v>
                </c:pt>
                <c:pt idx="3">
                  <c:v>0.31017483410893554</c:v>
                </c:pt>
                <c:pt idx="4">
                  <c:v>0.31751651751099441</c:v>
                </c:pt>
                <c:pt idx="5">
                  <c:v>0.32307233574924021</c:v>
                </c:pt>
              </c:numCache>
            </c:numRef>
          </c:val>
          <c:extLst xmlns:c16r2="http://schemas.microsoft.com/office/drawing/2015/06/chart">
            <c:ext xmlns:c16="http://schemas.microsoft.com/office/drawing/2014/chart" uri="{C3380CC4-5D6E-409C-BE32-E72D297353CC}">
              <c16:uniqueId val="{00000001-2F91-47D8-9833-7F92DEC08ADD}"/>
            </c:ext>
          </c:extLst>
        </c:ser>
        <c:ser>
          <c:idx val="0"/>
          <c:order val="2"/>
          <c:tx>
            <c:strRef>
              <c:f>Thresholds!$R$72</c:f>
              <c:strCache>
                <c:ptCount val="1"/>
                <c:pt idx="0">
                  <c:v>Provincial Income Tax</c:v>
                </c:pt>
              </c:strCache>
            </c:strRef>
          </c:tx>
          <c:spPr>
            <a:solidFill>
              <a:srgbClr val="FF0000"/>
            </a:solidFill>
          </c:spPr>
          <c:invertIfNegative val="0"/>
          <c:dLbls>
            <c:spPr>
              <a:noFill/>
              <a:ln>
                <a:noFill/>
              </a:ln>
              <a:effectLst/>
            </c:spPr>
            <c:txPr>
              <a:bodyPr/>
              <a:lstStyle/>
              <a:p>
                <a:pPr>
                  <a:defRPr sz="11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Thresholds!$S$70:$X$70</c:f>
              <c:numCache>
                <c:formatCode>General</c:formatCode>
                <c:ptCount val="6"/>
                <c:pt idx="0">
                  <c:v>40</c:v>
                </c:pt>
                <c:pt idx="1">
                  <c:v>140</c:v>
                </c:pt>
                <c:pt idx="2">
                  <c:v>240</c:v>
                </c:pt>
                <c:pt idx="3">
                  <c:v>340</c:v>
                </c:pt>
                <c:pt idx="4">
                  <c:v>440</c:v>
                </c:pt>
                <c:pt idx="5">
                  <c:v>540</c:v>
                </c:pt>
              </c:numCache>
            </c:numRef>
          </c:cat>
          <c:val>
            <c:numRef>
              <c:f>Thresholds!$S$72:$X$72</c:f>
              <c:numCache>
                <c:formatCode>0.0%</c:formatCode>
                <c:ptCount val="6"/>
                <c:pt idx="0">
                  <c:v>8.9182083765804637E-2</c:v>
                </c:pt>
                <c:pt idx="1">
                  <c:v>0.11918995316209763</c:v>
                </c:pt>
                <c:pt idx="2">
                  <c:v>0.111883427484503</c:v>
                </c:pt>
                <c:pt idx="3">
                  <c:v>0.10953354272132129</c:v>
                </c:pt>
                <c:pt idx="4">
                  <c:v>0.10856513294511458</c:v>
                </c:pt>
                <c:pt idx="5">
                  <c:v>0.10780901894402574</c:v>
                </c:pt>
              </c:numCache>
            </c:numRef>
          </c:val>
          <c:extLst xmlns:c16r2="http://schemas.microsoft.com/office/drawing/2015/06/chart">
            <c:ext xmlns:c16="http://schemas.microsoft.com/office/drawing/2014/chart" uri="{C3380CC4-5D6E-409C-BE32-E72D297353CC}">
              <c16:uniqueId val="{00000002-2F91-47D8-9833-7F92DEC08ADD}"/>
            </c:ext>
          </c:extLst>
        </c:ser>
        <c:ser>
          <c:idx val="1"/>
          <c:order val="3"/>
          <c:tx>
            <c:strRef>
              <c:f>Thresholds!$R$73</c:f>
              <c:strCache>
                <c:ptCount val="1"/>
                <c:pt idx="0">
                  <c:v>Federal Income Tax</c:v>
                </c:pt>
              </c:strCache>
            </c:strRef>
          </c:tx>
          <c:spPr>
            <a:solidFill>
              <a:srgbClr val="92D050"/>
            </a:solidFill>
          </c:spPr>
          <c:invertIfNegative val="0"/>
          <c:dLbls>
            <c:spPr>
              <a:noFill/>
              <a:ln>
                <a:noFill/>
              </a:ln>
              <a:effectLst/>
            </c:spPr>
            <c:txPr>
              <a:bodyPr/>
              <a:lstStyle/>
              <a:p>
                <a:pPr>
                  <a:defRPr sz="11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Thresholds!$S$70:$X$70</c:f>
              <c:numCache>
                <c:formatCode>General</c:formatCode>
                <c:ptCount val="6"/>
                <c:pt idx="0">
                  <c:v>40</c:v>
                </c:pt>
                <c:pt idx="1">
                  <c:v>140</c:v>
                </c:pt>
                <c:pt idx="2">
                  <c:v>240</c:v>
                </c:pt>
                <c:pt idx="3">
                  <c:v>340</c:v>
                </c:pt>
                <c:pt idx="4">
                  <c:v>440</c:v>
                </c:pt>
                <c:pt idx="5">
                  <c:v>540</c:v>
                </c:pt>
              </c:numCache>
            </c:numRef>
          </c:cat>
          <c:val>
            <c:numRef>
              <c:f>Thresholds!$S$73:$X$73</c:f>
              <c:numCache>
                <c:formatCode>0.0%</c:formatCode>
                <c:ptCount val="6"/>
                <c:pt idx="0">
                  <c:v>0.10021372844281597</c:v>
                </c:pt>
                <c:pt idx="1">
                  <c:v>0.14163005962802167</c:v>
                </c:pt>
                <c:pt idx="2">
                  <c:v>0.13300226839221144</c:v>
                </c:pt>
                <c:pt idx="3">
                  <c:v>0.13028602810930398</c:v>
                </c:pt>
                <c:pt idx="4">
                  <c:v>0.12917063759177994</c:v>
                </c:pt>
                <c:pt idx="5">
                  <c:v>0.12829420500913996</c:v>
                </c:pt>
              </c:numCache>
            </c:numRef>
          </c:val>
          <c:extLst xmlns:c16r2="http://schemas.microsoft.com/office/drawing/2015/06/chart">
            <c:ext xmlns:c16="http://schemas.microsoft.com/office/drawing/2014/chart" uri="{C3380CC4-5D6E-409C-BE32-E72D297353CC}">
              <c16:uniqueId val="{00000003-2F91-47D8-9833-7F92DEC08ADD}"/>
            </c:ext>
          </c:extLst>
        </c:ser>
        <c:dLbls>
          <c:showLegendKey val="0"/>
          <c:showVal val="0"/>
          <c:showCatName val="0"/>
          <c:showSerName val="0"/>
          <c:showPercent val="0"/>
          <c:showBubbleSize val="0"/>
        </c:dLbls>
        <c:gapWidth val="67"/>
        <c:overlap val="100"/>
        <c:axId val="312322104"/>
        <c:axId val="312320536"/>
      </c:barChart>
      <c:catAx>
        <c:axId val="312322104"/>
        <c:scaling>
          <c:orientation val="minMax"/>
        </c:scaling>
        <c:delete val="0"/>
        <c:axPos val="b"/>
        <c:numFmt formatCode="General" sourceLinked="1"/>
        <c:majorTickMark val="none"/>
        <c:minorTickMark val="none"/>
        <c:tickLblPos val="nextTo"/>
        <c:txPr>
          <a:bodyPr rot="0" vert="horz"/>
          <a:lstStyle/>
          <a:p>
            <a:pPr>
              <a:defRPr sz="1400" b="0" i="0" u="none" strike="noStrike" baseline="0">
                <a:solidFill>
                  <a:srgbClr val="000000"/>
                </a:solidFill>
                <a:latin typeface="Calibri"/>
                <a:ea typeface="Calibri"/>
                <a:cs typeface="Calibri"/>
              </a:defRPr>
            </a:pPr>
            <a:endParaRPr lang="en-US"/>
          </a:p>
        </c:txPr>
        <c:crossAx val="312320536"/>
        <c:crosses val="autoZero"/>
        <c:auto val="1"/>
        <c:lblAlgn val="ctr"/>
        <c:lblOffset val="100"/>
        <c:noMultiLvlLbl val="0"/>
      </c:catAx>
      <c:valAx>
        <c:axId val="312320536"/>
        <c:scaling>
          <c:orientation val="minMax"/>
        </c:scaling>
        <c:delete val="1"/>
        <c:axPos val="l"/>
        <c:numFmt formatCode="0.0%" sourceLinked="1"/>
        <c:majorTickMark val="out"/>
        <c:minorTickMark val="none"/>
        <c:tickLblPos val="nextTo"/>
        <c:crossAx val="312322104"/>
        <c:crosses val="autoZero"/>
        <c:crossBetween val="between"/>
      </c:valAx>
      <c:spPr>
        <a:solidFill>
          <a:srgbClr val="EEECE1"/>
        </a:solidFill>
        <a:ln>
          <a:noFill/>
        </a:ln>
      </c:spPr>
    </c:plotArea>
    <c:plotVisOnly val="1"/>
    <c:dispBlanksAs val="gap"/>
    <c:showDLblsOverMax val="0"/>
  </c:chart>
  <c:spPr>
    <a:solidFill>
      <a:srgbClr val="EEECE1"/>
    </a:solid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22" l="0.70000000000000018" r="0.70000000000000018" t="0.75000000000000022" header="0.3000000000000001" footer="0.30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Nominal Oil Price $US/BBL</a:t>
            </a:r>
          </a:p>
        </c:rich>
      </c:tx>
      <c:overlay val="0"/>
    </c:title>
    <c:autoTitleDeleted val="0"/>
    <c:plotArea>
      <c:layout/>
      <c:scatterChart>
        <c:scatterStyle val="smoothMarker"/>
        <c:varyColors val="0"/>
        <c:ser>
          <c:idx val="0"/>
          <c:order val="0"/>
          <c:tx>
            <c:strRef>
              <c:f>'Price Charts'!$B$34</c:f>
              <c:strCache>
                <c:ptCount val="1"/>
                <c:pt idx="0">
                  <c:v>Base</c:v>
                </c:pt>
              </c:strCache>
            </c:strRef>
          </c:tx>
          <c:marker>
            <c:symbol val="none"/>
          </c:marker>
          <c:xVal>
            <c:numRef>
              <c:f>'Price Charts'!$A$35:$A$63</c:f>
              <c:numCache>
                <c:formatCode>General</c:formatCode>
                <c:ptCount val="2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pt idx="19">
                  <c:v>2031</c:v>
                </c:pt>
                <c:pt idx="20">
                  <c:v>2032</c:v>
                </c:pt>
                <c:pt idx="21">
                  <c:v>2033</c:v>
                </c:pt>
                <c:pt idx="22">
                  <c:v>2034</c:v>
                </c:pt>
                <c:pt idx="23">
                  <c:v>2035</c:v>
                </c:pt>
                <c:pt idx="24">
                  <c:v>2036</c:v>
                </c:pt>
                <c:pt idx="25">
                  <c:v>2037</c:v>
                </c:pt>
                <c:pt idx="26">
                  <c:v>2038</c:v>
                </c:pt>
                <c:pt idx="27">
                  <c:v>2039</c:v>
                </c:pt>
                <c:pt idx="28">
                  <c:v>2040</c:v>
                </c:pt>
              </c:numCache>
            </c:numRef>
          </c:xVal>
          <c:yVal>
            <c:numRef>
              <c:f>'Price Charts'!$B$35:$B$63</c:f>
              <c:numCache>
                <c:formatCode>0.00</c:formatCode>
                <c:ptCount val="29"/>
                <c:pt idx="0">
                  <c:v>104</c:v>
                </c:pt>
                <c:pt idx="1">
                  <c:v>104</c:v>
                </c:pt>
                <c:pt idx="2">
                  <c:v>98</c:v>
                </c:pt>
                <c:pt idx="3">
                  <c:v>46</c:v>
                </c:pt>
                <c:pt idx="4">
                  <c:v>55</c:v>
                </c:pt>
                <c:pt idx="5">
                  <c:v>70</c:v>
                </c:pt>
                <c:pt idx="6">
                  <c:v>75</c:v>
                </c:pt>
                <c:pt idx="7">
                  <c:v>80</c:v>
                </c:pt>
                <c:pt idx="8">
                  <c:v>81.199999999999989</c:v>
                </c:pt>
                <c:pt idx="9">
                  <c:v>82.417999999999978</c:v>
                </c:pt>
                <c:pt idx="10">
                  <c:v>83.654269999999968</c:v>
                </c:pt>
                <c:pt idx="11">
                  <c:v>84.909084049999962</c:v>
                </c:pt>
                <c:pt idx="12">
                  <c:v>86.182720310749957</c:v>
                </c:pt>
                <c:pt idx="13">
                  <c:v>87.475461115411193</c:v>
                </c:pt>
                <c:pt idx="14">
                  <c:v>88.787593032142354</c:v>
                </c:pt>
                <c:pt idx="15">
                  <c:v>90.119406927624482</c:v>
                </c:pt>
                <c:pt idx="16">
                  <c:v>91.471198031538847</c:v>
                </c:pt>
                <c:pt idx="17">
                  <c:v>92.843266002011916</c:v>
                </c:pt>
                <c:pt idx="18">
                  <c:v>94.235914992042083</c:v>
                </c:pt>
                <c:pt idx="19">
                  <c:v>95.649453716922707</c:v>
                </c:pt>
                <c:pt idx="20">
                  <c:v>97.084195522676538</c:v>
                </c:pt>
                <c:pt idx="21">
                  <c:v>98.540458455516671</c:v>
                </c:pt>
                <c:pt idx="22">
                  <c:v>100.01856533234941</c:v>
                </c:pt>
                <c:pt idx="23">
                  <c:v>101.51884381233464</c:v>
                </c:pt>
                <c:pt idx="24">
                  <c:v>103.04162646951964</c:v>
                </c:pt>
                <c:pt idx="25">
                  <c:v>104.58725086656243</c:v>
                </c:pt>
                <c:pt idx="26">
                  <c:v>106.15605962956086</c:v>
                </c:pt>
                <c:pt idx="27">
                  <c:v>107.74840052400425</c:v>
                </c:pt>
                <c:pt idx="28">
                  <c:v>109.3646265318643</c:v>
                </c:pt>
              </c:numCache>
            </c:numRef>
          </c:yVal>
          <c:smooth val="1"/>
          <c:extLst xmlns:c16r2="http://schemas.microsoft.com/office/drawing/2015/06/chart">
            <c:ext xmlns:c16="http://schemas.microsoft.com/office/drawing/2014/chart" uri="{C3380CC4-5D6E-409C-BE32-E72D297353CC}">
              <c16:uniqueId val="{00000000-F022-4A4A-8BEE-9C7C15C78E60}"/>
            </c:ext>
          </c:extLst>
        </c:ser>
        <c:ser>
          <c:idx val="1"/>
          <c:order val="1"/>
          <c:tx>
            <c:strRef>
              <c:f>'Price Charts'!$C$34</c:f>
              <c:strCache>
                <c:ptCount val="1"/>
                <c:pt idx="0">
                  <c:v>Base +1.5% /y</c:v>
                </c:pt>
              </c:strCache>
            </c:strRef>
          </c:tx>
          <c:marker>
            <c:symbol val="none"/>
          </c:marker>
          <c:xVal>
            <c:numRef>
              <c:f>'Price Charts'!$A$35:$A$63</c:f>
              <c:numCache>
                <c:formatCode>General</c:formatCode>
                <c:ptCount val="2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pt idx="19">
                  <c:v>2031</c:v>
                </c:pt>
                <c:pt idx="20">
                  <c:v>2032</c:v>
                </c:pt>
                <c:pt idx="21">
                  <c:v>2033</c:v>
                </c:pt>
                <c:pt idx="22">
                  <c:v>2034</c:v>
                </c:pt>
                <c:pt idx="23">
                  <c:v>2035</c:v>
                </c:pt>
                <c:pt idx="24">
                  <c:v>2036</c:v>
                </c:pt>
                <c:pt idx="25">
                  <c:v>2037</c:v>
                </c:pt>
                <c:pt idx="26">
                  <c:v>2038</c:v>
                </c:pt>
                <c:pt idx="27">
                  <c:v>2039</c:v>
                </c:pt>
                <c:pt idx="28">
                  <c:v>2040</c:v>
                </c:pt>
              </c:numCache>
            </c:numRef>
          </c:xVal>
          <c:yVal>
            <c:numRef>
              <c:f>'Price Charts'!$C$35:$C$63</c:f>
              <c:numCache>
                <c:formatCode>0.00</c:formatCode>
                <c:ptCount val="29"/>
                <c:pt idx="0">
                  <c:v>104</c:v>
                </c:pt>
                <c:pt idx="1">
                  <c:v>104</c:v>
                </c:pt>
                <c:pt idx="2">
                  <c:v>98</c:v>
                </c:pt>
                <c:pt idx="3">
                  <c:v>46</c:v>
                </c:pt>
                <c:pt idx="4">
                  <c:v>55</c:v>
                </c:pt>
                <c:pt idx="5">
                  <c:v>70.824999999999989</c:v>
                </c:pt>
                <c:pt idx="6">
                  <c:v>76.887374999999977</c:v>
                </c:pt>
                <c:pt idx="7">
                  <c:v>83.040685624999966</c:v>
                </c:pt>
                <c:pt idx="8">
                  <c:v>85.486295909374945</c:v>
                </c:pt>
                <c:pt idx="9">
                  <c:v>87.986590348015554</c:v>
                </c:pt>
                <c:pt idx="10">
                  <c:v>90.542659203235772</c:v>
                </c:pt>
                <c:pt idx="11">
                  <c:v>93.155613141284292</c:v>
                </c:pt>
                <c:pt idx="12">
                  <c:v>95.826583599153537</c:v>
                </c:pt>
                <c:pt idx="13">
                  <c:v>98.556723157802068</c:v>
                </c:pt>
                <c:pt idx="14">
                  <c:v>101.34720592190025</c:v>
                </c:pt>
                <c:pt idx="15">
                  <c:v>104.19922790621088</c:v>
                </c:pt>
                <c:pt idx="16">
                  <c:v>107.11400742871839</c:v>
                </c:pt>
                <c:pt idx="17">
                  <c:v>110.09278551062224</c:v>
                </c:pt>
                <c:pt idx="18">
                  <c:v>113.13682628331172</c:v>
                </c:pt>
                <c:pt idx="19">
                  <c:v>116.24741740244201</c:v>
                </c:pt>
                <c:pt idx="20">
                  <c:v>119.42587046923246</c:v>
                </c:pt>
                <c:pt idx="21">
                  <c:v>122.67352145911107</c:v>
                </c:pt>
                <c:pt idx="22">
                  <c:v>125.99173115783047</c:v>
                </c:pt>
                <c:pt idx="23">
                  <c:v>129.38188560518313</c:v>
                </c:pt>
                <c:pt idx="24">
                  <c:v>132.84539654644584</c:v>
                </c:pt>
                <c:pt idx="25">
                  <c:v>136.38370189168529</c:v>
                </c:pt>
                <c:pt idx="26">
                  <c:v>139.99826618305897</c:v>
                </c:pt>
                <c:pt idx="27">
                  <c:v>143.69058107024824</c:v>
                </c:pt>
                <c:pt idx="28">
                  <c:v>147.46216579416199</c:v>
                </c:pt>
              </c:numCache>
            </c:numRef>
          </c:yVal>
          <c:smooth val="1"/>
          <c:extLst xmlns:c16r2="http://schemas.microsoft.com/office/drawing/2015/06/chart">
            <c:ext xmlns:c16="http://schemas.microsoft.com/office/drawing/2014/chart" uri="{C3380CC4-5D6E-409C-BE32-E72D297353CC}">
              <c16:uniqueId val="{00000001-F022-4A4A-8BEE-9C7C15C78E60}"/>
            </c:ext>
          </c:extLst>
        </c:ser>
        <c:ser>
          <c:idx val="2"/>
          <c:order val="2"/>
          <c:tx>
            <c:strRef>
              <c:f>'Price Charts'!$D$34</c:f>
              <c:strCache>
                <c:ptCount val="1"/>
                <c:pt idx="0">
                  <c:v>Base + 3%/y</c:v>
                </c:pt>
              </c:strCache>
            </c:strRef>
          </c:tx>
          <c:marker>
            <c:symbol val="none"/>
          </c:marker>
          <c:xVal>
            <c:numRef>
              <c:f>'Price Charts'!$A$35:$A$63</c:f>
              <c:numCache>
                <c:formatCode>General</c:formatCode>
                <c:ptCount val="2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pt idx="19">
                  <c:v>2031</c:v>
                </c:pt>
                <c:pt idx="20">
                  <c:v>2032</c:v>
                </c:pt>
                <c:pt idx="21">
                  <c:v>2033</c:v>
                </c:pt>
                <c:pt idx="22">
                  <c:v>2034</c:v>
                </c:pt>
                <c:pt idx="23">
                  <c:v>2035</c:v>
                </c:pt>
                <c:pt idx="24">
                  <c:v>2036</c:v>
                </c:pt>
                <c:pt idx="25">
                  <c:v>2037</c:v>
                </c:pt>
                <c:pt idx="26">
                  <c:v>2038</c:v>
                </c:pt>
                <c:pt idx="27">
                  <c:v>2039</c:v>
                </c:pt>
                <c:pt idx="28">
                  <c:v>2040</c:v>
                </c:pt>
              </c:numCache>
            </c:numRef>
          </c:xVal>
          <c:yVal>
            <c:numRef>
              <c:f>'Price Charts'!$D$35:$D$63</c:f>
              <c:numCache>
                <c:formatCode>0.00</c:formatCode>
                <c:ptCount val="29"/>
                <c:pt idx="0">
                  <c:v>104</c:v>
                </c:pt>
                <c:pt idx="1">
                  <c:v>104</c:v>
                </c:pt>
                <c:pt idx="2">
                  <c:v>98</c:v>
                </c:pt>
                <c:pt idx="3">
                  <c:v>46</c:v>
                </c:pt>
                <c:pt idx="4">
                  <c:v>55</c:v>
                </c:pt>
                <c:pt idx="5">
                  <c:v>71.650000000000006</c:v>
                </c:pt>
                <c:pt idx="6">
                  <c:v>78.799500000000009</c:v>
                </c:pt>
                <c:pt idx="7">
                  <c:v>86.163485000000009</c:v>
                </c:pt>
                <c:pt idx="8">
                  <c:v>89.948389550000002</c:v>
                </c:pt>
                <c:pt idx="9">
                  <c:v>93.864841236499998</c:v>
                </c:pt>
                <c:pt idx="10">
                  <c:v>97.917056473594997</c:v>
                </c:pt>
                <c:pt idx="11">
                  <c:v>102.10938221780285</c:v>
                </c:pt>
                <c:pt idx="12">
                  <c:v>106.44629994508693</c:v>
                </c:pt>
                <c:pt idx="13">
                  <c:v>110.93242974810079</c:v>
                </c:pt>
                <c:pt idx="14">
                  <c:v>115.57253455727498</c:v>
                </c:pt>
                <c:pt idx="15">
                  <c:v>120.37152448947536</c:v>
                </c:pt>
                <c:pt idx="16">
                  <c:v>125.33446132807398</c:v>
                </c:pt>
                <c:pt idx="17">
                  <c:v>130.46656313838929</c:v>
                </c:pt>
                <c:pt idx="18">
                  <c:v>135.77320902257117</c:v>
                </c:pt>
                <c:pt idx="19">
                  <c:v>141.25994401812892</c:v>
                </c:pt>
                <c:pt idx="20">
                  <c:v>146.93248414442661</c:v>
                </c:pt>
                <c:pt idx="21">
                  <c:v>152.79672160159956</c:v>
                </c:pt>
                <c:pt idx="22">
                  <c:v>158.85873012648028</c:v>
                </c:pt>
                <c:pt idx="23">
                  <c:v>165.12477051025991</c:v>
                </c:pt>
                <c:pt idx="24">
                  <c:v>171.60129628275268</c:v>
                </c:pt>
                <c:pt idx="25">
                  <c:v>178.29495956827805</c:v>
                </c:pt>
                <c:pt idx="26">
                  <c:v>185.21261711832483</c:v>
                </c:pt>
                <c:pt idx="27">
                  <c:v>192.36133652631798</c:v>
                </c:pt>
                <c:pt idx="28">
                  <c:v>199.74840262996759</c:v>
                </c:pt>
              </c:numCache>
            </c:numRef>
          </c:yVal>
          <c:smooth val="1"/>
          <c:extLst xmlns:c16r2="http://schemas.microsoft.com/office/drawing/2015/06/chart">
            <c:ext xmlns:c16="http://schemas.microsoft.com/office/drawing/2014/chart" uri="{C3380CC4-5D6E-409C-BE32-E72D297353CC}">
              <c16:uniqueId val="{00000002-F022-4A4A-8BEE-9C7C15C78E60}"/>
            </c:ext>
          </c:extLst>
        </c:ser>
        <c:ser>
          <c:idx val="3"/>
          <c:order val="3"/>
          <c:tx>
            <c:strRef>
              <c:f>'Price Charts'!$E$34</c:f>
              <c:strCache>
                <c:ptCount val="1"/>
                <c:pt idx="0">
                  <c:v>Base - 1.5%/y</c:v>
                </c:pt>
              </c:strCache>
            </c:strRef>
          </c:tx>
          <c:marker>
            <c:symbol val="none"/>
          </c:marker>
          <c:xVal>
            <c:numRef>
              <c:f>'Price Charts'!$A$35:$A$63</c:f>
              <c:numCache>
                <c:formatCode>General</c:formatCode>
                <c:ptCount val="2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pt idx="19">
                  <c:v>2031</c:v>
                </c:pt>
                <c:pt idx="20">
                  <c:v>2032</c:v>
                </c:pt>
                <c:pt idx="21">
                  <c:v>2033</c:v>
                </c:pt>
                <c:pt idx="22">
                  <c:v>2034</c:v>
                </c:pt>
                <c:pt idx="23">
                  <c:v>2035</c:v>
                </c:pt>
                <c:pt idx="24">
                  <c:v>2036</c:v>
                </c:pt>
                <c:pt idx="25">
                  <c:v>2037</c:v>
                </c:pt>
                <c:pt idx="26">
                  <c:v>2038</c:v>
                </c:pt>
                <c:pt idx="27">
                  <c:v>2039</c:v>
                </c:pt>
                <c:pt idx="28">
                  <c:v>2040</c:v>
                </c:pt>
              </c:numCache>
            </c:numRef>
          </c:xVal>
          <c:yVal>
            <c:numRef>
              <c:f>'Price Charts'!$E$35:$E$63</c:f>
              <c:numCache>
                <c:formatCode>0.00</c:formatCode>
                <c:ptCount val="29"/>
                <c:pt idx="0">
                  <c:v>104</c:v>
                </c:pt>
                <c:pt idx="1">
                  <c:v>104</c:v>
                </c:pt>
                <c:pt idx="2">
                  <c:v>98</c:v>
                </c:pt>
                <c:pt idx="3">
                  <c:v>46</c:v>
                </c:pt>
                <c:pt idx="4">
                  <c:v>55</c:v>
                </c:pt>
                <c:pt idx="5">
                  <c:v>69.174999999999997</c:v>
                </c:pt>
                <c:pt idx="6">
                  <c:v>73.137374999999992</c:v>
                </c:pt>
                <c:pt idx="7">
                  <c:v>77.040314374999994</c:v>
                </c:pt>
                <c:pt idx="8">
                  <c:v>77.08470965937498</c:v>
                </c:pt>
                <c:pt idx="9">
                  <c:v>77.146439014484343</c:v>
                </c:pt>
                <c:pt idx="10">
                  <c:v>77.22551242926707</c:v>
                </c:pt>
                <c:pt idx="11">
                  <c:v>77.321943792828051</c:v>
                </c:pt>
                <c:pt idx="12">
                  <c:v>77.435750896685619</c:v>
                </c:pt>
                <c:pt idx="13">
                  <c:v>77.566955437896567</c:v>
                </c:pt>
                <c:pt idx="14">
                  <c:v>77.715583023059281</c:v>
                </c:pt>
                <c:pt idx="15">
                  <c:v>77.88166317319552</c:v>
                </c:pt>
                <c:pt idx="16">
                  <c:v>78.065229329511951</c:v>
                </c:pt>
                <c:pt idx="17">
                  <c:v>78.266318860042333</c:v>
                </c:pt>
                <c:pt idx="18">
                  <c:v>78.484973067171865</c:v>
                </c:pt>
                <c:pt idx="19">
                  <c:v>78.72123719604491</c:v>
                </c:pt>
                <c:pt idx="20">
                  <c:v>78.975160443858073</c:v>
                </c:pt>
                <c:pt idx="21">
                  <c:v>79.246795970040338</c:v>
                </c:pt>
                <c:pt idx="22">
                  <c:v>79.536200907322467</c:v>
                </c:pt>
                <c:pt idx="23">
                  <c:v>79.843436373697855</c:v>
                </c:pt>
                <c:pt idx="24">
                  <c:v>80.168567485277393</c:v>
                </c:pt>
                <c:pt idx="25">
                  <c:v>80.51166337004102</c:v>
                </c:pt>
                <c:pt idx="26">
                  <c:v>80.872797182488839</c:v>
                </c:pt>
                <c:pt idx="27">
                  <c:v>81.252046119194901</c:v>
                </c:pt>
                <c:pt idx="28">
                  <c:v>81.649491435267024</c:v>
                </c:pt>
              </c:numCache>
            </c:numRef>
          </c:yVal>
          <c:smooth val="1"/>
          <c:extLst xmlns:c16r2="http://schemas.microsoft.com/office/drawing/2015/06/chart">
            <c:ext xmlns:c16="http://schemas.microsoft.com/office/drawing/2014/chart" uri="{C3380CC4-5D6E-409C-BE32-E72D297353CC}">
              <c16:uniqueId val="{00000003-F022-4A4A-8BEE-9C7C15C78E60}"/>
            </c:ext>
          </c:extLst>
        </c:ser>
        <c:ser>
          <c:idx val="4"/>
          <c:order val="4"/>
          <c:tx>
            <c:strRef>
              <c:f>'Price Charts'!$F$34</c:f>
              <c:strCache>
                <c:ptCount val="1"/>
                <c:pt idx="0">
                  <c:v>Flat Real</c:v>
                </c:pt>
              </c:strCache>
            </c:strRef>
          </c:tx>
          <c:marker>
            <c:symbol val="none"/>
          </c:marker>
          <c:xVal>
            <c:numRef>
              <c:f>'Price Charts'!$A$35:$A$63</c:f>
              <c:numCache>
                <c:formatCode>General</c:formatCode>
                <c:ptCount val="2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pt idx="19">
                  <c:v>2031</c:v>
                </c:pt>
                <c:pt idx="20">
                  <c:v>2032</c:v>
                </c:pt>
                <c:pt idx="21">
                  <c:v>2033</c:v>
                </c:pt>
                <c:pt idx="22">
                  <c:v>2034</c:v>
                </c:pt>
                <c:pt idx="23">
                  <c:v>2035</c:v>
                </c:pt>
                <c:pt idx="24">
                  <c:v>2036</c:v>
                </c:pt>
                <c:pt idx="25">
                  <c:v>2037</c:v>
                </c:pt>
                <c:pt idx="26">
                  <c:v>2038</c:v>
                </c:pt>
                <c:pt idx="27">
                  <c:v>2039</c:v>
                </c:pt>
                <c:pt idx="28">
                  <c:v>2040</c:v>
                </c:pt>
              </c:numCache>
            </c:numRef>
          </c:xVal>
          <c:yVal>
            <c:numRef>
              <c:f>'Price Charts'!$F$35:$F$63</c:f>
              <c:numCache>
                <c:formatCode>0.00</c:formatCode>
                <c:ptCount val="29"/>
                <c:pt idx="0">
                  <c:v>104</c:v>
                </c:pt>
                <c:pt idx="1">
                  <c:v>104</c:v>
                </c:pt>
                <c:pt idx="2">
                  <c:v>98</c:v>
                </c:pt>
                <c:pt idx="3">
                  <c:v>46</c:v>
                </c:pt>
                <c:pt idx="4">
                  <c:v>47.15</c:v>
                </c:pt>
                <c:pt idx="5">
                  <c:v>48.328749999999992</c:v>
                </c:pt>
                <c:pt idx="6">
                  <c:v>49.536968749999986</c:v>
                </c:pt>
                <c:pt idx="7">
                  <c:v>50.775392968749983</c:v>
                </c:pt>
                <c:pt idx="8">
                  <c:v>52.044777792968731</c:v>
                </c:pt>
                <c:pt idx="9">
                  <c:v>53.345897237792947</c:v>
                </c:pt>
                <c:pt idx="10">
                  <c:v>54.679544668737769</c:v>
                </c:pt>
                <c:pt idx="11">
                  <c:v>56.046533285456206</c:v>
                </c:pt>
                <c:pt idx="12">
                  <c:v>57.447696617592605</c:v>
                </c:pt>
                <c:pt idx="13">
                  <c:v>58.883889033032418</c:v>
                </c:pt>
                <c:pt idx="14">
                  <c:v>60.355986258858223</c:v>
                </c:pt>
                <c:pt idx="15">
                  <c:v>61.864885915329673</c:v>
                </c:pt>
                <c:pt idx="16">
                  <c:v>63.411508063212906</c:v>
                </c:pt>
                <c:pt idx="17">
                  <c:v>64.99679576479322</c:v>
                </c:pt>
                <c:pt idx="18">
                  <c:v>66.621715658913047</c:v>
                </c:pt>
                <c:pt idx="19">
                  <c:v>68.287258550385872</c:v>
                </c:pt>
                <c:pt idx="20">
                  <c:v>69.994440014145511</c:v>
                </c:pt>
                <c:pt idx="21">
                  <c:v>71.744301014499143</c:v>
                </c:pt>
                <c:pt idx="22">
                  <c:v>73.537908539861618</c:v>
                </c:pt>
                <c:pt idx="23">
                  <c:v>75.376356253358153</c:v>
                </c:pt>
                <c:pt idx="24">
                  <c:v>77.260765159692099</c:v>
                </c:pt>
                <c:pt idx="25">
                  <c:v>79.192284288684391</c:v>
                </c:pt>
                <c:pt idx="26">
                  <c:v>81.172091395901489</c:v>
                </c:pt>
                <c:pt idx="27">
                  <c:v>83.201393680799015</c:v>
                </c:pt>
                <c:pt idx="28">
                  <c:v>85.281428522818985</c:v>
                </c:pt>
              </c:numCache>
            </c:numRef>
          </c:yVal>
          <c:smooth val="1"/>
          <c:extLst xmlns:c16r2="http://schemas.microsoft.com/office/drawing/2015/06/chart">
            <c:ext xmlns:c16="http://schemas.microsoft.com/office/drawing/2014/chart" uri="{C3380CC4-5D6E-409C-BE32-E72D297353CC}">
              <c16:uniqueId val="{00000004-F022-4A4A-8BEE-9C7C15C78E60}"/>
            </c:ext>
          </c:extLst>
        </c:ser>
        <c:dLbls>
          <c:showLegendKey val="0"/>
          <c:showVal val="0"/>
          <c:showCatName val="0"/>
          <c:showSerName val="0"/>
          <c:showPercent val="0"/>
          <c:showBubbleSize val="0"/>
        </c:dLbls>
        <c:axId val="312180712"/>
        <c:axId val="312181104"/>
      </c:scatterChart>
      <c:valAx>
        <c:axId val="31218071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2181104"/>
        <c:crosses val="autoZero"/>
        <c:crossBetween val="midCat"/>
      </c:valAx>
      <c:valAx>
        <c:axId val="312181104"/>
        <c:scaling>
          <c:orientation val="minMax"/>
        </c:scaling>
        <c:delete val="0"/>
        <c:axPos val="l"/>
        <c:majorGridlines/>
        <c:numFmt formatCode="0" sourceLinked="0"/>
        <c:majorTickMark val="out"/>
        <c:minorTickMark val="none"/>
        <c:tickLblPos val="nextTo"/>
        <c:crossAx val="312180712"/>
        <c:crosses val="autoZero"/>
        <c:crossBetween val="midCat"/>
      </c:valAx>
      <c:spPr>
        <a:solidFill>
          <a:schemeClr val="bg1">
            <a:lumMod val="95000"/>
          </a:schemeClr>
        </a:solidFill>
      </c:spPr>
    </c:plotArea>
    <c:plotVisOnly val="1"/>
    <c:dispBlanksAs val="gap"/>
    <c:showDLblsOverMax val="0"/>
  </c:chart>
  <c:spPr>
    <a:solidFill>
      <a:schemeClr val="bg1">
        <a:lumMod val="95000"/>
      </a:schemeClr>
    </a:solid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emf"/><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emf"/><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2.jpg"/></Relationships>
</file>

<file path=xl/drawings/_rels/drawing3.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20.emf"/><Relationship Id="rId2" Type="http://schemas.openxmlformats.org/officeDocument/2006/relationships/image" Target="../media/image15.jpeg"/><Relationship Id="rId1" Type="http://schemas.openxmlformats.org/officeDocument/2006/relationships/image" Target="../media/image14.jpeg"/><Relationship Id="rId6" Type="http://schemas.openxmlformats.org/officeDocument/2006/relationships/image" Target="../media/image19.jpeg"/><Relationship Id="rId5" Type="http://schemas.openxmlformats.org/officeDocument/2006/relationships/image" Target="../media/image18.jpeg"/><Relationship Id="rId4" Type="http://schemas.openxmlformats.org/officeDocument/2006/relationships/image" Target="../media/image17.jpe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27</xdr:col>
      <xdr:colOff>0</xdr:colOff>
      <xdr:row>4</xdr:row>
      <xdr:rowOff>47625</xdr:rowOff>
    </xdr:to>
    <xdr:pic>
      <xdr:nvPicPr>
        <xdr:cNvPr id="3047716" name="_ctl0_topbanner" descr="Department of Energy - Consume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0"/>
          <a:ext cx="1684972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190500</xdr:colOff>
      <xdr:row>3</xdr:row>
      <xdr:rowOff>171450</xdr:rowOff>
    </xdr:from>
    <xdr:to>
      <xdr:col>14</xdr:col>
      <xdr:colOff>438150</xdr:colOff>
      <xdr:row>19</xdr:row>
      <xdr:rowOff>85165</xdr:rowOff>
    </xdr:to>
    <xdr:pic>
      <xdr:nvPicPr>
        <xdr:cNvPr id="3047717" name="Picture 1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67250" y="990600"/>
          <a:ext cx="4676775" cy="3390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20</xdr:row>
      <xdr:rowOff>57150</xdr:rowOff>
    </xdr:from>
    <xdr:to>
      <xdr:col>7</xdr:col>
      <xdr:colOff>238125</xdr:colOff>
      <xdr:row>40</xdr:row>
      <xdr:rowOff>104775</xdr:rowOff>
    </xdr:to>
    <xdr:pic>
      <xdr:nvPicPr>
        <xdr:cNvPr id="3047718" name="Picture 1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600" y="4381500"/>
          <a:ext cx="4105275" cy="400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66675</xdr:colOff>
      <xdr:row>20</xdr:row>
      <xdr:rowOff>66675</xdr:rowOff>
    </xdr:from>
    <xdr:to>
      <xdr:col>27</xdr:col>
      <xdr:colOff>19050</xdr:colOff>
      <xdr:row>40</xdr:row>
      <xdr:rowOff>123825</xdr:rowOff>
    </xdr:to>
    <xdr:pic>
      <xdr:nvPicPr>
        <xdr:cNvPr id="3047719" name="Picture 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735050" y="4391025"/>
          <a:ext cx="3743325" cy="401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xdr:row>
      <xdr:rowOff>180975</xdr:rowOff>
    </xdr:from>
    <xdr:to>
      <xdr:col>7</xdr:col>
      <xdr:colOff>219075</xdr:colOff>
      <xdr:row>19</xdr:row>
      <xdr:rowOff>85165</xdr:rowOff>
    </xdr:to>
    <xdr:pic>
      <xdr:nvPicPr>
        <xdr:cNvPr id="3047720" name="Picture 9"/>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0" y="1000125"/>
          <a:ext cx="4086225" cy="3381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3</xdr:row>
      <xdr:rowOff>171450</xdr:rowOff>
    </xdr:from>
    <xdr:to>
      <xdr:col>26</xdr:col>
      <xdr:colOff>733425</xdr:colOff>
      <xdr:row>19</xdr:row>
      <xdr:rowOff>104215</xdr:rowOff>
    </xdr:to>
    <xdr:pic>
      <xdr:nvPicPr>
        <xdr:cNvPr id="3047721" name="Picture 2"/>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706475" y="990600"/>
          <a:ext cx="3743325" cy="3409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30</xdr:row>
      <xdr:rowOff>0</xdr:rowOff>
    </xdr:from>
    <xdr:to>
      <xdr:col>6</xdr:col>
      <xdr:colOff>304800</xdr:colOff>
      <xdr:row>31</xdr:row>
      <xdr:rowOff>114299</xdr:rowOff>
    </xdr:to>
    <xdr:sp macro="" textlink="">
      <xdr:nvSpPr>
        <xdr:cNvPr id="3047722" name="AutoShape 4" descr="Goliat FPSO "/>
        <xdr:cNvSpPr>
          <a:spLocks noChangeAspect="1" noChangeArrowheads="1"/>
        </xdr:cNvSpPr>
      </xdr:nvSpPr>
      <xdr:spPr bwMode="auto">
        <a:xfrm>
          <a:off x="3867150" y="63722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2</xdr:col>
      <xdr:colOff>238705</xdr:colOff>
      <xdr:row>18</xdr:row>
      <xdr:rowOff>13802</xdr:rowOff>
    </xdr:from>
    <xdr:ext cx="2095958" cy="264560"/>
    <xdr:sp macro="" textlink="">
      <xdr:nvSpPr>
        <xdr:cNvPr id="11" name="TextBox 10"/>
        <xdr:cNvSpPr txBox="1"/>
      </xdr:nvSpPr>
      <xdr:spPr>
        <a:xfrm>
          <a:off x="1471352" y="4047920"/>
          <a:ext cx="2095958" cy="264560"/>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SOEP</a:t>
          </a:r>
          <a:r>
            <a:rPr lang="en-GB" sz="1100" baseline="0"/>
            <a:t>  Venture Production Centre</a:t>
          </a:r>
          <a:endParaRPr lang="en-GB" sz="1100"/>
        </a:p>
      </xdr:txBody>
    </xdr:sp>
    <xdr:clientData/>
  </xdr:oneCellAnchor>
  <xdr:oneCellAnchor>
    <xdr:from>
      <xdr:col>2</xdr:col>
      <xdr:colOff>476636</xdr:colOff>
      <xdr:row>35</xdr:row>
      <xdr:rowOff>149488</xdr:rowOff>
    </xdr:from>
    <xdr:ext cx="2023374" cy="264560"/>
    <xdr:sp macro="" textlink="">
      <xdr:nvSpPr>
        <xdr:cNvPr id="13" name="TextBox 12"/>
        <xdr:cNvSpPr txBox="1"/>
      </xdr:nvSpPr>
      <xdr:spPr>
        <a:xfrm>
          <a:off x="1709283" y="7657429"/>
          <a:ext cx="2023374" cy="264560"/>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Deep Panuke</a:t>
          </a:r>
          <a:r>
            <a:rPr lang="en-GB" sz="1100" baseline="0"/>
            <a:t> Production Centre</a:t>
          </a:r>
          <a:endParaRPr lang="en-GB" sz="1100"/>
        </a:p>
      </xdr:txBody>
    </xdr:sp>
    <xdr:clientData/>
  </xdr:oneCellAnchor>
  <xdr:twoCellAnchor editAs="oneCell">
    <xdr:from>
      <xdr:col>7</xdr:col>
      <xdr:colOff>219075</xdr:colOff>
      <xdr:row>20</xdr:row>
      <xdr:rowOff>57150</xdr:rowOff>
    </xdr:from>
    <xdr:to>
      <xdr:col>14</xdr:col>
      <xdr:colOff>504825</xdr:colOff>
      <xdr:row>40</xdr:row>
      <xdr:rowOff>161925</xdr:rowOff>
    </xdr:to>
    <xdr:pic>
      <xdr:nvPicPr>
        <xdr:cNvPr id="3047725" name="Picture 14"/>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695825" y="4381500"/>
          <a:ext cx="4714875" cy="405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476269</xdr:colOff>
      <xdr:row>18</xdr:row>
      <xdr:rowOff>18144</xdr:rowOff>
    </xdr:from>
    <xdr:to>
      <xdr:col>11</xdr:col>
      <xdr:colOff>597221</xdr:colOff>
      <xdr:row>19</xdr:row>
      <xdr:rowOff>92227</xdr:rowOff>
    </xdr:to>
    <xdr:sp macro="" textlink="">
      <xdr:nvSpPr>
        <xdr:cNvPr id="17" name="TextBox 16"/>
        <xdr:cNvSpPr txBox="1"/>
      </xdr:nvSpPr>
      <xdr:spPr>
        <a:xfrm>
          <a:off x="6191269" y="4358823"/>
          <a:ext cx="1345595" cy="264583"/>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Goldboro Gas Plant</a:t>
          </a:r>
        </a:p>
      </xdr:txBody>
    </xdr:sp>
    <xdr:clientData/>
  </xdr:twoCellAnchor>
  <xdr:twoCellAnchor editAs="oneCell">
    <xdr:from>
      <xdr:col>14</xdr:col>
      <xdr:colOff>447675</xdr:colOff>
      <xdr:row>20</xdr:row>
      <xdr:rowOff>57150</xdr:rowOff>
    </xdr:from>
    <xdr:to>
      <xdr:col>21</xdr:col>
      <xdr:colOff>66675</xdr:colOff>
      <xdr:row>40</xdr:row>
      <xdr:rowOff>152400</xdr:rowOff>
    </xdr:to>
    <xdr:pic>
      <xdr:nvPicPr>
        <xdr:cNvPr id="3047727" name="Picture 17"/>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353550" y="4381500"/>
          <a:ext cx="4381500" cy="4048125"/>
        </a:xfrm>
        <a:prstGeom prst="rect">
          <a:avLst/>
        </a:prstGeom>
        <a:solidFill>
          <a:srgbClr val="B9CDE5"/>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538915</xdr:colOff>
      <xdr:row>35</xdr:row>
      <xdr:rowOff>162926</xdr:rowOff>
    </xdr:from>
    <xdr:to>
      <xdr:col>14</xdr:col>
      <xdr:colOff>250658</xdr:colOff>
      <xdr:row>37</xdr:row>
      <xdr:rowOff>25065</xdr:rowOff>
    </xdr:to>
    <xdr:sp macro="" textlink="">
      <xdr:nvSpPr>
        <xdr:cNvPr id="19" name="TextBox 18"/>
        <xdr:cNvSpPr txBox="1"/>
      </xdr:nvSpPr>
      <xdr:spPr>
        <a:xfrm>
          <a:off x="4424112" y="7231479"/>
          <a:ext cx="4173454" cy="23812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Deepwater Oil</a:t>
          </a:r>
          <a:r>
            <a:rPr lang="en-GB" sz="1100"/>
            <a:t> Floating</a:t>
          </a:r>
          <a:r>
            <a:rPr lang="en-GB" sz="1100" baseline="0"/>
            <a:t> Production Storage and Offloading (FPSO) </a:t>
          </a:r>
          <a:endParaRPr lang="en-GB" sz="1100"/>
        </a:p>
      </xdr:txBody>
    </xdr:sp>
    <xdr:clientData/>
  </xdr:twoCellAnchor>
  <xdr:twoCellAnchor editAs="oneCell">
    <xdr:from>
      <xdr:col>32</xdr:col>
      <xdr:colOff>571500</xdr:colOff>
      <xdr:row>0</xdr:row>
      <xdr:rowOff>95250</xdr:rowOff>
    </xdr:from>
    <xdr:to>
      <xdr:col>37</xdr:col>
      <xdr:colOff>581025</xdr:colOff>
      <xdr:row>3</xdr:row>
      <xdr:rowOff>171450</xdr:rowOff>
    </xdr:to>
    <xdr:pic>
      <xdr:nvPicPr>
        <xdr:cNvPr id="3047729" name="Picture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078825" y="95250"/>
          <a:ext cx="46958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16</xdr:col>
      <xdr:colOff>375993</xdr:colOff>
      <xdr:row>18</xdr:row>
      <xdr:rowOff>100262</xdr:rowOff>
    </xdr:from>
    <xdr:ext cx="2502736" cy="238126"/>
    <xdr:sp macro="" textlink="">
      <xdr:nvSpPr>
        <xdr:cNvPr id="22" name="TextBox 21"/>
        <xdr:cNvSpPr txBox="1"/>
      </xdr:nvSpPr>
      <xdr:spPr>
        <a:xfrm>
          <a:off x="10439907" y="3972926"/>
          <a:ext cx="2502736" cy="238126"/>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100"/>
            <a:t>SPAR Deepwater Gas Production System</a:t>
          </a:r>
        </a:p>
      </xdr:txBody>
    </xdr:sp>
    <xdr:clientData/>
  </xdr:oneCellAnchor>
  <xdr:oneCellAnchor>
    <xdr:from>
      <xdr:col>21</xdr:col>
      <xdr:colOff>408214</xdr:colOff>
      <xdr:row>18</xdr:row>
      <xdr:rowOff>87731</xdr:rowOff>
    </xdr:from>
    <xdr:ext cx="3211111" cy="238841"/>
    <xdr:sp macro="" textlink="">
      <xdr:nvSpPr>
        <xdr:cNvPr id="23" name="TextBox 22"/>
        <xdr:cNvSpPr txBox="1"/>
      </xdr:nvSpPr>
      <xdr:spPr>
        <a:xfrm>
          <a:off x="14124214" y="4686945"/>
          <a:ext cx="3211111" cy="238841"/>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100"/>
            <a:t>Semi-Submersible Deepwater</a:t>
          </a:r>
          <a:r>
            <a:rPr lang="en-GB" sz="1100" baseline="0"/>
            <a:t> Gas Production System</a:t>
          </a:r>
          <a:endParaRPr lang="en-GB" sz="1100"/>
        </a:p>
      </xdr:txBody>
    </xdr:sp>
    <xdr:clientData/>
  </xdr:oneCellAnchor>
  <xdr:oneCellAnchor>
    <xdr:from>
      <xdr:col>15</xdr:col>
      <xdr:colOff>854759</xdr:colOff>
      <xdr:row>36</xdr:row>
      <xdr:rowOff>1414</xdr:rowOff>
    </xdr:from>
    <xdr:ext cx="1878912" cy="264560"/>
    <xdr:sp macro="" textlink="">
      <xdr:nvSpPr>
        <xdr:cNvPr id="24" name="TextBox 23"/>
        <xdr:cNvSpPr txBox="1"/>
      </xdr:nvSpPr>
      <xdr:spPr>
        <a:xfrm>
          <a:off x="10561855" y="7705458"/>
          <a:ext cx="1878912" cy="264560"/>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 Gas Subsea  to Infrastructure</a:t>
          </a:r>
        </a:p>
      </xdr:txBody>
    </xdr:sp>
    <xdr:clientData/>
  </xdr:oneCellAnchor>
  <xdr:oneCellAnchor>
    <xdr:from>
      <xdr:col>22</xdr:col>
      <xdr:colOff>462327</xdr:colOff>
      <xdr:row>35</xdr:row>
      <xdr:rowOff>122317</xdr:rowOff>
    </xdr:from>
    <xdr:ext cx="1964127" cy="264560"/>
    <xdr:sp macro="" textlink="">
      <xdr:nvSpPr>
        <xdr:cNvPr id="25" name="TextBox 24"/>
        <xdr:cNvSpPr txBox="1"/>
      </xdr:nvSpPr>
      <xdr:spPr>
        <a:xfrm>
          <a:off x="14861886" y="7630258"/>
          <a:ext cx="1964127" cy="264560"/>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Deepwater Oil Cylindrical</a:t>
          </a:r>
          <a:r>
            <a:rPr lang="en-GB" sz="1100" baseline="0"/>
            <a:t> FPSO</a:t>
          </a:r>
          <a:endParaRPr lang="en-GB" sz="1100"/>
        </a:p>
      </xdr:txBody>
    </xdr:sp>
    <xdr:clientData/>
  </xdr:oneCellAnchor>
  <xdr:twoCellAnchor editAs="oneCell">
    <xdr:from>
      <xdr:col>23</xdr:col>
      <xdr:colOff>314325</xdr:colOff>
      <xdr:row>20</xdr:row>
      <xdr:rowOff>123825</xdr:rowOff>
    </xdr:from>
    <xdr:to>
      <xdr:col>26</xdr:col>
      <xdr:colOff>714375</xdr:colOff>
      <xdr:row>23</xdr:row>
      <xdr:rowOff>95249</xdr:rowOff>
    </xdr:to>
    <xdr:pic>
      <xdr:nvPicPr>
        <xdr:cNvPr id="3047734" name="Picture 19"/>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201900" y="4448175"/>
          <a:ext cx="22288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367968</xdr:colOff>
      <xdr:row>4</xdr:row>
      <xdr:rowOff>43422</xdr:rowOff>
    </xdr:from>
    <xdr:to>
      <xdr:col>12</xdr:col>
      <xdr:colOff>420130</xdr:colOff>
      <xdr:row>6</xdr:row>
      <xdr:rowOff>162479</xdr:rowOff>
    </xdr:to>
    <xdr:sp macro="" textlink="">
      <xdr:nvSpPr>
        <xdr:cNvPr id="6" name="TextBox 5"/>
        <xdr:cNvSpPr txBox="1"/>
      </xdr:nvSpPr>
      <xdr:spPr>
        <a:xfrm>
          <a:off x="980289" y="1444958"/>
          <a:ext cx="6991805" cy="500057"/>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1"/>
            <a:t>Oil and Gas Exploration Economics Model</a:t>
          </a:r>
        </a:p>
      </xdr:txBody>
    </xdr:sp>
    <xdr:clientData/>
  </xdr:twoCellAnchor>
  <xdr:twoCellAnchor>
    <xdr:from>
      <xdr:col>15</xdr:col>
      <xdr:colOff>476249</xdr:colOff>
      <xdr:row>18</xdr:row>
      <xdr:rowOff>40822</xdr:rowOff>
    </xdr:from>
    <xdr:to>
      <xdr:col>19</xdr:col>
      <xdr:colOff>340177</xdr:colOff>
      <xdr:row>19</xdr:row>
      <xdr:rowOff>136073</xdr:rowOff>
    </xdr:to>
    <xdr:sp macro="" textlink="">
      <xdr:nvSpPr>
        <xdr:cNvPr id="2" name="TextBox 1"/>
        <xdr:cNvSpPr txBox="1"/>
      </xdr:nvSpPr>
      <xdr:spPr>
        <a:xfrm>
          <a:off x="10137320" y="4381501"/>
          <a:ext cx="2694214" cy="28575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SPAR Deepwater Gas Production System</a:t>
          </a:r>
        </a:p>
      </xdr:txBody>
    </xdr:sp>
    <xdr:clientData/>
  </xdr:twoCellAnchor>
  <xdr:twoCellAnchor editAs="oneCell">
    <xdr:from>
      <xdr:col>14</xdr:col>
      <xdr:colOff>419100</xdr:colOff>
      <xdr:row>3</xdr:row>
      <xdr:rowOff>152400</xdr:rowOff>
    </xdr:from>
    <xdr:to>
      <xdr:col>21</xdr:col>
      <xdr:colOff>57150</xdr:colOff>
      <xdr:row>19</xdr:row>
      <xdr:rowOff>123265</xdr:rowOff>
    </xdr:to>
    <xdr:pic>
      <xdr:nvPicPr>
        <xdr:cNvPr id="3047737" name="Picture 25"/>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324975" y="971550"/>
          <a:ext cx="4400550" cy="3448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15</xdr:col>
      <xdr:colOff>303438</xdr:colOff>
      <xdr:row>18</xdr:row>
      <xdr:rowOff>13606</xdr:rowOff>
    </xdr:from>
    <xdr:ext cx="2801921" cy="264560"/>
    <xdr:sp macro="" textlink="">
      <xdr:nvSpPr>
        <xdr:cNvPr id="3" name="TextBox 2"/>
        <xdr:cNvSpPr txBox="1"/>
      </xdr:nvSpPr>
      <xdr:spPr>
        <a:xfrm>
          <a:off x="10010534" y="4047724"/>
          <a:ext cx="2801921" cy="264560"/>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Shallow Water Minimal</a:t>
          </a:r>
          <a:r>
            <a:rPr lang="en-GB" sz="1100" baseline="0"/>
            <a:t> Process Gas Platform</a:t>
          </a:r>
          <a:r>
            <a:rPr lang="en-GB" sz="1100"/>
            <a:t> </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86591</xdr:rowOff>
    </xdr:from>
    <xdr:to>
      <xdr:col>22</xdr:col>
      <xdr:colOff>98098</xdr:colOff>
      <xdr:row>58</xdr:row>
      <xdr:rowOff>15875</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6591"/>
          <a:ext cx="13369598" cy="10978284"/>
        </a:xfrm>
        <a:prstGeom prst="rect">
          <a:avLst/>
        </a:prstGeom>
      </xdr:spPr>
    </xdr:pic>
    <xdr:clientData/>
  </xdr:twoCellAnchor>
  <xdr:twoCellAnchor>
    <xdr:from>
      <xdr:col>0</xdr:col>
      <xdr:colOff>0</xdr:colOff>
      <xdr:row>17</xdr:row>
      <xdr:rowOff>184150</xdr:rowOff>
    </xdr:from>
    <xdr:to>
      <xdr:col>5</xdr:col>
      <xdr:colOff>304799</xdr:colOff>
      <xdr:row>20</xdr:row>
      <xdr:rowOff>182564</xdr:rowOff>
    </xdr:to>
    <xdr:sp macro="" textlink="">
      <xdr:nvSpPr>
        <xdr:cNvPr id="3" name="TextBox 2"/>
        <xdr:cNvSpPr txBox="1"/>
      </xdr:nvSpPr>
      <xdr:spPr>
        <a:xfrm>
          <a:off x="0" y="3422650"/>
          <a:ext cx="3360737" cy="569914"/>
        </a:xfrm>
        <a:prstGeom prst="rect">
          <a:avLst/>
        </a:prstGeom>
        <a:solidFill>
          <a:schemeClr val="tx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000"/>
            <a:t>Zoom and Scroll to Explore Map</a:t>
          </a:r>
          <a:r>
            <a:rPr lang="en-GB" sz="850"/>
            <a:t>.  It</a:t>
          </a:r>
          <a:r>
            <a:rPr lang="en-GB" sz="850" baseline="0"/>
            <a:t> is recommended that Users Minimize the Ribbon (right click in menu area) and Hide the Formula Bar (deselect View Formula Bar) to Maximise Viewing </a:t>
          </a:r>
          <a:r>
            <a:rPr lang="en-GB" sz="1000" baseline="0"/>
            <a:t>Area</a:t>
          </a:r>
          <a:endParaRPr lang="en-GB" sz="10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32</xdr:row>
      <xdr:rowOff>47625</xdr:rowOff>
    </xdr:from>
    <xdr:to>
      <xdr:col>5</xdr:col>
      <xdr:colOff>9525</xdr:colOff>
      <xdr:row>36</xdr:row>
      <xdr:rowOff>38100</xdr:rowOff>
    </xdr:to>
    <xdr:pic>
      <xdr:nvPicPr>
        <xdr:cNvPr id="408861" name="_ctl0_topbanner" descr="Department of Energy - Consume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 y="14820900"/>
          <a:ext cx="103251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828675</xdr:colOff>
      <xdr:row>36</xdr:row>
      <xdr:rowOff>104775</xdr:rowOff>
    </xdr:from>
    <xdr:to>
      <xdr:col>3</xdr:col>
      <xdr:colOff>6096000</xdr:colOff>
      <xdr:row>38</xdr:row>
      <xdr:rowOff>85725</xdr:rowOff>
    </xdr:to>
    <xdr:pic>
      <xdr:nvPicPr>
        <xdr:cNvPr id="408862"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81275" y="15640050"/>
          <a:ext cx="52673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350308</xdr:colOff>
      <xdr:row>7</xdr:row>
      <xdr:rowOff>76200</xdr:rowOff>
    </xdr:from>
    <xdr:to>
      <xdr:col>11</xdr:col>
      <xdr:colOff>531283</xdr:colOff>
      <xdr:row>13</xdr:row>
      <xdr:rowOff>247650</xdr:rowOff>
    </xdr:to>
    <xdr:pic>
      <xdr:nvPicPr>
        <xdr:cNvPr id="1135584" name="Picture 1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46558" y="1409700"/>
          <a:ext cx="3250142" cy="231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200025</xdr:colOff>
      <xdr:row>52</xdr:row>
      <xdr:rowOff>86783</xdr:rowOff>
    </xdr:from>
    <xdr:to>
      <xdr:col>12</xdr:col>
      <xdr:colOff>314325</xdr:colOff>
      <xdr:row>63</xdr:row>
      <xdr:rowOff>96308</xdr:rowOff>
    </xdr:to>
    <xdr:pic>
      <xdr:nvPicPr>
        <xdr:cNvPr id="1135585" name="Picture 1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910108" y="14353116"/>
          <a:ext cx="3183467"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438150</xdr:colOff>
      <xdr:row>27</xdr:row>
      <xdr:rowOff>47625</xdr:rowOff>
    </xdr:from>
    <xdr:to>
      <xdr:col>12</xdr:col>
      <xdr:colOff>161925</xdr:colOff>
      <xdr:row>33</xdr:row>
      <xdr:rowOff>971550</xdr:rowOff>
    </xdr:to>
    <xdr:pic>
      <xdr:nvPicPr>
        <xdr:cNvPr id="1135586" name="Picture 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363200" y="7953375"/>
          <a:ext cx="1552575" cy="2066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200025</xdr:colOff>
      <xdr:row>33</xdr:row>
      <xdr:rowOff>1076325</xdr:rowOff>
    </xdr:from>
    <xdr:to>
      <xdr:col>11</xdr:col>
      <xdr:colOff>228600</xdr:colOff>
      <xdr:row>36</xdr:row>
      <xdr:rowOff>161925</xdr:rowOff>
    </xdr:to>
    <xdr:pic>
      <xdr:nvPicPr>
        <xdr:cNvPr id="1135587" name="Picture 17"/>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05875" y="10125075"/>
          <a:ext cx="2466975" cy="1428750"/>
        </a:xfrm>
        <a:prstGeom prst="rect">
          <a:avLst/>
        </a:prstGeom>
        <a:solidFill>
          <a:srgbClr val="B9CDE5"/>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188383</xdr:colOff>
      <xdr:row>39</xdr:row>
      <xdr:rowOff>30692</xdr:rowOff>
    </xdr:from>
    <xdr:to>
      <xdr:col>11</xdr:col>
      <xdr:colOff>478366</xdr:colOff>
      <xdr:row>50</xdr:row>
      <xdr:rowOff>97367</xdr:rowOff>
    </xdr:to>
    <xdr:pic>
      <xdr:nvPicPr>
        <xdr:cNvPr id="1135588" name="Picture 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898466" y="11936942"/>
          <a:ext cx="2745317" cy="20457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257175</xdr:colOff>
      <xdr:row>61</xdr:row>
      <xdr:rowOff>95250</xdr:rowOff>
    </xdr:from>
    <xdr:to>
      <xdr:col>4</xdr:col>
      <xdr:colOff>409575</xdr:colOff>
      <xdr:row>75</xdr:row>
      <xdr:rowOff>95250</xdr:rowOff>
    </xdr:to>
    <xdr:pic>
      <xdr:nvPicPr>
        <xdr:cNvPr id="1135589" name="Picture 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352800" y="16078200"/>
          <a:ext cx="3476625"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337609</xdr:colOff>
      <xdr:row>48</xdr:row>
      <xdr:rowOff>134407</xdr:rowOff>
    </xdr:from>
    <xdr:to>
      <xdr:col>11</xdr:col>
      <xdr:colOff>171450</xdr:colOff>
      <xdr:row>49</xdr:row>
      <xdr:rowOff>162982</xdr:rowOff>
    </xdr:to>
    <xdr:sp macro="" textlink="">
      <xdr:nvSpPr>
        <xdr:cNvPr id="10" name="TextBox 9"/>
        <xdr:cNvSpPr txBox="1"/>
      </xdr:nvSpPr>
      <xdr:spPr>
        <a:xfrm>
          <a:off x="9047692" y="13638740"/>
          <a:ext cx="2289175" cy="2190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Huntingdon</a:t>
          </a:r>
          <a:r>
            <a:rPr lang="en-GB" sz="1100" baseline="0"/>
            <a:t> Field FPSO UK North Sea</a:t>
          </a:r>
          <a:endParaRPr lang="en-GB" sz="1100"/>
        </a:p>
      </xdr:txBody>
    </xdr:sp>
    <xdr:clientData/>
  </xdr:twoCellAnchor>
  <xdr:oneCellAnchor>
    <xdr:from>
      <xdr:col>8</xdr:col>
      <xdr:colOff>200025</xdr:colOff>
      <xdr:row>61</xdr:row>
      <xdr:rowOff>123825</xdr:rowOff>
    </xdr:from>
    <xdr:ext cx="2020297" cy="264560"/>
    <xdr:sp macro="" textlink="">
      <xdr:nvSpPr>
        <xdr:cNvPr id="11" name="TextBox 10"/>
        <xdr:cNvSpPr txBox="1"/>
      </xdr:nvSpPr>
      <xdr:spPr>
        <a:xfrm>
          <a:off x="9523942" y="16104658"/>
          <a:ext cx="2020297" cy="264560"/>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Skarv Field FPSO Norwegian Sea</a:t>
          </a:r>
        </a:p>
      </xdr:txBody>
    </xdr:sp>
    <xdr:clientData/>
  </xdr:oneCellAnchor>
  <xdr:twoCellAnchor>
    <xdr:from>
      <xdr:col>3</xdr:col>
      <xdr:colOff>345015</xdr:colOff>
      <xdr:row>72</xdr:row>
      <xdr:rowOff>57151</xdr:rowOff>
    </xdr:from>
    <xdr:to>
      <xdr:col>4</xdr:col>
      <xdr:colOff>325965</xdr:colOff>
      <xdr:row>74</xdr:row>
      <xdr:rowOff>161927</xdr:rowOff>
    </xdr:to>
    <xdr:sp macro="" textlink="">
      <xdr:nvSpPr>
        <xdr:cNvPr id="12" name="TextBox 11"/>
        <xdr:cNvSpPr txBox="1"/>
      </xdr:nvSpPr>
      <xdr:spPr>
        <a:xfrm>
          <a:off x="3435348" y="18133484"/>
          <a:ext cx="3304117" cy="485776"/>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Chinook</a:t>
          </a:r>
          <a:r>
            <a:rPr lang="en-GB" sz="1100" baseline="0"/>
            <a:t> / Cascade FPSO development 2400 metres Gulf of Mexico</a:t>
          </a:r>
          <a:endParaRPr lang="en-GB" sz="1100"/>
        </a:p>
      </xdr:txBody>
    </xdr:sp>
    <xdr:clientData/>
  </xdr:twoCellAnchor>
  <xdr:oneCellAnchor>
    <xdr:from>
      <xdr:col>10</xdr:col>
      <xdr:colOff>342901</xdr:colOff>
      <xdr:row>33</xdr:row>
      <xdr:rowOff>371475</xdr:rowOff>
    </xdr:from>
    <xdr:ext cx="2080683" cy="485775"/>
    <xdr:sp macro="" textlink="">
      <xdr:nvSpPr>
        <xdr:cNvPr id="13" name="TextBox 12"/>
        <xdr:cNvSpPr txBox="1"/>
      </xdr:nvSpPr>
      <xdr:spPr>
        <a:xfrm>
          <a:off x="10894484" y="9430808"/>
          <a:ext cx="2080683" cy="485775"/>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100">
              <a:solidFill>
                <a:schemeClr val="tx1"/>
              </a:solidFill>
              <a:effectLst/>
              <a:latin typeface="+mn-lt"/>
              <a:ea typeface="+mn-ea"/>
              <a:cs typeface="+mn-cs"/>
            </a:rPr>
            <a:t>Aasta Hansteen </a:t>
          </a:r>
          <a:r>
            <a:rPr lang="en-GB" sz="1100"/>
            <a:t>Field SPAR 1400 </a:t>
          </a:r>
        </a:p>
        <a:p>
          <a:r>
            <a:rPr lang="en-GB" sz="1100"/>
            <a:t>metres Norwegian Sea</a:t>
          </a:r>
        </a:p>
      </xdr:txBody>
    </xdr:sp>
    <xdr:clientData/>
  </xdr:oneCellAnchor>
  <xdr:oneCellAnchor>
    <xdr:from>
      <xdr:col>8</xdr:col>
      <xdr:colOff>295275</xdr:colOff>
      <xdr:row>36</xdr:row>
      <xdr:rowOff>4233</xdr:rowOff>
    </xdr:from>
    <xdr:ext cx="2623795" cy="264560"/>
    <xdr:sp macro="" textlink="">
      <xdr:nvSpPr>
        <xdr:cNvPr id="14" name="TextBox 13"/>
        <xdr:cNvSpPr txBox="1"/>
      </xdr:nvSpPr>
      <xdr:spPr>
        <a:xfrm>
          <a:off x="9619192" y="11402483"/>
          <a:ext cx="2623795" cy="264560"/>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Ormen Lange 140 km to shore Barents</a:t>
          </a:r>
          <a:r>
            <a:rPr lang="en-GB" sz="1100" baseline="0"/>
            <a:t> Sea</a:t>
          </a:r>
          <a:endParaRPr lang="en-GB" sz="1100"/>
        </a:p>
      </xdr:txBody>
    </xdr:sp>
    <xdr:clientData/>
  </xdr:oneCellAnchor>
  <xdr:twoCellAnchor editAs="oneCell">
    <xdr:from>
      <xdr:col>6</xdr:col>
      <xdr:colOff>9525</xdr:colOff>
      <xdr:row>27</xdr:row>
      <xdr:rowOff>85725</xdr:rowOff>
    </xdr:from>
    <xdr:to>
      <xdr:col>9</xdr:col>
      <xdr:colOff>314325</xdr:colOff>
      <xdr:row>33</xdr:row>
      <xdr:rowOff>962025</xdr:rowOff>
    </xdr:to>
    <xdr:pic>
      <xdr:nvPicPr>
        <xdr:cNvPr id="1135595" name="Picture 14"/>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105775" y="7991475"/>
          <a:ext cx="2133600"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6</xdr:col>
      <xdr:colOff>222250</xdr:colOff>
      <xdr:row>33</xdr:row>
      <xdr:rowOff>677334</xdr:rowOff>
    </xdr:from>
    <xdr:ext cx="1874937" cy="264560"/>
    <xdr:sp macro="" textlink="">
      <xdr:nvSpPr>
        <xdr:cNvPr id="2" name="TextBox 1"/>
        <xdr:cNvSpPr txBox="1"/>
      </xdr:nvSpPr>
      <xdr:spPr>
        <a:xfrm>
          <a:off x="8318500" y="9736667"/>
          <a:ext cx="1874937" cy="264560"/>
        </a:xfrm>
        <a:prstGeom prst="rect">
          <a:avLst/>
        </a:prstGeom>
        <a:solidFill>
          <a:schemeClr val="tx2">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Deep-draft Semi-Submersible</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8</xdr:col>
      <xdr:colOff>295275</xdr:colOff>
      <xdr:row>8</xdr:row>
      <xdr:rowOff>209550</xdr:rowOff>
    </xdr:from>
    <xdr:to>
      <xdr:col>19</xdr:col>
      <xdr:colOff>381000</xdr:colOff>
      <xdr:row>32</xdr:row>
      <xdr:rowOff>85725</xdr:rowOff>
    </xdr:to>
    <xdr:graphicFrame macro="">
      <xdr:nvGraphicFramePr>
        <xdr:cNvPr id="210992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99207</xdr:colOff>
      <xdr:row>3</xdr:row>
      <xdr:rowOff>41236</xdr:rowOff>
    </xdr:from>
    <xdr:to>
      <xdr:col>5</xdr:col>
      <xdr:colOff>561975</xdr:colOff>
      <xdr:row>4</xdr:row>
      <xdr:rowOff>152039</xdr:rowOff>
    </xdr:to>
    <xdr:sp macro="" textlink="">
      <xdr:nvSpPr>
        <xdr:cNvPr id="3" name="Striped Right Arrow 2"/>
        <xdr:cNvSpPr/>
      </xdr:nvSpPr>
      <xdr:spPr>
        <a:xfrm>
          <a:off x="5328432" y="774661"/>
          <a:ext cx="462768" cy="310828"/>
        </a:xfrm>
        <a:prstGeom prst="stripedRightArrow">
          <a:avLst/>
        </a:prstGeom>
        <a:solidFill>
          <a:schemeClr val="accent1">
            <a:alpha val="58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GB"/>
        </a:p>
      </xdr:txBody>
    </xdr:sp>
    <xdr:clientData/>
  </xdr:twoCellAnchor>
  <xdr:twoCellAnchor>
    <xdr:from>
      <xdr:col>8</xdr:col>
      <xdr:colOff>91042</xdr:colOff>
      <xdr:row>3</xdr:row>
      <xdr:rowOff>37577</xdr:rowOff>
    </xdr:from>
    <xdr:to>
      <xdr:col>8</xdr:col>
      <xdr:colOff>552450</xdr:colOff>
      <xdr:row>4</xdr:row>
      <xdr:rowOff>166741</xdr:rowOff>
    </xdr:to>
    <xdr:sp macro="" textlink="">
      <xdr:nvSpPr>
        <xdr:cNvPr id="4" name="Striped Right Arrow 3"/>
        <xdr:cNvSpPr/>
      </xdr:nvSpPr>
      <xdr:spPr>
        <a:xfrm>
          <a:off x="7387192" y="771002"/>
          <a:ext cx="461408" cy="329189"/>
        </a:xfrm>
        <a:prstGeom prst="stripedRightArrow">
          <a:avLst/>
        </a:prstGeom>
        <a:solidFill>
          <a:schemeClr val="accent1">
            <a:alpha val="58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GB"/>
        </a:p>
      </xdr:txBody>
    </xdr:sp>
    <xdr:clientData/>
  </xdr:twoCellAnchor>
  <xdr:twoCellAnchor>
    <xdr:from>
      <xdr:col>11</xdr:col>
      <xdr:colOff>98761</xdr:colOff>
      <xdr:row>3</xdr:row>
      <xdr:rowOff>16745</xdr:rowOff>
    </xdr:from>
    <xdr:to>
      <xdr:col>11</xdr:col>
      <xdr:colOff>523875</xdr:colOff>
      <xdr:row>4</xdr:row>
      <xdr:rowOff>166740</xdr:rowOff>
    </xdr:to>
    <xdr:sp macro="" textlink="">
      <xdr:nvSpPr>
        <xdr:cNvPr id="5" name="Striped Right Arrow 4"/>
        <xdr:cNvSpPr/>
      </xdr:nvSpPr>
      <xdr:spPr>
        <a:xfrm>
          <a:off x="9223711" y="750170"/>
          <a:ext cx="425114" cy="350020"/>
        </a:xfrm>
        <a:prstGeom prst="stripedRightArrow">
          <a:avLst/>
        </a:prstGeom>
        <a:solidFill>
          <a:schemeClr val="accent1">
            <a:alpha val="58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GB"/>
        </a:p>
      </xdr:txBody>
    </xdr:sp>
    <xdr:clientData/>
  </xdr:twoCellAnchor>
  <xdr:twoCellAnchor>
    <xdr:from>
      <xdr:col>14</xdr:col>
      <xdr:colOff>106406</xdr:colOff>
      <xdr:row>3</xdr:row>
      <xdr:rowOff>16746</xdr:rowOff>
    </xdr:from>
    <xdr:to>
      <xdr:col>14</xdr:col>
      <xdr:colOff>552450</xdr:colOff>
      <xdr:row>4</xdr:row>
      <xdr:rowOff>166741</xdr:rowOff>
    </xdr:to>
    <xdr:sp macro="" textlink="">
      <xdr:nvSpPr>
        <xdr:cNvPr id="6" name="Striped Right Arrow 5"/>
        <xdr:cNvSpPr/>
      </xdr:nvSpPr>
      <xdr:spPr>
        <a:xfrm>
          <a:off x="11060156" y="750171"/>
          <a:ext cx="446044" cy="350020"/>
        </a:xfrm>
        <a:prstGeom prst="stripedRightArrow">
          <a:avLst/>
        </a:prstGeom>
        <a:solidFill>
          <a:schemeClr val="accent1">
            <a:alpha val="58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GB"/>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19050</xdr:colOff>
      <xdr:row>22</xdr:row>
      <xdr:rowOff>83344</xdr:rowOff>
    </xdr:from>
    <xdr:to>
      <xdr:col>11</xdr:col>
      <xdr:colOff>666750</xdr:colOff>
      <xdr:row>33</xdr:row>
      <xdr:rowOff>64294</xdr:rowOff>
    </xdr:to>
    <xdr:graphicFrame macro="">
      <xdr:nvGraphicFramePr>
        <xdr:cNvPr id="1257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11</xdr:col>
      <xdr:colOff>371475</xdr:colOff>
      <xdr:row>0</xdr:row>
      <xdr:rowOff>142875</xdr:rowOff>
    </xdr:from>
    <xdr:to>
      <xdr:col>20</xdr:col>
      <xdr:colOff>171450</xdr:colOff>
      <xdr:row>17</xdr:row>
      <xdr:rowOff>123825</xdr:rowOff>
    </xdr:to>
    <xdr:graphicFrame macro="">
      <xdr:nvGraphicFramePr>
        <xdr:cNvPr id="284171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171450</xdr:colOff>
      <xdr:row>0</xdr:row>
      <xdr:rowOff>161925</xdr:rowOff>
    </xdr:from>
    <xdr:to>
      <xdr:col>11</xdr:col>
      <xdr:colOff>333375</xdr:colOff>
      <xdr:row>17</xdr:row>
      <xdr:rowOff>123825</xdr:rowOff>
    </xdr:to>
    <xdr:graphicFrame macro="">
      <xdr:nvGraphicFramePr>
        <xdr:cNvPr id="284171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142875</xdr:colOff>
      <xdr:row>17</xdr:row>
      <xdr:rowOff>123825</xdr:rowOff>
    </xdr:from>
    <xdr:to>
      <xdr:col>11</xdr:col>
      <xdr:colOff>304800</xdr:colOff>
      <xdr:row>34</xdr:row>
      <xdr:rowOff>57150</xdr:rowOff>
    </xdr:to>
    <xdr:graphicFrame macro="">
      <xdr:nvGraphicFramePr>
        <xdr:cNvPr id="2841720"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438150</xdr:colOff>
      <xdr:row>17</xdr:row>
      <xdr:rowOff>190500</xdr:rowOff>
    </xdr:from>
    <xdr:to>
      <xdr:col>20</xdr:col>
      <xdr:colOff>123825</xdr:colOff>
      <xdr:row>34</xdr:row>
      <xdr:rowOff>95250</xdr:rowOff>
    </xdr:to>
    <xdr:graphicFrame macro="">
      <xdr:nvGraphicFramePr>
        <xdr:cNvPr id="284172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514350</xdr:colOff>
      <xdr:row>0</xdr:row>
      <xdr:rowOff>123825</xdr:rowOff>
    </xdr:from>
    <xdr:to>
      <xdr:col>15</xdr:col>
      <xdr:colOff>47625</xdr:colOff>
      <xdr:row>16</xdr:row>
      <xdr:rowOff>28575</xdr:rowOff>
    </xdr:to>
    <xdr:graphicFrame macro="">
      <xdr:nvGraphicFramePr>
        <xdr:cNvPr id="978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571500</xdr:colOff>
      <xdr:row>20</xdr:row>
      <xdr:rowOff>142875</xdr:rowOff>
    </xdr:from>
    <xdr:to>
      <xdr:col>15</xdr:col>
      <xdr:colOff>19050</xdr:colOff>
      <xdr:row>32</xdr:row>
      <xdr:rowOff>9525</xdr:rowOff>
    </xdr:to>
    <xdr:graphicFrame macro="">
      <xdr:nvGraphicFramePr>
        <xdr:cNvPr id="978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466725</xdr:colOff>
      <xdr:row>15</xdr:row>
      <xdr:rowOff>0</xdr:rowOff>
    </xdr:from>
    <xdr:to>
      <xdr:col>9</xdr:col>
      <xdr:colOff>152400</xdr:colOff>
      <xdr:row>26</xdr:row>
      <xdr:rowOff>142875</xdr:rowOff>
    </xdr:to>
    <xdr:graphicFrame macro="">
      <xdr:nvGraphicFramePr>
        <xdr:cNvPr id="69508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485775</xdr:colOff>
      <xdr:row>0</xdr:row>
      <xdr:rowOff>19050</xdr:rowOff>
    </xdr:from>
    <xdr:to>
      <xdr:col>9</xdr:col>
      <xdr:colOff>180975</xdr:colOff>
      <xdr:row>15</xdr:row>
      <xdr:rowOff>38100</xdr:rowOff>
    </xdr:to>
    <xdr:graphicFrame macro="">
      <xdr:nvGraphicFramePr>
        <xdr:cNvPr id="69508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323850</xdr:colOff>
      <xdr:row>15</xdr:row>
      <xdr:rowOff>19050</xdr:rowOff>
    </xdr:from>
    <xdr:to>
      <xdr:col>17</xdr:col>
      <xdr:colOff>19050</xdr:colOff>
      <xdr:row>26</xdr:row>
      <xdr:rowOff>142875</xdr:rowOff>
    </xdr:to>
    <xdr:graphicFrame macro="">
      <xdr:nvGraphicFramePr>
        <xdr:cNvPr id="69508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295275</xdr:colOff>
      <xdr:row>0</xdr:row>
      <xdr:rowOff>57150</xdr:rowOff>
    </xdr:from>
    <xdr:to>
      <xdr:col>16</xdr:col>
      <xdr:colOff>142875</xdr:colOff>
      <xdr:row>15</xdr:row>
      <xdr:rowOff>0</xdr:rowOff>
    </xdr:to>
    <xdr:graphicFrame macro="">
      <xdr:nvGraphicFramePr>
        <xdr:cNvPr id="69508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indeva.com/"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pageSetUpPr fitToPage="1"/>
  </sheetPr>
  <dimension ref="A1:AP80"/>
  <sheetViews>
    <sheetView showGridLines="0" showRowColHeaders="0" topLeftCell="C1" zoomScale="80" zoomScaleNormal="80" zoomScaleSheetLayoutView="76" workbookViewId="0">
      <selection activeCell="AK27" sqref="AK27"/>
    </sheetView>
  </sheetViews>
  <sheetFormatPr defaultRowHeight="14.5"/>
  <cols>
    <col min="3" max="3" width="12.26953125" customWidth="1"/>
    <col min="14" max="14" width="11.54296875" customWidth="1"/>
    <col min="15" max="15" width="10.81640625" customWidth="1"/>
    <col min="16" max="16" width="14.81640625" customWidth="1"/>
    <col min="27" max="27" width="11.1796875" customWidth="1"/>
    <col min="34" max="34" width="15" customWidth="1"/>
    <col min="36" max="36" width="27.81640625" customWidth="1"/>
    <col min="38" max="38" width="8.81640625" customWidth="1"/>
  </cols>
  <sheetData>
    <row r="1" spans="1:42" ht="26">
      <c r="A1" s="455"/>
      <c r="B1" s="455"/>
      <c r="C1" s="455"/>
      <c r="D1" s="455"/>
      <c r="E1" s="455"/>
      <c r="F1" s="455"/>
      <c r="G1" s="455"/>
      <c r="H1" s="455"/>
      <c r="I1" s="455"/>
      <c r="J1" s="455"/>
      <c r="K1" s="455"/>
      <c r="L1" s="455"/>
      <c r="M1" s="455"/>
      <c r="N1" s="455"/>
      <c r="O1" s="455"/>
      <c r="P1" s="455"/>
      <c r="Q1" s="455"/>
      <c r="R1" s="455"/>
      <c r="S1" s="455"/>
      <c r="T1" s="455"/>
      <c r="U1" s="455"/>
      <c r="V1" s="455"/>
      <c r="W1" s="455"/>
      <c r="X1" s="455"/>
      <c r="Y1" s="455"/>
      <c r="Z1" s="456"/>
      <c r="AA1" s="457"/>
      <c r="AB1" s="455"/>
      <c r="AC1" s="455"/>
      <c r="AD1" s="455"/>
      <c r="AE1" s="455"/>
      <c r="AF1" s="455"/>
      <c r="AG1" s="455"/>
      <c r="AH1" s="455"/>
      <c r="AI1" s="455"/>
      <c r="AJ1" s="455"/>
      <c r="AK1" s="455"/>
      <c r="AL1" s="455"/>
      <c r="AM1" s="455"/>
      <c r="AN1" s="455"/>
      <c r="AO1" s="455"/>
      <c r="AP1" s="455"/>
    </row>
    <row r="2" spans="1:42" ht="23.5">
      <c r="A2" s="455"/>
      <c r="B2" s="455"/>
      <c r="C2" s="455"/>
      <c r="D2" s="455"/>
      <c r="E2" s="455"/>
      <c r="F2" s="455"/>
      <c r="G2" s="455"/>
      <c r="H2" s="455"/>
      <c r="I2" s="455"/>
      <c r="J2" s="455"/>
      <c r="K2" s="455"/>
      <c r="L2" s="455"/>
      <c r="M2" s="455"/>
      <c r="N2" s="455"/>
      <c r="O2" s="455"/>
      <c r="P2" s="455"/>
      <c r="Q2" s="455"/>
      <c r="R2" s="455"/>
      <c r="S2" s="455"/>
      <c r="T2" s="455"/>
      <c r="U2" s="455"/>
      <c r="V2" s="455"/>
      <c r="W2" s="455"/>
      <c r="X2" s="455"/>
      <c r="Y2" s="457"/>
      <c r="Z2" s="457"/>
      <c r="AA2" s="457"/>
      <c r="AB2" s="455"/>
      <c r="AC2" s="455"/>
      <c r="AD2" s="455"/>
      <c r="AE2" s="455"/>
      <c r="AF2" s="455"/>
      <c r="AG2" s="455"/>
      <c r="AH2" s="455"/>
      <c r="AI2" s="455"/>
      <c r="AJ2" s="455"/>
      <c r="AK2" s="455"/>
      <c r="AL2" s="455"/>
      <c r="AM2" s="455"/>
      <c r="AN2" s="455"/>
      <c r="AO2" s="455"/>
      <c r="AP2" s="455"/>
    </row>
    <row r="3" spans="1:42">
      <c r="A3" s="455"/>
      <c r="B3" s="455"/>
      <c r="C3" s="455"/>
      <c r="D3" s="455"/>
      <c r="E3" s="455"/>
      <c r="F3" s="455"/>
      <c r="G3" s="455"/>
      <c r="H3" s="455"/>
      <c r="I3" s="455"/>
      <c r="J3" s="455"/>
      <c r="K3" s="455"/>
      <c r="L3" s="455"/>
      <c r="M3" s="455"/>
      <c r="N3" s="455"/>
      <c r="O3" s="455"/>
      <c r="P3" s="455"/>
      <c r="Q3" s="455"/>
      <c r="R3" s="455"/>
      <c r="S3" s="455"/>
      <c r="T3" s="455"/>
      <c r="U3" s="455"/>
      <c r="V3" s="455"/>
      <c r="W3" s="455"/>
      <c r="X3" s="455"/>
      <c r="Y3" s="455"/>
      <c r="Z3" s="455"/>
      <c r="AA3" s="455"/>
      <c r="AB3" s="455"/>
      <c r="AC3" s="455"/>
      <c r="AD3" s="455"/>
      <c r="AE3" s="455"/>
      <c r="AF3" s="455"/>
      <c r="AG3" s="455"/>
      <c r="AH3" s="455"/>
      <c r="AI3" s="455"/>
      <c r="AJ3" s="455"/>
      <c r="AK3" s="455"/>
      <c r="AL3" s="455"/>
      <c r="AM3" s="455"/>
      <c r="AN3" s="455"/>
      <c r="AO3" s="455"/>
      <c r="AP3" s="455"/>
    </row>
    <row r="4" spans="1:42">
      <c r="A4" s="455"/>
      <c r="B4" s="455"/>
      <c r="C4" s="455"/>
      <c r="D4" s="455"/>
      <c r="E4" s="455"/>
      <c r="F4" s="455"/>
      <c r="G4" s="455"/>
      <c r="H4" s="455"/>
      <c r="I4" s="455"/>
      <c r="J4" s="455"/>
      <c r="K4" s="455"/>
      <c r="L4" s="455"/>
      <c r="M4" s="455"/>
      <c r="N4" s="455"/>
      <c r="O4" s="455"/>
      <c r="P4" s="455"/>
      <c r="Q4" s="455"/>
      <c r="R4" s="455"/>
      <c r="S4" s="455"/>
      <c r="T4" s="455"/>
      <c r="U4" s="455"/>
      <c r="V4" s="455"/>
      <c r="W4" s="455"/>
      <c r="X4" s="455"/>
      <c r="Y4" s="455"/>
      <c r="Z4" s="455"/>
      <c r="AA4" s="455"/>
      <c r="AB4" s="455"/>
      <c r="AC4" s="455"/>
      <c r="AD4" s="455"/>
      <c r="AE4" s="455"/>
      <c r="AF4" s="455"/>
      <c r="AG4" s="455"/>
      <c r="AH4" s="455"/>
      <c r="AI4" s="455"/>
      <c r="AJ4" s="455"/>
      <c r="AK4" s="455"/>
      <c r="AL4" s="455"/>
      <c r="AM4" s="455"/>
      <c r="AN4" s="455"/>
      <c r="AO4" s="455"/>
      <c r="AP4" s="455"/>
    </row>
    <row r="5" spans="1:42">
      <c r="A5" s="455"/>
      <c r="B5" s="455"/>
      <c r="C5" s="455"/>
      <c r="D5" s="455"/>
      <c r="E5" s="455"/>
      <c r="F5" s="455"/>
      <c r="G5" s="455"/>
      <c r="H5" s="455"/>
      <c r="I5" s="455"/>
      <c r="J5" s="455"/>
      <c r="K5" s="455"/>
      <c r="L5" s="455"/>
      <c r="M5" s="455"/>
      <c r="N5" s="455"/>
      <c r="O5" s="455"/>
      <c r="P5" s="455"/>
      <c r="Q5" s="455"/>
      <c r="R5" s="455"/>
      <c r="S5" s="455"/>
      <c r="T5" s="455"/>
      <c r="U5" s="455"/>
      <c r="V5" s="455"/>
      <c r="W5" s="455"/>
      <c r="X5" s="455"/>
      <c r="Y5" s="455"/>
      <c r="Z5" s="455"/>
      <c r="AA5" s="455"/>
      <c r="AB5" s="455"/>
      <c r="AC5" s="455"/>
      <c r="AD5" s="455"/>
      <c r="AE5" s="455"/>
      <c r="AF5" s="455"/>
      <c r="AG5" s="455"/>
      <c r="AH5" s="455"/>
      <c r="AI5" s="455"/>
      <c r="AJ5" s="455"/>
      <c r="AK5" s="455"/>
      <c r="AL5" s="455"/>
      <c r="AM5" s="455"/>
      <c r="AN5" s="455"/>
      <c r="AO5" s="455"/>
      <c r="AP5" s="455"/>
    </row>
    <row r="6" spans="1:42">
      <c r="A6" s="455"/>
      <c r="B6" s="455"/>
      <c r="C6" s="455"/>
      <c r="D6" s="455"/>
      <c r="E6" s="455"/>
      <c r="F6" s="455"/>
      <c r="G6" s="455"/>
      <c r="H6" s="455"/>
      <c r="I6" s="455"/>
      <c r="J6" s="455"/>
      <c r="K6" s="455"/>
      <c r="L6" s="455"/>
      <c r="M6" s="455"/>
      <c r="N6" s="455"/>
      <c r="O6" s="455"/>
      <c r="P6" s="455"/>
      <c r="Q6" s="455"/>
      <c r="R6" s="455"/>
      <c r="S6" s="455"/>
      <c r="T6" s="455"/>
      <c r="U6" s="455"/>
      <c r="V6" s="455"/>
      <c r="W6" s="455"/>
      <c r="X6" s="455"/>
      <c r="Y6" s="455"/>
      <c r="Z6" s="455"/>
      <c r="AA6" s="455"/>
      <c r="AB6" s="455"/>
      <c r="AC6" s="455"/>
      <c r="AD6" s="455"/>
      <c r="AE6" s="455"/>
      <c r="AF6" s="455"/>
      <c r="AG6" s="455"/>
      <c r="AH6" s="455"/>
      <c r="AI6" s="455"/>
      <c r="AJ6" s="455"/>
      <c r="AK6" s="455"/>
      <c r="AL6" s="455"/>
      <c r="AM6" s="455"/>
      <c r="AN6" s="455"/>
      <c r="AO6" s="455"/>
      <c r="AP6" s="455"/>
    </row>
    <row r="7" spans="1:42" ht="36">
      <c r="A7" s="455"/>
      <c r="B7" s="455"/>
      <c r="C7" s="458"/>
      <c r="D7" s="455"/>
      <c r="E7" s="455"/>
      <c r="F7" s="455"/>
      <c r="G7" s="455"/>
      <c r="H7" s="455"/>
      <c r="I7" s="455"/>
      <c r="J7" s="455"/>
      <c r="K7" s="455"/>
      <c r="L7" s="455"/>
      <c r="M7" s="455"/>
      <c r="N7" s="455"/>
      <c r="O7" s="455"/>
      <c r="P7" s="455"/>
      <c r="Q7" s="455"/>
      <c r="R7" s="455"/>
      <c r="S7" s="455"/>
      <c r="T7" s="455"/>
      <c r="U7" s="455"/>
      <c r="V7" s="455"/>
      <c r="W7" s="455"/>
      <c r="X7" s="455"/>
      <c r="Y7" s="455"/>
      <c r="Z7" s="455"/>
      <c r="AA7" s="455"/>
      <c r="AB7" s="455"/>
      <c r="AC7" s="455"/>
      <c r="AD7" s="455"/>
      <c r="AE7" s="455"/>
      <c r="AF7" s="455"/>
      <c r="AG7" s="455"/>
      <c r="AH7" s="459" t="s">
        <v>419</v>
      </c>
      <c r="AI7" s="459" t="s">
        <v>459</v>
      </c>
      <c r="AJ7" s="460" t="s">
        <v>674</v>
      </c>
      <c r="AK7" s="461"/>
      <c r="AL7" s="462"/>
      <c r="AM7" s="455"/>
      <c r="AN7" s="455"/>
      <c r="AO7" s="455"/>
      <c r="AP7" s="455"/>
    </row>
    <row r="8" spans="1:42">
      <c r="A8" s="455"/>
      <c r="B8" s="455"/>
      <c r="C8" s="455"/>
      <c r="D8" s="455"/>
      <c r="E8" s="455"/>
      <c r="F8" s="455"/>
      <c r="G8" s="455"/>
      <c r="H8" s="455"/>
      <c r="I8" s="455"/>
      <c r="J8" s="455"/>
      <c r="K8" s="455"/>
      <c r="L8" s="455"/>
      <c r="M8" s="455"/>
      <c r="N8" s="455"/>
      <c r="O8" s="455"/>
      <c r="P8" s="455"/>
      <c r="Q8" s="455"/>
      <c r="R8" s="455"/>
      <c r="S8" s="455"/>
      <c r="T8" s="455"/>
      <c r="U8" s="455"/>
      <c r="V8" s="455"/>
      <c r="W8" s="455"/>
      <c r="X8" s="455"/>
      <c r="Y8" s="455"/>
      <c r="Z8" s="455"/>
      <c r="AA8" s="455"/>
      <c r="AB8" s="455"/>
      <c r="AC8" s="455"/>
      <c r="AD8" s="455"/>
      <c r="AE8" s="455"/>
      <c r="AF8" s="455"/>
      <c r="AG8" s="455"/>
      <c r="AH8" s="463">
        <v>39372</v>
      </c>
      <c r="AI8" s="464">
        <v>1</v>
      </c>
      <c r="AJ8" s="465" t="s">
        <v>675</v>
      </c>
      <c r="AK8" s="466"/>
      <c r="AL8" s="467"/>
      <c r="AM8" s="455"/>
      <c r="AN8" s="455"/>
      <c r="AO8" s="455"/>
      <c r="AP8" s="455"/>
    </row>
    <row r="9" spans="1:42">
      <c r="A9" s="455"/>
      <c r="B9" s="455"/>
      <c r="C9" s="455"/>
      <c r="D9" s="455"/>
      <c r="E9" s="455"/>
      <c r="F9" s="455"/>
      <c r="G9" s="455"/>
      <c r="H9" s="455"/>
      <c r="I9" s="455"/>
      <c r="J9" s="455"/>
      <c r="K9" s="455"/>
      <c r="L9" s="455"/>
      <c r="M9" s="455"/>
      <c r="N9" s="455"/>
      <c r="O9" s="455"/>
      <c r="P9" s="455"/>
      <c r="Q9" s="455"/>
      <c r="R9" s="455"/>
      <c r="S9" s="455"/>
      <c r="T9" s="455"/>
      <c r="U9" s="455"/>
      <c r="V9" s="455"/>
      <c r="W9" s="455"/>
      <c r="X9" s="455"/>
      <c r="Y9" s="455"/>
      <c r="Z9" s="455"/>
      <c r="AA9" s="455"/>
      <c r="AB9" s="455"/>
      <c r="AC9" s="455"/>
      <c r="AD9" s="455"/>
      <c r="AE9" s="455"/>
      <c r="AF9" s="455"/>
      <c r="AG9" s="455"/>
      <c r="AH9" s="463">
        <v>39607</v>
      </c>
      <c r="AI9" s="468">
        <v>1.01</v>
      </c>
      <c r="AJ9" s="465" t="s">
        <v>856</v>
      </c>
      <c r="AK9" s="466"/>
      <c r="AL9" s="467"/>
      <c r="AM9" s="455"/>
      <c r="AN9" s="455"/>
      <c r="AO9" s="455"/>
      <c r="AP9" s="455"/>
    </row>
    <row r="10" spans="1:42">
      <c r="A10" s="455"/>
      <c r="B10" s="455"/>
      <c r="C10" s="45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63">
        <v>39810</v>
      </c>
      <c r="AI10" s="468">
        <v>2</v>
      </c>
      <c r="AJ10" s="465" t="s">
        <v>751</v>
      </c>
      <c r="AK10" s="466"/>
      <c r="AL10" s="467"/>
      <c r="AM10" s="455"/>
      <c r="AN10" s="455"/>
      <c r="AO10" s="455"/>
      <c r="AP10" s="455"/>
    </row>
    <row r="11" spans="1:42">
      <c r="A11" s="455"/>
      <c r="B11" s="455"/>
      <c r="C11" s="455"/>
      <c r="D11" s="455"/>
      <c r="E11" s="455"/>
      <c r="F11" s="455"/>
      <c r="G11" s="455"/>
      <c r="H11" s="455"/>
      <c r="I11" s="455"/>
      <c r="J11" s="455"/>
      <c r="K11" s="455"/>
      <c r="L11" s="455"/>
      <c r="M11" s="455"/>
      <c r="N11" s="455"/>
      <c r="O11" s="455"/>
      <c r="P11" s="455"/>
      <c r="Q11" s="455"/>
      <c r="R11" s="455"/>
      <c r="S11" s="455"/>
      <c r="T11" s="455"/>
      <c r="U11" s="455"/>
      <c r="V11" s="455"/>
      <c r="W11" s="455"/>
      <c r="X11" s="455"/>
      <c r="Y11" s="455"/>
      <c r="Z11" s="455"/>
      <c r="AA11" s="455"/>
      <c r="AB11" s="455"/>
      <c r="AC11" s="455"/>
      <c r="AD11" s="455"/>
      <c r="AE11" s="455"/>
      <c r="AF11" s="455"/>
      <c r="AG11" s="455"/>
      <c r="AH11" s="463">
        <v>39839</v>
      </c>
      <c r="AI11" s="468">
        <v>2.0099999999999998</v>
      </c>
      <c r="AJ11" s="465" t="s">
        <v>755</v>
      </c>
      <c r="AK11" s="466"/>
      <c r="AL11" s="467"/>
      <c r="AM11" s="455"/>
      <c r="AN11" s="455"/>
      <c r="AO11" s="455"/>
      <c r="AP11" s="455"/>
    </row>
    <row r="12" spans="1:42">
      <c r="A12" s="455"/>
      <c r="B12" s="455"/>
      <c r="C12" s="455"/>
      <c r="D12" s="455"/>
      <c r="E12" s="455"/>
      <c r="F12" s="455"/>
      <c r="G12" s="455"/>
      <c r="H12" s="455"/>
      <c r="I12" s="455"/>
      <c r="J12" s="455"/>
      <c r="K12" s="455"/>
      <c r="L12" s="455"/>
      <c r="M12" s="455"/>
      <c r="N12" s="455"/>
      <c r="O12" s="455"/>
      <c r="P12" s="455"/>
      <c r="Q12" s="455"/>
      <c r="R12" s="455"/>
      <c r="S12" s="455"/>
      <c r="T12" s="455"/>
      <c r="U12" s="455"/>
      <c r="V12" s="455"/>
      <c r="W12" s="455"/>
      <c r="X12" s="455"/>
      <c r="Y12" s="455"/>
      <c r="Z12" s="455"/>
      <c r="AA12" s="455"/>
      <c r="AB12" s="455"/>
      <c r="AC12" s="455"/>
      <c r="AD12" s="455"/>
      <c r="AE12" s="455"/>
      <c r="AF12" s="455"/>
      <c r="AG12" s="455"/>
      <c r="AH12" s="463">
        <v>39841</v>
      </c>
      <c r="AI12" s="468">
        <v>2.02</v>
      </c>
      <c r="AJ12" s="465" t="s">
        <v>756</v>
      </c>
      <c r="AK12" s="466"/>
      <c r="AL12" s="467"/>
      <c r="AM12" s="455"/>
      <c r="AN12" s="455"/>
      <c r="AO12" s="455"/>
      <c r="AP12" s="455"/>
    </row>
    <row r="13" spans="1:42">
      <c r="A13" s="455"/>
      <c r="B13" s="455"/>
      <c r="C13" s="455"/>
      <c r="D13" s="455"/>
      <c r="E13" s="455"/>
      <c r="F13" s="455"/>
      <c r="G13" s="455"/>
      <c r="H13" s="455"/>
      <c r="I13" s="455"/>
      <c r="J13" s="455"/>
      <c r="K13" s="455"/>
      <c r="L13" s="455"/>
      <c r="M13" s="455"/>
      <c r="N13" s="455"/>
      <c r="O13" s="455"/>
      <c r="P13" s="455"/>
      <c r="Q13" s="455"/>
      <c r="R13" s="455"/>
      <c r="S13" s="455"/>
      <c r="T13" s="455"/>
      <c r="U13" s="455"/>
      <c r="V13" s="455"/>
      <c r="W13" s="455"/>
      <c r="X13" s="455"/>
      <c r="Y13" s="455"/>
      <c r="Z13" s="455"/>
      <c r="AA13" s="455"/>
      <c r="AB13" s="455"/>
      <c r="AC13" s="455"/>
      <c r="AD13" s="455"/>
      <c r="AE13" s="455"/>
      <c r="AF13" s="455"/>
      <c r="AG13" s="455"/>
      <c r="AH13" s="463">
        <v>41011</v>
      </c>
      <c r="AI13" s="468">
        <v>2.99</v>
      </c>
      <c r="AJ13" s="465" t="s">
        <v>1066</v>
      </c>
      <c r="AK13" s="466"/>
      <c r="AL13" s="467"/>
      <c r="AM13" s="455"/>
      <c r="AN13" s="455"/>
      <c r="AO13" s="455"/>
      <c r="AP13" s="455"/>
    </row>
    <row r="14" spans="1:42">
      <c r="A14" s="455"/>
      <c r="B14" s="455"/>
      <c r="C14" s="455"/>
      <c r="D14" s="455"/>
      <c r="E14" s="455"/>
      <c r="F14" s="455"/>
      <c r="G14" s="455"/>
      <c r="H14" s="455"/>
      <c r="I14" s="455"/>
      <c r="J14" s="455"/>
      <c r="K14" s="455"/>
      <c r="L14" s="455"/>
      <c r="M14" s="455"/>
      <c r="N14" s="455"/>
      <c r="O14" s="455"/>
      <c r="P14" s="455"/>
      <c r="Q14" s="455"/>
      <c r="R14" s="455"/>
      <c r="S14" s="455"/>
      <c r="T14" s="455"/>
      <c r="U14" s="455"/>
      <c r="V14" s="455"/>
      <c r="W14" s="455"/>
      <c r="X14" s="455"/>
      <c r="Y14" s="455"/>
      <c r="Z14" s="455"/>
      <c r="AA14" s="455"/>
      <c r="AB14" s="455"/>
      <c r="AC14" s="455"/>
      <c r="AD14" s="455"/>
      <c r="AE14" s="455"/>
      <c r="AF14" s="455"/>
      <c r="AG14" s="455"/>
      <c r="AH14" s="463">
        <v>41073</v>
      </c>
      <c r="AI14" s="464">
        <v>3</v>
      </c>
      <c r="AJ14" s="465" t="s">
        <v>1067</v>
      </c>
      <c r="AK14" s="466"/>
      <c r="AL14" s="467"/>
      <c r="AM14" s="455"/>
      <c r="AN14" s="455"/>
      <c r="AO14" s="455"/>
      <c r="AP14" s="455"/>
    </row>
    <row r="15" spans="1:42">
      <c r="A15" s="455"/>
      <c r="B15" s="455"/>
      <c r="C15" s="455"/>
      <c r="D15" s="455"/>
      <c r="E15" s="455"/>
      <c r="F15" s="455"/>
      <c r="G15" s="455"/>
      <c r="H15" s="455"/>
      <c r="I15" s="455"/>
      <c r="J15" s="455"/>
      <c r="K15" s="455"/>
      <c r="L15" s="455"/>
      <c r="M15" s="455"/>
      <c r="N15" s="455"/>
      <c r="O15" s="455"/>
      <c r="P15" s="455"/>
      <c r="Q15" s="455"/>
      <c r="R15" s="455"/>
      <c r="S15" s="455"/>
      <c r="T15" s="455"/>
      <c r="U15" s="455"/>
      <c r="V15" s="455"/>
      <c r="W15" s="455"/>
      <c r="X15" s="455"/>
      <c r="Y15" s="455"/>
      <c r="Z15" s="455"/>
      <c r="AA15" s="455"/>
      <c r="AB15" s="455"/>
      <c r="AC15" s="455"/>
      <c r="AD15" s="455"/>
      <c r="AE15" s="455"/>
      <c r="AF15" s="455"/>
      <c r="AG15" s="455"/>
      <c r="AH15" s="463">
        <v>41079</v>
      </c>
      <c r="AI15" s="464">
        <v>3.01</v>
      </c>
      <c r="AJ15" s="465" t="s">
        <v>1084</v>
      </c>
      <c r="AK15" s="466"/>
      <c r="AL15" s="467"/>
      <c r="AM15" s="455"/>
      <c r="AN15" s="455"/>
      <c r="AO15" s="455"/>
      <c r="AP15" s="455"/>
    </row>
    <row r="16" spans="1:42">
      <c r="A16" s="455"/>
      <c r="B16" s="455"/>
      <c r="C16" s="455"/>
      <c r="D16" s="455"/>
      <c r="E16" s="455"/>
      <c r="F16" s="455"/>
      <c r="G16" s="455"/>
      <c r="H16" s="455"/>
      <c r="I16" s="455"/>
      <c r="J16" s="455"/>
      <c r="K16" s="455"/>
      <c r="L16" s="455"/>
      <c r="M16" s="455"/>
      <c r="N16" s="455"/>
      <c r="O16" s="455"/>
      <c r="P16" s="455"/>
      <c r="Q16" s="455"/>
      <c r="R16" s="455"/>
      <c r="S16" s="455"/>
      <c r="T16" s="455"/>
      <c r="U16" s="455"/>
      <c r="V16" s="455"/>
      <c r="W16" s="455"/>
      <c r="X16" s="455"/>
      <c r="Y16" s="455"/>
      <c r="Z16" s="455"/>
      <c r="AA16" s="455"/>
      <c r="AB16" s="455"/>
      <c r="AC16" s="455"/>
      <c r="AD16" s="455"/>
      <c r="AE16" s="455"/>
      <c r="AF16" s="455"/>
      <c r="AG16" s="455"/>
      <c r="AH16" s="495">
        <v>41155</v>
      </c>
      <c r="AI16" s="471">
        <v>3.02</v>
      </c>
      <c r="AJ16" s="472" t="s">
        <v>1085</v>
      </c>
      <c r="AK16" s="473"/>
      <c r="AL16" s="467"/>
      <c r="AM16" s="455"/>
      <c r="AN16" s="455"/>
      <c r="AO16" s="455"/>
      <c r="AP16" s="455"/>
    </row>
    <row r="17" spans="1:42" ht="13.5" customHeight="1">
      <c r="A17" s="455"/>
      <c r="B17" s="455"/>
      <c r="C17" s="455"/>
      <c r="D17" s="455"/>
      <c r="E17" s="455"/>
      <c r="F17" s="455"/>
      <c r="G17" s="455"/>
      <c r="H17" s="455"/>
      <c r="I17" s="455"/>
      <c r="J17" s="455"/>
      <c r="K17" s="455"/>
      <c r="L17" s="455"/>
      <c r="M17" s="455"/>
      <c r="N17" s="455"/>
      <c r="O17" s="455"/>
      <c r="P17" s="455"/>
      <c r="Q17" s="455"/>
      <c r="R17" s="455"/>
      <c r="S17" s="455"/>
      <c r="T17" s="455"/>
      <c r="U17" s="455"/>
      <c r="V17" s="455"/>
      <c r="W17" s="455"/>
      <c r="X17" s="455"/>
      <c r="Y17" s="455"/>
      <c r="Z17" s="455"/>
      <c r="AA17" s="455"/>
      <c r="AB17" s="455"/>
      <c r="AC17" s="455"/>
      <c r="AD17" s="455"/>
      <c r="AE17" s="455"/>
      <c r="AF17" s="455"/>
      <c r="AG17" s="455"/>
      <c r="AH17" s="495">
        <v>41487</v>
      </c>
      <c r="AI17" s="471">
        <v>3.03</v>
      </c>
      <c r="AJ17" s="517" t="s">
        <v>1086</v>
      </c>
      <c r="AK17" s="518"/>
      <c r="AL17" s="519"/>
      <c r="AM17" s="455"/>
      <c r="AN17" s="455"/>
      <c r="AO17" s="455"/>
      <c r="AP17" s="455"/>
    </row>
    <row r="18" spans="1:42" ht="28.15" customHeight="1">
      <c r="A18" s="455"/>
      <c r="B18" s="455"/>
      <c r="C18" s="455"/>
      <c r="D18" s="455"/>
      <c r="E18" s="455"/>
      <c r="F18" s="455"/>
      <c r="G18" s="455"/>
      <c r="H18" s="455"/>
      <c r="I18" s="455"/>
      <c r="J18" s="455"/>
      <c r="K18" s="455"/>
      <c r="L18" s="455"/>
      <c r="M18" s="455"/>
      <c r="N18" s="455"/>
      <c r="O18" s="455"/>
      <c r="P18" s="455"/>
      <c r="Q18" s="455"/>
      <c r="R18" s="455"/>
      <c r="S18" s="455"/>
      <c r="T18" s="455"/>
      <c r="U18" s="455"/>
      <c r="V18" s="455"/>
      <c r="W18" s="455"/>
      <c r="X18" s="455"/>
      <c r="Y18" s="455"/>
      <c r="Z18" s="455"/>
      <c r="AA18" s="455"/>
      <c r="AB18" s="455"/>
      <c r="AC18" s="455"/>
      <c r="AD18" s="455"/>
      <c r="AE18" s="455"/>
      <c r="AF18" s="455"/>
      <c r="AG18" s="455"/>
      <c r="AH18" s="495">
        <v>42300</v>
      </c>
      <c r="AI18" s="471">
        <v>3.99</v>
      </c>
      <c r="AJ18" s="517" t="s">
        <v>1089</v>
      </c>
      <c r="AK18" s="518"/>
      <c r="AL18" s="519"/>
      <c r="AM18" s="455"/>
      <c r="AN18" s="455"/>
      <c r="AO18" s="455"/>
      <c r="AP18" s="455"/>
    </row>
    <row r="19" spans="1:42">
      <c r="A19" s="455"/>
      <c r="B19" s="455"/>
      <c r="C19" s="455"/>
      <c r="D19" s="455"/>
      <c r="E19" s="455"/>
      <c r="F19" s="455"/>
      <c r="G19" s="455"/>
      <c r="H19" s="455"/>
      <c r="I19" s="455"/>
      <c r="J19" s="455"/>
      <c r="K19" s="455"/>
      <c r="L19" s="455"/>
      <c r="M19" s="455"/>
      <c r="N19" s="455"/>
      <c r="O19" s="455"/>
      <c r="P19" s="455"/>
      <c r="Q19" s="455"/>
      <c r="R19" s="455"/>
      <c r="S19" s="455"/>
      <c r="T19" s="455"/>
      <c r="U19" s="455"/>
      <c r="V19" s="455"/>
      <c r="W19" s="455"/>
      <c r="X19" s="455"/>
      <c r="Y19" s="455"/>
      <c r="Z19" s="455"/>
      <c r="AA19" s="455"/>
      <c r="AB19" s="455"/>
      <c r="AC19" s="455"/>
      <c r="AD19" s="455"/>
      <c r="AE19" s="455"/>
      <c r="AF19" s="455"/>
      <c r="AG19" s="455"/>
      <c r="AH19" s="495">
        <v>42304</v>
      </c>
      <c r="AI19" s="471">
        <v>4</v>
      </c>
      <c r="AJ19" s="517" t="s">
        <v>1090</v>
      </c>
      <c r="AK19" s="518"/>
      <c r="AL19" s="519"/>
      <c r="AM19" s="455"/>
      <c r="AN19" s="455"/>
      <c r="AO19" s="455"/>
      <c r="AP19" s="455"/>
    </row>
    <row r="20" spans="1:42">
      <c r="A20" s="455"/>
      <c r="B20" s="455"/>
      <c r="C20" s="455"/>
      <c r="D20" s="455"/>
      <c r="E20" s="455"/>
      <c r="F20" s="455"/>
      <c r="G20" s="455"/>
      <c r="H20" s="455"/>
      <c r="I20" s="455"/>
      <c r="J20" s="455"/>
      <c r="K20" s="455"/>
      <c r="L20" s="455"/>
      <c r="M20" s="455"/>
      <c r="N20" s="455"/>
      <c r="O20" s="455"/>
      <c r="P20" s="455"/>
      <c r="Q20" s="455"/>
      <c r="R20" s="455"/>
      <c r="S20" s="455"/>
      <c r="T20" s="455"/>
      <c r="U20" s="455"/>
      <c r="V20" s="455"/>
      <c r="W20" s="455"/>
      <c r="X20" s="455"/>
      <c r="Y20" s="455"/>
      <c r="Z20" s="455"/>
      <c r="AA20" s="455"/>
      <c r="AB20" s="455"/>
      <c r="AC20" s="455"/>
      <c r="AD20" s="455"/>
      <c r="AE20" s="455"/>
      <c r="AF20" s="455"/>
      <c r="AG20" s="455"/>
      <c r="AH20" s="470"/>
      <c r="AI20" s="471"/>
      <c r="AJ20" s="472"/>
      <c r="AK20" s="473"/>
      <c r="AL20" s="467"/>
      <c r="AM20" s="455"/>
      <c r="AN20" s="455"/>
      <c r="AO20" s="455"/>
      <c r="AP20" s="455"/>
    </row>
    <row r="21" spans="1:42">
      <c r="A21" s="455"/>
      <c r="B21" s="455"/>
      <c r="C21" s="455"/>
      <c r="D21" s="455"/>
      <c r="E21" s="455"/>
      <c r="F21" s="455"/>
      <c r="G21" s="455"/>
      <c r="H21" s="455"/>
      <c r="I21" s="455"/>
      <c r="J21" s="455"/>
      <c r="K21" s="455"/>
      <c r="L21" s="455"/>
      <c r="M21" s="455"/>
      <c r="N21" s="455"/>
      <c r="O21" s="455"/>
      <c r="P21" s="455"/>
      <c r="Q21" s="455"/>
      <c r="R21" s="455"/>
      <c r="S21" s="455"/>
      <c r="T21" s="455"/>
      <c r="U21" s="455"/>
      <c r="V21" s="455"/>
      <c r="W21" s="455"/>
      <c r="X21" s="455"/>
      <c r="Y21" s="455"/>
      <c r="Z21" s="455"/>
      <c r="AA21" s="455"/>
      <c r="AB21" s="455"/>
      <c r="AC21" s="455"/>
      <c r="AD21" s="455"/>
      <c r="AE21" s="455"/>
      <c r="AF21" s="455"/>
      <c r="AG21" s="455"/>
      <c r="AH21" s="470"/>
      <c r="AI21" s="471"/>
      <c r="AJ21" s="472"/>
      <c r="AK21" s="473"/>
      <c r="AL21" s="467"/>
      <c r="AM21" s="455"/>
      <c r="AN21" s="455"/>
      <c r="AO21" s="455"/>
      <c r="AP21" s="455"/>
    </row>
    <row r="22" spans="1:42">
      <c r="A22" s="455"/>
      <c r="B22" s="455"/>
      <c r="C22" s="455"/>
      <c r="D22" s="455"/>
      <c r="E22" s="455"/>
      <c r="F22" s="455"/>
      <c r="G22" s="455"/>
      <c r="H22" s="455"/>
      <c r="I22" s="455"/>
      <c r="J22" s="455"/>
      <c r="K22" s="455"/>
      <c r="L22" s="455"/>
      <c r="M22" s="455"/>
      <c r="N22" s="455"/>
      <c r="O22" s="455"/>
      <c r="P22" s="455"/>
      <c r="Q22" s="455"/>
      <c r="R22" s="455"/>
      <c r="S22" s="455"/>
      <c r="T22" s="455"/>
      <c r="U22" s="455"/>
      <c r="V22" s="455"/>
      <c r="W22" s="455"/>
      <c r="X22" s="455"/>
      <c r="Y22" s="455"/>
      <c r="Z22" s="455"/>
      <c r="AA22" s="455"/>
      <c r="AB22" s="455"/>
      <c r="AC22" s="455"/>
      <c r="AD22" s="455"/>
      <c r="AE22" s="455"/>
      <c r="AF22" s="455"/>
      <c r="AG22" s="455"/>
      <c r="AH22" s="470"/>
      <c r="AI22" s="471"/>
      <c r="AJ22" s="472"/>
      <c r="AK22" s="473"/>
      <c r="AL22" s="467"/>
      <c r="AM22" s="455"/>
      <c r="AN22" s="455"/>
      <c r="AO22" s="455"/>
      <c r="AP22" s="455"/>
    </row>
    <row r="23" spans="1:42">
      <c r="A23" s="455"/>
      <c r="B23" s="455"/>
      <c r="C23" s="455"/>
      <c r="D23" s="455"/>
      <c r="E23" s="455"/>
      <c r="F23" s="455"/>
      <c r="G23" s="455"/>
      <c r="H23" s="455"/>
      <c r="I23" s="455"/>
      <c r="J23" s="455"/>
      <c r="K23" s="455"/>
      <c r="L23" s="455"/>
      <c r="M23" s="455"/>
      <c r="N23" s="455"/>
      <c r="O23" s="455"/>
      <c r="P23" s="455"/>
      <c r="Q23" s="455"/>
      <c r="R23" s="455"/>
      <c r="S23" s="455"/>
      <c r="T23" s="455"/>
      <c r="U23" s="455"/>
      <c r="V23" s="455"/>
      <c r="W23" s="455"/>
      <c r="X23" s="455"/>
      <c r="Y23" s="455"/>
      <c r="Z23" s="455"/>
      <c r="AA23" s="455"/>
      <c r="AB23" s="455"/>
      <c r="AC23" s="455"/>
      <c r="AD23" s="455"/>
      <c r="AE23" s="455"/>
      <c r="AF23" s="455"/>
      <c r="AG23" s="455"/>
      <c r="AH23" s="470"/>
      <c r="AI23" s="471"/>
      <c r="AJ23" s="472"/>
      <c r="AK23" s="473"/>
      <c r="AL23" s="467"/>
      <c r="AM23" s="455"/>
      <c r="AN23" s="455"/>
      <c r="AO23" s="455"/>
      <c r="AP23" s="455"/>
    </row>
    <row r="24" spans="1:42">
      <c r="A24" s="455"/>
      <c r="B24" s="455"/>
      <c r="C24" s="455"/>
      <c r="D24" s="455"/>
      <c r="E24" s="455"/>
      <c r="F24" s="455"/>
      <c r="G24" s="455"/>
      <c r="H24" s="455"/>
      <c r="I24" s="455"/>
      <c r="J24" s="455"/>
      <c r="K24" s="455"/>
      <c r="L24" s="455"/>
      <c r="M24" s="455"/>
      <c r="N24" s="455"/>
      <c r="O24" s="455"/>
      <c r="P24" s="455"/>
      <c r="Q24" s="455"/>
      <c r="R24" s="455"/>
      <c r="S24" s="455"/>
      <c r="T24" s="455"/>
      <c r="U24" s="455"/>
      <c r="V24" s="455"/>
      <c r="W24" s="455"/>
      <c r="X24" s="455"/>
      <c r="Y24" s="455"/>
      <c r="Z24" s="455"/>
      <c r="AA24" s="455"/>
      <c r="AB24" s="455"/>
      <c r="AC24" s="455"/>
      <c r="AD24" s="455"/>
      <c r="AE24" s="455"/>
      <c r="AF24" s="455"/>
      <c r="AG24" s="455"/>
      <c r="AH24" s="469"/>
      <c r="AI24" s="464"/>
      <c r="AJ24" s="465"/>
      <c r="AK24" s="466"/>
      <c r="AL24" s="467"/>
      <c r="AM24" s="455"/>
      <c r="AN24" s="455"/>
      <c r="AO24" s="455"/>
      <c r="AP24" s="455"/>
    </row>
    <row r="25" spans="1:42">
      <c r="A25" s="455"/>
      <c r="B25" s="455"/>
      <c r="C25" s="455"/>
      <c r="D25" s="455"/>
      <c r="E25" s="455"/>
      <c r="F25" s="455"/>
      <c r="G25" s="455"/>
      <c r="H25" s="455"/>
      <c r="I25" s="455"/>
      <c r="J25" s="455"/>
      <c r="K25" s="455"/>
      <c r="L25" s="455"/>
      <c r="M25" s="455"/>
      <c r="N25" s="455"/>
      <c r="O25" s="455"/>
      <c r="P25" s="455"/>
      <c r="Q25" s="455"/>
      <c r="R25" s="455"/>
      <c r="S25" s="455"/>
      <c r="T25" s="455"/>
      <c r="U25" s="455"/>
      <c r="V25" s="455"/>
      <c r="W25" s="455"/>
      <c r="X25" s="455"/>
      <c r="Y25" s="455"/>
      <c r="Z25" s="455"/>
      <c r="AA25" s="455"/>
      <c r="AB25" s="455"/>
      <c r="AC25" s="455"/>
      <c r="AD25" s="455"/>
      <c r="AE25" s="455"/>
      <c r="AF25" s="455"/>
      <c r="AG25" s="455"/>
      <c r="AH25" s="455"/>
      <c r="AI25" s="455"/>
      <c r="AJ25" s="455"/>
      <c r="AK25" s="455"/>
      <c r="AL25" s="455"/>
      <c r="AM25" s="455"/>
      <c r="AN25" s="455"/>
      <c r="AO25" s="455"/>
      <c r="AP25" s="455"/>
    </row>
    <row r="26" spans="1:42" ht="26">
      <c r="A26" s="455"/>
      <c r="B26" s="455"/>
      <c r="C26" s="455"/>
      <c r="D26" s="455"/>
      <c r="E26" s="455"/>
      <c r="F26" s="455"/>
      <c r="G26" s="455"/>
      <c r="H26" s="455"/>
      <c r="I26" s="455"/>
      <c r="J26" s="455"/>
      <c r="K26" s="455"/>
      <c r="L26" s="455"/>
      <c r="M26" s="455"/>
      <c r="N26" s="455"/>
      <c r="O26" s="455"/>
      <c r="P26" s="455"/>
      <c r="Q26" s="455"/>
      <c r="R26" s="455"/>
      <c r="S26" s="455"/>
      <c r="T26" s="455"/>
      <c r="U26" s="455"/>
      <c r="V26" s="455"/>
      <c r="W26" s="455"/>
      <c r="X26" s="455"/>
      <c r="Y26" s="455"/>
      <c r="Z26" s="455"/>
      <c r="AA26" s="455"/>
      <c r="AB26" s="455"/>
      <c r="AC26" s="455"/>
      <c r="AD26" s="455"/>
      <c r="AE26" s="455"/>
      <c r="AF26" s="455"/>
      <c r="AG26" s="455"/>
      <c r="AH26" s="456" t="str">
        <f>"Release "&amp;FIXED(MAX(AI8:AI24),2)</f>
        <v>Release 4.00</v>
      </c>
      <c r="AI26" s="455"/>
      <c r="AJ26" s="455"/>
      <c r="AK26" s="455"/>
      <c r="AL26" s="455"/>
      <c r="AM26" s="455"/>
      <c r="AN26" s="455"/>
      <c r="AO26" s="455"/>
      <c r="AP26" s="455"/>
    </row>
    <row r="27" spans="1:42">
      <c r="A27" s="455"/>
      <c r="B27" s="455"/>
      <c r="C27" s="455"/>
      <c r="D27" s="455"/>
      <c r="E27" s="455"/>
      <c r="F27" s="455"/>
      <c r="G27" s="455"/>
      <c r="H27" s="455"/>
      <c r="I27" s="455"/>
      <c r="J27" s="455"/>
      <c r="K27" s="455"/>
      <c r="L27" s="455"/>
      <c r="M27" s="455"/>
      <c r="N27" s="455"/>
      <c r="O27" s="455"/>
      <c r="P27" s="455"/>
      <c r="Q27" s="455"/>
      <c r="R27" s="455"/>
      <c r="S27" s="455"/>
      <c r="T27" s="455"/>
      <c r="U27" s="455"/>
      <c r="V27" s="455"/>
      <c r="W27" s="455"/>
      <c r="X27" s="455"/>
      <c r="Y27" s="455"/>
      <c r="Z27" s="455"/>
      <c r="AA27" s="455"/>
      <c r="AB27" s="455"/>
      <c r="AC27" s="455"/>
      <c r="AD27" s="455"/>
      <c r="AE27" s="455"/>
      <c r="AF27" s="455"/>
      <c r="AG27" s="455"/>
      <c r="AH27" s="455"/>
      <c r="AI27" s="455"/>
      <c r="AJ27" s="455"/>
      <c r="AK27" s="455"/>
      <c r="AL27" s="455"/>
      <c r="AM27" s="455"/>
      <c r="AN27" s="455"/>
      <c r="AO27" s="455"/>
      <c r="AP27" s="455"/>
    </row>
    <row r="28" spans="1:42">
      <c r="A28" s="455"/>
      <c r="B28" s="455"/>
      <c r="C28" s="455"/>
      <c r="D28" s="455"/>
      <c r="E28" s="455"/>
      <c r="F28" s="455"/>
      <c r="G28" s="455"/>
      <c r="H28" s="455"/>
      <c r="I28" s="455"/>
      <c r="J28" s="455"/>
      <c r="K28" s="455"/>
      <c r="L28" s="455"/>
      <c r="M28" s="455"/>
      <c r="N28" s="455"/>
      <c r="O28" s="455"/>
      <c r="P28" s="455"/>
      <c r="Q28" s="455"/>
      <c r="R28" s="455"/>
      <c r="S28" s="455"/>
      <c r="T28" s="455"/>
      <c r="U28" s="455"/>
      <c r="V28" s="455"/>
      <c r="W28" s="455"/>
      <c r="X28" s="455"/>
      <c r="Y28" s="455"/>
      <c r="Z28" s="455"/>
      <c r="AA28" s="455"/>
      <c r="AB28" s="455"/>
      <c r="AC28" s="455"/>
      <c r="AD28" s="455"/>
      <c r="AE28" s="455"/>
      <c r="AF28" s="455"/>
      <c r="AG28" s="455"/>
      <c r="AH28" s="455"/>
      <c r="AI28" s="455"/>
      <c r="AJ28" s="455"/>
      <c r="AK28" s="455"/>
      <c r="AL28" s="455"/>
      <c r="AM28" s="455"/>
      <c r="AN28" s="455"/>
      <c r="AO28" s="455"/>
      <c r="AP28" s="455"/>
    </row>
    <row r="29" spans="1:42">
      <c r="A29" s="455"/>
      <c r="B29" s="455"/>
      <c r="C29" s="455"/>
      <c r="D29" s="455"/>
      <c r="E29" s="455"/>
      <c r="F29" s="455"/>
      <c r="G29" s="455"/>
      <c r="H29" s="455"/>
      <c r="I29" s="455"/>
      <c r="J29" s="455"/>
      <c r="K29" s="455"/>
      <c r="L29" s="455"/>
      <c r="M29" s="455"/>
      <c r="N29" s="455"/>
      <c r="O29" s="455"/>
      <c r="P29" s="455"/>
      <c r="Q29" s="455"/>
      <c r="R29" s="455"/>
      <c r="S29" s="455"/>
      <c r="T29" s="455"/>
      <c r="U29" s="455"/>
      <c r="V29" s="455"/>
      <c r="W29" s="455"/>
      <c r="X29" s="455"/>
      <c r="Y29" s="455"/>
      <c r="Z29" s="455"/>
      <c r="AA29" s="455"/>
      <c r="AB29" s="455"/>
      <c r="AC29" s="455"/>
      <c r="AD29" s="455"/>
      <c r="AE29" s="455"/>
      <c r="AF29" s="455"/>
      <c r="AG29" s="455"/>
      <c r="AH29" s="455"/>
      <c r="AI29" s="455"/>
      <c r="AJ29" s="455"/>
      <c r="AK29" s="455"/>
      <c r="AL29" s="455"/>
      <c r="AM29" s="455"/>
      <c r="AN29" s="455"/>
      <c r="AO29" s="455"/>
      <c r="AP29" s="455"/>
    </row>
    <row r="30" spans="1:42">
      <c r="A30" s="455"/>
      <c r="B30" s="455"/>
      <c r="C30" s="455"/>
      <c r="D30" s="455"/>
      <c r="E30" s="455"/>
      <c r="F30" s="455"/>
      <c r="G30" s="455"/>
      <c r="H30" s="455"/>
      <c r="I30" s="455"/>
      <c r="J30" s="455"/>
      <c r="K30" s="455"/>
      <c r="L30" s="455"/>
      <c r="M30" s="455"/>
      <c r="N30" s="455"/>
      <c r="O30" s="455"/>
      <c r="P30" s="455"/>
      <c r="Q30" s="455"/>
      <c r="R30" s="455"/>
      <c r="S30" s="455"/>
      <c r="T30" s="455"/>
      <c r="U30" s="455"/>
      <c r="V30" s="455"/>
      <c r="W30" s="455"/>
      <c r="X30" s="455"/>
      <c r="Y30" s="455"/>
      <c r="Z30" s="455"/>
      <c r="AA30" s="455"/>
      <c r="AB30" s="455"/>
      <c r="AC30" s="455"/>
      <c r="AD30" s="455"/>
      <c r="AE30" s="455"/>
      <c r="AF30" s="455"/>
      <c r="AG30" s="455"/>
      <c r="AH30" s="455"/>
      <c r="AI30" s="455"/>
      <c r="AJ30" s="455"/>
      <c r="AK30" s="455"/>
      <c r="AL30" s="455"/>
      <c r="AM30" s="455"/>
      <c r="AN30" s="455"/>
      <c r="AO30" s="455"/>
      <c r="AP30" s="455"/>
    </row>
    <row r="31" spans="1:42">
      <c r="A31" s="455"/>
      <c r="B31" s="455"/>
      <c r="C31" s="455"/>
      <c r="D31" s="455"/>
      <c r="E31" s="455"/>
      <c r="F31" s="455"/>
      <c r="G31" s="455"/>
      <c r="H31" s="455"/>
      <c r="I31" s="455"/>
      <c r="J31" s="455"/>
      <c r="K31" s="455"/>
      <c r="L31" s="455"/>
      <c r="M31" s="455"/>
      <c r="N31" s="455"/>
      <c r="O31" s="455"/>
      <c r="P31" s="455"/>
      <c r="Q31" s="455"/>
      <c r="R31" s="455"/>
      <c r="S31" s="455"/>
      <c r="T31" s="455"/>
      <c r="U31" s="455"/>
      <c r="V31" s="455"/>
      <c r="W31" s="455"/>
      <c r="X31" s="455"/>
      <c r="Y31" s="455"/>
      <c r="Z31" s="455"/>
      <c r="AA31" s="455"/>
      <c r="AB31" s="455"/>
      <c r="AC31" s="455"/>
      <c r="AD31" s="455"/>
      <c r="AE31" s="455"/>
      <c r="AF31" s="455"/>
      <c r="AG31" s="455"/>
      <c r="AH31" s="455"/>
      <c r="AI31" s="455"/>
      <c r="AJ31" s="455"/>
      <c r="AK31" s="455"/>
      <c r="AL31" s="455"/>
      <c r="AM31" s="455"/>
      <c r="AN31" s="455"/>
      <c r="AO31" s="455"/>
      <c r="AP31" s="455"/>
    </row>
    <row r="32" spans="1:42">
      <c r="A32" s="455"/>
      <c r="B32" s="455"/>
      <c r="C32" s="455"/>
      <c r="D32" s="455"/>
      <c r="E32" s="455"/>
      <c r="F32" s="455"/>
      <c r="G32" s="455"/>
      <c r="H32" s="455"/>
      <c r="I32" s="455"/>
      <c r="J32" s="455"/>
      <c r="K32" s="455"/>
      <c r="L32" s="455"/>
      <c r="M32" s="455"/>
      <c r="N32" s="455"/>
      <c r="O32" s="455"/>
      <c r="P32" s="455"/>
      <c r="Q32" s="455"/>
      <c r="R32" s="455"/>
      <c r="S32" s="455"/>
      <c r="T32" s="455"/>
      <c r="U32" s="455"/>
      <c r="V32" s="455"/>
      <c r="W32" s="455"/>
      <c r="X32" s="455"/>
      <c r="Y32" s="455"/>
      <c r="Z32" s="455"/>
      <c r="AA32" s="455"/>
      <c r="AB32" s="455"/>
      <c r="AC32" s="455"/>
      <c r="AD32" s="455"/>
      <c r="AE32" s="455"/>
      <c r="AF32" s="455"/>
      <c r="AG32" s="455"/>
      <c r="AH32" s="455"/>
      <c r="AI32" s="455"/>
      <c r="AJ32" s="455"/>
      <c r="AK32" s="455"/>
      <c r="AL32" s="455"/>
      <c r="AM32" s="455"/>
      <c r="AN32" s="455"/>
      <c r="AO32" s="455"/>
      <c r="AP32" s="455"/>
    </row>
    <row r="33" spans="1:42">
      <c r="A33" s="455"/>
      <c r="B33" s="455"/>
      <c r="C33" s="455"/>
      <c r="D33" s="455"/>
      <c r="E33" s="455"/>
      <c r="F33" s="455"/>
      <c r="G33" s="455"/>
      <c r="H33" s="455"/>
      <c r="I33" s="455"/>
      <c r="J33" s="455"/>
      <c r="K33" s="455"/>
      <c r="L33" s="455"/>
      <c r="M33" s="455"/>
      <c r="N33" s="455"/>
      <c r="O33" s="455"/>
      <c r="P33" s="455"/>
      <c r="Q33" s="455"/>
      <c r="R33" s="455"/>
      <c r="S33" s="455"/>
      <c r="T33" s="455"/>
      <c r="U33" s="455"/>
      <c r="V33" s="455"/>
      <c r="W33" s="455"/>
      <c r="X33" s="455"/>
      <c r="Y33" s="455"/>
      <c r="Z33" s="455"/>
      <c r="AA33" s="455"/>
      <c r="AB33" s="455"/>
      <c r="AC33" s="455"/>
      <c r="AD33" s="455"/>
      <c r="AE33" s="455"/>
      <c r="AF33" s="455"/>
      <c r="AG33" s="455"/>
      <c r="AH33" s="455"/>
      <c r="AI33" s="455"/>
      <c r="AJ33" s="455"/>
      <c r="AK33" s="455"/>
      <c r="AL33" s="455"/>
      <c r="AM33" s="455"/>
      <c r="AN33" s="455"/>
      <c r="AO33" s="455"/>
      <c r="AP33" s="455"/>
    </row>
    <row r="34" spans="1:42">
      <c r="A34" s="455"/>
      <c r="B34" s="455"/>
      <c r="C34" s="455"/>
      <c r="D34" s="455"/>
      <c r="E34" s="455"/>
      <c r="F34" s="455"/>
      <c r="G34" s="455"/>
      <c r="H34" s="455"/>
      <c r="I34" s="455"/>
      <c r="J34" s="455"/>
      <c r="K34" s="455"/>
      <c r="L34" s="455"/>
      <c r="M34" s="455"/>
      <c r="N34" s="455"/>
      <c r="O34" s="455"/>
      <c r="P34" s="455"/>
      <c r="Q34" s="455"/>
      <c r="R34" s="455"/>
      <c r="S34" s="455"/>
      <c r="T34" s="455"/>
      <c r="U34" s="455"/>
      <c r="V34" s="455"/>
      <c r="W34" s="455"/>
      <c r="X34" s="455"/>
      <c r="Y34" s="455"/>
      <c r="Z34" s="455"/>
      <c r="AA34" s="455"/>
      <c r="AB34" s="455"/>
      <c r="AC34" s="455"/>
      <c r="AD34" s="455"/>
      <c r="AE34" s="455"/>
      <c r="AF34" s="455"/>
      <c r="AG34" s="455"/>
      <c r="AH34" s="455"/>
      <c r="AI34" s="455"/>
      <c r="AJ34" s="455"/>
      <c r="AK34" s="455"/>
      <c r="AL34" s="455"/>
      <c r="AM34" s="455"/>
      <c r="AN34" s="455"/>
      <c r="AO34" s="455"/>
      <c r="AP34" s="455"/>
    </row>
    <row r="35" spans="1:42">
      <c r="A35" s="455"/>
      <c r="B35" s="455"/>
      <c r="C35" s="455"/>
      <c r="D35" s="455"/>
      <c r="E35" s="455"/>
      <c r="F35" s="455"/>
      <c r="G35" s="455"/>
      <c r="H35" s="455"/>
      <c r="I35" s="455"/>
      <c r="J35" s="455"/>
      <c r="K35" s="455"/>
      <c r="L35" s="455"/>
      <c r="M35" s="455"/>
      <c r="N35" s="455"/>
      <c r="O35" s="455"/>
      <c r="P35" s="455"/>
      <c r="Q35" s="455"/>
      <c r="R35" s="455"/>
      <c r="S35" s="455"/>
      <c r="T35" s="455"/>
      <c r="U35" s="455"/>
      <c r="V35" s="455"/>
      <c r="W35" s="455"/>
      <c r="X35" s="455"/>
      <c r="Y35" s="455"/>
      <c r="Z35" s="455"/>
      <c r="AA35" s="455"/>
      <c r="AB35" s="455"/>
      <c r="AC35" s="455"/>
      <c r="AD35" s="455"/>
      <c r="AE35" s="455"/>
      <c r="AF35" s="455"/>
      <c r="AG35" s="455"/>
      <c r="AH35" s="455"/>
      <c r="AI35" s="455"/>
      <c r="AJ35" s="455"/>
      <c r="AK35" s="455"/>
      <c r="AL35" s="455"/>
      <c r="AM35" s="455"/>
      <c r="AN35" s="455"/>
      <c r="AO35" s="455"/>
      <c r="AP35" s="455"/>
    </row>
    <row r="36" spans="1:42">
      <c r="A36" s="455"/>
      <c r="B36" s="455"/>
      <c r="C36" s="455"/>
      <c r="D36" s="455"/>
      <c r="E36" s="455"/>
      <c r="F36" s="455"/>
      <c r="G36" s="455"/>
      <c r="H36" s="455"/>
      <c r="I36" s="455"/>
      <c r="J36" s="455"/>
      <c r="K36" s="455"/>
      <c r="L36" s="455"/>
      <c r="M36" s="455"/>
      <c r="N36" s="455"/>
      <c r="O36" s="455"/>
      <c r="P36" s="455"/>
      <c r="Q36" s="455"/>
      <c r="R36" s="455"/>
      <c r="S36" s="455"/>
      <c r="T36" s="455"/>
      <c r="U36" s="455"/>
      <c r="V36" s="455"/>
      <c r="W36" s="455"/>
      <c r="X36" s="455"/>
      <c r="Y36" s="455"/>
      <c r="Z36" s="455"/>
      <c r="AA36" s="455"/>
      <c r="AB36" s="455"/>
      <c r="AC36" s="455"/>
      <c r="AD36" s="455"/>
      <c r="AE36" s="455"/>
      <c r="AF36" s="455"/>
      <c r="AG36" s="455"/>
      <c r="AH36" s="455"/>
      <c r="AI36" s="455"/>
      <c r="AJ36" s="455"/>
      <c r="AK36" s="455"/>
      <c r="AL36" s="455"/>
      <c r="AM36" s="455"/>
      <c r="AN36" s="455"/>
      <c r="AO36" s="455"/>
      <c r="AP36" s="455"/>
    </row>
    <row r="37" spans="1:42">
      <c r="A37" s="455"/>
      <c r="B37" s="455"/>
      <c r="C37" s="455"/>
      <c r="D37" s="455"/>
      <c r="E37" s="455"/>
      <c r="F37" s="455"/>
      <c r="G37" s="455"/>
      <c r="H37" s="455"/>
      <c r="I37" s="455"/>
      <c r="J37" s="455"/>
      <c r="K37" s="455"/>
      <c r="L37" s="455"/>
      <c r="M37" s="455"/>
      <c r="N37" s="455"/>
      <c r="O37" s="455"/>
      <c r="P37" s="455"/>
      <c r="Q37" s="455"/>
      <c r="R37" s="455"/>
      <c r="S37" s="455"/>
      <c r="T37" s="455"/>
      <c r="U37" s="455"/>
      <c r="V37" s="455"/>
      <c r="W37" s="455"/>
      <c r="X37" s="455"/>
      <c r="Y37" s="455"/>
      <c r="Z37" s="455"/>
      <c r="AA37" s="455"/>
      <c r="AB37" s="455"/>
      <c r="AC37" s="455"/>
      <c r="AD37" s="455"/>
      <c r="AE37" s="455"/>
      <c r="AF37" s="455"/>
      <c r="AG37" s="455"/>
      <c r="AH37" s="455"/>
      <c r="AI37" s="455"/>
      <c r="AJ37" s="455"/>
      <c r="AK37" s="455"/>
      <c r="AL37" s="455"/>
      <c r="AM37" s="455"/>
      <c r="AN37" s="455"/>
      <c r="AO37" s="455"/>
      <c r="AP37" s="455"/>
    </row>
    <row r="38" spans="1:42">
      <c r="A38" s="455"/>
      <c r="B38" s="455"/>
      <c r="C38" s="455"/>
      <c r="D38" s="455"/>
      <c r="E38" s="455"/>
      <c r="F38" s="455"/>
      <c r="G38" s="455"/>
      <c r="H38" s="455"/>
      <c r="I38" s="455"/>
      <c r="J38" s="455"/>
      <c r="K38" s="455"/>
      <c r="L38" s="455"/>
      <c r="M38" s="455"/>
      <c r="N38" s="455"/>
      <c r="O38" s="455"/>
      <c r="P38" s="455"/>
      <c r="Q38" s="455"/>
      <c r="R38" s="455"/>
      <c r="S38" s="455"/>
      <c r="T38" s="455"/>
      <c r="U38" s="455"/>
      <c r="V38" s="455"/>
      <c r="W38" s="455"/>
      <c r="X38" s="455"/>
      <c r="Y38" s="455"/>
      <c r="Z38" s="455"/>
      <c r="AA38" s="455"/>
      <c r="AB38" s="455"/>
      <c r="AC38" s="455"/>
      <c r="AD38" s="455"/>
      <c r="AE38" s="455"/>
      <c r="AF38" s="455"/>
      <c r="AG38" s="455"/>
      <c r="AH38" s="455"/>
      <c r="AI38" s="455"/>
      <c r="AJ38" s="455"/>
      <c r="AK38" s="455"/>
      <c r="AL38" s="455"/>
      <c r="AM38" s="455"/>
      <c r="AN38" s="455"/>
      <c r="AO38" s="455"/>
      <c r="AP38" s="455"/>
    </row>
    <row r="39" spans="1:42">
      <c r="A39" s="455"/>
      <c r="B39" s="455"/>
      <c r="C39" s="455"/>
      <c r="D39" s="455"/>
      <c r="E39" s="455"/>
      <c r="F39" s="455"/>
      <c r="G39" s="455"/>
      <c r="H39" s="455"/>
      <c r="I39" s="455"/>
      <c r="J39" s="455"/>
      <c r="K39" s="455"/>
      <c r="L39" s="455"/>
      <c r="M39" s="455"/>
      <c r="N39" s="455"/>
      <c r="O39" s="455"/>
      <c r="P39" s="455"/>
      <c r="Q39" s="455"/>
      <c r="R39" s="455"/>
      <c r="S39" s="455"/>
      <c r="T39" s="455"/>
      <c r="U39" s="455"/>
      <c r="V39" s="455"/>
      <c r="W39" s="455"/>
      <c r="X39" s="455"/>
      <c r="Y39" s="455"/>
      <c r="Z39" s="455"/>
      <c r="AA39" s="455"/>
      <c r="AB39" s="455"/>
      <c r="AC39" s="455"/>
      <c r="AD39" s="455"/>
      <c r="AE39" s="455"/>
      <c r="AF39" s="455"/>
      <c r="AG39" s="455"/>
      <c r="AH39" s="455"/>
      <c r="AI39" s="455"/>
      <c r="AJ39" s="455"/>
      <c r="AK39" s="455"/>
      <c r="AL39" s="455"/>
      <c r="AM39" s="455"/>
      <c r="AN39" s="455"/>
      <c r="AO39" s="455"/>
      <c r="AP39" s="455"/>
    </row>
    <row r="40" spans="1:42">
      <c r="A40" s="455"/>
      <c r="B40" s="455"/>
      <c r="C40" s="455"/>
      <c r="D40" s="455"/>
      <c r="E40" s="455"/>
      <c r="F40" s="455"/>
      <c r="G40" s="455"/>
      <c r="H40" s="455"/>
      <c r="I40" s="455"/>
      <c r="J40" s="455"/>
      <c r="K40" s="455"/>
      <c r="L40" s="455"/>
      <c r="M40" s="455"/>
      <c r="N40" s="455"/>
      <c r="O40" s="455"/>
      <c r="P40" s="455"/>
      <c r="Q40" s="455"/>
      <c r="R40" s="455"/>
      <c r="S40" s="455"/>
      <c r="T40" s="455"/>
      <c r="U40" s="455"/>
      <c r="V40" s="455"/>
      <c r="W40" s="455"/>
      <c r="X40" s="455"/>
      <c r="Y40" s="455"/>
      <c r="Z40" s="455"/>
      <c r="AA40" s="455"/>
      <c r="AB40" s="455"/>
      <c r="AC40" s="455"/>
      <c r="AD40" s="455"/>
      <c r="AE40" s="455"/>
      <c r="AF40" s="455"/>
      <c r="AG40" s="455"/>
      <c r="AH40" s="455"/>
      <c r="AI40" s="455"/>
      <c r="AJ40" s="455"/>
      <c r="AK40" s="455"/>
      <c r="AL40" s="455"/>
      <c r="AM40" s="455"/>
      <c r="AN40" s="455"/>
      <c r="AO40" s="455"/>
      <c r="AP40" s="455"/>
    </row>
    <row r="41" spans="1:42">
      <c r="A41" s="455"/>
      <c r="B41" s="455"/>
      <c r="C41" s="455"/>
      <c r="D41" s="455"/>
      <c r="E41" s="455"/>
      <c r="F41" s="455"/>
      <c r="G41" s="455"/>
      <c r="H41" s="455"/>
      <c r="I41" s="455"/>
      <c r="J41" s="455"/>
      <c r="K41" s="455"/>
      <c r="L41" s="455"/>
      <c r="M41" s="455"/>
      <c r="N41" s="455"/>
      <c r="O41" s="455"/>
      <c r="P41" s="455"/>
      <c r="Q41" s="455"/>
      <c r="R41" s="455"/>
      <c r="S41" s="455"/>
      <c r="T41" s="455"/>
      <c r="U41" s="455"/>
      <c r="V41" s="455"/>
      <c r="W41" s="455"/>
      <c r="X41" s="455"/>
      <c r="Y41" s="455"/>
      <c r="Z41" s="455"/>
      <c r="AA41" s="455"/>
      <c r="AB41" s="455"/>
      <c r="AC41" s="455"/>
      <c r="AD41" s="455"/>
      <c r="AE41" s="455"/>
      <c r="AF41" s="455"/>
      <c r="AG41" s="455"/>
      <c r="AH41" s="455"/>
      <c r="AI41" s="455"/>
      <c r="AJ41" s="455"/>
      <c r="AK41" s="455"/>
      <c r="AL41" s="455"/>
      <c r="AM41" s="455"/>
      <c r="AN41" s="455"/>
      <c r="AO41" s="455"/>
      <c r="AP41" s="455"/>
    </row>
    <row r="42" spans="1:42">
      <c r="A42" s="455"/>
      <c r="B42" s="455"/>
      <c r="C42" s="455"/>
      <c r="D42" s="455"/>
      <c r="E42" s="455"/>
      <c r="F42" s="455"/>
      <c r="G42" s="455"/>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c r="AL42" s="455"/>
      <c r="AM42" s="455"/>
      <c r="AN42" s="455"/>
      <c r="AO42" s="455"/>
      <c r="AP42" s="455"/>
    </row>
    <row r="43" spans="1:42">
      <c r="A43" s="455"/>
      <c r="B43" s="455"/>
      <c r="C43" s="455"/>
      <c r="D43" s="455"/>
      <c r="E43" s="455"/>
      <c r="F43" s="455"/>
      <c r="G43" s="455"/>
      <c r="H43" s="455"/>
      <c r="I43" s="455"/>
      <c r="J43" s="455"/>
      <c r="K43" s="455"/>
      <c r="L43" s="455"/>
      <c r="M43" s="455"/>
      <c r="N43" s="455"/>
      <c r="O43" s="455"/>
      <c r="P43" s="455"/>
      <c r="Q43" s="455"/>
      <c r="R43" s="455"/>
      <c r="S43" s="455"/>
      <c r="T43" s="455"/>
      <c r="U43" s="455"/>
      <c r="V43" s="455"/>
      <c r="W43" s="455"/>
      <c r="X43" s="455"/>
      <c r="Y43" s="455"/>
      <c r="Z43" s="455"/>
      <c r="AA43" s="455"/>
      <c r="AB43" s="455"/>
      <c r="AC43" s="455"/>
      <c r="AD43" s="455"/>
      <c r="AE43" s="455"/>
      <c r="AF43" s="455"/>
      <c r="AG43" s="455"/>
      <c r="AH43" s="455"/>
      <c r="AI43" s="455"/>
      <c r="AJ43" s="455"/>
      <c r="AK43" s="455"/>
      <c r="AL43" s="455"/>
      <c r="AM43" s="455"/>
      <c r="AN43" s="455"/>
      <c r="AO43" s="455"/>
      <c r="AP43" s="455"/>
    </row>
    <row r="44" spans="1:42">
      <c r="A44" s="455"/>
      <c r="B44" s="455"/>
      <c r="C44" s="455"/>
      <c r="D44" s="455"/>
      <c r="E44" s="455"/>
      <c r="F44" s="455"/>
      <c r="G44" s="455"/>
      <c r="H44" s="455"/>
      <c r="I44" s="455"/>
      <c r="J44" s="455"/>
      <c r="K44" s="455"/>
      <c r="L44" s="455"/>
      <c r="M44" s="455"/>
      <c r="N44" s="455"/>
      <c r="O44" s="455"/>
      <c r="P44" s="455"/>
      <c r="Q44" s="455"/>
      <c r="R44" s="455"/>
      <c r="S44" s="455"/>
      <c r="T44" s="455"/>
      <c r="U44" s="455"/>
      <c r="V44" s="455"/>
      <c r="W44" s="455"/>
      <c r="X44" s="455"/>
      <c r="Y44" s="455"/>
      <c r="Z44" s="455"/>
      <c r="AA44" s="455"/>
      <c r="AB44" s="455"/>
      <c r="AC44" s="455"/>
      <c r="AD44" s="455"/>
      <c r="AE44" s="455"/>
      <c r="AF44" s="455"/>
      <c r="AG44" s="455"/>
      <c r="AH44" s="455"/>
      <c r="AI44" s="455"/>
      <c r="AJ44" s="455"/>
      <c r="AK44" s="455"/>
      <c r="AL44" s="455"/>
      <c r="AM44" s="455"/>
      <c r="AN44" s="455"/>
      <c r="AO44" s="455"/>
      <c r="AP44" s="455"/>
    </row>
    <row r="45" spans="1:42">
      <c r="A45" s="455"/>
      <c r="B45" s="455"/>
      <c r="C45" s="455"/>
      <c r="D45" s="455"/>
      <c r="E45" s="455"/>
      <c r="F45" s="455"/>
      <c r="G45" s="455"/>
      <c r="H45" s="455"/>
      <c r="I45" s="455"/>
      <c r="J45" s="455"/>
      <c r="K45" s="455"/>
      <c r="L45" s="455"/>
      <c r="M45" s="455"/>
      <c r="N45" s="455"/>
      <c r="O45" s="455"/>
      <c r="P45" s="455"/>
      <c r="Q45" s="455"/>
      <c r="R45" s="455"/>
      <c r="S45" s="455"/>
      <c r="T45" s="455"/>
      <c r="U45" s="455"/>
      <c r="V45" s="455"/>
      <c r="W45" s="455"/>
      <c r="X45" s="455"/>
      <c r="Y45" s="455"/>
      <c r="Z45" s="455"/>
      <c r="AA45" s="455"/>
      <c r="AB45" s="455"/>
      <c r="AC45" s="455"/>
      <c r="AD45" s="455"/>
      <c r="AE45" s="455"/>
      <c r="AF45" s="455"/>
      <c r="AG45" s="455"/>
      <c r="AH45" s="455"/>
      <c r="AI45" s="455"/>
      <c r="AJ45" s="455"/>
      <c r="AK45" s="455"/>
      <c r="AL45" s="455"/>
      <c r="AM45" s="455"/>
      <c r="AN45" s="455"/>
      <c r="AO45" s="455"/>
      <c r="AP45" s="455"/>
    </row>
    <row r="46" spans="1:42">
      <c r="A46" s="455"/>
      <c r="B46" s="455"/>
      <c r="C46" s="455"/>
      <c r="D46" s="455"/>
      <c r="E46" s="455"/>
      <c r="F46" s="455"/>
      <c r="G46" s="455"/>
      <c r="H46" s="455"/>
      <c r="I46" s="455"/>
      <c r="J46" s="455"/>
      <c r="K46" s="455"/>
      <c r="L46" s="455"/>
      <c r="M46" s="455"/>
      <c r="N46" s="455"/>
      <c r="O46" s="455"/>
      <c r="P46" s="455"/>
      <c r="Q46" s="455"/>
      <c r="R46" s="455"/>
      <c r="S46" s="455"/>
      <c r="T46" s="455"/>
      <c r="U46" s="455"/>
      <c r="V46" s="455"/>
      <c r="W46" s="455"/>
      <c r="X46" s="455"/>
      <c r="Y46" s="455"/>
      <c r="Z46" s="455"/>
      <c r="AA46" s="455"/>
      <c r="AB46" s="455"/>
      <c r="AC46" s="455"/>
      <c r="AD46" s="455"/>
      <c r="AE46" s="455"/>
      <c r="AF46" s="455"/>
      <c r="AG46" s="455"/>
      <c r="AH46" s="455"/>
      <c r="AI46" s="455"/>
      <c r="AJ46" s="455"/>
      <c r="AK46" s="455"/>
      <c r="AL46" s="455"/>
      <c r="AM46" s="455"/>
      <c r="AN46" s="455"/>
      <c r="AO46" s="455"/>
      <c r="AP46" s="455"/>
    </row>
    <row r="47" spans="1:42">
      <c r="A47" s="455"/>
      <c r="B47" s="455"/>
      <c r="C47" s="455"/>
      <c r="D47" s="455"/>
      <c r="E47" s="455"/>
      <c r="F47" s="455"/>
      <c r="G47" s="455"/>
      <c r="H47" s="455"/>
      <c r="I47" s="455"/>
      <c r="J47" s="455"/>
      <c r="K47" s="455"/>
      <c r="L47" s="455"/>
      <c r="M47" s="455"/>
      <c r="N47" s="455"/>
      <c r="O47" s="455"/>
      <c r="P47" s="455"/>
      <c r="Q47" s="455"/>
      <c r="R47" s="455"/>
      <c r="S47" s="455"/>
      <c r="T47" s="455"/>
      <c r="U47" s="455"/>
      <c r="V47" s="455"/>
      <c r="W47" s="455"/>
      <c r="X47" s="455"/>
      <c r="Y47" s="455"/>
      <c r="Z47" s="455"/>
      <c r="AA47" s="455"/>
      <c r="AB47" s="455"/>
      <c r="AC47" s="455"/>
      <c r="AD47" s="455"/>
      <c r="AE47" s="455"/>
      <c r="AF47" s="455"/>
      <c r="AG47" s="455"/>
      <c r="AH47" s="455"/>
      <c r="AI47" s="455"/>
      <c r="AJ47" s="455"/>
      <c r="AK47" s="455"/>
      <c r="AL47" s="455"/>
      <c r="AM47" s="455"/>
      <c r="AN47" s="455"/>
      <c r="AO47" s="455"/>
      <c r="AP47" s="455"/>
    </row>
    <row r="48" spans="1:42">
      <c r="A48" s="455"/>
      <c r="B48" s="455"/>
      <c r="C48" s="455"/>
      <c r="D48" s="455"/>
      <c r="E48" s="455"/>
      <c r="F48" s="455"/>
      <c r="G48" s="455"/>
      <c r="H48" s="455"/>
      <c r="I48" s="455"/>
      <c r="J48" s="455"/>
      <c r="K48" s="455"/>
      <c r="L48" s="455"/>
      <c r="M48" s="455"/>
      <c r="N48" s="455"/>
      <c r="O48" s="455"/>
      <c r="P48" s="455"/>
      <c r="Q48" s="455"/>
      <c r="R48" s="455"/>
      <c r="S48" s="455"/>
      <c r="T48" s="455"/>
      <c r="U48" s="455"/>
      <c r="V48" s="455"/>
      <c r="W48" s="455"/>
      <c r="X48" s="455"/>
      <c r="Y48" s="455"/>
      <c r="Z48" s="455"/>
      <c r="AA48" s="455"/>
      <c r="AB48" s="455"/>
      <c r="AC48" s="455"/>
      <c r="AD48" s="455"/>
      <c r="AE48" s="455"/>
      <c r="AF48" s="455"/>
      <c r="AG48" s="455"/>
      <c r="AH48" s="455"/>
      <c r="AI48" s="455"/>
      <c r="AJ48" s="455"/>
      <c r="AK48" s="455"/>
      <c r="AL48" s="455"/>
      <c r="AM48" s="455"/>
      <c r="AN48" s="455"/>
      <c r="AO48" s="455"/>
      <c r="AP48" s="455"/>
    </row>
    <row r="49" spans="1:42">
      <c r="A49" s="455"/>
      <c r="B49" s="455"/>
      <c r="C49" s="455"/>
      <c r="D49" s="455"/>
      <c r="E49" s="455"/>
      <c r="F49" s="455"/>
      <c r="G49" s="455"/>
      <c r="H49" s="455"/>
      <c r="I49" s="455"/>
      <c r="J49" s="455"/>
      <c r="K49" s="455"/>
      <c r="L49" s="455"/>
      <c r="M49" s="455"/>
      <c r="N49" s="455"/>
      <c r="O49" s="455"/>
      <c r="P49" s="455"/>
      <c r="Q49" s="455"/>
      <c r="R49" s="455"/>
      <c r="S49" s="455"/>
      <c r="T49" s="455"/>
      <c r="U49" s="455"/>
      <c r="V49" s="455"/>
      <c r="W49" s="455"/>
      <c r="X49" s="455"/>
      <c r="Y49" s="455"/>
      <c r="Z49" s="455"/>
      <c r="AA49" s="455"/>
      <c r="AB49" s="455"/>
      <c r="AC49" s="455"/>
      <c r="AD49" s="455"/>
      <c r="AE49" s="455"/>
      <c r="AF49" s="455"/>
      <c r="AG49" s="455"/>
      <c r="AH49" s="455"/>
      <c r="AI49" s="455"/>
      <c r="AJ49" s="455"/>
      <c r="AK49" s="455"/>
      <c r="AL49" s="455"/>
      <c r="AM49" s="455"/>
      <c r="AN49" s="455"/>
      <c r="AO49" s="455"/>
      <c r="AP49" s="455"/>
    </row>
    <row r="50" spans="1:42">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row>
    <row r="51" spans="1:42">
      <c r="A51" s="455"/>
      <c r="B51" s="455"/>
      <c r="C51" s="455"/>
      <c r="D51" s="455"/>
      <c r="E51" s="455"/>
      <c r="F51" s="455"/>
      <c r="G51" s="455"/>
      <c r="H51" s="455"/>
      <c r="I51" s="455"/>
      <c r="J51" s="455"/>
      <c r="K51" s="455"/>
      <c r="L51" s="455"/>
      <c r="M51" s="455"/>
      <c r="N51" s="455"/>
      <c r="O51" s="455"/>
      <c r="P51" s="455"/>
      <c r="Q51" s="455"/>
      <c r="R51" s="455"/>
      <c r="S51" s="455"/>
      <c r="T51" s="455"/>
      <c r="U51" s="455"/>
      <c r="V51" s="455"/>
      <c r="W51" s="455"/>
      <c r="X51" s="455"/>
      <c r="Y51" s="455"/>
      <c r="Z51" s="455"/>
      <c r="AA51" s="455"/>
      <c r="AB51" s="455"/>
      <c r="AC51" s="455"/>
      <c r="AD51" s="455"/>
      <c r="AE51" s="455"/>
      <c r="AF51" s="455"/>
      <c r="AG51" s="455"/>
      <c r="AH51" s="455"/>
      <c r="AI51" s="455"/>
      <c r="AJ51" s="455"/>
      <c r="AK51" s="455"/>
      <c r="AL51" s="455"/>
      <c r="AM51" s="455"/>
      <c r="AN51" s="455"/>
      <c r="AO51" s="455"/>
      <c r="AP51" s="455"/>
    </row>
    <row r="52" spans="1:42">
      <c r="A52" s="455"/>
      <c r="B52" s="455"/>
      <c r="C52" s="455"/>
      <c r="D52" s="455"/>
      <c r="E52" s="455"/>
      <c r="F52" s="455"/>
      <c r="G52" s="455"/>
      <c r="H52" s="455"/>
      <c r="I52" s="455"/>
      <c r="J52" s="455"/>
      <c r="K52" s="455"/>
      <c r="L52" s="455"/>
      <c r="M52" s="455"/>
      <c r="N52" s="455"/>
      <c r="O52" s="455"/>
      <c r="P52" s="455"/>
      <c r="Q52" s="455"/>
      <c r="R52" s="455"/>
      <c r="S52" s="455"/>
      <c r="T52" s="455"/>
      <c r="U52" s="455"/>
      <c r="V52" s="455"/>
      <c r="W52" s="455"/>
      <c r="X52" s="455"/>
      <c r="Y52" s="455"/>
      <c r="Z52" s="455"/>
      <c r="AA52" s="455"/>
      <c r="AB52" s="455"/>
      <c r="AC52" s="455"/>
      <c r="AD52" s="455"/>
      <c r="AE52" s="455"/>
      <c r="AF52" s="455"/>
      <c r="AG52" s="455"/>
      <c r="AH52" s="455"/>
      <c r="AI52" s="455"/>
      <c r="AJ52" s="455"/>
      <c r="AK52" s="455"/>
      <c r="AL52" s="455"/>
      <c r="AM52" s="455"/>
      <c r="AN52" s="455"/>
      <c r="AO52" s="455"/>
      <c r="AP52" s="455"/>
    </row>
    <row r="53" spans="1:42">
      <c r="A53" s="455"/>
      <c r="B53" s="455"/>
      <c r="C53" s="455"/>
      <c r="D53" s="455"/>
      <c r="E53" s="455"/>
      <c r="F53" s="455"/>
      <c r="G53" s="455"/>
      <c r="H53" s="455"/>
      <c r="I53" s="455"/>
      <c r="J53" s="455"/>
      <c r="K53" s="455"/>
      <c r="L53" s="455"/>
      <c r="M53" s="455"/>
      <c r="N53" s="455"/>
      <c r="O53" s="455"/>
      <c r="P53" s="455"/>
      <c r="Q53" s="455"/>
      <c r="R53" s="455"/>
      <c r="S53" s="455"/>
      <c r="T53" s="455"/>
      <c r="U53" s="455"/>
      <c r="V53" s="455"/>
      <c r="W53" s="455"/>
      <c r="X53" s="455"/>
      <c r="Y53" s="455"/>
      <c r="Z53" s="455"/>
      <c r="AA53" s="455"/>
      <c r="AB53" s="455"/>
      <c r="AC53" s="455"/>
      <c r="AD53" s="455"/>
      <c r="AE53" s="455"/>
      <c r="AF53" s="455"/>
      <c r="AG53" s="455"/>
      <c r="AH53" s="455"/>
      <c r="AI53" s="455"/>
      <c r="AJ53" s="455"/>
      <c r="AK53" s="455"/>
      <c r="AL53" s="455"/>
      <c r="AM53" s="455"/>
      <c r="AN53" s="455"/>
      <c r="AO53" s="455"/>
      <c r="AP53" s="455"/>
    </row>
    <row r="54" spans="1:42">
      <c r="A54" s="455"/>
      <c r="B54" s="455"/>
      <c r="C54" s="455"/>
      <c r="D54" s="455"/>
      <c r="E54" s="455"/>
      <c r="F54" s="455"/>
      <c r="G54" s="455"/>
      <c r="H54" s="455"/>
      <c r="I54" s="455"/>
      <c r="J54" s="455"/>
      <c r="K54" s="455"/>
      <c r="L54" s="455"/>
      <c r="M54" s="455"/>
      <c r="N54" s="455"/>
      <c r="O54" s="455"/>
      <c r="P54" s="455"/>
      <c r="Q54" s="455"/>
      <c r="R54" s="455"/>
      <c r="S54" s="455"/>
      <c r="T54" s="455"/>
      <c r="U54" s="455"/>
      <c r="V54" s="455"/>
      <c r="W54" s="455"/>
      <c r="X54" s="455"/>
      <c r="Y54" s="455"/>
      <c r="Z54" s="455"/>
      <c r="AA54" s="455"/>
      <c r="AB54" s="455"/>
      <c r="AC54" s="455"/>
      <c r="AD54" s="455"/>
      <c r="AE54" s="455"/>
      <c r="AF54" s="455"/>
      <c r="AG54" s="455"/>
      <c r="AH54" s="455"/>
      <c r="AI54" s="455"/>
      <c r="AJ54" s="455"/>
      <c r="AK54" s="455"/>
      <c r="AL54" s="455"/>
      <c r="AM54" s="455"/>
      <c r="AN54" s="455"/>
      <c r="AO54" s="455"/>
      <c r="AP54" s="455"/>
    </row>
    <row r="55" spans="1:42">
      <c r="A55" s="455"/>
      <c r="B55" s="455"/>
      <c r="C55" s="455"/>
      <c r="D55" s="455"/>
      <c r="E55" s="455"/>
      <c r="F55" s="455"/>
      <c r="G55" s="455"/>
      <c r="H55" s="455"/>
      <c r="I55" s="455"/>
      <c r="J55" s="455"/>
      <c r="K55" s="455"/>
      <c r="L55" s="455"/>
      <c r="M55" s="455"/>
      <c r="N55" s="455"/>
      <c r="O55" s="455"/>
      <c r="P55" s="455"/>
      <c r="Q55" s="455"/>
      <c r="R55" s="455"/>
      <c r="S55" s="455"/>
      <c r="T55" s="455"/>
      <c r="U55" s="455"/>
      <c r="V55" s="455"/>
      <c r="W55" s="455"/>
      <c r="X55" s="455"/>
      <c r="Y55" s="455"/>
      <c r="Z55" s="455"/>
      <c r="AA55" s="455"/>
      <c r="AB55" s="455"/>
      <c r="AC55" s="455"/>
      <c r="AD55" s="455"/>
      <c r="AE55" s="455"/>
      <c r="AF55" s="455"/>
      <c r="AG55" s="455"/>
      <c r="AH55" s="455"/>
      <c r="AI55" s="455"/>
      <c r="AJ55" s="455"/>
      <c r="AK55" s="455"/>
      <c r="AL55" s="455"/>
      <c r="AM55" s="455"/>
      <c r="AN55" s="455"/>
      <c r="AO55" s="455"/>
      <c r="AP55" s="455"/>
    </row>
    <row r="56" spans="1:42">
      <c r="A56" s="455"/>
      <c r="B56" s="455"/>
      <c r="C56" s="455"/>
      <c r="D56" s="455"/>
      <c r="E56" s="455"/>
      <c r="F56" s="455"/>
      <c r="G56" s="455"/>
      <c r="H56" s="455"/>
      <c r="I56" s="455"/>
      <c r="J56" s="455"/>
      <c r="K56" s="455"/>
      <c r="L56" s="455"/>
      <c r="M56" s="455"/>
      <c r="N56" s="455"/>
      <c r="O56" s="455"/>
      <c r="P56" s="455"/>
      <c r="Q56" s="455"/>
      <c r="R56" s="455"/>
      <c r="S56" s="455"/>
      <c r="T56" s="455"/>
      <c r="U56" s="455"/>
      <c r="V56" s="455"/>
      <c r="W56" s="455"/>
      <c r="X56" s="455"/>
      <c r="Y56" s="455"/>
      <c r="Z56" s="455"/>
      <c r="AA56" s="455"/>
      <c r="AB56" s="455"/>
      <c r="AC56" s="455"/>
      <c r="AD56" s="455"/>
      <c r="AE56" s="455"/>
      <c r="AF56" s="455"/>
      <c r="AG56" s="455"/>
      <c r="AH56" s="455"/>
      <c r="AI56" s="455"/>
      <c r="AJ56" s="455"/>
      <c r="AK56" s="455"/>
      <c r="AL56" s="455"/>
      <c r="AM56" s="455"/>
      <c r="AN56" s="455"/>
      <c r="AO56" s="455"/>
      <c r="AP56" s="455"/>
    </row>
    <row r="57" spans="1:42">
      <c r="A57" s="455"/>
      <c r="B57" s="455"/>
      <c r="C57" s="455"/>
      <c r="D57" s="455"/>
      <c r="E57" s="455"/>
      <c r="F57" s="455"/>
      <c r="G57" s="455"/>
      <c r="H57" s="455"/>
      <c r="I57" s="455"/>
      <c r="J57" s="455"/>
      <c r="K57" s="455"/>
      <c r="L57" s="455"/>
      <c r="M57" s="455"/>
      <c r="N57" s="455"/>
      <c r="O57" s="455"/>
      <c r="P57" s="455"/>
      <c r="Q57" s="455"/>
      <c r="R57" s="455"/>
      <c r="S57" s="455"/>
      <c r="T57" s="455"/>
      <c r="U57" s="455"/>
      <c r="V57" s="455"/>
      <c r="W57" s="455"/>
      <c r="X57" s="455"/>
      <c r="Y57" s="455"/>
      <c r="Z57" s="455"/>
      <c r="AA57" s="455"/>
      <c r="AB57" s="455"/>
      <c r="AC57" s="455"/>
      <c r="AD57" s="455"/>
      <c r="AE57" s="455"/>
      <c r="AF57" s="455"/>
      <c r="AG57" s="455"/>
      <c r="AH57" s="455"/>
      <c r="AI57" s="455"/>
      <c r="AJ57" s="455"/>
      <c r="AK57" s="455"/>
      <c r="AL57" s="455"/>
      <c r="AM57" s="455"/>
      <c r="AN57" s="455"/>
      <c r="AO57" s="455"/>
      <c r="AP57" s="455"/>
    </row>
    <row r="58" spans="1:42">
      <c r="A58" s="455"/>
      <c r="B58" s="455"/>
      <c r="C58" s="455"/>
      <c r="D58" s="455"/>
      <c r="E58" s="455"/>
      <c r="F58" s="455"/>
      <c r="G58" s="455"/>
      <c r="H58" s="455"/>
      <c r="I58" s="455"/>
      <c r="J58" s="455"/>
      <c r="K58" s="455"/>
      <c r="L58" s="455"/>
      <c r="M58" s="455"/>
      <c r="N58" s="455"/>
      <c r="O58" s="455"/>
      <c r="P58" s="455"/>
      <c r="Q58" s="455"/>
      <c r="R58" s="455"/>
      <c r="S58" s="455"/>
      <c r="T58" s="455"/>
      <c r="U58" s="455"/>
      <c r="V58" s="455"/>
      <c r="W58" s="455"/>
      <c r="X58" s="455"/>
      <c r="Y58" s="455"/>
      <c r="Z58" s="455"/>
      <c r="AA58" s="455"/>
      <c r="AB58" s="455"/>
      <c r="AC58" s="455"/>
      <c r="AD58" s="455"/>
      <c r="AE58" s="455"/>
      <c r="AF58" s="455"/>
      <c r="AG58" s="455"/>
      <c r="AH58" s="455"/>
      <c r="AI58" s="455"/>
      <c r="AJ58" s="455"/>
      <c r="AK58" s="455"/>
      <c r="AL58" s="455"/>
      <c r="AM58" s="455"/>
      <c r="AN58" s="455"/>
      <c r="AO58" s="455"/>
      <c r="AP58" s="455"/>
    </row>
    <row r="59" spans="1:42">
      <c r="A59" s="455"/>
      <c r="B59" s="455"/>
      <c r="C59" s="455"/>
      <c r="D59" s="455"/>
      <c r="E59" s="455"/>
      <c r="F59" s="455"/>
      <c r="G59" s="455"/>
      <c r="H59" s="455"/>
      <c r="I59" s="455"/>
      <c r="J59" s="455"/>
      <c r="K59" s="455"/>
      <c r="L59" s="455"/>
      <c r="M59" s="455"/>
      <c r="N59" s="455"/>
      <c r="O59" s="455"/>
      <c r="P59" s="455"/>
      <c r="Q59" s="455"/>
      <c r="R59" s="455"/>
      <c r="S59" s="455"/>
      <c r="T59" s="455"/>
      <c r="U59" s="455"/>
      <c r="V59" s="455"/>
      <c r="W59" s="455"/>
      <c r="X59" s="455"/>
      <c r="Y59" s="455"/>
      <c r="Z59" s="455"/>
      <c r="AA59" s="455"/>
      <c r="AB59" s="455"/>
      <c r="AC59" s="455"/>
      <c r="AD59" s="455"/>
      <c r="AE59" s="455"/>
      <c r="AF59" s="455"/>
      <c r="AG59" s="455"/>
      <c r="AH59" s="455"/>
      <c r="AI59" s="455"/>
      <c r="AJ59" s="455"/>
      <c r="AK59" s="455"/>
      <c r="AL59" s="455"/>
      <c r="AM59" s="455"/>
      <c r="AN59" s="455"/>
      <c r="AO59" s="455"/>
      <c r="AP59" s="455"/>
    </row>
    <row r="60" spans="1:42">
      <c r="A60" s="455"/>
      <c r="B60" s="455"/>
      <c r="C60" s="455"/>
      <c r="D60" s="455"/>
      <c r="E60" s="455"/>
      <c r="F60" s="455"/>
      <c r="G60" s="455"/>
      <c r="H60" s="455"/>
      <c r="I60" s="455"/>
      <c r="J60" s="455"/>
      <c r="K60" s="455"/>
      <c r="L60" s="455"/>
      <c r="M60" s="455"/>
      <c r="N60" s="455"/>
      <c r="O60" s="455"/>
      <c r="P60" s="455"/>
      <c r="Q60" s="455"/>
      <c r="R60" s="455"/>
      <c r="S60" s="455"/>
      <c r="T60" s="455"/>
      <c r="U60" s="455"/>
      <c r="V60" s="455"/>
      <c r="W60" s="455"/>
      <c r="X60" s="455"/>
      <c r="Y60" s="455"/>
      <c r="Z60" s="455"/>
      <c r="AA60" s="455"/>
      <c r="AB60" s="455"/>
      <c r="AC60" s="455"/>
      <c r="AD60" s="455"/>
      <c r="AE60" s="455"/>
      <c r="AF60" s="455"/>
      <c r="AG60" s="455"/>
      <c r="AH60" s="455"/>
      <c r="AI60" s="455"/>
      <c r="AJ60" s="455"/>
      <c r="AK60" s="455"/>
      <c r="AL60" s="455"/>
      <c r="AM60" s="455"/>
      <c r="AN60" s="455"/>
      <c r="AO60" s="455"/>
      <c r="AP60" s="455"/>
    </row>
    <row r="61" spans="1:42">
      <c r="A61" s="455"/>
      <c r="B61" s="455"/>
      <c r="C61" s="455"/>
      <c r="D61" s="455"/>
      <c r="E61" s="455"/>
      <c r="F61" s="455"/>
      <c r="G61" s="455"/>
      <c r="H61" s="455"/>
      <c r="I61" s="455"/>
      <c r="J61" s="455"/>
      <c r="K61" s="455"/>
      <c r="L61" s="455"/>
      <c r="M61" s="455"/>
      <c r="N61" s="455"/>
      <c r="O61" s="455"/>
      <c r="P61" s="455"/>
      <c r="Q61" s="455"/>
      <c r="R61" s="455"/>
      <c r="S61" s="455"/>
      <c r="T61" s="455"/>
      <c r="U61" s="455"/>
      <c r="V61" s="455"/>
      <c r="W61" s="455"/>
      <c r="X61" s="455"/>
      <c r="Y61" s="455"/>
      <c r="Z61" s="455"/>
      <c r="AA61" s="455"/>
      <c r="AB61" s="455"/>
      <c r="AC61" s="455"/>
      <c r="AD61" s="455"/>
      <c r="AE61" s="455"/>
      <c r="AF61" s="455"/>
      <c r="AG61" s="455"/>
      <c r="AH61" s="455"/>
      <c r="AI61" s="455"/>
      <c r="AJ61" s="455"/>
      <c r="AK61" s="455"/>
      <c r="AL61" s="455"/>
      <c r="AM61" s="455"/>
      <c r="AN61" s="455"/>
      <c r="AO61" s="455"/>
      <c r="AP61" s="455"/>
    </row>
    <row r="62" spans="1:42">
      <c r="A62" s="455"/>
      <c r="B62" s="455"/>
      <c r="C62" s="455"/>
      <c r="D62" s="455"/>
      <c r="E62" s="455"/>
      <c r="F62" s="455"/>
      <c r="G62" s="455"/>
      <c r="H62" s="455"/>
      <c r="I62" s="455"/>
      <c r="J62" s="455"/>
      <c r="K62" s="455"/>
      <c r="L62" s="455"/>
      <c r="M62" s="455"/>
      <c r="N62" s="455"/>
      <c r="O62" s="455"/>
      <c r="P62" s="455"/>
      <c r="Q62" s="455"/>
      <c r="R62" s="455"/>
      <c r="S62" s="455"/>
      <c r="T62" s="455"/>
      <c r="U62" s="455"/>
      <c r="V62" s="455"/>
      <c r="W62" s="455"/>
      <c r="X62" s="455"/>
      <c r="Y62" s="455"/>
      <c r="Z62" s="455"/>
      <c r="AA62" s="455"/>
      <c r="AB62" s="455"/>
      <c r="AC62" s="455"/>
      <c r="AD62" s="455"/>
      <c r="AE62" s="455"/>
      <c r="AF62" s="455"/>
      <c r="AG62" s="455"/>
      <c r="AH62" s="455"/>
      <c r="AI62" s="455"/>
      <c r="AJ62" s="455"/>
      <c r="AK62" s="455"/>
      <c r="AL62" s="455"/>
      <c r="AM62" s="455"/>
      <c r="AN62" s="455"/>
      <c r="AO62" s="455"/>
      <c r="AP62" s="455"/>
    </row>
    <row r="63" spans="1:42">
      <c r="A63" s="455"/>
      <c r="B63" s="455"/>
      <c r="C63" s="455"/>
      <c r="D63" s="455"/>
      <c r="E63" s="455"/>
      <c r="F63" s="455"/>
      <c r="G63" s="455"/>
      <c r="H63" s="455"/>
      <c r="I63" s="455"/>
      <c r="J63" s="455"/>
      <c r="K63" s="455"/>
      <c r="L63" s="455"/>
      <c r="M63" s="455"/>
      <c r="N63" s="455"/>
      <c r="O63" s="455"/>
      <c r="P63" s="455"/>
      <c r="Q63" s="455"/>
      <c r="R63" s="455"/>
      <c r="S63" s="455"/>
      <c r="T63" s="455"/>
      <c r="U63" s="455"/>
      <c r="V63" s="455"/>
      <c r="W63" s="455"/>
      <c r="X63" s="455"/>
      <c r="Y63" s="455"/>
      <c r="Z63" s="455"/>
      <c r="AA63" s="455"/>
      <c r="AB63" s="455"/>
      <c r="AC63" s="455"/>
      <c r="AD63" s="455"/>
      <c r="AE63" s="455"/>
      <c r="AF63" s="455"/>
      <c r="AG63" s="455"/>
      <c r="AH63" s="455"/>
      <c r="AI63" s="455"/>
      <c r="AJ63" s="455"/>
      <c r="AK63" s="455"/>
      <c r="AL63" s="455"/>
      <c r="AM63" s="455"/>
      <c r="AN63" s="455"/>
      <c r="AO63" s="455"/>
      <c r="AP63" s="455"/>
    </row>
    <row r="64" spans="1:42">
      <c r="A64" s="455"/>
      <c r="B64" s="455"/>
      <c r="C64" s="455"/>
      <c r="D64" s="455"/>
      <c r="E64" s="455"/>
      <c r="F64" s="455"/>
      <c r="G64" s="455"/>
      <c r="H64" s="455"/>
      <c r="I64" s="455"/>
      <c r="J64" s="455"/>
      <c r="K64" s="455"/>
      <c r="L64" s="455"/>
      <c r="M64" s="455"/>
      <c r="N64" s="455"/>
      <c r="O64" s="455"/>
      <c r="P64" s="455"/>
      <c r="Q64" s="455"/>
      <c r="R64" s="455"/>
      <c r="S64" s="455"/>
      <c r="T64" s="455"/>
      <c r="U64" s="455"/>
      <c r="V64" s="455"/>
      <c r="W64" s="455"/>
      <c r="X64" s="455"/>
      <c r="Y64" s="455"/>
      <c r="Z64" s="455"/>
      <c r="AA64" s="455"/>
      <c r="AB64" s="455"/>
      <c r="AC64" s="455"/>
      <c r="AD64" s="455"/>
      <c r="AE64" s="455"/>
      <c r="AF64" s="455"/>
      <c r="AG64" s="455"/>
      <c r="AH64" s="455"/>
      <c r="AI64" s="455"/>
      <c r="AJ64" s="455"/>
      <c r="AK64" s="455"/>
      <c r="AL64" s="455"/>
      <c r="AM64" s="455"/>
      <c r="AN64" s="455"/>
      <c r="AO64" s="455"/>
      <c r="AP64" s="455"/>
    </row>
    <row r="65" spans="1:42">
      <c r="A65" s="455"/>
      <c r="B65" s="455"/>
      <c r="C65" s="455"/>
      <c r="D65" s="455"/>
      <c r="E65" s="455"/>
      <c r="F65" s="455"/>
      <c r="G65" s="455"/>
      <c r="H65" s="455"/>
      <c r="I65" s="455"/>
      <c r="J65" s="455"/>
      <c r="K65" s="455"/>
      <c r="L65" s="455"/>
      <c r="M65" s="455"/>
      <c r="N65" s="455"/>
      <c r="O65" s="455"/>
      <c r="P65" s="455"/>
      <c r="Q65" s="455"/>
      <c r="R65" s="455"/>
      <c r="S65" s="455"/>
      <c r="T65" s="455"/>
      <c r="U65" s="455"/>
      <c r="V65" s="455"/>
      <c r="W65" s="455"/>
      <c r="X65" s="455"/>
      <c r="Y65" s="455"/>
      <c r="Z65" s="455"/>
      <c r="AA65" s="455"/>
      <c r="AB65" s="455"/>
      <c r="AC65" s="455"/>
      <c r="AD65" s="455"/>
      <c r="AE65" s="455"/>
      <c r="AF65" s="455"/>
      <c r="AG65" s="455"/>
      <c r="AH65" s="455"/>
      <c r="AI65" s="455"/>
      <c r="AJ65" s="455"/>
      <c r="AK65" s="455"/>
      <c r="AL65" s="455"/>
      <c r="AM65" s="455"/>
      <c r="AN65" s="455"/>
      <c r="AO65" s="455"/>
      <c r="AP65" s="455"/>
    </row>
    <row r="66" spans="1:42">
      <c r="A66" s="455"/>
      <c r="B66" s="455"/>
      <c r="C66" s="455"/>
      <c r="D66" s="455"/>
      <c r="E66" s="455"/>
      <c r="F66" s="455"/>
      <c r="G66" s="455"/>
      <c r="H66" s="455"/>
      <c r="I66" s="455"/>
      <c r="J66" s="455"/>
      <c r="K66" s="455"/>
      <c r="L66" s="455"/>
      <c r="M66" s="455"/>
      <c r="N66" s="455"/>
      <c r="O66" s="455"/>
      <c r="P66" s="455"/>
      <c r="Q66" s="455"/>
      <c r="R66" s="455"/>
      <c r="S66" s="455"/>
      <c r="T66" s="455"/>
      <c r="U66" s="455"/>
      <c r="V66" s="455"/>
      <c r="W66" s="455"/>
      <c r="X66" s="455"/>
      <c r="Y66" s="455"/>
      <c r="Z66" s="455"/>
      <c r="AA66" s="455"/>
      <c r="AB66" s="455"/>
      <c r="AC66" s="455"/>
      <c r="AD66" s="455"/>
      <c r="AE66" s="455"/>
      <c r="AF66" s="455"/>
      <c r="AG66" s="455"/>
      <c r="AH66" s="455"/>
      <c r="AI66" s="455"/>
      <c r="AJ66" s="455"/>
      <c r="AK66" s="455"/>
      <c r="AL66" s="455"/>
      <c r="AM66" s="455"/>
      <c r="AN66" s="455"/>
      <c r="AO66" s="455"/>
      <c r="AP66" s="455"/>
    </row>
    <row r="67" spans="1:42">
      <c r="A67" s="455"/>
      <c r="B67" s="455"/>
      <c r="C67" s="455"/>
      <c r="D67" s="455"/>
      <c r="E67" s="455"/>
      <c r="F67" s="455"/>
      <c r="G67" s="455"/>
      <c r="H67" s="455"/>
      <c r="I67" s="455"/>
      <c r="J67" s="455"/>
      <c r="K67" s="455"/>
      <c r="L67" s="455"/>
      <c r="M67" s="455"/>
      <c r="N67" s="455"/>
      <c r="O67" s="455"/>
      <c r="P67" s="455"/>
      <c r="Q67" s="455"/>
      <c r="R67" s="455"/>
      <c r="S67" s="455"/>
      <c r="T67" s="455"/>
      <c r="U67" s="455"/>
      <c r="V67" s="455"/>
      <c r="W67" s="455"/>
      <c r="X67" s="455"/>
      <c r="Y67" s="455"/>
      <c r="Z67" s="455"/>
      <c r="AA67" s="455"/>
      <c r="AB67" s="455"/>
      <c r="AC67" s="455"/>
      <c r="AD67" s="455"/>
      <c r="AE67" s="455"/>
      <c r="AF67" s="455"/>
      <c r="AG67" s="455"/>
      <c r="AH67" s="455"/>
      <c r="AI67" s="455"/>
      <c r="AJ67" s="455"/>
      <c r="AK67" s="455"/>
      <c r="AL67" s="455"/>
      <c r="AM67" s="455"/>
      <c r="AN67" s="455"/>
      <c r="AO67" s="455"/>
      <c r="AP67" s="455"/>
    </row>
    <row r="68" spans="1:42">
      <c r="A68" s="455"/>
      <c r="B68" s="455"/>
      <c r="C68" s="455"/>
      <c r="D68" s="455"/>
      <c r="E68" s="455"/>
      <c r="F68" s="455"/>
      <c r="G68" s="455"/>
      <c r="H68" s="455"/>
      <c r="I68" s="455"/>
      <c r="J68" s="455"/>
      <c r="K68" s="455"/>
      <c r="L68" s="455"/>
      <c r="M68" s="455"/>
      <c r="N68" s="455"/>
      <c r="O68" s="455"/>
      <c r="P68" s="455"/>
      <c r="Q68" s="455"/>
      <c r="R68" s="455"/>
      <c r="S68" s="455"/>
      <c r="T68" s="455"/>
      <c r="U68" s="455"/>
      <c r="V68" s="455"/>
      <c r="W68" s="455"/>
      <c r="X68" s="455"/>
      <c r="Y68" s="455"/>
      <c r="Z68" s="455"/>
      <c r="AA68" s="455"/>
      <c r="AB68" s="455"/>
      <c r="AC68" s="455"/>
      <c r="AD68" s="455"/>
      <c r="AE68" s="455"/>
      <c r="AF68" s="455"/>
      <c r="AG68" s="455"/>
      <c r="AH68" s="455"/>
      <c r="AI68" s="455"/>
      <c r="AJ68" s="455"/>
      <c r="AK68" s="455"/>
      <c r="AL68" s="455"/>
      <c r="AM68" s="455"/>
      <c r="AN68" s="455"/>
      <c r="AO68" s="455"/>
      <c r="AP68" s="455"/>
    </row>
    <row r="69" spans="1:42">
      <c r="A69" s="455"/>
      <c r="B69" s="455"/>
      <c r="C69" s="455"/>
      <c r="D69" s="455"/>
      <c r="E69" s="455"/>
      <c r="F69" s="455"/>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c r="AL69" s="455"/>
      <c r="AM69" s="455"/>
      <c r="AN69" s="455"/>
      <c r="AO69" s="455"/>
      <c r="AP69" s="455"/>
    </row>
    <row r="70" spans="1:42">
      <c r="A70" s="455"/>
      <c r="B70" s="455"/>
      <c r="C70" s="455"/>
      <c r="D70" s="455"/>
      <c r="E70" s="455"/>
      <c r="F70" s="455"/>
      <c r="G70" s="455"/>
      <c r="H70" s="455"/>
      <c r="I70" s="455"/>
      <c r="J70" s="455"/>
      <c r="K70" s="455"/>
      <c r="L70" s="455"/>
      <c r="M70" s="455"/>
      <c r="N70" s="455"/>
      <c r="O70" s="455"/>
      <c r="P70" s="455"/>
      <c r="Q70" s="455"/>
      <c r="R70" s="455"/>
      <c r="S70" s="455"/>
      <c r="T70" s="455"/>
      <c r="U70" s="455"/>
      <c r="V70" s="455"/>
      <c r="W70" s="455"/>
      <c r="X70" s="455"/>
      <c r="Y70" s="455"/>
      <c r="Z70" s="455"/>
      <c r="AA70" s="455"/>
      <c r="AB70" s="455"/>
      <c r="AC70" s="455"/>
      <c r="AD70" s="455"/>
      <c r="AE70" s="455"/>
      <c r="AF70" s="455"/>
      <c r="AG70" s="455"/>
      <c r="AH70" s="455"/>
      <c r="AI70" s="455"/>
      <c r="AJ70" s="455"/>
      <c r="AK70" s="455"/>
      <c r="AL70" s="455"/>
      <c r="AM70" s="455"/>
      <c r="AN70" s="455"/>
      <c r="AO70" s="455"/>
      <c r="AP70" s="455"/>
    </row>
    <row r="71" spans="1:42">
      <c r="A71" s="455"/>
      <c r="B71" s="455"/>
      <c r="C71" s="455"/>
      <c r="D71" s="455"/>
      <c r="E71" s="455"/>
      <c r="F71" s="455"/>
      <c r="G71" s="455"/>
      <c r="H71" s="455"/>
      <c r="I71" s="455"/>
      <c r="J71" s="455"/>
      <c r="K71" s="455"/>
      <c r="L71" s="455"/>
      <c r="M71" s="455"/>
      <c r="N71" s="455"/>
      <c r="O71" s="455"/>
      <c r="P71" s="455"/>
      <c r="Q71" s="455"/>
      <c r="R71" s="455"/>
      <c r="S71" s="455"/>
      <c r="T71" s="455"/>
      <c r="U71" s="455"/>
      <c r="V71" s="455"/>
      <c r="W71" s="455"/>
      <c r="X71" s="455"/>
      <c r="Y71" s="455"/>
      <c r="Z71" s="455"/>
      <c r="AA71" s="455"/>
      <c r="AB71" s="455"/>
      <c r="AC71" s="455"/>
      <c r="AD71" s="455"/>
      <c r="AE71" s="455"/>
      <c r="AF71" s="455"/>
      <c r="AG71" s="455"/>
      <c r="AH71" s="455"/>
      <c r="AI71" s="455"/>
      <c r="AJ71" s="455"/>
      <c r="AK71" s="455"/>
      <c r="AL71" s="455"/>
      <c r="AM71" s="455"/>
      <c r="AN71" s="455"/>
      <c r="AO71" s="455"/>
      <c r="AP71" s="455"/>
    </row>
    <row r="72" spans="1:42">
      <c r="A72" s="455"/>
      <c r="B72" s="455"/>
      <c r="C72" s="455"/>
      <c r="D72" s="455"/>
      <c r="E72" s="455"/>
      <c r="F72" s="455"/>
      <c r="G72" s="455"/>
      <c r="H72" s="455"/>
      <c r="I72" s="455"/>
      <c r="J72" s="455"/>
      <c r="K72" s="455"/>
      <c r="L72" s="455"/>
      <c r="M72" s="455"/>
      <c r="N72" s="455"/>
      <c r="O72" s="455"/>
      <c r="P72" s="455"/>
      <c r="Q72" s="455"/>
      <c r="R72" s="455"/>
      <c r="S72" s="455"/>
      <c r="T72" s="455"/>
      <c r="U72" s="455"/>
      <c r="V72" s="455"/>
      <c r="W72" s="455"/>
      <c r="X72" s="455"/>
      <c r="Y72" s="455"/>
      <c r="Z72" s="455"/>
      <c r="AA72" s="455"/>
      <c r="AB72" s="455"/>
      <c r="AC72" s="455"/>
      <c r="AD72" s="455"/>
      <c r="AE72" s="455"/>
      <c r="AF72" s="455"/>
      <c r="AG72" s="455"/>
      <c r="AH72" s="455"/>
      <c r="AI72" s="455"/>
      <c r="AJ72" s="455"/>
      <c r="AK72" s="455"/>
      <c r="AL72" s="455"/>
      <c r="AM72" s="455"/>
      <c r="AN72" s="455"/>
      <c r="AO72" s="455"/>
      <c r="AP72" s="455"/>
    </row>
    <row r="73" spans="1:42">
      <c r="A73" s="455"/>
      <c r="B73" s="455"/>
      <c r="C73" s="455"/>
      <c r="D73" s="455"/>
      <c r="E73" s="455"/>
      <c r="F73" s="455"/>
      <c r="G73" s="455"/>
      <c r="H73" s="455"/>
      <c r="I73" s="455"/>
      <c r="J73" s="455"/>
      <c r="K73" s="455"/>
      <c r="L73" s="455"/>
      <c r="M73" s="455"/>
      <c r="N73" s="455"/>
      <c r="O73" s="455"/>
      <c r="P73" s="455"/>
      <c r="Q73" s="455"/>
      <c r="R73" s="455"/>
      <c r="S73" s="455"/>
      <c r="T73" s="455"/>
      <c r="U73" s="455"/>
      <c r="V73" s="455"/>
      <c r="W73" s="455"/>
      <c r="X73" s="455"/>
      <c r="Y73" s="455"/>
      <c r="Z73" s="455"/>
      <c r="AA73" s="455"/>
      <c r="AB73" s="455"/>
      <c r="AC73" s="455"/>
      <c r="AD73" s="455"/>
      <c r="AE73" s="455"/>
      <c r="AF73" s="455"/>
      <c r="AG73" s="455"/>
      <c r="AH73" s="455"/>
      <c r="AI73" s="455"/>
      <c r="AJ73" s="455"/>
      <c r="AK73" s="455"/>
      <c r="AL73" s="455"/>
      <c r="AM73" s="455"/>
      <c r="AN73" s="455"/>
      <c r="AO73" s="455"/>
      <c r="AP73" s="455"/>
    </row>
    <row r="74" spans="1:42">
      <c r="A74" s="455"/>
      <c r="B74" s="455"/>
      <c r="C74" s="455"/>
      <c r="D74" s="455"/>
      <c r="E74" s="455"/>
      <c r="F74" s="455"/>
      <c r="G74" s="455"/>
      <c r="H74" s="455"/>
      <c r="I74" s="455"/>
      <c r="J74" s="455"/>
      <c r="K74" s="455"/>
      <c r="L74" s="455"/>
      <c r="M74" s="455"/>
      <c r="N74" s="455"/>
      <c r="O74" s="455"/>
      <c r="P74" s="455"/>
      <c r="Q74" s="455"/>
      <c r="R74" s="455"/>
      <c r="S74" s="455"/>
      <c r="T74" s="455"/>
      <c r="U74" s="455"/>
      <c r="V74" s="455"/>
      <c r="W74" s="455"/>
      <c r="X74" s="455"/>
      <c r="Y74" s="455"/>
      <c r="Z74" s="455"/>
      <c r="AA74" s="455"/>
      <c r="AB74" s="455"/>
      <c r="AC74" s="455"/>
      <c r="AD74" s="455"/>
      <c r="AE74" s="455"/>
      <c r="AF74" s="455"/>
      <c r="AG74" s="455"/>
      <c r="AH74" s="455"/>
      <c r="AI74" s="455"/>
      <c r="AJ74" s="455"/>
      <c r="AK74" s="455"/>
      <c r="AL74" s="455"/>
      <c r="AM74" s="455"/>
      <c r="AN74" s="455"/>
      <c r="AO74" s="455"/>
      <c r="AP74" s="455"/>
    </row>
    <row r="75" spans="1:42">
      <c r="A75" s="455"/>
      <c r="B75" s="455"/>
      <c r="C75" s="455"/>
      <c r="D75" s="455"/>
      <c r="E75" s="455"/>
      <c r="F75" s="455"/>
      <c r="G75" s="455"/>
      <c r="H75" s="455"/>
      <c r="I75" s="455"/>
      <c r="J75" s="455"/>
      <c r="K75" s="455"/>
      <c r="L75" s="455"/>
      <c r="M75" s="455"/>
      <c r="N75" s="455"/>
      <c r="O75" s="455"/>
      <c r="P75" s="455"/>
      <c r="Q75" s="455"/>
      <c r="R75" s="455"/>
      <c r="S75" s="455"/>
      <c r="T75" s="455"/>
      <c r="U75" s="455"/>
      <c r="V75" s="455"/>
      <c r="W75" s="455"/>
      <c r="X75" s="455"/>
      <c r="Y75" s="455"/>
      <c r="Z75" s="455"/>
      <c r="AA75" s="455"/>
      <c r="AB75" s="455"/>
      <c r="AC75" s="455"/>
      <c r="AD75" s="455"/>
      <c r="AE75" s="455"/>
      <c r="AF75" s="455"/>
      <c r="AG75" s="455"/>
      <c r="AH75" s="455"/>
      <c r="AI75" s="455"/>
      <c r="AJ75" s="455"/>
      <c r="AK75" s="455"/>
      <c r="AL75" s="455"/>
      <c r="AM75" s="455"/>
      <c r="AN75" s="455"/>
      <c r="AO75" s="455"/>
      <c r="AP75" s="455"/>
    </row>
    <row r="76" spans="1:42">
      <c r="A76" s="455"/>
      <c r="B76" s="455"/>
      <c r="C76" s="455"/>
      <c r="D76" s="455"/>
      <c r="E76" s="455"/>
      <c r="F76" s="455"/>
      <c r="G76" s="455"/>
      <c r="H76" s="455"/>
      <c r="I76" s="455"/>
      <c r="J76" s="455"/>
      <c r="K76" s="455"/>
      <c r="L76" s="455"/>
      <c r="M76" s="455"/>
      <c r="N76" s="455"/>
      <c r="O76" s="455"/>
      <c r="P76" s="455"/>
      <c r="Q76" s="455"/>
      <c r="R76" s="455"/>
      <c r="S76" s="455"/>
      <c r="T76" s="455"/>
      <c r="U76" s="455"/>
      <c r="V76" s="455"/>
      <c r="W76" s="455"/>
      <c r="X76" s="455"/>
      <c r="Y76" s="455"/>
      <c r="Z76" s="455"/>
      <c r="AA76" s="455"/>
      <c r="AB76" s="455"/>
      <c r="AC76" s="455"/>
      <c r="AD76" s="455"/>
      <c r="AE76" s="455"/>
      <c r="AF76" s="455"/>
      <c r="AG76" s="455"/>
      <c r="AH76" s="455"/>
      <c r="AI76" s="455"/>
      <c r="AJ76" s="455"/>
      <c r="AK76" s="455"/>
      <c r="AL76" s="455"/>
      <c r="AM76" s="455"/>
      <c r="AN76" s="455"/>
      <c r="AO76" s="455"/>
      <c r="AP76" s="455"/>
    </row>
    <row r="77" spans="1:42">
      <c r="A77" s="455"/>
      <c r="B77" s="455"/>
      <c r="C77" s="455"/>
      <c r="D77" s="455"/>
      <c r="E77" s="455"/>
      <c r="F77" s="455"/>
      <c r="G77" s="455"/>
      <c r="H77" s="455"/>
      <c r="I77" s="455"/>
      <c r="J77" s="455"/>
      <c r="K77" s="455"/>
      <c r="L77" s="455"/>
      <c r="M77" s="455"/>
      <c r="N77" s="455"/>
      <c r="O77" s="455"/>
      <c r="P77" s="455"/>
      <c r="Q77" s="455"/>
      <c r="R77" s="455"/>
      <c r="S77" s="455"/>
      <c r="T77" s="455"/>
      <c r="U77" s="455"/>
      <c r="V77" s="455"/>
      <c r="W77" s="455"/>
      <c r="X77" s="455"/>
      <c r="Y77" s="455"/>
      <c r="Z77" s="455"/>
      <c r="AA77" s="455"/>
      <c r="AB77" s="455"/>
      <c r="AC77" s="455"/>
      <c r="AD77" s="455"/>
      <c r="AE77" s="455"/>
      <c r="AF77" s="455"/>
      <c r="AG77" s="455"/>
      <c r="AH77" s="455"/>
      <c r="AI77" s="455"/>
      <c r="AJ77" s="455"/>
      <c r="AK77" s="455"/>
      <c r="AL77" s="455"/>
      <c r="AM77" s="455"/>
      <c r="AN77" s="455"/>
      <c r="AO77" s="455"/>
      <c r="AP77" s="455"/>
    </row>
    <row r="78" spans="1:42">
      <c r="A78" s="455"/>
      <c r="B78" s="455"/>
      <c r="C78" s="455"/>
      <c r="D78" s="455"/>
      <c r="E78" s="455"/>
      <c r="F78" s="455"/>
      <c r="G78" s="455"/>
      <c r="H78" s="455"/>
      <c r="I78" s="455"/>
      <c r="J78" s="455"/>
      <c r="K78" s="455"/>
      <c r="L78" s="455"/>
      <c r="M78" s="455"/>
      <c r="N78" s="455"/>
      <c r="O78" s="455"/>
      <c r="P78" s="455"/>
      <c r="Q78" s="455"/>
      <c r="R78" s="455"/>
      <c r="S78" s="455"/>
      <c r="T78" s="455"/>
      <c r="U78" s="455"/>
      <c r="V78" s="455"/>
      <c r="W78" s="455"/>
      <c r="X78" s="455"/>
      <c r="Y78" s="455"/>
      <c r="Z78" s="455"/>
      <c r="AA78" s="455"/>
      <c r="AB78" s="455"/>
      <c r="AC78" s="455"/>
      <c r="AD78" s="455"/>
      <c r="AE78" s="455"/>
      <c r="AF78" s="455"/>
      <c r="AG78" s="455"/>
      <c r="AH78" s="455"/>
      <c r="AI78" s="455"/>
      <c r="AJ78" s="455"/>
      <c r="AK78" s="455"/>
      <c r="AL78" s="455"/>
      <c r="AM78" s="455"/>
      <c r="AN78" s="455"/>
      <c r="AO78" s="455"/>
      <c r="AP78" s="455"/>
    </row>
    <row r="79" spans="1:42">
      <c r="A79" s="455"/>
      <c r="B79" s="455"/>
      <c r="C79" s="455"/>
      <c r="D79" s="455"/>
      <c r="E79" s="455"/>
      <c r="F79" s="455"/>
      <c r="G79" s="455"/>
      <c r="H79" s="455"/>
      <c r="I79" s="455"/>
      <c r="J79" s="455"/>
      <c r="K79" s="455"/>
      <c r="L79" s="455"/>
      <c r="M79" s="455"/>
      <c r="N79" s="455"/>
      <c r="O79" s="455"/>
      <c r="P79" s="455"/>
      <c r="Q79" s="455"/>
      <c r="R79" s="455"/>
      <c r="S79" s="455"/>
      <c r="T79" s="455"/>
      <c r="U79" s="455"/>
      <c r="V79" s="455"/>
      <c r="W79" s="455"/>
      <c r="X79" s="455"/>
      <c r="Y79" s="455"/>
      <c r="Z79" s="455"/>
      <c r="AA79" s="455"/>
      <c r="AB79" s="455"/>
      <c r="AC79" s="455"/>
      <c r="AD79" s="455"/>
      <c r="AE79" s="455"/>
      <c r="AF79" s="455"/>
      <c r="AG79" s="455"/>
      <c r="AH79" s="455"/>
      <c r="AI79" s="455"/>
      <c r="AJ79" s="455"/>
      <c r="AK79" s="455"/>
      <c r="AL79" s="455"/>
      <c r="AM79" s="455"/>
      <c r="AN79" s="455"/>
      <c r="AO79" s="455"/>
      <c r="AP79" s="455"/>
    </row>
    <row r="80" spans="1:42">
      <c r="A80" s="455"/>
      <c r="B80" s="455"/>
      <c r="C80" s="455"/>
      <c r="D80" s="455"/>
      <c r="E80" s="455"/>
      <c r="F80" s="455"/>
      <c r="G80" s="455"/>
      <c r="H80" s="455"/>
      <c r="I80" s="455"/>
      <c r="J80" s="455"/>
      <c r="K80" s="455"/>
      <c r="L80" s="455"/>
      <c r="M80" s="455"/>
      <c r="N80" s="455"/>
      <c r="O80" s="455"/>
      <c r="P80" s="455"/>
      <c r="Q80" s="455"/>
      <c r="R80" s="455"/>
      <c r="S80" s="455"/>
      <c r="T80" s="455"/>
      <c r="U80" s="455"/>
      <c r="V80" s="455"/>
      <c r="W80" s="455"/>
      <c r="X80" s="455"/>
      <c r="Y80" s="455"/>
      <c r="Z80" s="455"/>
      <c r="AA80" s="455"/>
      <c r="AB80" s="455"/>
      <c r="AC80" s="455"/>
      <c r="AD80" s="455"/>
      <c r="AE80" s="455"/>
      <c r="AF80" s="455"/>
      <c r="AG80" s="455"/>
      <c r="AH80" s="455"/>
      <c r="AI80" s="455"/>
      <c r="AJ80" s="455"/>
      <c r="AK80" s="455"/>
      <c r="AL80" s="455"/>
      <c r="AM80" s="455"/>
      <c r="AN80" s="455"/>
      <c r="AO80" s="455"/>
      <c r="AP80" s="455"/>
    </row>
  </sheetData>
  <sheetProtection algorithmName="SHA-512" hashValue="mfdtlYV6zZCf5KlzQM3yGdT4elHM+DMJtGdTtqtH8Wpbll3DXwnvtxumuDErWByPY7GPMd90qoypVLNRNgZsmw==" saltValue="/TB4QhFye0wC7HRrUI7E0Q==" spinCount="100000" sheet="1" objects="1" scenarios="1"/>
  <mergeCells count="3">
    <mergeCell ref="AJ17:AL17"/>
    <mergeCell ref="AJ18:AL18"/>
    <mergeCell ref="AJ19:AL19"/>
  </mergeCells>
  <pageMargins left="0.7" right="0.7" top="0.75" bottom="0.75" header="0.3" footer="0.3"/>
  <pageSetup paperSize="9" scale="48" orientation="landscape" r:id="rId1"/>
  <headerFooter>
    <oddFooter>&amp;LNova Scotia Exploration Economics Model&amp;Rwww.indeva.com</oddFooter>
  </headerFooter>
  <colBreaks count="1" manualBreakCount="1">
    <brk id="28"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pageSetUpPr fitToPage="1"/>
  </sheetPr>
  <dimension ref="A1:AL75"/>
  <sheetViews>
    <sheetView showGridLines="0" showRowColHeaders="0" topLeftCell="A5" zoomScale="80" zoomScaleNormal="80" workbookViewId="0">
      <selection activeCell="D24" sqref="D24"/>
    </sheetView>
  </sheetViews>
  <sheetFormatPr defaultRowHeight="14.5"/>
  <cols>
    <col min="1" max="1" width="33.81640625" customWidth="1"/>
    <col min="2" max="2" width="27.81640625" customWidth="1"/>
    <col min="3" max="3" width="18.1796875" customWidth="1"/>
    <col min="4" max="4" width="27.26953125" customWidth="1"/>
    <col min="5" max="15" width="14.54296875" customWidth="1"/>
    <col min="17" max="17" width="11.54296875" customWidth="1"/>
    <col min="18" max="18" width="25" customWidth="1"/>
    <col min="19" max="19" width="9.81640625" bestFit="1" customWidth="1"/>
    <col min="20" max="20" width="11" bestFit="1" customWidth="1"/>
  </cols>
  <sheetData>
    <row r="1" spans="1:38" hidden="1">
      <c r="D1" s="15" t="s">
        <v>110</v>
      </c>
      <c r="E1" s="16" t="str">
        <f>Input!B9</f>
        <v>Development Start</v>
      </c>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row>
    <row r="2" spans="1:38" hidden="1">
      <c r="D2" s="15" t="s">
        <v>111</v>
      </c>
      <c r="E2" s="16">
        <f>Input!B12*'Sensitivity Ranges'!F41</f>
        <v>290</v>
      </c>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row>
    <row r="3" spans="1:38" hidden="1">
      <c r="D3" s="15" t="s">
        <v>112</v>
      </c>
      <c r="E3" s="16">
        <f>Input!B24</f>
        <v>4500</v>
      </c>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row>
    <row r="4" spans="1:38" hidden="1">
      <c r="D4" s="15" t="s">
        <v>72</v>
      </c>
      <c r="E4" s="16" t="str">
        <f>Input!B5</f>
        <v>Scenario 2 : Base +1.5% /y</v>
      </c>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row>
    <row r="5" spans="1:38" ht="21">
      <c r="A5" s="330" t="str">
        <f>Input!B8</f>
        <v>Prospect X</v>
      </c>
      <c r="B5" s="331"/>
      <c r="C5" s="143" t="s">
        <v>768</v>
      </c>
      <c r="D5" s="330" t="str">
        <f>"Economic Thresholds for Different Project Maturities : NPV @ "&amp;FIXED(Input!B3*100,1)&amp;" %"</f>
        <v>Economic Thresholds for Different Project Maturities : NPV @ 10.0 %</v>
      </c>
      <c r="E5" s="22"/>
      <c r="F5" s="22"/>
      <c r="G5" s="22"/>
      <c r="H5" s="22"/>
      <c r="I5" s="22"/>
      <c r="J5" s="22"/>
      <c r="K5" s="22"/>
      <c r="L5" s="22"/>
      <c r="M5" s="22"/>
      <c r="N5" s="22"/>
      <c r="O5" s="22"/>
      <c r="P5" s="332"/>
      <c r="Q5" s="22"/>
      <c r="R5" s="333"/>
      <c r="S5" s="333"/>
      <c r="T5" s="333"/>
      <c r="U5" s="333"/>
      <c r="V5" s="333"/>
      <c r="W5" s="333"/>
      <c r="X5" s="22"/>
      <c r="Y5" s="22"/>
      <c r="Z5" s="22"/>
      <c r="AA5" s="22"/>
      <c r="AB5" s="22"/>
      <c r="AC5" s="22"/>
      <c r="AD5" s="22"/>
      <c r="AE5" s="22"/>
      <c r="AF5" s="22"/>
      <c r="AG5" s="22"/>
      <c r="AH5" s="22"/>
      <c r="AI5" s="22"/>
      <c r="AJ5" s="22"/>
      <c r="AK5" s="22"/>
      <c r="AL5" s="22"/>
    </row>
    <row r="6" spans="1:38" ht="21">
      <c r="A6" s="557" t="s">
        <v>1</v>
      </c>
      <c r="B6" s="558"/>
      <c r="C6" s="143" t="s">
        <v>143</v>
      </c>
      <c r="D6" s="330"/>
      <c r="E6" s="22"/>
      <c r="F6" s="22"/>
      <c r="G6" s="22"/>
      <c r="H6" s="22"/>
      <c r="I6" s="22"/>
      <c r="J6" s="22"/>
      <c r="K6" s="22"/>
      <c r="L6" s="22"/>
      <c r="M6" s="22"/>
      <c r="N6" s="22"/>
      <c r="O6" s="22"/>
      <c r="P6" s="332"/>
      <c r="Q6" s="22"/>
      <c r="R6" s="333"/>
      <c r="S6" s="333"/>
      <c r="T6" s="333"/>
      <c r="U6" s="333"/>
      <c r="V6" s="333"/>
      <c r="W6" s="333"/>
      <c r="X6" s="22"/>
      <c r="Y6" s="22"/>
      <c r="Z6" s="22"/>
      <c r="AA6" s="22"/>
      <c r="AB6" s="22"/>
      <c r="AC6" s="22"/>
      <c r="AD6" s="22"/>
      <c r="AE6" s="22"/>
      <c r="AF6" s="22"/>
      <c r="AG6" s="22"/>
      <c r="AH6" s="22"/>
      <c r="AI6" s="22"/>
      <c r="AJ6" s="22"/>
      <c r="AK6" s="22"/>
      <c r="AL6" s="22"/>
    </row>
    <row r="7" spans="1:38" ht="17.25" customHeight="1">
      <c r="A7" s="299" t="s">
        <v>64</v>
      </c>
      <c r="B7" s="321">
        <f>Input!B3</f>
        <v>0.1</v>
      </c>
      <c r="C7" s="22"/>
      <c r="D7" s="122">
        <f>ROUNDUP(J8/7/IF(J8&gt;=1000,100,10),0)*IF(J8&gt;=1000,100,10)</f>
        <v>50</v>
      </c>
      <c r="E7" s="334" t="str">
        <f>"Reserves ("&amp;IF(B23="Gas","bcf","mmbbl")&amp;")"</f>
        <v>Reserves (mmbbl)</v>
      </c>
      <c r="F7" s="335"/>
      <c r="G7" s="335"/>
      <c r="H7" s="335"/>
      <c r="I7" s="335"/>
      <c r="J7" s="335"/>
      <c r="K7" s="335"/>
      <c r="L7" s="22"/>
      <c r="M7" s="22"/>
      <c r="N7" s="22"/>
      <c r="O7" s="335"/>
      <c r="P7" s="22"/>
      <c r="Q7" s="22"/>
      <c r="R7" s="22"/>
      <c r="S7" s="22"/>
      <c r="T7" s="22"/>
      <c r="U7" s="22"/>
      <c r="V7" s="22"/>
      <c r="W7" s="22"/>
      <c r="X7" s="22"/>
      <c r="Y7" s="22"/>
      <c r="Z7" s="22"/>
      <c r="AA7" s="22"/>
      <c r="AB7" s="22"/>
      <c r="AC7" s="22"/>
      <c r="AD7" s="22"/>
      <c r="AE7" s="22"/>
      <c r="AF7" s="22"/>
      <c r="AG7" s="22"/>
      <c r="AH7" s="22"/>
      <c r="AI7" s="22"/>
      <c r="AJ7" s="22"/>
      <c r="AK7" s="22"/>
      <c r="AL7" s="22"/>
    </row>
    <row r="8" spans="1:38" ht="15.5">
      <c r="A8" s="299" t="s">
        <v>65</v>
      </c>
      <c r="B8" s="336">
        <f ca="1">Input!H13</f>
        <v>42005</v>
      </c>
      <c r="C8" s="22"/>
      <c r="D8" s="123">
        <f ca="1">Input!H30</f>
        <v>4078.982649511448</v>
      </c>
      <c r="E8" s="337">
        <f>F8-$D$7</f>
        <v>40</v>
      </c>
      <c r="F8" s="338">
        <f>G8-$D$7</f>
        <v>90</v>
      </c>
      <c r="G8" s="338">
        <f>H8-$D$7</f>
        <v>140</v>
      </c>
      <c r="H8" s="338">
        <f>I8-$D$7</f>
        <v>190</v>
      </c>
      <c r="I8" s="338">
        <f>J8-$D$7</f>
        <v>240</v>
      </c>
      <c r="J8" s="338">
        <f>B24</f>
        <v>290</v>
      </c>
      <c r="K8" s="338">
        <f>J8+$D$7</f>
        <v>340</v>
      </c>
      <c r="L8" s="338">
        <f>K8+$D$7</f>
        <v>390</v>
      </c>
      <c r="M8" s="338">
        <f>L8+$D$7</f>
        <v>440</v>
      </c>
      <c r="N8" s="338">
        <f>M8+$D$7</f>
        <v>490</v>
      </c>
      <c r="O8" s="339">
        <f>N8+$D$7</f>
        <v>540</v>
      </c>
      <c r="P8" s="340"/>
      <c r="Q8" s="22"/>
      <c r="R8" s="22"/>
      <c r="S8" s="22"/>
      <c r="T8" s="22"/>
      <c r="U8" s="22"/>
      <c r="V8" s="22"/>
      <c r="W8" s="22"/>
      <c r="X8" s="22"/>
      <c r="Y8" s="22"/>
      <c r="Z8" s="22"/>
      <c r="AA8" s="22"/>
      <c r="AB8" s="22"/>
      <c r="AC8" s="22"/>
      <c r="AD8" s="22"/>
      <c r="AE8" s="22"/>
      <c r="AF8" s="22"/>
      <c r="AG8" s="22"/>
      <c r="AH8" s="22"/>
      <c r="AI8" s="22"/>
      <c r="AJ8" s="22"/>
      <c r="AK8" s="22"/>
      <c r="AL8" s="22"/>
    </row>
    <row r="9" spans="1:38" ht="15.5">
      <c r="A9" s="299" t="s">
        <v>72</v>
      </c>
      <c r="B9" s="341" t="str">
        <f>'Selected Economics'!D3</f>
        <v>Base +1.5% /y</v>
      </c>
      <c r="C9" s="22"/>
      <c r="D9" s="342" t="str">
        <f>Lists!A8</f>
        <v>Seismic</v>
      </c>
      <c r="E9" s="343">
        <f t="dataTable" ref="E9:O13" dt2D="1" dtr="0" r1="E2" r2="E1" ca="1"/>
        <v>-220.04979542332285</v>
      </c>
      <c r="F9" s="344">
        <v>49.020373250235203</v>
      </c>
      <c r="G9" s="344">
        <v>224.58236377615589</v>
      </c>
      <c r="H9" s="344">
        <v>413.99297245720328</v>
      </c>
      <c r="I9" s="344">
        <v>526.25859059723928</v>
      </c>
      <c r="J9" s="344">
        <v>708.37348186969473</v>
      </c>
      <c r="K9" s="344">
        <v>878.92861501150401</v>
      </c>
      <c r="L9" s="344">
        <v>1055.7592050400203</v>
      </c>
      <c r="M9" s="344">
        <v>1222.2797293979099</v>
      </c>
      <c r="N9" s="344">
        <v>1407.3669886222003</v>
      </c>
      <c r="O9" s="345">
        <v>1603.0642271807949</v>
      </c>
      <c r="P9" s="22"/>
      <c r="Q9" s="22"/>
      <c r="R9" s="22"/>
      <c r="S9" s="22"/>
      <c r="T9" s="22"/>
      <c r="U9" s="22"/>
      <c r="V9" s="22"/>
      <c r="W9" s="22"/>
      <c r="X9" s="22"/>
      <c r="Y9" s="22"/>
      <c r="Z9" s="22"/>
      <c r="AA9" s="22"/>
      <c r="AB9" s="22"/>
      <c r="AC9" s="22"/>
      <c r="AD9" s="22"/>
      <c r="AE9" s="22"/>
      <c r="AF9" s="22"/>
      <c r="AG9" s="22"/>
      <c r="AH9" s="22"/>
      <c r="AI9" s="22"/>
      <c r="AJ9" s="22"/>
      <c r="AK9" s="22"/>
      <c r="AL9" s="22"/>
    </row>
    <row r="10" spans="1:38" ht="15.5">
      <c r="A10" s="299" t="s">
        <v>73</v>
      </c>
      <c r="B10" s="341" t="str">
        <f>'Cost Assumptions'!O4</f>
        <v>NS DOE Petrofac DW Update 2015</v>
      </c>
      <c r="C10" s="22"/>
      <c r="D10" s="342" t="str">
        <f>Lists!A9</f>
        <v>Wildcat</v>
      </c>
      <c r="E10" s="346">
        <v>-230.65355902146854</v>
      </c>
      <c r="F10" s="347">
        <v>71.099997418202349</v>
      </c>
      <c r="G10" s="347">
        <v>250.8255977716239</v>
      </c>
      <c r="H10" s="347">
        <v>455.75808782059801</v>
      </c>
      <c r="I10" s="347">
        <v>576.38881729440448</v>
      </c>
      <c r="J10" s="347">
        <v>771.82901890382038</v>
      </c>
      <c r="K10" s="347">
        <v>954.42806961654537</v>
      </c>
      <c r="L10" s="347">
        <v>1152.7262318237636</v>
      </c>
      <c r="M10" s="347">
        <v>1323.733629898923</v>
      </c>
      <c r="N10" s="347">
        <v>1532.4519202467168</v>
      </c>
      <c r="O10" s="348">
        <v>1734.3915864752973</v>
      </c>
      <c r="P10" s="22"/>
      <c r="Q10" s="22"/>
      <c r="R10" s="22"/>
      <c r="S10" s="22"/>
      <c r="T10" s="22"/>
      <c r="U10" s="22"/>
      <c r="V10" s="22"/>
      <c r="W10" s="22"/>
      <c r="X10" s="22"/>
      <c r="Y10" s="22"/>
      <c r="Z10" s="22"/>
      <c r="AA10" s="22"/>
      <c r="AB10" s="22"/>
      <c r="AC10" s="22"/>
      <c r="AD10" s="22"/>
      <c r="AE10" s="22"/>
      <c r="AF10" s="22"/>
      <c r="AG10" s="22"/>
      <c r="AH10" s="22"/>
      <c r="AI10" s="22"/>
      <c r="AJ10" s="22"/>
      <c r="AK10" s="22"/>
      <c r="AL10" s="22"/>
    </row>
    <row r="11" spans="1:38" ht="18.5">
      <c r="A11" s="557" t="s">
        <v>74</v>
      </c>
      <c r="B11" s="558"/>
      <c r="C11" s="22"/>
      <c r="D11" s="342" t="str">
        <f>Lists!A10</f>
        <v>Appraisal</v>
      </c>
      <c r="E11" s="346">
        <v>-558.1498911657236</v>
      </c>
      <c r="F11" s="347">
        <v>311.64317110117213</v>
      </c>
      <c r="G11" s="347">
        <v>888.71498565883701</v>
      </c>
      <c r="H11" s="347">
        <v>1502.8132323105058</v>
      </c>
      <c r="I11" s="347">
        <v>1859.6791551167146</v>
      </c>
      <c r="J11" s="347">
        <v>2439.4140552658951</v>
      </c>
      <c r="K11" s="347">
        <v>3008.6512028511888</v>
      </c>
      <c r="L11" s="347">
        <v>3586.3497835324911</v>
      </c>
      <c r="M11" s="347">
        <v>4126.351375285818</v>
      </c>
      <c r="N11" s="347">
        <v>4724.5650097595553</v>
      </c>
      <c r="O11" s="348">
        <v>5346.4187421621673</v>
      </c>
      <c r="P11" s="22"/>
      <c r="Q11" s="22"/>
      <c r="R11" s="22"/>
      <c r="S11" s="22"/>
      <c r="T11" s="22"/>
      <c r="U11" s="22"/>
      <c r="V11" s="22"/>
      <c r="W11" s="22"/>
      <c r="X11" s="22"/>
      <c r="Y11" s="22"/>
      <c r="Z11" s="22"/>
      <c r="AA11" s="22"/>
      <c r="AB11" s="22"/>
      <c r="AC11" s="22"/>
      <c r="AD11" s="22"/>
      <c r="AE11" s="22"/>
      <c r="AF11" s="22"/>
      <c r="AG11" s="22"/>
      <c r="AH11" s="22"/>
      <c r="AI11" s="22"/>
      <c r="AJ11" s="22"/>
      <c r="AK11" s="22"/>
      <c r="AL11" s="22"/>
    </row>
    <row r="12" spans="1:38" ht="15.5">
      <c r="A12" s="299" t="s">
        <v>79</v>
      </c>
      <c r="B12" s="349">
        <f>Input!B10</f>
        <v>42005</v>
      </c>
      <c r="C12" s="22"/>
      <c r="D12" s="342" t="str">
        <f>Lists!A11</f>
        <v>Development Planning</v>
      </c>
      <c r="E12" s="346">
        <v>-747.31707145969403</v>
      </c>
      <c r="F12" s="347">
        <v>556.17060260990593</v>
      </c>
      <c r="G12" s="347">
        <v>1446.6049194706386</v>
      </c>
      <c r="H12" s="347">
        <v>2365.0968719280609</v>
      </c>
      <c r="I12" s="347">
        <v>2895.6177690659019</v>
      </c>
      <c r="J12" s="347">
        <v>3756.4319302462791</v>
      </c>
      <c r="K12" s="347">
        <v>4562.6346334541186</v>
      </c>
      <c r="L12" s="347">
        <v>5405.6025393580039</v>
      </c>
      <c r="M12" s="347">
        <v>6196.0577053417583</v>
      </c>
      <c r="N12" s="347">
        <v>7074.6479086666723</v>
      </c>
      <c r="O12" s="348">
        <v>8006.9700037404345</v>
      </c>
      <c r="P12" s="22"/>
      <c r="Q12" s="22"/>
      <c r="R12" s="22"/>
      <c r="S12" s="22"/>
      <c r="T12" s="22"/>
      <c r="U12" s="22"/>
      <c r="V12" s="22"/>
      <c r="W12" s="22"/>
      <c r="X12" s="22"/>
      <c r="Y12" s="22"/>
      <c r="Z12" s="22"/>
      <c r="AA12" s="22"/>
      <c r="AB12" s="22"/>
      <c r="AC12" s="22"/>
      <c r="AD12" s="22"/>
      <c r="AE12" s="22"/>
      <c r="AF12" s="22"/>
      <c r="AG12" s="22"/>
      <c r="AH12" s="22"/>
      <c r="AI12" s="22"/>
      <c r="AJ12" s="22"/>
      <c r="AK12" s="22"/>
      <c r="AL12" s="22"/>
    </row>
    <row r="13" spans="1:38" ht="15.5">
      <c r="A13" s="299" t="s">
        <v>80</v>
      </c>
      <c r="B13" s="349" t="str">
        <f>Input!B14</f>
        <v>FPSO</v>
      </c>
      <c r="C13" s="22"/>
      <c r="D13" s="342" t="str">
        <f>Lists!A12</f>
        <v>Development Start</v>
      </c>
      <c r="E13" s="350">
        <v>-904.41479908680731</v>
      </c>
      <c r="F13" s="351">
        <v>533.81838079751003</v>
      </c>
      <c r="G13" s="351">
        <v>1537.1209081017448</v>
      </c>
      <c r="H13" s="351">
        <v>2524.2627143657814</v>
      </c>
      <c r="I13" s="351">
        <v>3129.1745714640547</v>
      </c>
      <c r="J13" s="351">
        <v>4078.982649511448</v>
      </c>
      <c r="K13" s="351">
        <v>4965.2082346405587</v>
      </c>
      <c r="L13" s="351">
        <v>5930.6040501420057</v>
      </c>
      <c r="M13" s="351">
        <v>6757.3771326561946</v>
      </c>
      <c r="N13" s="351">
        <v>7727.6627724800292</v>
      </c>
      <c r="O13" s="352">
        <v>8767.6548245734157</v>
      </c>
      <c r="P13" s="22"/>
      <c r="Q13" s="22"/>
      <c r="R13" s="22"/>
      <c r="S13" s="22"/>
      <c r="T13" s="22"/>
      <c r="U13" s="22"/>
      <c r="V13" s="22"/>
      <c r="W13" s="22"/>
      <c r="X13" s="22"/>
      <c r="Y13" s="22"/>
      <c r="Z13" s="22"/>
      <c r="AA13" s="22"/>
      <c r="AB13" s="22"/>
      <c r="AC13" s="22"/>
      <c r="AD13" s="22"/>
      <c r="AE13" s="22"/>
      <c r="AF13" s="22"/>
      <c r="AG13" s="22"/>
      <c r="AH13" s="22"/>
      <c r="AI13" s="22"/>
      <c r="AJ13" s="22"/>
      <c r="AK13" s="22"/>
      <c r="AL13" s="22"/>
    </row>
    <row r="14" spans="1:38" ht="15.5">
      <c r="A14" s="299" t="s">
        <v>849</v>
      </c>
      <c r="B14" s="349" t="str">
        <f>CashFlow!C11</f>
        <v>To Infrastructure</v>
      </c>
      <c r="C14" s="22"/>
      <c r="D14" s="353"/>
      <c r="E14" s="335"/>
      <c r="F14" s="335"/>
      <c r="G14" s="335"/>
      <c r="H14" s="335"/>
      <c r="I14" s="335"/>
      <c r="J14" s="335"/>
      <c r="K14" s="335"/>
      <c r="L14" s="335"/>
      <c r="M14" s="335"/>
      <c r="N14" s="335"/>
      <c r="O14" s="335"/>
      <c r="P14" s="22"/>
      <c r="Q14" s="22"/>
      <c r="R14" s="22"/>
      <c r="S14" s="22"/>
      <c r="T14" s="22"/>
      <c r="U14" s="22"/>
      <c r="V14" s="22"/>
      <c r="W14" s="22"/>
      <c r="X14" s="22"/>
      <c r="Y14" s="22"/>
      <c r="Z14" s="22"/>
      <c r="AA14" s="22"/>
      <c r="AB14" s="22"/>
      <c r="AC14" s="22"/>
      <c r="AD14" s="22"/>
      <c r="AE14" s="22"/>
      <c r="AF14" s="22"/>
      <c r="AG14" s="22"/>
      <c r="AH14" s="22"/>
      <c r="AI14" s="22"/>
      <c r="AJ14" s="22"/>
      <c r="AK14" s="22"/>
      <c r="AL14" s="22"/>
    </row>
    <row r="15" spans="1:38" ht="15.5">
      <c r="A15" s="299" t="s">
        <v>848</v>
      </c>
      <c r="B15" s="354">
        <f>CashFlow!C12</f>
        <v>250</v>
      </c>
      <c r="C15" s="122">
        <f>B26-B33</f>
        <v>1500</v>
      </c>
      <c r="D15" s="353"/>
      <c r="E15" s="335" t="s">
        <v>113</v>
      </c>
      <c r="F15" s="335"/>
      <c r="G15" s="335"/>
      <c r="H15" s="335"/>
      <c r="I15" s="335"/>
      <c r="J15" s="335"/>
      <c r="K15" s="335"/>
      <c r="L15" s="335"/>
      <c r="M15" s="335"/>
      <c r="N15" s="335"/>
      <c r="O15" s="335"/>
      <c r="P15" s="22"/>
      <c r="Q15" s="22"/>
      <c r="R15" s="22"/>
      <c r="S15" s="22"/>
      <c r="T15" s="22"/>
      <c r="U15" s="22"/>
      <c r="V15" s="22"/>
      <c r="W15" s="22"/>
      <c r="X15" s="22"/>
      <c r="Y15" s="22"/>
      <c r="Z15" s="22"/>
      <c r="AA15" s="22"/>
      <c r="AB15" s="22"/>
      <c r="AC15" s="22"/>
      <c r="AD15" s="22"/>
      <c r="AE15" s="22"/>
      <c r="AF15" s="22"/>
      <c r="AG15" s="22"/>
      <c r="AH15" s="22"/>
      <c r="AI15" s="22"/>
      <c r="AJ15" s="22"/>
      <c r="AK15" s="22"/>
      <c r="AL15" s="22"/>
    </row>
    <row r="16" spans="1:38" ht="15.5">
      <c r="A16" s="299" t="str">
        <f>CashFlow!B13</f>
        <v>Pipeline Percent Deepwater</v>
      </c>
      <c r="B16" s="300">
        <f>CashFlow!C13</f>
        <v>0.3</v>
      </c>
      <c r="C16" s="122">
        <f>ROUNDUP(C15/500,0)*100</f>
        <v>300</v>
      </c>
      <c r="D16" s="123">
        <f ca="1">Input!H30</f>
        <v>4078.982649511448</v>
      </c>
      <c r="E16" s="355">
        <f t="shared" ref="E16:F16" si="0">F16-$C$16</f>
        <v>3600</v>
      </c>
      <c r="F16" s="356">
        <f t="shared" si="0"/>
        <v>3900</v>
      </c>
      <c r="G16" s="356">
        <f>H16-$C$16</f>
        <v>4200</v>
      </c>
      <c r="H16" s="356">
        <f>B26</f>
        <v>4500</v>
      </c>
      <c r="I16" s="356">
        <f>H16+$C$16</f>
        <v>4800</v>
      </c>
      <c r="J16" s="356">
        <f t="shared" ref="J16:K16" si="1">I16+$C$16</f>
        <v>5100</v>
      </c>
      <c r="K16" s="357">
        <f t="shared" si="1"/>
        <v>5400</v>
      </c>
      <c r="L16" s="358"/>
      <c r="M16" s="335"/>
      <c r="N16" s="335"/>
      <c r="O16" s="335"/>
      <c r="P16" s="22"/>
      <c r="Q16" s="22"/>
      <c r="R16" s="22"/>
      <c r="S16" s="22"/>
      <c r="T16" s="22"/>
      <c r="U16" s="22"/>
      <c r="V16" s="22"/>
      <c r="W16" s="22"/>
      <c r="X16" s="22"/>
      <c r="Y16" s="22"/>
      <c r="Z16" s="22"/>
      <c r="AA16" s="22"/>
      <c r="AB16" s="22"/>
      <c r="AC16" s="22"/>
      <c r="AD16" s="22"/>
      <c r="AE16" s="22"/>
      <c r="AF16" s="22"/>
      <c r="AG16" s="22"/>
      <c r="AH16" s="22"/>
      <c r="AI16" s="22"/>
      <c r="AJ16" s="22"/>
      <c r="AK16" s="22"/>
      <c r="AL16" s="22"/>
    </row>
    <row r="17" spans="1:38" ht="18.5">
      <c r="A17" s="557" t="s">
        <v>85</v>
      </c>
      <c r="B17" s="558"/>
      <c r="C17" s="22"/>
      <c r="D17" s="342" t="str">
        <f>D9</f>
        <v>Seismic</v>
      </c>
      <c r="E17" s="343">
        <f t="dataTable" ref="E17:K21" dt2D="1" dtr="0" r1="E3" r2="E1" ca="1"/>
        <v>771.3943645170948</v>
      </c>
      <c r="F17" s="344">
        <v>749.77181582277331</v>
      </c>
      <c r="G17" s="344">
        <v>729.17209133456242</v>
      </c>
      <c r="H17" s="344">
        <v>708.37348186969473</v>
      </c>
      <c r="I17" s="344">
        <v>685.26495184659257</v>
      </c>
      <c r="J17" s="344">
        <v>664.75030153901002</v>
      </c>
      <c r="K17" s="345">
        <v>644.65534754667783</v>
      </c>
      <c r="L17" s="335"/>
      <c r="M17" s="335"/>
      <c r="N17" s="335"/>
      <c r="O17" s="335"/>
      <c r="P17" s="22"/>
      <c r="Q17" s="22"/>
      <c r="R17" s="22"/>
      <c r="S17" s="22"/>
      <c r="T17" s="22"/>
      <c r="U17" s="22"/>
      <c r="V17" s="22"/>
      <c r="W17" s="22"/>
      <c r="X17" s="22"/>
      <c r="Y17" s="22"/>
      <c r="Z17" s="22"/>
      <c r="AA17" s="22"/>
      <c r="AB17" s="22"/>
      <c r="AC17" s="22"/>
      <c r="AD17" s="22"/>
      <c r="AE17" s="22"/>
      <c r="AF17" s="22"/>
      <c r="AG17" s="22"/>
      <c r="AH17" s="22"/>
      <c r="AI17" s="22"/>
      <c r="AJ17" s="22"/>
      <c r="AK17" s="22"/>
      <c r="AL17" s="22"/>
    </row>
    <row r="18" spans="1:38" ht="15.5">
      <c r="A18" s="299" t="s">
        <v>78</v>
      </c>
      <c r="B18" s="321">
        <f>Input!B19</f>
        <v>1</v>
      </c>
      <c r="C18" s="22"/>
      <c r="D18" s="342" t="str">
        <f>D10</f>
        <v>Wildcat</v>
      </c>
      <c r="E18" s="346">
        <v>840.96510373226999</v>
      </c>
      <c r="F18" s="347">
        <v>818.52271403480665</v>
      </c>
      <c r="G18" s="347">
        <v>794.03585634358819</v>
      </c>
      <c r="H18" s="347">
        <v>771.82901890382038</v>
      </c>
      <c r="I18" s="347">
        <v>748.61566194846262</v>
      </c>
      <c r="J18" s="347">
        <v>722.00529753383523</v>
      </c>
      <c r="K18" s="348">
        <v>702.20846596764443</v>
      </c>
      <c r="L18" s="335"/>
      <c r="M18" s="335"/>
      <c r="N18" s="335"/>
      <c r="O18" s="335"/>
      <c r="P18" s="22"/>
      <c r="Q18" s="22"/>
      <c r="R18" s="22"/>
      <c r="S18" s="22"/>
      <c r="T18" s="22"/>
      <c r="U18" s="22"/>
      <c r="V18" s="22"/>
      <c r="W18" s="22"/>
      <c r="X18" s="22"/>
      <c r="Y18" s="22"/>
      <c r="Z18" s="22"/>
      <c r="AA18" s="22"/>
      <c r="AB18" s="22"/>
      <c r="AC18" s="22"/>
      <c r="AD18" s="22"/>
      <c r="AE18" s="22"/>
      <c r="AF18" s="22"/>
      <c r="AG18" s="22"/>
      <c r="AH18" s="22"/>
      <c r="AI18" s="22"/>
      <c r="AJ18" s="22"/>
      <c r="AK18" s="22"/>
      <c r="AL18" s="22"/>
    </row>
    <row r="19" spans="1:38" ht="15.5">
      <c r="A19" s="299" t="s">
        <v>86</v>
      </c>
      <c r="B19" s="321">
        <f>Input!B20</f>
        <v>0.35</v>
      </c>
      <c r="C19" s="22"/>
      <c r="D19" s="342" t="str">
        <f>D11</f>
        <v>Appraisal</v>
      </c>
      <c r="E19" s="346">
        <v>2611.1163301472202</v>
      </c>
      <c r="F19" s="347">
        <v>2556.3871867959319</v>
      </c>
      <c r="G19" s="347">
        <v>2501.9676594980911</v>
      </c>
      <c r="H19" s="347">
        <v>2439.4140552658951</v>
      </c>
      <c r="I19" s="347">
        <v>2387.5408130363812</v>
      </c>
      <c r="J19" s="347">
        <v>2329.4926503977158</v>
      </c>
      <c r="K19" s="348">
        <v>2279.5323508053248</v>
      </c>
      <c r="L19" s="335"/>
      <c r="M19" s="335"/>
      <c r="N19" s="335"/>
      <c r="O19" s="335"/>
      <c r="P19" s="22"/>
      <c r="Q19" s="22"/>
      <c r="R19" s="22"/>
      <c r="S19" s="22"/>
      <c r="T19" s="22"/>
      <c r="U19" s="22"/>
      <c r="V19" s="22"/>
      <c r="W19" s="22"/>
      <c r="X19" s="22"/>
      <c r="Y19" s="22"/>
      <c r="Z19" s="22"/>
      <c r="AA19" s="22"/>
      <c r="AB19" s="22"/>
      <c r="AC19" s="22"/>
      <c r="AD19" s="22"/>
      <c r="AE19" s="22"/>
      <c r="AF19" s="22"/>
      <c r="AG19" s="22"/>
      <c r="AH19" s="22"/>
      <c r="AI19" s="22"/>
      <c r="AJ19" s="22"/>
      <c r="AK19" s="22"/>
      <c r="AL19" s="22"/>
    </row>
    <row r="20" spans="1:38" ht="15.5">
      <c r="A20" s="299" t="s">
        <v>87</v>
      </c>
      <c r="B20" s="321">
        <f>Input!B21</f>
        <v>0.75</v>
      </c>
      <c r="C20" s="22"/>
      <c r="D20" s="342" t="str">
        <f>D12</f>
        <v>Development Planning</v>
      </c>
      <c r="E20" s="346">
        <v>3927.510092849438</v>
      </c>
      <c r="F20" s="347">
        <v>3861.8125116626165</v>
      </c>
      <c r="G20" s="347">
        <v>3802.9845617065939</v>
      </c>
      <c r="H20" s="347">
        <v>3756.4319302462791</v>
      </c>
      <c r="I20" s="347">
        <v>3690.6785536668071</v>
      </c>
      <c r="J20" s="347">
        <v>3640.0793229213059</v>
      </c>
      <c r="K20" s="348">
        <v>3573.9181488211311</v>
      </c>
      <c r="L20" s="335"/>
      <c r="M20" s="335"/>
      <c r="N20" s="335"/>
      <c r="O20" s="335"/>
      <c r="P20" s="22"/>
      <c r="Q20" s="22"/>
      <c r="R20" s="22"/>
      <c r="S20" s="22"/>
      <c r="T20" s="22"/>
      <c r="U20" s="22"/>
      <c r="V20" s="22"/>
      <c r="W20" s="22"/>
      <c r="X20" s="22"/>
      <c r="Y20" s="22"/>
      <c r="Z20" s="22"/>
      <c r="AA20" s="22"/>
      <c r="AB20" s="22"/>
      <c r="AC20" s="22"/>
      <c r="AD20" s="22"/>
      <c r="AE20" s="22"/>
      <c r="AF20" s="22"/>
      <c r="AG20" s="22"/>
      <c r="AH20" s="22"/>
      <c r="AI20" s="22"/>
      <c r="AJ20" s="22"/>
      <c r="AK20" s="22"/>
      <c r="AL20" s="22"/>
    </row>
    <row r="21" spans="1:38" ht="15.5">
      <c r="A21" s="299" t="s">
        <v>88</v>
      </c>
      <c r="B21" s="321">
        <f>Input!B22</f>
        <v>1</v>
      </c>
      <c r="C21" s="22"/>
      <c r="D21" s="342" t="str">
        <f>D13</f>
        <v>Development Start</v>
      </c>
      <c r="E21" s="350">
        <v>4286.5497115313792</v>
      </c>
      <c r="F21" s="351">
        <v>4212.5506899379334</v>
      </c>
      <c r="G21" s="351">
        <v>4148.1133722946533</v>
      </c>
      <c r="H21" s="351">
        <v>4078.982649511448</v>
      </c>
      <c r="I21" s="351">
        <v>4021.5988391264295</v>
      </c>
      <c r="J21" s="351">
        <v>3946.2394077085123</v>
      </c>
      <c r="K21" s="352">
        <v>3887.0377669245472</v>
      </c>
      <c r="L21" s="335"/>
      <c r="M21" s="335"/>
      <c r="N21" s="335"/>
      <c r="O21" s="335"/>
      <c r="P21" s="22"/>
      <c r="Q21" s="22"/>
      <c r="R21" s="22"/>
      <c r="S21" s="22"/>
      <c r="T21" s="22"/>
      <c r="U21" s="22"/>
      <c r="V21" s="22"/>
      <c r="W21" s="22"/>
      <c r="X21" s="22"/>
      <c r="Y21" s="22"/>
      <c r="Z21" s="22"/>
      <c r="AA21" s="22"/>
      <c r="AB21" s="22"/>
      <c r="AC21" s="22"/>
      <c r="AD21" s="22"/>
      <c r="AE21" s="22"/>
      <c r="AF21" s="22"/>
      <c r="AG21" s="22"/>
      <c r="AH21" s="22"/>
      <c r="AI21" s="22"/>
      <c r="AJ21" s="22"/>
      <c r="AK21" s="22"/>
      <c r="AL21" s="22"/>
    </row>
    <row r="22" spans="1:38" ht="18.5">
      <c r="A22" s="557" t="s">
        <v>89</v>
      </c>
      <c r="B22" s="558"/>
      <c r="C22" s="22"/>
      <c r="D22" s="353"/>
      <c r="E22" s="335"/>
      <c r="F22" s="335"/>
      <c r="G22" s="335"/>
      <c r="H22" s="335"/>
      <c r="I22" s="335"/>
      <c r="J22" s="335"/>
      <c r="K22" s="335"/>
      <c r="L22" s="335"/>
      <c r="M22" s="335"/>
      <c r="N22" s="335"/>
      <c r="O22" s="335"/>
      <c r="P22" s="22"/>
      <c r="Q22" s="22"/>
      <c r="R22" s="22"/>
      <c r="S22" s="22"/>
      <c r="T22" s="22"/>
      <c r="U22" s="22"/>
      <c r="V22" s="22"/>
      <c r="W22" s="22"/>
      <c r="X22" s="22"/>
      <c r="Y22" s="22"/>
      <c r="Z22" s="22"/>
      <c r="AA22" s="22"/>
      <c r="AB22" s="22"/>
      <c r="AC22" s="22"/>
      <c r="AD22" s="22"/>
      <c r="AE22" s="22"/>
      <c r="AF22" s="22"/>
      <c r="AG22" s="22"/>
      <c r="AH22" s="22"/>
      <c r="AI22" s="22"/>
      <c r="AJ22" s="22"/>
      <c r="AK22" s="22"/>
      <c r="AL22" s="22"/>
    </row>
    <row r="23" spans="1:38" ht="15.5">
      <c r="A23" s="299" t="s">
        <v>645</v>
      </c>
      <c r="B23" s="341" t="str">
        <f>Input!B11</f>
        <v>Oil</v>
      </c>
      <c r="C23" s="22"/>
      <c r="D23" s="353"/>
      <c r="E23" s="335" t="s">
        <v>114</v>
      </c>
      <c r="F23" s="335"/>
      <c r="G23" s="335"/>
      <c r="H23" s="335"/>
      <c r="I23" s="335"/>
      <c r="J23" s="335"/>
      <c r="K23" s="335"/>
      <c r="L23" s="335"/>
      <c r="M23" s="335"/>
      <c r="N23" s="335"/>
      <c r="O23" s="335"/>
      <c r="P23" s="22"/>
      <c r="Q23" s="22"/>
      <c r="R23" s="22"/>
      <c r="S23" s="22"/>
      <c r="T23" s="22"/>
      <c r="U23" s="22"/>
      <c r="V23" s="22"/>
      <c r="W23" s="22"/>
      <c r="X23" s="22"/>
      <c r="Y23" s="22"/>
      <c r="Z23" s="22"/>
      <c r="AA23" s="22"/>
      <c r="AB23" s="22"/>
      <c r="AC23" s="22"/>
      <c r="AD23" s="22"/>
      <c r="AE23" s="22"/>
      <c r="AF23" s="22"/>
      <c r="AG23" s="22"/>
      <c r="AH23" s="22"/>
      <c r="AI23" s="22"/>
      <c r="AJ23" s="22"/>
      <c r="AK23" s="22"/>
      <c r="AL23" s="22"/>
    </row>
    <row r="24" spans="1:38" ht="15.5">
      <c r="A24" s="299" t="str">
        <f>Input!A12</f>
        <v>Mean Reserves (mmbbl)</v>
      </c>
      <c r="B24" s="341">
        <f>Input!B12</f>
        <v>290</v>
      </c>
      <c r="C24" s="22"/>
      <c r="D24" s="359"/>
      <c r="E24" s="360" t="s">
        <v>746</v>
      </c>
      <c r="F24" s="361" t="s">
        <v>1063</v>
      </c>
      <c r="G24" s="361" t="s">
        <v>115</v>
      </c>
      <c r="H24" s="361" t="s">
        <v>1061</v>
      </c>
      <c r="I24" s="362" t="s">
        <v>1062</v>
      </c>
      <c r="J24" s="358"/>
      <c r="K24" s="335"/>
      <c r="L24" s="335"/>
      <c r="M24" s="335"/>
      <c r="N24" s="335"/>
      <c r="O24" s="335"/>
      <c r="P24" s="22"/>
      <c r="Q24" s="22"/>
      <c r="R24" s="22"/>
      <c r="S24" s="22"/>
      <c r="T24" s="22"/>
      <c r="U24" s="22"/>
      <c r="V24" s="22"/>
      <c r="W24" s="22"/>
      <c r="X24" s="22"/>
      <c r="Y24" s="22"/>
      <c r="Z24" s="22"/>
      <c r="AA24" s="22"/>
      <c r="AB24" s="22"/>
      <c r="AC24" s="22"/>
      <c r="AD24" s="22"/>
      <c r="AE24" s="22"/>
      <c r="AF24" s="22"/>
      <c r="AG24" s="22"/>
      <c r="AH24" s="22"/>
      <c r="AI24" s="22"/>
      <c r="AJ24" s="22"/>
      <c r="AK24" s="22"/>
      <c r="AL24" s="22"/>
    </row>
    <row r="25" spans="1:38" ht="15.5" hidden="1">
      <c r="A25" s="299" t="s">
        <v>90</v>
      </c>
      <c r="B25" s="341">
        <f>Input!B24</f>
        <v>4500</v>
      </c>
      <c r="C25" s="22"/>
      <c r="D25" s="363">
        <f ca="1">Input!H30</f>
        <v>4078.982649511448</v>
      </c>
      <c r="E25" s="335" t="str">
        <f>INDEX(selected_scenario,Lists!E201,MATCH(Thresholds!E24,scenarios,0))</f>
        <v>Scenario 5 : Flat Real</v>
      </c>
      <c r="F25" s="335" t="str">
        <f>INDEX(selected_scenario,Lists!F201,MATCH(Thresholds!F24,scenarios,0))</f>
        <v>Scenario 4 : Base - 1.5%/y</v>
      </c>
      <c r="G25" s="335" t="str">
        <f>INDEX(selected_scenario,Lists!G201,MATCH(Thresholds!G24,scenarios,0))</f>
        <v>Scenario 1 : Base</v>
      </c>
      <c r="H25" s="335" t="str">
        <f>INDEX(selected_scenario,Lists!H201,MATCH(Thresholds!H24,scenarios,0))</f>
        <v>Scenario 2 : Base +1.5% /y</v>
      </c>
      <c r="I25" s="335" t="str">
        <f>INDEX(selected_scenario,Lists!I201,MATCH(Thresholds!I24,scenarios,0))</f>
        <v>Scenario 3 : Base + 3%/y</v>
      </c>
      <c r="J25" s="335"/>
      <c r="K25" s="335"/>
      <c r="L25" s="335"/>
      <c r="M25" s="335"/>
      <c r="N25" s="335"/>
      <c r="O25" s="335"/>
      <c r="P25" s="22"/>
      <c r="Q25" s="22"/>
      <c r="R25" s="22"/>
      <c r="S25" s="22"/>
      <c r="T25" s="22"/>
      <c r="U25" s="22"/>
      <c r="V25" s="22"/>
      <c r="W25" s="22"/>
      <c r="X25" s="22"/>
      <c r="Y25" s="22"/>
      <c r="Z25" s="22"/>
      <c r="AA25" s="22"/>
      <c r="AB25" s="22"/>
      <c r="AC25" s="22"/>
      <c r="AD25" s="22"/>
      <c r="AE25" s="22"/>
      <c r="AF25" s="22"/>
      <c r="AG25" s="22"/>
      <c r="AH25" s="22"/>
      <c r="AI25" s="22"/>
      <c r="AJ25" s="22"/>
      <c r="AK25" s="22"/>
      <c r="AL25" s="22"/>
    </row>
    <row r="26" spans="1:38" ht="15.5">
      <c r="A26" s="299" t="str">
        <f>CashFlow!B22</f>
        <v>Reservoir Depth (m MSL)</v>
      </c>
      <c r="B26" s="341">
        <f>CashFlow!C22</f>
        <v>4500</v>
      </c>
      <c r="C26" s="22"/>
      <c r="D26" s="364" t="str">
        <f>D17</f>
        <v>Seismic</v>
      </c>
      <c r="E26" s="343">
        <f t="dataTable" ref="E26:I30" dt2D="1" dtr="0" r1="E4" r2="E1" ca="1"/>
        <v>159.20950023514092</v>
      </c>
      <c r="F26" s="344">
        <v>377.32856022761416</v>
      </c>
      <c r="G26" s="344">
        <v>529.11305511033504</v>
      </c>
      <c r="H26" s="344">
        <v>708.37348186969473</v>
      </c>
      <c r="I26" s="345">
        <v>915.73972769878719</v>
      </c>
      <c r="J26" s="335"/>
      <c r="K26" s="335"/>
      <c r="L26" s="335"/>
      <c r="M26" s="335"/>
      <c r="N26" s="335"/>
      <c r="O26" s="335"/>
      <c r="P26" s="22"/>
      <c r="Q26" s="22"/>
      <c r="R26" s="22"/>
      <c r="S26" s="22"/>
      <c r="T26" s="22"/>
      <c r="U26" s="22"/>
      <c r="V26" s="22"/>
      <c r="W26" s="22"/>
      <c r="X26" s="22"/>
      <c r="Y26" s="22"/>
      <c r="Z26" s="22"/>
      <c r="AA26" s="22"/>
      <c r="AB26" s="22"/>
      <c r="AC26" s="22"/>
      <c r="AD26" s="22"/>
      <c r="AE26" s="22"/>
      <c r="AF26" s="22"/>
      <c r="AG26" s="22"/>
      <c r="AH26" s="22"/>
      <c r="AI26" s="22"/>
      <c r="AJ26" s="22"/>
      <c r="AK26" s="22"/>
      <c r="AL26" s="22"/>
    </row>
    <row r="27" spans="1:38" ht="15.5">
      <c r="A27" s="299" t="s">
        <v>91</v>
      </c>
      <c r="B27" s="341" t="str">
        <f>Input!B25</f>
        <v>High</v>
      </c>
      <c r="C27" s="22"/>
      <c r="D27" s="364" t="str">
        <f>D18</f>
        <v>Wildcat</v>
      </c>
      <c r="E27" s="346">
        <v>184.78055796968113</v>
      </c>
      <c r="F27" s="347">
        <v>448.5856538074259</v>
      </c>
      <c r="G27" s="347">
        <v>597.16320781576621</v>
      </c>
      <c r="H27" s="347">
        <v>771.82901890382038</v>
      </c>
      <c r="I27" s="348">
        <v>973.68215702966108</v>
      </c>
      <c r="J27" s="335"/>
      <c r="K27" s="335"/>
      <c r="L27" s="335"/>
      <c r="M27" s="335"/>
      <c r="N27" s="335"/>
      <c r="O27" s="335"/>
      <c r="P27" s="22"/>
      <c r="Q27" s="22"/>
      <c r="R27" s="22"/>
      <c r="S27" s="22"/>
      <c r="T27" s="22"/>
      <c r="U27" s="22"/>
      <c r="V27" s="22"/>
      <c r="W27" s="22"/>
      <c r="X27" s="22"/>
      <c r="Y27" s="22"/>
      <c r="Z27" s="22"/>
      <c r="AA27" s="22"/>
      <c r="AB27" s="22"/>
      <c r="AC27" s="22"/>
      <c r="AD27" s="22"/>
      <c r="AE27" s="22"/>
      <c r="AF27" s="22"/>
      <c r="AG27" s="22"/>
      <c r="AH27" s="22"/>
      <c r="AI27" s="22"/>
      <c r="AJ27" s="22"/>
      <c r="AK27" s="22"/>
      <c r="AL27" s="22"/>
    </row>
    <row r="28" spans="1:38" ht="15.5">
      <c r="A28" s="299" t="s">
        <v>93</v>
      </c>
      <c r="B28" s="341" t="str">
        <f>Input!B26</f>
        <v>High</v>
      </c>
      <c r="C28" s="22"/>
      <c r="D28" s="364" t="str">
        <f>D19</f>
        <v>Appraisal</v>
      </c>
      <c r="E28" s="346">
        <v>689.91252619883539</v>
      </c>
      <c r="F28" s="347">
        <v>1538.8413141898898</v>
      </c>
      <c r="G28" s="347">
        <v>1959.3993176036645</v>
      </c>
      <c r="H28" s="347">
        <v>2439.4140552658951</v>
      </c>
      <c r="I28" s="348">
        <v>3009.4436132114174</v>
      </c>
      <c r="J28" s="335"/>
      <c r="K28" s="335"/>
      <c r="L28" s="335"/>
      <c r="M28" s="335"/>
      <c r="N28" s="335"/>
      <c r="O28" s="335"/>
      <c r="P28" s="22"/>
      <c r="Q28" s="22"/>
      <c r="R28" s="22"/>
      <c r="S28" s="22"/>
      <c r="T28" s="22"/>
      <c r="U28" s="22"/>
      <c r="V28" s="22"/>
      <c r="W28" s="22"/>
      <c r="X28" s="22"/>
      <c r="Y28" s="22"/>
      <c r="Z28" s="22"/>
      <c r="AA28" s="22"/>
      <c r="AB28" s="22"/>
      <c r="AC28" s="22"/>
      <c r="AD28" s="22"/>
      <c r="AE28" s="22"/>
      <c r="AF28" s="22"/>
      <c r="AG28" s="22"/>
      <c r="AH28" s="22"/>
      <c r="AI28" s="22"/>
      <c r="AJ28" s="22"/>
      <c r="AK28" s="22"/>
      <c r="AL28" s="22"/>
    </row>
    <row r="29" spans="1:38" ht="15.5">
      <c r="A29" s="299" t="s">
        <v>94</v>
      </c>
      <c r="B29" s="341" t="str">
        <f>Input!B27</f>
        <v>Normally Pressured</v>
      </c>
      <c r="C29" s="22"/>
      <c r="D29" s="364" t="str">
        <f>D20</f>
        <v>Development Planning</v>
      </c>
      <c r="E29" s="346">
        <v>1188.3802835779147</v>
      </c>
      <c r="F29" s="347">
        <v>2621.647207484406</v>
      </c>
      <c r="G29" s="347">
        <v>3156.3850327368632</v>
      </c>
      <c r="H29" s="347">
        <v>3756.4319302462791</v>
      </c>
      <c r="I29" s="348">
        <v>4435.2394422195894</v>
      </c>
      <c r="J29" s="335"/>
      <c r="K29" s="335"/>
      <c r="L29" s="335"/>
      <c r="M29" s="335"/>
      <c r="N29" s="335"/>
      <c r="O29" s="335"/>
      <c r="P29" s="22"/>
      <c r="Q29" s="22"/>
      <c r="R29" s="22"/>
      <c r="S29" s="22"/>
      <c r="T29" s="22"/>
      <c r="U29" s="22"/>
      <c r="V29" s="22"/>
      <c r="W29" s="22"/>
      <c r="X29" s="22"/>
      <c r="Y29" s="22"/>
      <c r="Z29" s="22"/>
      <c r="AA29" s="22"/>
      <c r="AB29" s="22"/>
      <c r="AC29" s="22"/>
      <c r="AD29" s="22"/>
      <c r="AE29" s="22"/>
      <c r="AF29" s="22"/>
      <c r="AG29" s="22"/>
      <c r="AH29" s="22"/>
      <c r="AI29" s="22"/>
      <c r="AJ29" s="22"/>
      <c r="AK29" s="22"/>
      <c r="AL29" s="22"/>
    </row>
    <row r="30" spans="1:38" ht="15.5">
      <c r="A30" s="299" t="s">
        <v>96</v>
      </c>
      <c r="B30" s="341">
        <f>Input!B28</f>
        <v>1040</v>
      </c>
      <c r="C30" s="22"/>
      <c r="D30" s="364" t="str">
        <f>D21</f>
        <v>Development Start</v>
      </c>
      <c r="E30" s="350">
        <v>1358.5875173165375</v>
      </c>
      <c r="F30" s="351">
        <v>3113.508495432528</v>
      </c>
      <c r="G30" s="351">
        <v>3573.207107525549</v>
      </c>
      <c r="H30" s="351">
        <v>4078.982649511448</v>
      </c>
      <c r="I30" s="352">
        <v>4662.8359379599069</v>
      </c>
      <c r="J30" s="335"/>
      <c r="K30" s="335"/>
      <c r="L30" s="335"/>
      <c r="M30" s="335"/>
      <c r="N30" s="335"/>
      <c r="O30" s="335"/>
      <c r="P30" s="22"/>
      <c r="Q30" s="22"/>
      <c r="R30" s="22"/>
      <c r="S30" s="22"/>
      <c r="T30" s="22"/>
      <c r="U30" s="22"/>
      <c r="V30" s="22"/>
      <c r="W30" s="22"/>
      <c r="X30" s="22"/>
      <c r="Y30" s="22"/>
      <c r="Z30" s="22"/>
      <c r="AA30" s="22"/>
      <c r="AB30" s="22"/>
      <c r="AC30" s="22"/>
      <c r="AD30" s="22"/>
      <c r="AE30" s="22"/>
      <c r="AF30" s="22"/>
      <c r="AG30" s="22"/>
      <c r="AH30" s="22"/>
      <c r="AI30" s="22"/>
      <c r="AJ30" s="22"/>
      <c r="AK30" s="22"/>
      <c r="AL30" s="22"/>
    </row>
    <row r="31" spans="1:38" ht="16" thickBot="1">
      <c r="A31" s="299" t="s">
        <v>97</v>
      </c>
      <c r="B31" s="341">
        <f>Input!B29</f>
        <v>3333.3</v>
      </c>
      <c r="C31" s="22"/>
      <c r="D31" s="335"/>
      <c r="E31" s="335"/>
      <c r="F31" s="335"/>
      <c r="G31" s="335"/>
      <c r="H31" s="335"/>
      <c r="I31" s="335"/>
      <c r="J31" s="335"/>
      <c r="K31" s="335"/>
      <c r="L31" s="335"/>
      <c r="M31" s="335"/>
      <c r="N31" s="335"/>
      <c r="O31" s="335"/>
      <c r="P31" s="22"/>
      <c r="Q31" s="22"/>
      <c r="R31" s="22"/>
      <c r="S31" s="22"/>
      <c r="T31" s="22"/>
      <c r="U31" s="22"/>
      <c r="V31" s="22"/>
      <c r="W31" s="22"/>
      <c r="X31" s="22"/>
      <c r="Y31" s="22"/>
      <c r="Z31" s="22"/>
      <c r="AA31" s="22"/>
      <c r="AB31" s="22"/>
      <c r="AC31" s="22"/>
      <c r="AD31" s="22"/>
      <c r="AE31" s="22"/>
      <c r="AF31" s="22"/>
      <c r="AG31" s="22"/>
      <c r="AH31" s="22"/>
      <c r="AI31" s="22"/>
      <c r="AJ31" s="22"/>
      <c r="AK31" s="22"/>
      <c r="AL31" s="22"/>
    </row>
    <row r="32" spans="1:38" ht="18.5">
      <c r="A32" s="299" t="s">
        <v>98</v>
      </c>
      <c r="B32" s="341" t="str">
        <f>Input!B30</f>
        <v>Sweet</v>
      </c>
      <c r="C32" s="22"/>
      <c r="D32" s="365" t="s">
        <v>787</v>
      </c>
      <c r="E32" s="366"/>
      <c r="F32" s="366"/>
      <c r="G32" s="366"/>
      <c r="H32" s="366"/>
      <c r="I32" s="366"/>
      <c r="J32" s="366"/>
      <c r="K32" s="367"/>
      <c r="L32" s="335"/>
      <c r="M32" s="335"/>
      <c r="N32" s="335"/>
      <c r="O32" s="335"/>
      <c r="P32" s="22"/>
      <c r="Q32" s="22"/>
      <c r="R32" s="22"/>
      <c r="S32" s="22"/>
      <c r="T32" s="22"/>
      <c r="U32" s="22"/>
      <c r="V32" s="22"/>
      <c r="W32" s="22"/>
      <c r="X32" s="22"/>
      <c r="Y32" s="22"/>
      <c r="Z32" s="22"/>
      <c r="AA32" s="22"/>
      <c r="AB32" s="22"/>
      <c r="AC32" s="22"/>
      <c r="AD32" s="22"/>
      <c r="AE32" s="22"/>
      <c r="AF32" s="22"/>
      <c r="AG32" s="22"/>
      <c r="AH32" s="22"/>
      <c r="AI32" s="22"/>
      <c r="AJ32" s="22"/>
      <c r="AK32" s="22"/>
      <c r="AL32" s="22"/>
    </row>
    <row r="33" spans="1:38" ht="16.5" customHeight="1">
      <c r="A33" s="299" t="s">
        <v>100</v>
      </c>
      <c r="B33" s="341">
        <f>Input!B13</f>
        <v>3000</v>
      </c>
      <c r="C33" s="22"/>
      <c r="D33" s="559" t="s">
        <v>1052</v>
      </c>
      <c r="E33" s="560"/>
      <c r="F33" s="560"/>
      <c r="G33" s="560"/>
      <c r="H33" s="560"/>
      <c r="I33" s="560"/>
      <c r="J33" s="560"/>
      <c r="K33" s="561"/>
      <c r="L33" s="335"/>
      <c r="M33" s="335"/>
      <c r="N33" s="335"/>
      <c r="O33" s="335"/>
      <c r="P33" s="22"/>
      <c r="Q33" s="22"/>
      <c r="R33" s="22"/>
      <c r="S33" s="22"/>
      <c r="T33" s="22"/>
      <c r="U33" s="22"/>
      <c r="V33" s="22"/>
      <c r="W33" s="22"/>
      <c r="X33" s="22"/>
      <c r="Y33" s="22"/>
      <c r="Z33" s="22"/>
      <c r="AA33" s="22"/>
      <c r="AB33" s="22"/>
      <c r="AC33" s="22"/>
      <c r="AD33" s="22"/>
      <c r="AE33" s="22"/>
      <c r="AF33" s="22"/>
      <c r="AG33" s="22"/>
      <c r="AH33" s="22"/>
      <c r="AI33" s="22"/>
      <c r="AJ33" s="22"/>
      <c r="AK33" s="22"/>
      <c r="AL33" s="22"/>
    </row>
    <row r="34" spans="1:38" ht="15.75" customHeight="1">
      <c r="A34" s="557" t="s">
        <v>102</v>
      </c>
      <c r="B34" s="558"/>
      <c r="C34" s="22"/>
      <c r="D34" s="559"/>
      <c r="E34" s="560"/>
      <c r="F34" s="560"/>
      <c r="G34" s="560"/>
      <c r="H34" s="560"/>
      <c r="I34" s="560"/>
      <c r="J34" s="560"/>
      <c r="K34" s="561"/>
      <c r="L34" s="335"/>
      <c r="M34" s="335"/>
      <c r="N34" s="335"/>
      <c r="O34" s="335"/>
      <c r="P34" s="22"/>
      <c r="Q34" s="22"/>
      <c r="R34" s="22"/>
      <c r="S34" s="22"/>
      <c r="T34" s="22"/>
      <c r="U34" s="22"/>
      <c r="V34" s="22"/>
      <c r="W34" s="22"/>
      <c r="X34" s="22"/>
      <c r="Y34" s="22"/>
      <c r="Z34" s="22"/>
      <c r="AA34" s="22"/>
      <c r="AB34" s="22"/>
      <c r="AC34" s="22"/>
      <c r="AD34" s="22"/>
      <c r="AE34" s="22"/>
      <c r="AF34" s="22"/>
      <c r="AG34" s="22"/>
      <c r="AH34" s="22"/>
      <c r="AI34" s="22"/>
      <c r="AJ34" s="22"/>
      <c r="AK34" s="22"/>
      <c r="AL34" s="22"/>
    </row>
    <row r="35" spans="1:38" ht="15.75" customHeight="1">
      <c r="A35" s="299" t="s">
        <v>103</v>
      </c>
      <c r="B35" s="341" t="str">
        <f>Input!B33</f>
        <v>No</v>
      </c>
      <c r="C35" s="22"/>
      <c r="D35" s="559"/>
      <c r="E35" s="560"/>
      <c r="F35" s="560"/>
      <c r="G35" s="560"/>
      <c r="H35" s="560"/>
      <c r="I35" s="560"/>
      <c r="J35" s="560"/>
      <c r="K35" s="561"/>
      <c r="L35" s="335"/>
      <c r="M35" s="335"/>
      <c r="N35" s="335"/>
      <c r="O35" s="335"/>
      <c r="P35" s="22"/>
      <c r="Q35" s="22"/>
      <c r="R35" s="22"/>
      <c r="S35" s="22"/>
      <c r="T35" s="22"/>
      <c r="U35" s="22"/>
      <c r="V35" s="22"/>
      <c r="W35" s="22"/>
      <c r="X35" s="22"/>
      <c r="Y35" s="22"/>
      <c r="Z35" s="22"/>
      <c r="AA35" s="22"/>
      <c r="AB35" s="22"/>
      <c r="AC35" s="22"/>
      <c r="AD35" s="22"/>
      <c r="AE35" s="22"/>
      <c r="AF35" s="22"/>
      <c r="AG35" s="22"/>
      <c r="AH35" s="22"/>
      <c r="AI35" s="22"/>
      <c r="AJ35" s="22"/>
      <c r="AK35" s="22"/>
      <c r="AL35" s="22"/>
    </row>
    <row r="36" spans="1:38" ht="15.75" customHeight="1">
      <c r="A36" s="299" t="s">
        <v>106</v>
      </c>
      <c r="B36" s="341" t="str">
        <f>Input!B34</f>
        <v>No</v>
      </c>
      <c r="C36" s="22"/>
      <c r="D36" s="559"/>
      <c r="E36" s="560"/>
      <c r="F36" s="560"/>
      <c r="G36" s="560"/>
      <c r="H36" s="560"/>
      <c r="I36" s="560"/>
      <c r="J36" s="560"/>
      <c r="K36" s="561"/>
      <c r="L36" s="335"/>
      <c r="M36" s="335"/>
      <c r="N36" s="335"/>
      <c r="O36" s="335"/>
      <c r="P36" s="22"/>
      <c r="Q36" s="22"/>
      <c r="R36" s="22"/>
      <c r="S36" s="22"/>
      <c r="T36" s="22"/>
      <c r="U36" s="22"/>
      <c r="V36" s="22"/>
      <c r="W36" s="22"/>
      <c r="X36" s="22"/>
      <c r="Y36" s="22"/>
      <c r="Z36" s="22"/>
      <c r="AA36" s="22"/>
      <c r="AB36" s="22"/>
      <c r="AC36" s="22"/>
      <c r="AD36" s="22"/>
      <c r="AE36" s="22"/>
      <c r="AF36" s="22"/>
      <c r="AG36" s="22"/>
      <c r="AH36" s="22"/>
      <c r="AI36" s="22"/>
      <c r="AJ36" s="22"/>
      <c r="AK36" s="22"/>
      <c r="AL36" s="22"/>
    </row>
    <row r="37" spans="1:38" ht="15.75" customHeight="1">
      <c r="A37" s="299" t="s">
        <v>109</v>
      </c>
      <c r="B37" s="341" t="str">
        <f>Input!B35</f>
        <v>Yes</v>
      </c>
      <c r="C37" s="22"/>
      <c r="D37" s="559"/>
      <c r="E37" s="560"/>
      <c r="F37" s="560"/>
      <c r="G37" s="560"/>
      <c r="H37" s="560"/>
      <c r="I37" s="560"/>
      <c r="J37" s="560"/>
      <c r="K37" s="561"/>
      <c r="L37" s="335"/>
      <c r="M37" s="335"/>
      <c r="N37" s="335"/>
      <c r="O37" s="335"/>
      <c r="P37" s="22"/>
      <c r="Q37" s="22"/>
      <c r="R37" s="22"/>
      <c r="S37" s="22"/>
      <c r="T37" s="22"/>
      <c r="U37" s="22"/>
      <c r="V37" s="22"/>
      <c r="W37" s="22"/>
      <c r="X37" s="22"/>
      <c r="Y37" s="22"/>
      <c r="Z37" s="22"/>
      <c r="AA37" s="22"/>
      <c r="AB37" s="22"/>
      <c r="AC37" s="22"/>
      <c r="AD37" s="22"/>
      <c r="AE37" s="22"/>
      <c r="AF37" s="22"/>
      <c r="AG37" s="22"/>
      <c r="AH37" s="22"/>
      <c r="AI37" s="22"/>
      <c r="AJ37" s="22"/>
      <c r="AK37" s="22"/>
      <c r="AL37" s="22"/>
    </row>
    <row r="38" spans="1:38" ht="15.75" customHeight="1" thickBot="1">
      <c r="A38" s="334"/>
      <c r="B38" s="324"/>
      <c r="C38" s="22"/>
      <c r="D38" s="562"/>
      <c r="E38" s="563"/>
      <c r="F38" s="563"/>
      <c r="G38" s="563"/>
      <c r="H38" s="563"/>
      <c r="I38" s="563"/>
      <c r="J38" s="563"/>
      <c r="K38" s="564"/>
      <c r="L38" s="335"/>
      <c r="M38" s="335"/>
      <c r="N38" s="335"/>
      <c r="O38" s="335"/>
      <c r="P38" s="22"/>
      <c r="Q38" s="22"/>
      <c r="R38" s="22"/>
      <c r="S38" s="22"/>
      <c r="T38" s="22"/>
      <c r="U38" s="22"/>
      <c r="V38" s="22"/>
      <c r="W38" s="22"/>
      <c r="X38" s="22"/>
      <c r="Y38" s="22"/>
      <c r="Z38" s="22"/>
      <c r="AA38" s="22"/>
      <c r="AB38" s="22"/>
      <c r="AC38" s="22"/>
      <c r="AD38" s="22"/>
      <c r="AE38" s="22"/>
      <c r="AF38" s="22"/>
      <c r="AG38" s="22"/>
      <c r="AH38" s="22"/>
      <c r="AI38" s="22"/>
      <c r="AJ38" s="22"/>
      <c r="AK38" s="22"/>
      <c r="AL38" s="22"/>
    </row>
    <row r="39" spans="1:38" ht="15.75" customHeight="1">
      <c r="A39" s="334"/>
      <c r="B39" s="324"/>
      <c r="C39" s="22"/>
      <c r="D39" s="22"/>
      <c r="E39" s="22"/>
      <c r="F39" s="22"/>
      <c r="G39" s="22"/>
      <c r="H39" s="22"/>
      <c r="I39" s="22"/>
      <c r="J39" s="22"/>
      <c r="K39" s="22"/>
      <c r="L39" s="335"/>
      <c r="M39" s="335"/>
      <c r="N39" s="335"/>
      <c r="O39" s="335"/>
      <c r="P39" s="22"/>
      <c r="Q39" s="22"/>
      <c r="R39" s="22"/>
      <c r="S39" s="22"/>
      <c r="T39" s="22"/>
      <c r="U39" s="22"/>
      <c r="V39" s="22"/>
      <c r="W39" s="22"/>
      <c r="X39" s="22"/>
      <c r="Y39" s="22"/>
      <c r="Z39" s="22"/>
      <c r="AA39" s="22"/>
      <c r="AB39" s="22"/>
      <c r="AC39" s="22"/>
      <c r="AD39" s="22"/>
      <c r="AE39" s="22"/>
      <c r="AF39" s="22"/>
      <c r="AG39" s="22"/>
      <c r="AH39" s="22"/>
      <c r="AI39" s="22"/>
      <c r="AJ39" s="22"/>
      <c r="AK39" s="22"/>
      <c r="AL39" s="22"/>
    </row>
    <row r="40" spans="1:38" ht="15.5">
      <c r="A40" s="334"/>
      <c r="B40" s="324"/>
      <c r="C40" s="22"/>
      <c r="D40" s="335"/>
      <c r="E40" s="335"/>
      <c r="F40" s="335"/>
      <c r="G40" s="335"/>
      <c r="H40" s="335"/>
      <c r="I40" s="335"/>
      <c r="J40" s="335"/>
      <c r="K40" s="335"/>
      <c r="L40" s="335"/>
      <c r="M40" s="335"/>
      <c r="N40" s="335"/>
      <c r="O40" s="335"/>
      <c r="P40" s="22"/>
      <c r="Q40" s="22"/>
      <c r="R40" s="22"/>
      <c r="S40" s="22"/>
      <c r="T40" s="22"/>
      <c r="U40" s="22"/>
      <c r="V40" s="22"/>
      <c r="W40" s="22"/>
      <c r="X40" s="22"/>
      <c r="Y40" s="22"/>
      <c r="Z40" s="22"/>
      <c r="AA40" s="22"/>
      <c r="AB40" s="22"/>
      <c r="AC40" s="22"/>
      <c r="AD40" s="22"/>
      <c r="AE40" s="22"/>
      <c r="AF40" s="22"/>
      <c r="AG40" s="22"/>
      <c r="AH40" s="22"/>
      <c r="AI40" s="22"/>
      <c r="AJ40" s="22"/>
      <c r="AK40" s="22"/>
      <c r="AL40" s="22"/>
    </row>
    <row r="41" spans="1:38" ht="15.5">
      <c r="A41" s="334"/>
      <c r="B41" s="324"/>
      <c r="C41" s="22"/>
      <c r="D41" s="335"/>
      <c r="E41" s="335"/>
      <c r="F41" s="335"/>
      <c r="G41" s="335"/>
      <c r="H41" s="335"/>
      <c r="I41" s="335"/>
      <c r="J41" s="335"/>
      <c r="K41" s="335"/>
      <c r="L41" s="335"/>
      <c r="M41" s="335"/>
      <c r="N41" s="335"/>
      <c r="O41" s="335"/>
      <c r="P41" s="22"/>
      <c r="Q41" s="22"/>
      <c r="R41" s="22"/>
      <c r="S41" s="22"/>
      <c r="T41" s="22"/>
      <c r="U41" s="22"/>
      <c r="V41" s="22"/>
      <c r="W41" s="22"/>
      <c r="X41" s="22"/>
      <c r="Y41" s="22"/>
      <c r="Z41" s="22"/>
      <c r="AA41" s="22"/>
      <c r="AB41" s="22"/>
      <c r="AC41" s="22"/>
      <c r="AD41" s="22"/>
      <c r="AE41" s="22"/>
      <c r="AF41" s="22"/>
      <c r="AG41" s="22"/>
      <c r="AH41" s="22"/>
      <c r="AI41" s="22"/>
      <c r="AJ41" s="22"/>
      <c r="AK41" s="22"/>
      <c r="AL41" s="22"/>
    </row>
    <row r="42" spans="1:38" ht="15.5">
      <c r="A42" s="334"/>
      <c r="B42" s="324"/>
      <c r="C42" s="22"/>
      <c r="D42" s="335"/>
      <c r="E42" s="335"/>
      <c r="F42" s="335"/>
      <c r="G42" s="335"/>
      <c r="H42" s="335"/>
      <c r="I42" s="335"/>
      <c r="J42" s="335"/>
      <c r="K42" s="335"/>
      <c r="L42" s="335"/>
      <c r="M42" s="335"/>
      <c r="N42" s="335"/>
      <c r="O42" s="335"/>
      <c r="P42" s="22"/>
      <c r="Q42" s="22"/>
      <c r="R42" s="22"/>
      <c r="S42" s="22"/>
      <c r="T42" s="22"/>
      <c r="U42" s="22"/>
      <c r="V42" s="22"/>
      <c r="W42" s="22"/>
      <c r="X42" s="22"/>
      <c r="Y42" s="22"/>
      <c r="Z42" s="22"/>
      <c r="AA42" s="22"/>
      <c r="AB42" s="22"/>
      <c r="AC42" s="22"/>
      <c r="AD42" s="22"/>
      <c r="AE42" s="22"/>
      <c r="AF42" s="22"/>
      <c r="AG42" s="22"/>
      <c r="AH42" s="22"/>
      <c r="AI42" s="22"/>
      <c r="AJ42" s="22"/>
      <c r="AK42" s="22"/>
      <c r="AL42" s="22"/>
    </row>
    <row r="43" spans="1:38" ht="15.5">
      <c r="A43" s="334"/>
      <c r="B43" s="324"/>
      <c r="C43" s="22"/>
      <c r="D43" s="335"/>
      <c r="E43" s="335"/>
      <c r="F43" s="335"/>
      <c r="G43" s="335"/>
      <c r="H43" s="335"/>
      <c r="I43" s="335"/>
      <c r="J43" s="335"/>
      <c r="K43" s="335"/>
      <c r="L43" s="335"/>
      <c r="M43" s="335"/>
      <c r="N43" s="335"/>
      <c r="O43" s="335"/>
      <c r="P43" s="22"/>
      <c r="Q43" s="22"/>
      <c r="R43" s="22"/>
      <c r="S43" s="22"/>
      <c r="T43" s="22"/>
      <c r="U43" s="22"/>
      <c r="V43" s="22"/>
      <c r="W43" s="22"/>
      <c r="X43" s="22"/>
      <c r="Y43" s="22"/>
      <c r="Z43" s="22"/>
      <c r="AA43" s="22"/>
      <c r="AB43" s="22"/>
      <c r="AC43" s="22"/>
      <c r="AD43" s="22"/>
      <c r="AE43" s="22"/>
      <c r="AF43" s="22"/>
      <c r="AG43" s="22"/>
      <c r="AH43" s="22"/>
      <c r="AI43" s="22"/>
      <c r="AJ43" s="22"/>
      <c r="AK43" s="22"/>
      <c r="AL43" s="22"/>
    </row>
    <row r="44" spans="1:38" ht="15.5">
      <c r="A44" s="334"/>
      <c r="B44" s="324"/>
      <c r="C44" s="22"/>
      <c r="D44" s="335"/>
      <c r="E44" s="335"/>
      <c r="F44" s="335"/>
      <c r="G44" s="335"/>
      <c r="H44" s="335"/>
      <c r="I44" s="335"/>
      <c r="J44" s="335"/>
      <c r="K44" s="335"/>
      <c r="L44" s="335"/>
      <c r="M44" s="335"/>
      <c r="N44" s="335"/>
      <c r="O44" s="335"/>
      <c r="P44" s="22"/>
      <c r="Q44" s="22"/>
      <c r="R44" s="22"/>
      <c r="S44" s="22"/>
      <c r="T44" s="22"/>
      <c r="U44" s="22"/>
      <c r="V44" s="22"/>
      <c r="W44" s="22"/>
      <c r="X44" s="22"/>
      <c r="Y44" s="22"/>
      <c r="Z44" s="22"/>
      <c r="AA44" s="22"/>
      <c r="AB44" s="22"/>
      <c r="AC44" s="22"/>
      <c r="AD44" s="22"/>
      <c r="AE44" s="22"/>
      <c r="AF44" s="22"/>
      <c r="AG44" s="22"/>
      <c r="AH44" s="22"/>
      <c r="AI44" s="22"/>
      <c r="AJ44" s="22"/>
      <c r="AK44" s="22"/>
      <c r="AL44" s="22"/>
    </row>
    <row r="45" spans="1:38" ht="15.5">
      <c r="A45" s="334"/>
      <c r="B45" s="324"/>
      <c r="C45" s="22"/>
      <c r="D45" s="335"/>
      <c r="E45" s="335"/>
      <c r="F45" s="335"/>
      <c r="G45" s="335"/>
      <c r="H45" s="335"/>
      <c r="I45" s="335"/>
      <c r="J45" s="335"/>
      <c r="K45" s="335"/>
      <c r="L45" s="335"/>
      <c r="M45" s="335"/>
      <c r="N45" s="335"/>
      <c r="O45" s="335"/>
      <c r="P45" s="22"/>
      <c r="Q45" s="22"/>
      <c r="R45" s="22"/>
      <c r="S45" s="22"/>
      <c r="T45" s="22"/>
      <c r="U45" s="22"/>
      <c r="V45" s="22"/>
      <c r="W45" s="22"/>
      <c r="X45" s="22"/>
      <c r="Y45" s="22"/>
      <c r="Z45" s="22"/>
      <c r="AA45" s="22"/>
      <c r="AB45" s="22"/>
      <c r="AC45" s="22"/>
      <c r="AD45" s="22"/>
      <c r="AE45" s="22"/>
      <c r="AF45" s="22"/>
      <c r="AG45" s="22"/>
      <c r="AH45" s="22"/>
      <c r="AI45" s="22"/>
      <c r="AJ45" s="22"/>
      <c r="AK45" s="22"/>
      <c r="AL45" s="22"/>
    </row>
    <row r="46" spans="1:38" ht="15.5">
      <c r="A46" s="334"/>
      <c r="B46" s="324"/>
      <c r="C46" s="22"/>
      <c r="D46" s="335"/>
      <c r="E46" s="335"/>
      <c r="F46" s="335"/>
      <c r="G46" s="335"/>
      <c r="H46" s="335"/>
      <c r="I46" s="335"/>
      <c r="J46" s="335"/>
      <c r="K46" s="335"/>
      <c r="L46" s="335"/>
      <c r="M46" s="335"/>
      <c r="N46" s="335"/>
      <c r="O46" s="335"/>
      <c r="P46" s="22"/>
      <c r="Q46" s="22"/>
      <c r="R46" s="22"/>
      <c r="S46" s="22"/>
      <c r="T46" s="22"/>
      <c r="U46" s="22"/>
      <c r="V46" s="22"/>
      <c r="W46" s="22"/>
      <c r="X46" s="22"/>
      <c r="Y46" s="22"/>
      <c r="Z46" s="22"/>
      <c r="AA46" s="22"/>
      <c r="AB46" s="22"/>
      <c r="AC46" s="22"/>
      <c r="AD46" s="22"/>
      <c r="AE46" s="22"/>
      <c r="AF46" s="22"/>
      <c r="AG46" s="22"/>
      <c r="AH46" s="22"/>
      <c r="AI46" s="22"/>
      <c r="AJ46" s="22"/>
      <c r="AK46" s="22"/>
      <c r="AL46" s="22"/>
    </row>
    <row r="47" spans="1:38" ht="15.5">
      <c r="A47" s="334"/>
      <c r="B47" s="324"/>
      <c r="C47" s="22"/>
      <c r="D47" s="335"/>
      <c r="E47" s="335"/>
      <c r="F47" s="335"/>
      <c r="G47" s="335"/>
      <c r="H47" s="335"/>
      <c r="I47" s="335"/>
      <c r="J47" s="335"/>
      <c r="K47" s="335"/>
      <c r="L47" s="335"/>
      <c r="M47" s="335"/>
      <c r="N47" s="335"/>
      <c r="O47" s="335"/>
      <c r="P47" s="22"/>
      <c r="Q47" s="22"/>
      <c r="R47" s="22"/>
      <c r="S47" s="22"/>
      <c r="T47" s="22"/>
      <c r="U47" s="22"/>
      <c r="V47" s="22"/>
      <c r="W47" s="22"/>
      <c r="X47" s="22"/>
      <c r="Y47" s="22"/>
      <c r="Z47" s="22"/>
      <c r="AA47" s="22"/>
      <c r="AB47" s="22"/>
      <c r="AC47" s="22"/>
      <c r="AD47" s="22"/>
      <c r="AE47" s="22"/>
      <c r="AF47" s="22"/>
      <c r="AG47" s="22"/>
      <c r="AH47" s="22"/>
      <c r="AI47" s="22"/>
      <c r="AJ47" s="22"/>
      <c r="AK47" s="22"/>
      <c r="AL47" s="22"/>
    </row>
    <row r="48" spans="1:38" ht="15.5">
      <c r="A48" s="334"/>
      <c r="B48" s="324"/>
      <c r="C48" s="22"/>
      <c r="D48" s="335"/>
      <c r="E48" s="335"/>
      <c r="F48" s="335"/>
      <c r="G48" s="335"/>
      <c r="H48" s="335"/>
      <c r="I48" s="335"/>
      <c r="J48" s="335"/>
      <c r="K48" s="335"/>
      <c r="L48" s="335"/>
      <c r="M48" s="335"/>
      <c r="N48" s="335"/>
      <c r="O48" s="335"/>
      <c r="P48" s="22"/>
      <c r="Q48" s="22"/>
      <c r="R48" s="22"/>
      <c r="S48" s="22"/>
      <c r="T48" s="22"/>
      <c r="U48" s="22"/>
      <c r="V48" s="22"/>
      <c r="W48" s="22"/>
      <c r="X48" s="22"/>
      <c r="Y48" s="22"/>
      <c r="Z48" s="22"/>
      <c r="AA48" s="22"/>
      <c r="AB48" s="22"/>
      <c r="AC48" s="22"/>
      <c r="AD48" s="22"/>
      <c r="AE48" s="22"/>
      <c r="AF48" s="22"/>
      <c r="AG48" s="22"/>
      <c r="AH48" s="22"/>
      <c r="AI48" s="22"/>
      <c r="AJ48" s="22"/>
      <c r="AK48" s="22"/>
      <c r="AL48" s="22"/>
    </row>
    <row r="49" spans="1:38" ht="15.5">
      <c r="A49" s="334"/>
      <c r="B49" s="324"/>
      <c r="C49" s="22"/>
      <c r="D49" s="335"/>
      <c r="E49" s="335"/>
      <c r="F49" s="335"/>
      <c r="G49" s="335"/>
      <c r="H49" s="335"/>
      <c r="I49" s="335"/>
      <c r="J49" s="335"/>
      <c r="K49" s="335"/>
      <c r="L49" s="335"/>
      <c r="M49" s="335"/>
      <c r="N49" s="335"/>
      <c r="O49" s="335"/>
      <c r="P49" s="22"/>
      <c r="Q49" s="22"/>
      <c r="R49" s="22"/>
      <c r="S49" s="22"/>
      <c r="T49" s="22"/>
      <c r="U49" s="22"/>
      <c r="V49" s="22"/>
      <c r="W49" s="22"/>
      <c r="X49" s="22"/>
      <c r="Y49" s="22"/>
      <c r="Z49" s="22"/>
      <c r="AA49" s="22"/>
      <c r="AB49" s="22"/>
      <c r="AC49" s="22"/>
      <c r="AD49" s="22"/>
      <c r="AE49" s="22"/>
      <c r="AF49" s="22"/>
      <c r="AG49" s="22"/>
      <c r="AH49" s="22"/>
      <c r="AI49" s="22"/>
      <c r="AJ49" s="22"/>
      <c r="AK49" s="22"/>
      <c r="AL49" s="22"/>
    </row>
    <row r="50" spans="1:38" ht="15.5">
      <c r="A50" s="334"/>
      <c r="B50" s="324"/>
      <c r="C50" s="22"/>
      <c r="D50" s="335"/>
      <c r="E50" s="335"/>
      <c r="F50" s="335"/>
      <c r="G50" s="335"/>
      <c r="H50" s="335"/>
      <c r="I50" s="335"/>
      <c r="J50" s="335"/>
      <c r="K50" s="335"/>
      <c r="L50" s="335"/>
      <c r="M50" s="335"/>
      <c r="N50" s="335"/>
      <c r="O50" s="335"/>
      <c r="P50" s="22"/>
      <c r="Q50" s="22"/>
      <c r="R50" s="22"/>
      <c r="S50" s="22"/>
      <c r="T50" s="22"/>
      <c r="U50" s="22"/>
      <c r="V50" s="22"/>
      <c r="W50" s="22"/>
      <c r="X50" s="22"/>
      <c r="Y50" s="22"/>
      <c r="Z50" s="22"/>
      <c r="AA50" s="22"/>
      <c r="AB50" s="22"/>
      <c r="AC50" s="22"/>
      <c r="AD50" s="22"/>
      <c r="AE50" s="22"/>
      <c r="AF50" s="22"/>
      <c r="AG50" s="22"/>
      <c r="AH50" s="22"/>
      <c r="AI50" s="22"/>
      <c r="AJ50" s="22"/>
      <c r="AK50" s="22"/>
      <c r="AL50" s="22"/>
    </row>
    <row r="51" spans="1:38" ht="15.5">
      <c r="A51" s="334"/>
      <c r="B51" s="324"/>
      <c r="C51" s="22"/>
      <c r="D51" s="335"/>
      <c r="E51" s="335"/>
      <c r="F51" s="335"/>
      <c r="G51" s="335"/>
      <c r="H51" s="335"/>
      <c r="I51" s="335"/>
      <c r="J51" s="335"/>
      <c r="K51" s="335"/>
      <c r="L51" s="335"/>
      <c r="M51" s="335"/>
      <c r="N51" s="335"/>
      <c r="O51" s="335"/>
      <c r="P51" s="22"/>
      <c r="Q51" s="22"/>
      <c r="R51" s="22"/>
      <c r="S51" s="22"/>
      <c r="T51" s="22"/>
      <c r="U51" s="22"/>
      <c r="V51" s="22"/>
      <c r="W51" s="22"/>
      <c r="X51" s="22"/>
      <c r="Y51" s="22"/>
      <c r="Z51" s="22"/>
      <c r="AA51" s="22"/>
      <c r="AB51" s="22"/>
      <c r="AC51" s="22"/>
      <c r="AD51" s="22"/>
      <c r="AE51" s="22"/>
      <c r="AF51" s="22"/>
      <c r="AG51" s="22"/>
      <c r="AH51" s="22"/>
      <c r="AI51" s="22"/>
      <c r="AJ51" s="22"/>
      <c r="AK51" s="22"/>
      <c r="AL51" s="22"/>
    </row>
    <row r="52" spans="1:38" ht="15.5">
      <c r="A52" s="22"/>
      <c r="B52" s="22"/>
      <c r="C52" s="22"/>
      <c r="D52" s="335"/>
      <c r="E52" s="335"/>
      <c r="F52" s="335"/>
      <c r="G52" s="335"/>
      <c r="H52" s="335"/>
      <c r="I52" s="335"/>
      <c r="J52" s="335"/>
      <c r="K52" s="335"/>
      <c r="L52" s="335"/>
      <c r="M52" s="335"/>
      <c r="N52" s="335"/>
      <c r="O52" s="335"/>
      <c r="P52" s="22"/>
      <c r="Q52" s="22"/>
      <c r="R52" s="22"/>
      <c r="S52" s="22"/>
      <c r="T52" s="22"/>
      <c r="U52" s="22"/>
      <c r="V52" s="22"/>
      <c r="W52" s="22"/>
      <c r="X52" s="22"/>
      <c r="Y52" s="22"/>
      <c r="Z52" s="22"/>
      <c r="AA52" s="22"/>
      <c r="AB52" s="22"/>
      <c r="AC52" s="22"/>
      <c r="AD52" s="22"/>
      <c r="AE52" s="22"/>
      <c r="AF52" s="22"/>
      <c r="AG52" s="22"/>
      <c r="AH52" s="22"/>
      <c r="AI52" s="22"/>
      <c r="AJ52" s="22"/>
      <c r="AK52" s="22"/>
      <c r="AL52" s="22"/>
    </row>
    <row r="53" spans="1:38">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row>
    <row r="54" spans="1:38">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row>
    <row r="55" spans="1:38">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row>
    <row r="56" spans="1:38">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row>
    <row r="57" spans="1:38">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row>
    <row r="58" spans="1:38">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row>
    <row r="59" spans="1:38">
      <c r="A59" s="22"/>
      <c r="B59" s="122"/>
      <c r="C59" s="122"/>
      <c r="D59" s="122"/>
      <c r="E59" s="122"/>
      <c r="F59" s="122"/>
      <c r="G59" s="122"/>
      <c r="H59" s="122"/>
      <c r="I59" s="122"/>
      <c r="J59" s="122"/>
      <c r="K59" s="122"/>
      <c r="L59" s="122"/>
      <c r="M59" s="122"/>
      <c r="N59" s="122"/>
      <c r="O59" s="122"/>
      <c r="P59" s="122"/>
      <c r="Q59" s="122"/>
      <c r="R59" s="122"/>
      <c r="S59" s="122"/>
      <c r="T59" s="122"/>
      <c r="U59" s="122"/>
      <c r="V59" s="122"/>
      <c r="W59" s="122"/>
      <c r="X59" s="122"/>
      <c r="Y59" s="22"/>
      <c r="Z59" s="22"/>
      <c r="AA59" s="22"/>
      <c r="AB59" s="22"/>
      <c r="AC59" s="22"/>
      <c r="AD59" s="22"/>
      <c r="AE59" s="22"/>
      <c r="AF59" s="22"/>
      <c r="AG59" s="22"/>
      <c r="AH59" s="22"/>
      <c r="AI59" s="22"/>
      <c r="AJ59" s="22"/>
      <c r="AK59" s="22"/>
      <c r="AL59" s="22"/>
    </row>
    <row r="60" spans="1:38">
      <c r="A60" s="22"/>
      <c r="B60" s="122"/>
      <c r="C60" s="122"/>
      <c r="D60" s="122"/>
      <c r="E60" s="122"/>
      <c r="F60" s="122"/>
      <c r="G60" s="122"/>
      <c r="H60" s="122"/>
      <c r="I60" s="122"/>
      <c r="J60" s="122"/>
      <c r="K60" s="122"/>
      <c r="L60" s="122"/>
      <c r="M60" s="122"/>
      <c r="N60" s="122"/>
      <c r="O60" s="122"/>
      <c r="P60" s="122"/>
      <c r="Q60" s="122"/>
      <c r="R60" s="122"/>
      <c r="S60" s="122"/>
      <c r="T60" s="122"/>
      <c r="U60" s="122"/>
      <c r="V60" s="122"/>
      <c r="W60" s="122"/>
      <c r="X60" s="122"/>
      <c r="Y60" s="22"/>
      <c r="Z60" s="22"/>
      <c r="AA60" s="22"/>
      <c r="AB60" s="22"/>
      <c r="AC60" s="22"/>
      <c r="AD60" s="22"/>
      <c r="AE60" s="22"/>
      <c r="AF60" s="22"/>
      <c r="AG60" s="22"/>
      <c r="AH60" s="22"/>
      <c r="AI60" s="22"/>
      <c r="AJ60" s="22"/>
      <c r="AK60" s="22"/>
      <c r="AL60" s="22"/>
    </row>
    <row r="61" spans="1:38">
      <c r="A61" s="22"/>
      <c r="B61" s="122"/>
      <c r="C61" s="122"/>
      <c r="D61" s="122"/>
      <c r="E61" s="122"/>
      <c r="F61" s="122"/>
      <c r="G61" s="122"/>
      <c r="H61" s="122"/>
      <c r="I61" s="122"/>
      <c r="J61" s="122"/>
      <c r="K61" s="122"/>
      <c r="L61" s="122"/>
      <c r="M61" s="122"/>
      <c r="N61" s="122"/>
      <c r="O61" s="122"/>
      <c r="P61" s="122"/>
      <c r="Q61" s="122"/>
      <c r="R61" s="122"/>
      <c r="S61" s="122">
        <f>R62+1</f>
        <v>1</v>
      </c>
      <c r="T61" s="122">
        <f>S61+1</f>
        <v>2</v>
      </c>
      <c r="U61" s="122">
        <f>T61+1</f>
        <v>3</v>
      </c>
      <c r="V61" s="122">
        <f>U61+1</f>
        <v>4</v>
      </c>
      <c r="W61" s="122">
        <f>V61+1</f>
        <v>5</v>
      </c>
      <c r="X61" s="122"/>
      <c r="Y61" s="22"/>
      <c r="Z61" s="22"/>
      <c r="AA61" s="22"/>
      <c r="AB61" s="22"/>
      <c r="AC61" s="22"/>
      <c r="AD61" s="22"/>
      <c r="AE61" s="22"/>
      <c r="AF61" s="22"/>
      <c r="AG61" s="22"/>
      <c r="AH61" s="22"/>
      <c r="AI61" s="22"/>
      <c r="AJ61" s="22"/>
      <c r="AK61" s="22"/>
      <c r="AL61" s="22"/>
    </row>
    <row r="62" spans="1:38">
      <c r="A62" s="22"/>
      <c r="B62" s="122"/>
      <c r="C62" s="122"/>
      <c r="D62" s="122"/>
      <c r="E62" s="122" t="str">
        <f t="shared" ref="E62:I63" si="2">E24</f>
        <v>Flat Real</v>
      </c>
      <c r="F62" s="122" t="str">
        <f t="shared" si="2"/>
        <v>Base - 1.5%/y</v>
      </c>
      <c r="G62" s="122" t="str">
        <f t="shared" si="2"/>
        <v>Base</v>
      </c>
      <c r="H62" s="122" t="str">
        <f t="shared" si="2"/>
        <v>Base +1.5% /y</v>
      </c>
      <c r="I62" s="122" t="str">
        <f t="shared" si="2"/>
        <v>Base + 3%/y</v>
      </c>
      <c r="J62" s="122"/>
      <c r="K62" s="122"/>
      <c r="L62" s="122">
        <f>RANK(Thresholds!L64,Thresholds!$L$64:$P$64,1)</f>
        <v>1</v>
      </c>
      <c r="M62" s="122">
        <f>RANK(Thresholds!M64,Thresholds!$L$64:$P$64,1)</f>
        <v>2</v>
      </c>
      <c r="N62" s="122">
        <f>RANK(Thresholds!N64,Thresholds!$L$64:$P$64,1)</f>
        <v>3</v>
      </c>
      <c r="O62" s="122">
        <f>RANK(Thresholds!O64,Thresholds!$L$64:$P$64,1)</f>
        <v>4</v>
      </c>
      <c r="P62" s="122">
        <f>RANK(Thresholds!P64,Thresholds!$L$64:$P$64,1)</f>
        <v>5</v>
      </c>
      <c r="Q62" s="122"/>
      <c r="R62" s="122"/>
      <c r="S62" s="122">
        <f>MATCH(S61,$L$62:$P$62,0)</f>
        <v>1</v>
      </c>
      <c r="T62" s="122">
        <f>MATCH(T61,$L$62:$P$62,0)</f>
        <v>2</v>
      </c>
      <c r="U62" s="122">
        <f>MATCH(U61,$L$62:$P$62,0)</f>
        <v>3</v>
      </c>
      <c r="V62" s="122">
        <f>MATCH(V61,$L$62:$P$62,0)</f>
        <v>4</v>
      </c>
      <c r="W62" s="122">
        <f>MATCH(W61,$L$62:$P$62,0)</f>
        <v>5</v>
      </c>
      <c r="X62" s="122"/>
      <c r="Y62" s="22"/>
      <c r="Z62" s="22"/>
      <c r="AA62" s="22"/>
      <c r="AB62" s="22"/>
      <c r="AC62" s="22"/>
      <c r="AD62" s="22"/>
      <c r="AE62" s="22"/>
      <c r="AF62" s="22"/>
      <c r="AG62" s="22"/>
      <c r="AH62" s="22"/>
      <c r="AI62" s="22"/>
      <c r="AJ62" s="22"/>
      <c r="AK62" s="22"/>
      <c r="AL62" s="22"/>
    </row>
    <row r="63" spans="1:38">
      <c r="A63" s="22"/>
      <c r="B63" s="122"/>
      <c r="C63" s="122"/>
      <c r="D63" s="122"/>
      <c r="E63" s="122" t="str">
        <f t="shared" si="2"/>
        <v>Scenario 5 : Flat Real</v>
      </c>
      <c r="F63" s="122" t="str">
        <f t="shared" si="2"/>
        <v>Scenario 4 : Base - 1.5%/y</v>
      </c>
      <c r="G63" s="122" t="str">
        <f t="shared" si="2"/>
        <v>Scenario 1 : Base</v>
      </c>
      <c r="H63" s="122" t="str">
        <f t="shared" si="2"/>
        <v>Scenario 2 : Base +1.5% /y</v>
      </c>
      <c r="I63" s="122" t="str">
        <f t="shared" si="2"/>
        <v>Scenario 3 : Base + 3%/y</v>
      </c>
      <c r="J63" s="122"/>
      <c r="K63" s="122"/>
      <c r="L63" s="122" t="str">
        <f>E62</f>
        <v>Flat Real</v>
      </c>
      <c r="M63" s="122" t="str">
        <f t="shared" ref="M63:P63" si="3">F62</f>
        <v>Base - 1.5%/y</v>
      </c>
      <c r="N63" s="122" t="str">
        <f t="shared" si="3"/>
        <v>Base</v>
      </c>
      <c r="O63" s="122" t="str">
        <f t="shared" si="3"/>
        <v>Base +1.5% /y</v>
      </c>
      <c r="P63" s="122" t="str">
        <f t="shared" si="3"/>
        <v>Base + 3%/y</v>
      </c>
      <c r="Q63" s="122"/>
      <c r="R63" s="122"/>
      <c r="S63" s="122" t="str">
        <f>INDEX(Thresholds!$L63:$P63,1,S$62)</f>
        <v>Flat Real</v>
      </c>
      <c r="T63" s="122" t="str">
        <f>INDEX(Thresholds!$L63:$P63,1,T$62)</f>
        <v>Base - 1.5%/y</v>
      </c>
      <c r="U63" s="122" t="str">
        <f>INDEX(Thresholds!$L63:$P63,1,U$62)</f>
        <v>Base</v>
      </c>
      <c r="V63" s="122" t="str">
        <f>INDEX(Thresholds!$L63:$P63,1,V$62)</f>
        <v>Base +1.5% /y</v>
      </c>
      <c r="W63" s="122" t="str">
        <f>INDEX(Thresholds!$L63:$P63,1,W$62)</f>
        <v>Base + 3%/y</v>
      </c>
      <c r="X63" s="122"/>
      <c r="Y63" s="22"/>
      <c r="Z63" s="22"/>
      <c r="AA63" s="22"/>
      <c r="AB63" s="22"/>
      <c r="AC63" s="22"/>
      <c r="AD63" s="22"/>
      <c r="AE63" s="22"/>
      <c r="AF63" s="22"/>
      <c r="AG63" s="22"/>
      <c r="AH63" s="22"/>
      <c r="AI63" s="22"/>
      <c r="AJ63" s="22"/>
      <c r="AK63" s="22"/>
      <c r="AL63" s="22"/>
    </row>
    <row r="64" spans="1:38">
      <c r="A64" s="22"/>
      <c r="B64" s="122" t="s">
        <v>38</v>
      </c>
      <c r="C64" s="122"/>
      <c r="D64" s="122">
        <f>-CashFlow!J16</f>
        <v>7638.9132264515811</v>
      </c>
      <c r="E64" s="122">
        <f t="dataTable" ref="E64:I67" dt2D="0" dtr="1" r1="E4" ca="1"/>
        <v>2286.6246994908124</v>
      </c>
      <c r="F64" s="122">
        <v>5388.2843363931088</v>
      </c>
      <c r="G64" s="122">
        <v>6403.4262058079121</v>
      </c>
      <c r="H64" s="122">
        <v>7638.9132264515811</v>
      </c>
      <c r="I64" s="122">
        <v>9082.2560313559006</v>
      </c>
      <c r="J64" s="122"/>
      <c r="K64" s="122" t="s">
        <v>38</v>
      </c>
      <c r="L64" s="125">
        <f>Thresholds!E64/Thresholds!E$68</f>
        <v>0.21116169620921602</v>
      </c>
      <c r="M64" s="125">
        <f>Thresholds!F64/Thresholds!F$68</f>
        <v>0.28853642464531576</v>
      </c>
      <c r="N64" s="125">
        <f>Thresholds!G64/Thresholds!G$68</f>
        <v>0.29634894210129931</v>
      </c>
      <c r="O64" s="125">
        <f>Thresholds!H64/Thresholds!H$68</f>
        <v>0.30434445240834518</v>
      </c>
      <c r="P64" s="125">
        <f>Thresholds!I64/Thresholds!I$68</f>
        <v>0.30974046219217488</v>
      </c>
      <c r="Q64" s="122"/>
      <c r="R64" s="122" t="s">
        <v>38</v>
      </c>
      <c r="S64" s="125">
        <f>INDEX(Thresholds!$L64:$P64,1,S$62)</f>
        <v>0.21116169620921602</v>
      </c>
      <c r="T64" s="125">
        <f>INDEX(Thresholds!$L64:$P64,1,T$62)</f>
        <v>0.28853642464531576</v>
      </c>
      <c r="U64" s="125">
        <f>INDEX(Thresholds!$L64:$P64,1,U$62)</f>
        <v>0.29634894210129931</v>
      </c>
      <c r="V64" s="125">
        <f>INDEX(Thresholds!$L64:$P64,1,V$62)</f>
        <v>0.30434445240834518</v>
      </c>
      <c r="W64" s="125">
        <f>INDEX(Thresholds!$L64:$P64,1,W$62)</f>
        <v>0.30974046219217488</v>
      </c>
      <c r="X64" s="122"/>
      <c r="Y64" s="22"/>
      <c r="Z64" s="22"/>
      <c r="AA64" s="22"/>
      <c r="AB64" s="22"/>
      <c r="AC64" s="22"/>
      <c r="AD64" s="22"/>
      <c r="AE64" s="22"/>
      <c r="AF64" s="22"/>
      <c r="AG64" s="22"/>
      <c r="AH64" s="22"/>
      <c r="AI64" s="22"/>
      <c r="AJ64" s="22"/>
      <c r="AK64" s="22"/>
      <c r="AL64" s="22"/>
    </row>
    <row r="65" spans="1:38">
      <c r="A65" s="22"/>
      <c r="B65" s="122" t="s">
        <v>135</v>
      </c>
      <c r="C65" s="122"/>
      <c r="D65" s="122">
        <f>-CashFlow!J17</f>
        <v>2768.5757889742094</v>
      </c>
      <c r="E65" s="122">
        <v>1341.6172954040817</v>
      </c>
      <c r="F65" s="122">
        <v>2100.672114619681</v>
      </c>
      <c r="G65" s="122">
        <v>2407.5592563146629</v>
      </c>
      <c r="H65" s="122">
        <v>2768.5757889742094</v>
      </c>
      <c r="I65" s="122">
        <v>3213.2544779521313</v>
      </c>
      <c r="J65" s="122"/>
      <c r="K65" s="122" t="s">
        <v>135</v>
      </c>
      <c r="L65" s="125">
        <f>Thresholds!E65/Thresholds!E$68</f>
        <v>0.12389360782476976</v>
      </c>
      <c r="M65" s="125">
        <f>Thresholds!F65/Thresholds!F$68</f>
        <v>0.11248857399945818</v>
      </c>
      <c r="N65" s="125">
        <f>Thresholds!G65/Thresholds!G$68</f>
        <v>0.11142123227841941</v>
      </c>
      <c r="O65" s="125">
        <f>Thresholds!H65/Thresholds!H$68</f>
        <v>0.11030373790981808</v>
      </c>
      <c r="P65" s="125">
        <f>Thresholds!I65/Thresholds!I$68</f>
        <v>0.1095845485643486</v>
      </c>
      <c r="Q65" s="122"/>
      <c r="R65" s="122" t="s">
        <v>135</v>
      </c>
      <c r="S65" s="125">
        <f>INDEX(Thresholds!$L65:$P65,1,S$62)</f>
        <v>0.12389360782476976</v>
      </c>
      <c r="T65" s="125">
        <f>INDEX(Thresholds!$L65:$P65,1,T$62)</f>
        <v>0.11248857399945818</v>
      </c>
      <c r="U65" s="125">
        <f>INDEX(Thresholds!$L65:$P65,1,U$62)</f>
        <v>0.11142123227841941</v>
      </c>
      <c r="V65" s="125">
        <f>INDEX(Thresholds!$L65:$P65,1,V$62)</f>
        <v>0.11030373790981808</v>
      </c>
      <c r="W65" s="125">
        <f>INDEX(Thresholds!$L65:$P65,1,W$62)</f>
        <v>0.1095845485643486</v>
      </c>
      <c r="X65" s="122"/>
      <c r="Y65" s="22"/>
      <c r="Z65" s="22"/>
      <c r="AA65" s="22"/>
      <c r="AB65" s="22"/>
      <c r="AC65" s="22"/>
      <c r="AD65" s="22"/>
      <c r="AE65" s="22"/>
      <c r="AF65" s="22"/>
      <c r="AG65" s="22"/>
      <c r="AH65" s="22"/>
      <c r="AI65" s="22"/>
      <c r="AJ65" s="22"/>
      <c r="AK65" s="22"/>
      <c r="AL65" s="22"/>
    </row>
    <row r="66" spans="1:38">
      <c r="A66" s="22"/>
      <c r="B66" s="122" t="s">
        <v>136</v>
      </c>
      <c r="C66" s="122"/>
      <c r="D66" s="122">
        <f>-CashFlow!J18</f>
        <v>3292.2163276677743</v>
      </c>
      <c r="E66" s="122">
        <v>1591.810664976925</v>
      </c>
      <c r="F66" s="122">
        <v>2498.6153352568849</v>
      </c>
      <c r="G66" s="122">
        <v>2863.2765055771197</v>
      </c>
      <c r="H66" s="122">
        <v>3292.2163276677743</v>
      </c>
      <c r="I66" s="122">
        <v>3820.5049603865027</v>
      </c>
      <c r="J66" s="122"/>
      <c r="K66" s="122" t="s">
        <v>136</v>
      </c>
      <c r="L66" s="125">
        <f>Thresholds!E66/Thresholds!E$68</f>
        <v>0.14699807980526808</v>
      </c>
      <c r="M66" s="125">
        <f>Thresholds!F66/Thresholds!F$68</f>
        <v>0.13379797545754113</v>
      </c>
      <c r="N66" s="125">
        <f>Thresholds!G66/Thresholds!G$68</f>
        <v>0.1325117110901767</v>
      </c>
      <c r="O66" s="125">
        <f>Thresholds!H66/Thresholds!H$68</f>
        <v>0.13116627270804787</v>
      </c>
      <c r="P66" s="125">
        <f>Thresholds!I66/Thresholds!I$68</f>
        <v>0.13029416569540883</v>
      </c>
      <c r="Q66" s="122"/>
      <c r="R66" s="122" t="s">
        <v>136</v>
      </c>
      <c r="S66" s="125">
        <f>INDEX(Thresholds!$L66:$P66,1,S$62)</f>
        <v>0.14699807980526808</v>
      </c>
      <c r="T66" s="125">
        <f>INDEX(Thresholds!$L66:$P66,1,T$62)</f>
        <v>0.13379797545754113</v>
      </c>
      <c r="U66" s="125">
        <f>INDEX(Thresholds!$L66:$P66,1,U$62)</f>
        <v>0.1325117110901767</v>
      </c>
      <c r="V66" s="125">
        <f>INDEX(Thresholds!$L66:$P66,1,V$62)</f>
        <v>0.13116627270804787</v>
      </c>
      <c r="W66" s="125">
        <f>INDEX(Thresholds!$L66:$P66,1,W$62)</f>
        <v>0.13029416569540883</v>
      </c>
      <c r="X66" s="122"/>
      <c r="Y66" s="22"/>
      <c r="Z66" s="22"/>
      <c r="AA66" s="22"/>
      <c r="AB66" s="22"/>
      <c r="AC66" s="22"/>
      <c r="AD66" s="22"/>
      <c r="AE66" s="22"/>
      <c r="AF66" s="22"/>
      <c r="AG66" s="22"/>
      <c r="AH66" s="22"/>
      <c r="AI66" s="22"/>
      <c r="AJ66" s="22"/>
      <c r="AK66" s="22"/>
      <c r="AL66" s="22"/>
    </row>
    <row r="67" spans="1:38">
      <c r="A67" s="22"/>
      <c r="B67" s="122" t="s">
        <v>137</v>
      </c>
      <c r="C67" s="122"/>
      <c r="D67" s="122">
        <f>CashFlow!$J$21</f>
        <v>11399.859199657803</v>
      </c>
      <c r="E67" s="122">
        <v>5608.7327711054786</v>
      </c>
      <c r="F67" s="122">
        <v>8686.9659017074118</v>
      </c>
      <c r="G67" s="122">
        <v>9933.4622252858317</v>
      </c>
      <c r="H67" s="122">
        <v>11399.859199657803</v>
      </c>
      <c r="I67" s="122">
        <v>13206.133684073182</v>
      </c>
      <c r="J67" s="122"/>
      <c r="K67" s="122" t="s">
        <v>137</v>
      </c>
      <c r="L67" s="125">
        <f>Thresholds!E67/Thresholds!E$68</f>
        <v>0.51794661616074622</v>
      </c>
      <c r="M67" s="125">
        <f>Thresholds!F67/Thresholds!F$68</f>
        <v>0.46517702589768506</v>
      </c>
      <c r="N67" s="125">
        <f>Thresholds!G67/Thresholds!G$68</f>
        <v>0.45971811453010458</v>
      </c>
      <c r="O67" s="125">
        <f>Thresholds!H67/Thresholds!H$68</f>
        <v>0.45418553697378899</v>
      </c>
      <c r="P67" s="125">
        <f>Thresholds!I67/Thresholds!I$68</f>
        <v>0.4503808235480678</v>
      </c>
      <c r="Q67" s="122"/>
      <c r="R67" s="122" t="s">
        <v>137</v>
      </c>
      <c r="S67" s="125">
        <f>INDEX(Thresholds!$L67:$P67,1,S$62)</f>
        <v>0.51794661616074622</v>
      </c>
      <c r="T67" s="125">
        <f>INDEX(Thresholds!$L67:$P67,1,T$62)</f>
        <v>0.46517702589768506</v>
      </c>
      <c r="U67" s="125">
        <f>INDEX(Thresholds!$L67:$P67,1,U$62)</f>
        <v>0.45971811453010458</v>
      </c>
      <c r="V67" s="125">
        <f>INDEX(Thresholds!$L67:$P67,1,V$62)</f>
        <v>0.45418553697378899</v>
      </c>
      <c r="W67" s="125">
        <f>INDEX(Thresholds!$L67:$P67,1,W$62)</f>
        <v>0.4503808235480678</v>
      </c>
      <c r="X67" s="122"/>
      <c r="Y67" s="22"/>
      <c r="Z67" s="22"/>
      <c r="AA67" s="22"/>
      <c r="AB67" s="22"/>
      <c r="AC67" s="22"/>
      <c r="AD67" s="22"/>
      <c r="AE67" s="22"/>
      <c r="AF67" s="22"/>
      <c r="AG67" s="22"/>
      <c r="AH67" s="22"/>
      <c r="AI67" s="22"/>
      <c r="AJ67" s="22"/>
      <c r="AK67" s="22"/>
      <c r="AL67" s="22"/>
    </row>
    <row r="68" spans="1:38">
      <c r="A68" s="22"/>
      <c r="B68" s="122"/>
      <c r="C68" s="122"/>
      <c r="D68" s="122">
        <f t="shared" ref="D68:I68" si="4">SUM(D64:D67)</f>
        <v>25099.564542751366</v>
      </c>
      <c r="E68" s="122">
        <f t="shared" si="4"/>
        <v>10828.785430977297</v>
      </c>
      <c r="F68" s="122">
        <f t="shared" si="4"/>
        <v>18674.537687977085</v>
      </c>
      <c r="G68" s="122">
        <f t="shared" si="4"/>
        <v>21607.724192985526</v>
      </c>
      <c r="H68" s="122">
        <f t="shared" si="4"/>
        <v>25099.564542751366</v>
      </c>
      <c r="I68" s="122">
        <f t="shared" si="4"/>
        <v>29322.149153767714</v>
      </c>
      <c r="J68" s="122"/>
      <c r="K68" s="122"/>
      <c r="L68" s="122"/>
      <c r="M68" s="122"/>
      <c r="N68" s="122"/>
      <c r="O68" s="122"/>
      <c r="P68" s="122"/>
      <c r="Q68" s="122"/>
      <c r="R68" s="122"/>
      <c r="S68" s="122"/>
      <c r="T68" s="122"/>
      <c r="U68" s="122"/>
      <c r="V68" s="122"/>
      <c r="W68" s="122"/>
      <c r="X68" s="122"/>
      <c r="Y68" s="22"/>
      <c r="Z68" s="22"/>
      <c r="AA68" s="22"/>
      <c r="AB68" s="22"/>
      <c r="AC68" s="22"/>
      <c r="AD68" s="22"/>
      <c r="AE68" s="22"/>
      <c r="AF68" s="22"/>
      <c r="AG68" s="22"/>
      <c r="AH68" s="22"/>
      <c r="AI68" s="22"/>
      <c r="AJ68" s="22"/>
      <c r="AK68" s="22"/>
      <c r="AL68" s="22"/>
    </row>
    <row r="69" spans="1:38">
      <c r="A69" s="22"/>
      <c r="B69" s="122"/>
      <c r="C69" s="122"/>
      <c r="D69" s="122"/>
      <c r="E69" s="122"/>
      <c r="F69" s="122"/>
      <c r="G69" s="122"/>
      <c r="H69" s="122"/>
      <c r="I69" s="122"/>
      <c r="J69" s="122"/>
      <c r="K69" s="122"/>
      <c r="L69" s="122"/>
      <c r="M69" s="122"/>
      <c r="N69" s="122"/>
      <c r="O69" s="122"/>
      <c r="P69" s="122"/>
      <c r="Q69" s="122"/>
      <c r="R69" s="122"/>
      <c r="S69" s="122"/>
      <c r="T69" s="122"/>
      <c r="U69" s="122"/>
      <c r="V69" s="122"/>
      <c r="W69" s="122"/>
      <c r="X69" s="122"/>
      <c r="Y69" s="22"/>
      <c r="Z69" s="22"/>
      <c r="AA69" s="22"/>
      <c r="AB69" s="22"/>
      <c r="AC69" s="22"/>
      <c r="AD69" s="22"/>
      <c r="AE69" s="22"/>
      <c r="AF69" s="22"/>
      <c r="AG69" s="22"/>
      <c r="AH69" s="22"/>
      <c r="AI69" s="22"/>
      <c r="AJ69" s="22"/>
      <c r="AK69" s="22"/>
      <c r="AL69" s="22"/>
    </row>
    <row r="70" spans="1:38">
      <c r="A70" s="22"/>
      <c r="B70" s="122"/>
      <c r="C70" s="122"/>
      <c r="D70" s="122"/>
      <c r="E70" s="122">
        <f>E8</f>
        <v>40</v>
      </c>
      <c r="F70" s="122">
        <f>G8</f>
        <v>140</v>
      </c>
      <c r="G70" s="122">
        <f>I8</f>
        <v>240</v>
      </c>
      <c r="H70" s="122">
        <f>K8</f>
        <v>340</v>
      </c>
      <c r="I70" s="122">
        <f>M8</f>
        <v>440</v>
      </c>
      <c r="J70" s="122">
        <f>O8</f>
        <v>540</v>
      </c>
      <c r="K70" s="122"/>
      <c r="L70" s="122"/>
      <c r="M70" s="122"/>
      <c r="N70" s="122"/>
      <c r="O70" s="122"/>
      <c r="P70" s="122"/>
      <c r="Q70" s="122"/>
      <c r="R70" s="122"/>
      <c r="S70" s="122">
        <f>Thresholds!E70</f>
        <v>40</v>
      </c>
      <c r="T70" s="122">
        <f>Thresholds!F70</f>
        <v>140</v>
      </c>
      <c r="U70" s="122">
        <f>Thresholds!G70</f>
        <v>240</v>
      </c>
      <c r="V70" s="122">
        <f>Thresholds!H70</f>
        <v>340</v>
      </c>
      <c r="W70" s="122">
        <f>Thresholds!I70</f>
        <v>440</v>
      </c>
      <c r="X70" s="122">
        <f>Thresholds!J70</f>
        <v>540</v>
      </c>
      <c r="Y70" s="22"/>
      <c r="Z70" s="22"/>
      <c r="AA70" s="22"/>
      <c r="AB70" s="22"/>
      <c r="AC70" s="22"/>
      <c r="AD70" s="22"/>
      <c r="AE70" s="22"/>
      <c r="AF70" s="22"/>
      <c r="AG70" s="22"/>
      <c r="AH70" s="22"/>
      <c r="AI70" s="22"/>
      <c r="AJ70" s="22"/>
      <c r="AK70" s="22"/>
      <c r="AL70" s="22"/>
    </row>
    <row r="71" spans="1:38">
      <c r="A71" s="22"/>
      <c r="B71" s="122" t="s">
        <v>38</v>
      </c>
      <c r="C71" s="122"/>
      <c r="D71" s="122">
        <f>-CashFlow!J16</f>
        <v>7638.9132264515811</v>
      </c>
      <c r="E71" s="122">
        <f t="dataTable" ref="E71:J74" dt2D="0" dtr="1" r1="E2" ca="1"/>
        <v>94.873418484563501</v>
      </c>
      <c r="F71" s="122">
        <v>2435.4535937631108</v>
      </c>
      <c r="G71" s="122">
        <v>5879.2166482406255</v>
      </c>
      <c r="H71" s="122">
        <v>9305.0034618762711</v>
      </c>
      <c r="I71" s="122">
        <v>12658.359353884822</v>
      </c>
      <c r="J71" s="122">
        <v>16338.151409236629</v>
      </c>
      <c r="K71" s="122"/>
      <c r="L71" s="122"/>
      <c r="M71" s="122"/>
      <c r="N71" s="122"/>
      <c r="O71" s="122"/>
      <c r="P71" s="122"/>
      <c r="Q71" s="122"/>
      <c r="R71" s="122" t="s">
        <v>38</v>
      </c>
      <c r="S71" s="125">
        <f>Thresholds!E71/Thresholds!E$75</f>
        <v>0.27248006758701293</v>
      </c>
      <c r="T71" s="125">
        <f>Thresholds!F71/Thresholds!F$75</f>
        <v>0.23965532034227044</v>
      </c>
      <c r="U71" s="125">
        <f>Thresholds!G71/Thresholds!G$75</f>
        <v>0.29291188872590596</v>
      </c>
      <c r="V71" s="125">
        <f>Thresholds!H71/Thresholds!H$75</f>
        <v>0.31017483410893554</v>
      </c>
      <c r="W71" s="125">
        <f>Thresholds!I71/Thresholds!I$75</f>
        <v>0.31751651751099441</v>
      </c>
      <c r="X71" s="125">
        <f>Thresholds!J71/Thresholds!J$75</f>
        <v>0.32307233574924021</v>
      </c>
      <c r="Y71" s="80"/>
      <c r="Z71" s="80"/>
      <c r="AA71" s="80"/>
      <c r="AB71" s="80"/>
      <c r="AC71" s="80"/>
      <c r="AD71" s="22"/>
      <c r="AE71" s="22"/>
      <c r="AF71" s="22"/>
      <c r="AG71" s="22"/>
      <c r="AH71" s="22"/>
      <c r="AI71" s="22"/>
      <c r="AJ71" s="22"/>
      <c r="AK71" s="22"/>
      <c r="AL71" s="22"/>
    </row>
    <row r="72" spans="1:38">
      <c r="A72" s="22"/>
      <c r="B72" s="122" t="s">
        <v>135</v>
      </c>
      <c r="C72" s="122"/>
      <c r="D72" s="122">
        <f>-CashFlow!J17</f>
        <v>2768.5757889742094</v>
      </c>
      <c r="E72" s="122">
        <v>31.051846211601031</v>
      </c>
      <c r="F72" s="122">
        <v>1211.2462154168484</v>
      </c>
      <c r="G72" s="122">
        <v>2245.6818410147935</v>
      </c>
      <c r="H72" s="122">
        <v>3285.9209778944009</v>
      </c>
      <c r="I72" s="122">
        <v>4328.1416566744592</v>
      </c>
      <c r="J72" s="122">
        <v>5452.0300251145682</v>
      </c>
      <c r="K72" s="122"/>
      <c r="L72" s="122"/>
      <c r="M72" s="122"/>
      <c r="N72" s="122"/>
      <c r="O72" s="122"/>
      <c r="P72" s="122"/>
      <c r="Q72" s="122"/>
      <c r="R72" s="122" t="s">
        <v>135</v>
      </c>
      <c r="S72" s="125">
        <f>Thresholds!E72/Thresholds!E$75</f>
        <v>8.9182083765804637E-2</v>
      </c>
      <c r="T72" s="125">
        <f>Thresholds!F72/Thresholds!F$75</f>
        <v>0.11918995316209763</v>
      </c>
      <c r="U72" s="125">
        <f>Thresholds!G72/Thresholds!G$75</f>
        <v>0.111883427484503</v>
      </c>
      <c r="V72" s="125">
        <f>Thresholds!H72/Thresholds!H$75</f>
        <v>0.10953354272132129</v>
      </c>
      <c r="W72" s="125">
        <f>Thresholds!I72/Thresholds!I$75</f>
        <v>0.10856513294511458</v>
      </c>
      <c r="X72" s="125">
        <f>Thresholds!J72/Thresholds!J$75</f>
        <v>0.10780901894402574</v>
      </c>
      <c r="Y72" s="80"/>
      <c r="Z72" s="80"/>
      <c r="AA72" s="80"/>
      <c r="AB72" s="80"/>
      <c r="AC72" s="80"/>
      <c r="AD72" s="22"/>
      <c r="AE72" s="22"/>
      <c r="AF72" s="22"/>
      <c r="AG72" s="22"/>
      <c r="AH72" s="22"/>
      <c r="AI72" s="22"/>
      <c r="AJ72" s="22"/>
      <c r="AK72" s="22"/>
      <c r="AL72" s="22"/>
    </row>
    <row r="73" spans="1:38">
      <c r="A73" s="22"/>
      <c r="B73" s="122" t="s">
        <v>136</v>
      </c>
      <c r="C73" s="122"/>
      <c r="D73" s="122">
        <f>-CashFlow!J18</f>
        <v>3292.2163276677743</v>
      </c>
      <c r="E73" s="122">
        <v>34.892897233363868</v>
      </c>
      <c r="F73" s="122">
        <v>1439.2897149678242</v>
      </c>
      <c r="G73" s="122">
        <v>2669.5712283531484</v>
      </c>
      <c r="H73" s="122">
        <v>3908.4793776835236</v>
      </c>
      <c r="I73" s="122">
        <v>5149.6166606531169</v>
      </c>
      <c r="J73" s="122">
        <v>6487.9901942266579</v>
      </c>
      <c r="K73" s="122"/>
      <c r="L73" s="122"/>
      <c r="M73" s="122"/>
      <c r="N73" s="122"/>
      <c r="O73" s="122"/>
      <c r="P73" s="122"/>
      <c r="Q73" s="122"/>
      <c r="R73" s="122" t="s">
        <v>136</v>
      </c>
      <c r="S73" s="125">
        <f>Thresholds!E73/Thresholds!E$75</f>
        <v>0.10021372844281597</v>
      </c>
      <c r="T73" s="125">
        <f>Thresholds!F73/Thresholds!F$75</f>
        <v>0.14163005962802167</v>
      </c>
      <c r="U73" s="125">
        <f>Thresholds!G73/Thresholds!G$75</f>
        <v>0.13300226839221144</v>
      </c>
      <c r="V73" s="125">
        <f>Thresholds!H73/Thresholds!H$75</f>
        <v>0.13028602810930398</v>
      </c>
      <c r="W73" s="125">
        <f>Thresholds!I73/Thresholds!I$75</f>
        <v>0.12917063759177994</v>
      </c>
      <c r="X73" s="125">
        <f>Thresholds!J73/Thresholds!J$75</f>
        <v>0.12829420500913996</v>
      </c>
      <c r="Y73" s="80"/>
      <c r="Z73" s="80"/>
      <c r="AA73" s="80"/>
      <c r="AB73" s="80"/>
      <c r="AC73" s="80"/>
      <c r="AD73" s="22"/>
      <c r="AE73" s="22"/>
      <c r="AF73" s="22"/>
      <c r="AG73" s="22"/>
      <c r="AH73" s="22"/>
      <c r="AI73" s="22"/>
      <c r="AJ73" s="22"/>
      <c r="AK73" s="22"/>
      <c r="AL73" s="22"/>
    </row>
    <row r="74" spans="1:38">
      <c r="A74" s="22"/>
      <c r="B74" s="122" t="s">
        <v>137</v>
      </c>
      <c r="C74" s="122"/>
      <c r="D74" s="122">
        <f>CashFlow!J21</f>
        <v>11399.859199657803</v>
      </c>
      <c r="E74" s="122">
        <v>187.36664044786721</v>
      </c>
      <c r="F74" s="122">
        <v>5076.3285511816084</v>
      </c>
      <c r="G74" s="122">
        <v>9277.1520721854868</v>
      </c>
      <c r="H74" s="122">
        <v>13499.817391473054</v>
      </c>
      <c r="I74" s="122">
        <v>17730.656672098761</v>
      </c>
      <c r="J74" s="122">
        <v>22293.015072835813</v>
      </c>
      <c r="K74" s="122"/>
      <c r="L74" s="122"/>
      <c r="M74" s="122"/>
      <c r="N74" s="122"/>
      <c r="O74" s="122"/>
      <c r="P74" s="122"/>
      <c r="Q74" s="122"/>
      <c r="R74" s="122" t="s">
        <v>137</v>
      </c>
      <c r="S74" s="125">
        <f>Thresholds!E74/Thresholds!E$75</f>
        <v>0.5381241202043664</v>
      </c>
      <c r="T74" s="125">
        <f>Thresholds!F74/Thresholds!F$75</f>
        <v>0.49952466686761021</v>
      </c>
      <c r="U74" s="125">
        <f>Thresholds!G74/Thresholds!G$75</f>
        <v>0.46220241539737955</v>
      </c>
      <c r="V74" s="125">
        <f>Thresholds!H74/Thresholds!H$75</f>
        <v>0.45000559506043913</v>
      </c>
      <c r="W74" s="125">
        <f>Thresholds!I74/Thresholds!I$75</f>
        <v>0.44474771195211099</v>
      </c>
      <c r="X74" s="125">
        <f>Thresholds!J74/Thresholds!J$75</f>
        <v>0.4408244402975941</v>
      </c>
      <c r="Y74" s="80"/>
      <c r="Z74" s="80"/>
      <c r="AA74" s="80"/>
      <c r="AB74" s="80"/>
      <c r="AC74" s="80"/>
      <c r="AD74" s="22"/>
      <c r="AE74" s="22"/>
      <c r="AF74" s="22"/>
      <c r="AG74" s="22"/>
      <c r="AH74" s="22"/>
      <c r="AI74" s="22"/>
      <c r="AJ74" s="22"/>
      <c r="AK74" s="22"/>
      <c r="AL74" s="22"/>
    </row>
    <row r="75" spans="1:38">
      <c r="A75" s="22"/>
      <c r="B75" s="122"/>
      <c r="C75" s="122"/>
      <c r="D75" s="126"/>
      <c r="E75" s="122">
        <f t="shared" ref="E75:J75" si="5">SUM(E71:E74)</f>
        <v>348.18480237739561</v>
      </c>
      <c r="F75" s="122">
        <f t="shared" si="5"/>
        <v>10162.318075329393</v>
      </c>
      <c r="G75" s="122">
        <f t="shared" si="5"/>
        <v>20071.621789794055</v>
      </c>
      <c r="H75" s="122">
        <f t="shared" si="5"/>
        <v>29999.221208927251</v>
      </c>
      <c r="I75" s="122">
        <f t="shared" si="5"/>
        <v>39866.774343311161</v>
      </c>
      <c r="J75" s="122">
        <f t="shared" si="5"/>
        <v>50571.186701413666</v>
      </c>
      <c r="K75" s="122"/>
      <c r="L75" s="122"/>
      <c r="M75" s="122"/>
      <c r="N75" s="122"/>
      <c r="O75" s="122"/>
      <c r="P75" s="122"/>
      <c r="Q75" s="122"/>
      <c r="R75" s="122"/>
      <c r="S75" s="122"/>
      <c r="T75" s="122"/>
      <c r="U75" s="122"/>
      <c r="V75" s="122"/>
      <c r="W75" s="122"/>
      <c r="X75" s="122"/>
      <c r="Y75" s="22"/>
      <c r="Z75" s="22"/>
      <c r="AA75" s="22"/>
      <c r="AB75" s="22"/>
      <c r="AC75" s="22"/>
      <c r="AD75" s="22"/>
      <c r="AE75" s="22"/>
      <c r="AF75" s="22"/>
      <c r="AG75" s="22"/>
      <c r="AH75" s="22"/>
      <c r="AI75" s="22"/>
      <c r="AJ75" s="22"/>
      <c r="AK75" s="22"/>
      <c r="AL75" s="22"/>
    </row>
  </sheetData>
  <sheetProtection algorithmName="SHA-512" hashValue="OAo3GT0JK2s127Fr2kl2PQ1TizCYS2n3ognXhHhdj1a/ojW1OudehPA1w9yLDAeP8cREugBd3ADxxqF3aTxdYA==" saltValue="8vxMp2azcBH5zMyWq+WCWQ==" spinCount="100000" sheet="1" objects="1" scenarios="1"/>
  <mergeCells count="6">
    <mergeCell ref="D33:K38"/>
    <mergeCell ref="A6:B6"/>
    <mergeCell ref="A11:B11"/>
    <mergeCell ref="A17:B17"/>
    <mergeCell ref="A34:B34"/>
    <mergeCell ref="A22:B22"/>
  </mergeCells>
  <conditionalFormatting sqref="E26:I30 E17:K21 E9:O13">
    <cfRule type="containsText" dxfId="5" priority="4" stopIfTrue="1" operator="containsText" text="Uneconomic">
      <formula>NOT(ISERROR(SEARCH("Uneconomic",E9)))</formula>
    </cfRule>
  </conditionalFormatting>
  <conditionalFormatting sqref="E26:I30 E17:K21 E9:O13">
    <cfRule type="cellIs" dxfId="4" priority="2" stopIfTrue="1" operator="greaterThan">
      <formula>0</formula>
    </cfRule>
    <cfRule type="cellIs" dxfId="3" priority="3" stopIfTrue="1" operator="lessThan">
      <formula>0</formula>
    </cfRule>
  </conditionalFormatting>
  <dataValidations count="3">
    <dataValidation type="decimal" allowBlank="1" showInputMessage="1" showErrorMessage="1" sqref="E3">
      <formula1>0</formula1>
      <formula2>10000</formula2>
    </dataValidation>
    <dataValidation type="decimal" allowBlank="1" showInputMessage="1" showErrorMessage="1" sqref="E2">
      <formula1>0</formula1>
      <formula2>1500</formula2>
    </dataValidation>
    <dataValidation type="list" allowBlank="1" showInputMessage="1" showErrorMessage="1" promptTitle="Select Economic Scenario" sqref="E24:I24">
      <formula1>scenarios</formula1>
    </dataValidation>
  </dataValidations>
  <hyperlinks>
    <hyperlink ref="C5" location="Guide" display="Guide"/>
    <hyperlink ref="C6" location="Input" display="Input"/>
  </hyperlinks>
  <pageMargins left="0.7" right="0.7" top="0.75" bottom="0.75" header="0.3" footer="0.3"/>
  <pageSetup paperSize="9" scale="48" orientation="landscape" horizontalDpi="300" r:id="rId1"/>
  <headerFooter>
    <oddFooter>&amp;LNova Scotia Exploration Economics Model&amp;Rwww.indeva.com</oddFooter>
  </headerFooter>
  <colBreaks count="1" manualBreakCount="1">
    <brk id="1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pageSetUpPr fitToPage="1"/>
  </sheetPr>
  <dimension ref="A1:AM168"/>
  <sheetViews>
    <sheetView showGridLines="0" showRowColHeaders="0" zoomScale="70" zoomScaleNormal="70" workbookViewId="0">
      <pane xSplit="3" ySplit="2" topLeftCell="D3" activePane="bottomRight" state="frozen"/>
      <selection activeCell="D43" sqref="D43"/>
      <selection pane="topRight" activeCell="D43" sqref="D43"/>
      <selection pane="bottomLeft" activeCell="D43" sqref="D43"/>
      <selection pane="bottomRight" activeCell="B29" sqref="B29:C29"/>
    </sheetView>
  </sheetViews>
  <sheetFormatPr defaultRowHeight="14.5"/>
  <cols>
    <col min="1" max="1" width="35" customWidth="1"/>
    <col min="2" max="2" width="14.54296875" customWidth="1"/>
    <col min="3" max="3" width="14.7265625" customWidth="1"/>
    <col min="4" max="4" width="18.81640625" customWidth="1"/>
    <col min="5" max="5" width="9.1796875" customWidth="1"/>
    <col min="6" max="6" width="8.453125" customWidth="1"/>
    <col min="7" max="7" width="27.453125" customWidth="1"/>
    <col min="8" max="8" width="12.453125" hidden="1" customWidth="1"/>
    <col min="9" max="9" width="12" customWidth="1"/>
    <col min="26" max="26" width="9.453125" bestFit="1" customWidth="1"/>
    <col min="27" max="27" width="9.26953125" bestFit="1" customWidth="1"/>
  </cols>
  <sheetData>
    <row r="1" spans="1:39" ht="23.5">
      <c r="A1" s="368" t="str">
        <f>Thresholds!A5</f>
        <v>Prospect X</v>
      </c>
      <c r="B1" s="22"/>
      <c r="C1" s="22"/>
      <c r="D1" s="143" t="s">
        <v>768</v>
      </c>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124"/>
    </row>
    <row r="2" spans="1:39" ht="24" customHeight="1">
      <c r="A2" s="369" t="s">
        <v>0</v>
      </c>
      <c r="B2" s="370" t="s">
        <v>116</v>
      </c>
      <c r="C2" s="370" t="s">
        <v>117</v>
      </c>
      <c r="D2" s="143" t="s">
        <v>143</v>
      </c>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124"/>
    </row>
    <row r="3" spans="1:39" ht="15.5">
      <c r="A3" s="299" t="s">
        <v>111</v>
      </c>
      <c r="B3" s="19">
        <v>-0.2</v>
      </c>
      <c r="C3" s="19">
        <v>0.4</v>
      </c>
      <c r="D3" s="371"/>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124"/>
    </row>
    <row r="4" spans="1:39" ht="15.5">
      <c r="A4" s="299" t="s">
        <v>758</v>
      </c>
      <c r="B4" s="20">
        <v>-0.3</v>
      </c>
      <c r="C4" s="20">
        <v>0.3</v>
      </c>
      <c r="D4" s="371"/>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124"/>
    </row>
    <row r="5" spans="1:39" ht="15.5">
      <c r="A5" s="299" t="s">
        <v>118</v>
      </c>
      <c r="B5" s="20">
        <v>-0.3</v>
      </c>
      <c r="C5" s="20">
        <v>0.3</v>
      </c>
      <c r="D5" s="37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124"/>
    </row>
    <row r="6" spans="1:39" ht="15.5">
      <c r="A6" s="299" t="s">
        <v>119</v>
      </c>
      <c r="B6" s="20">
        <v>-0.25</v>
      </c>
      <c r="C6" s="20">
        <v>0.3</v>
      </c>
      <c r="D6" s="37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124"/>
    </row>
    <row r="7" spans="1:39" ht="15.5">
      <c r="A7" s="299" t="s">
        <v>120</v>
      </c>
      <c r="B7" s="20">
        <v>-0.25</v>
      </c>
      <c r="C7" s="20">
        <v>0.3</v>
      </c>
      <c r="D7" s="372"/>
      <c r="E7" s="22"/>
      <c r="F7" s="22"/>
      <c r="G7" s="22"/>
      <c r="H7" s="22"/>
      <c r="I7" s="22"/>
      <c r="J7" s="22"/>
      <c r="K7" s="22"/>
      <c r="L7" s="22"/>
      <c r="M7" s="22"/>
      <c r="N7" s="22"/>
      <c r="O7" s="22"/>
      <c r="P7" s="22"/>
      <c r="Q7" s="22"/>
      <c r="R7" s="22"/>
      <c r="S7" s="22"/>
      <c r="T7" s="22"/>
      <c r="U7" s="22"/>
      <c r="V7" s="22"/>
      <c r="W7" s="22"/>
      <c r="X7" s="22"/>
      <c r="Y7" s="22"/>
      <c r="Z7" s="22"/>
      <c r="AA7" s="22"/>
      <c r="AB7" s="22"/>
      <c r="AC7" s="22"/>
      <c r="AD7" s="22"/>
      <c r="AE7" s="22"/>
      <c r="AF7" s="22"/>
      <c r="AG7" s="22"/>
      <c r="AH7" s="22"/>
      <c r="AI7" s="22"/>
      <c r="AJ7" s="22"/>
      <c r="AK7" s="22"/>
      <c r="AL7" s="22"/>
      <c r="AM7" s="124"/>
    </row>
    <row r="8" spans="1:39" ht="15.5">
      <c r="A8" s="299" t="s">
        <v>121</v>
      </c>
      <c r="B8" s="20">
        <v>-0.5</v>
      </c>
      <c r="C8" s="20">
        <v>0.5</v>
      </c>
      <c r="D8" s="372"/>
      <c r="E8" s="22"/>
      <c r="F8" s="22"/>
      <c r="G8" s="22"/>
      <c r="H8" s="22"/>
      <c r="I8" s="22"/>
      <c r="J8" s="22"/>
      <c r="K8" s="22"/>
      <c r="L8" s="22"/>
      <c r="M8" s="22"/>
      <c r="N8" s="22"/>
      <c r="O8" s="22"/>
      <c r="P8" s="22"/>
      <c r="Q8" s="22"/>
      <c r="R8" s="22"/>
      <c r="S8" s="22"/>
      <c r="T8" s="22"/>
      <c r="U8" s="22"/>
      <c r="V8" s="22"/>
      <c r="W8" s="22"/>
      <c r="X8" s="22"/>
      <c r="Y8" s="22"/>
      <c r="Z8" s="22"/>
      <c r="AA8" s="22"/>
      <c r="AB8" s="22"/>
      <c r="AC8" s="22"/>
      <c r="AD8" s="22"/>
      <c r="AE8" s="22"/>
      <c r="AF8" s="22"/>
      <c r="AG8" s="22"/>
      <c r="AH8" s="22"/>
      <c r="AI8" s="22"/>
      <c r="AJ8" s="22"/>
      <c r="AK8" s="22"/>
      <c r="AL8" s="22"/>
      <c r="AM8" s="124"/>
    </row>
    <row r="9" spans="1:39" ht="15.5">
      <c r="A9" s="299" t="s">
        <v>122</v>
      </c>
      <c r="B9" s="20">
        <v>-0.2</v>
      </c>
      <c r="C9" s="20">
        <v>0.3</v>
      </c>
      <c r="D9" s="37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124"/>
    </row>
    <row r="10" spans="1:39" ht="18.5">
      <c r="A10" s="569" t="s">
        <v>123</v>
      </c>
      <c r="B10" s="569"/>
      <c r="C10" s="558"/>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124"/>
    </row>
    <row r="11" spans="1:39" ht="14.25" customHeight="1">
      <c r="A11" s="299" t="str">
        <f>Thresholds!A7</f>
        <v>Discount Rate</v>
      </c>
      <c r="B11" s="565">
        <f>Thresholds!B7</f>
        <v>0.1</v>
      </c>
      <c r="C11" s="566"/>
      <c r="D11" s="373"/>
      <c r="E11" s="22"/>
      <c r="F11" s="22"/>
      <c r="G11" s="374"/>
      <c r="H11" s="375"/>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124"/>
    </row>
    <row r="12" spans="1:39" ht="15.5">
      <c r="A12" s="299" t="str">
        <f>Thresholds!A8</f>
        <v>Discount To</v>
      </c>
      <c r="B12" s="576">
        <f ca="1">Thresholds!B8</f>
        <v>42005</v>
      </c>
      <c r="C12" s="577"/>
      <c r="D12" s="376"/>
      <c r="E12" s="22"/>
      <c r="F12" s="22"/>
      <c r="G12" s="22"/>
      <c r="H12" s="22"/>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124"/>
    </row>
    <row r="13" spans="1:39" ht="15.5">
      <c r="A13" s="299" t="str">
        <f>Thresholds!A9</f>
        <v>Economic Scenario</v>
      </c>
      <c r="B13" s="567" t="str">
        <f>Thresholds!B9</f>
        <v>Base +1.5% /y</v>
      </c>
      <c r="C13" s="568"/>
      <c r="D13" s="377"/>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124"/>
    </row>
    <row r="14" spans="1:39" ht="15.5">
      <c r="A14" s="299" t="str">
        <f>Thresholds!A10</f>
        <v>Cost Set</v>
      </c>
      <c r="B14" s="567" t="str">
        <f>Thresholds!B10</f>
        <v>NS DOE Petrofac DW Update 2015</v>
      </c>
      <c r="C14" s="568"/>
      <c r="D14" s="377"/>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124"/>
    </row>
    <row r="15" spans="1:39" ht="18.5">
      <c r="A15" s="557" t="str">
        <f>Thresholds!A11</f>
        <v>Project Parameters</v>
      </c>
      <c r="B15" s="569"/>
      <c r="C15" s="558"/>
      <c r="D15" s="377"/>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124"/>
    </row>
    <row r="16" spans="1:39" ht="15.5">
      <c r="A16" s="299" t="str">
        <f>Thresholds!A12</f>
        <v>Start Date</v>
      </c>
      <c r="B16" s="576">
        <f>Thresholds!B12</f>
        <v>42005</v>
      </c>
      <c r="C16" s="577"/>
      <c r="D16" s="376"/>
      <c r="E16" s="21"/>
      <c r="F16" s="21"/>
      <c r="G16" s="21"/>
      <c r="H16" s="21"/>
      <c r="I16" s="21"/>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124"/>
    </row>
    <row r="17" spans="1:39" ht="15.5">
      <c r="A17" s="299" t="s">
        <v>124</v>
      </c>
      <c r="B17" s="576" t="str">
        <f>Input!B9</f>
        <v>Development Start</v>
      </c>
      <c r="C17" s="577"/>
      <c r="D17" s="376"/>
      <c r="E17" s="21"/>
      <c r="F17" s="21"/>
      <c r="G17" s="21"/>
      <c r="H17" s="21"/>
      <c r="I17" s="21"/>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124"/>
    </row>
    <row r="18" spans="1:39" ht="15.5">
      <c r="A18" s="299" t="str">
        <f>Thresholds!A13</f>
        <v>Development Method</v>
      </c>
      <c r="B18" s="570" t="str">
        <f>Thresholds!B13</f>
        <v>FPSO</v>
      </c>
      <c r="C18" s="571"/>
      <c r="D18" s="378"/>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row>
    <row r="19" spans="1:39" ht="15.5">
      <c r="A19" s="299" t="str">
        <f>Thresholds!A14</f>
        <v>Gas Disposal</v>
      </c>
      <c r="B19" s="570" t="str">
        <f>Thresholds!B14</f>
        <v>To Infrastructure</v>
      </c>
      <c r="C19" s="571"/>
      <c r="D19" s="21"/>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row>
    <row r="20" spans="1:39" ht="15.5">
      <c r="A20" s="299" t="str">
        <f>Thresholds!A15</f>
        <v>Gas Export Distance (km)</v>
      </c>
      <c r="B20" s="578">
        <f>Thresholds!B15</f>
        <v>250</v>
      </c>
      <c r="C20" s="579"/>
      <c r="D20" s="379"/>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row>
    <row r="21" spans="1:39" ht="15.5">
      <c r="A21" s="299" t="str">
        <f>Thresholds!A16</f>
        <v>Pipeline Percent Deepwater</v>
      </c>
      <c r="B21" s="572">
        <f>Thresholds!B16</f>
        <v>0.3</v>
      </c>
      <c r="C21" s="572"/>
      <c r="D21" s="377"/>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row>
    <row r="22" spans="1:39" ht="18.5">
      <c r="A22" s="557" t="str">
        <f>Thresholds!A17</f>
        <v>Risk Parameters</v>
      </c>
      <c r="B22" s="569"/>
      <c r="C22" s="558"/>
      <c r="D22" s="373"/>
      <c r="E22" s="22"/>
      <c r="F22" s="22"/>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c r="AL22" s="22"/>
      <c r="AM22" s="124"/>
    </row>
    <row r="23" spans="1:39" ht="15.5">
      <c r="A23" s="299" t="str">
        <f>Thresholds!A18</f>
        <v>Seismic</v>
      </c>
      <c r="B23" s="565">
        <f>Thresholds!B18</f>
        <v>1</v>
      </c>
      <c r="C23" s="566"/>
      <c r="D23" s="373"/>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124"/>
    </row>
    <row r="24" spans="1:39" ht="15.5">
      <c r="A24" s="299" t="str">
        <f>Thresholds!A19</f>
        <v>Wildcat</v>
      </c>
      <c r="B24" s="565">
        <f>Thresholds!B19</f>
        <v>0.35</v>
      </c>
      <c r="C24" s="566"/>
      <c r="D24" s="373"/>
      <c r="E24" s="22"/>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124"/>
    </row>
    <row r="25" spans="1:39" ht="15.5">
      <c r="A25" s="299" t="str">
        <f>Thresholds!A20</f>
        <v>Appraisal</v>
      </c>
      <c r="B25" s="565">
        <f>Thresholds!B20</f>
        <v>0.75</v>
      </c>
      <c r="C25" s="566"/>
      <c r="D25" s="373"/>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124"/>
    </row>
    <row r="26" spans="1:39" ht="15.5">
      <c r="A26" s="299" t="str">
        <f>Thresholds!A21</f>
        <v>Development Planning</v>
      </c>
      <c r="B26" s="565">
        <f>Thresholds!B21</f>
        <v>1</v>
      </c>
      <c r="C26" s="566"/>
      <c r="D26" s="377"/>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124"/>
    </row>
    <row r="27" spans="1:39" ht="18.5">
      <c r="A27" s="557" t="str">
        <f>Thresholds!A22</f>
        <v>Technical Parameters</v>
      </c>
      <c r="B27" s="569"/>
      <c r="C27" s="558"/>
      <c r="D27" s="377"/>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124"/>
    </row>
    <row r="28" spans="1:39" ht="15.5">
      <c r="A28" s="299" t="str">
        <f>Thresholds!A23</f>
        <v>Product Type</v>
      </c>
      <c r="B28" s="567" t="str">
        <f>Thresholds!B23</f>
        <v>Oil</v>
      </c>
      <c r="C28" s="568"/>
      <c r="D28" s="377"/>
      <c r="E28" s="22"/>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124"/>
    </row>
    <row r="29" spans="1:39" ht="15.5">
      <c r="A29" s="299" t="str">
        <f>Thresholds!A24</f>
        <v>Mean Reserves (mmbbl)</v>
      </c>
      <c r="B29" s="567">
        <f>Thresholds!B24</f>
        <v>290</v>
      </c>
      <c r="C29" s="568"/>
      <c r="D29" s="377"/>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124"/>
    </row>
    <row r="30" spans="1:39" ht="15.5">
      <c r="A30" s="299" t="str">
        <f>Thresholds!A25</f>
        <v>Reservoir Depth (m MSL)</v>
      </c>
      <c r="B30" s="567">
        <f>Thresholds!B25</f>
        <v>4500</v>
      </c>
      <c r="C30" s="568"/>
      <c r="D30" s="377"/>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124"/>
    </row>
    <row r="31" spans="1:39" ht="15.5">
      <c r="A31" s="299" t="str">
        <f>Thresholds!A27</f>
        <v>Reservoir Complexity</v>
      </c>
      <c r="B31" s="567" t="str">
        <f>Thresholds!B27</f>
        <v>High</v>
      </c>
      <c r="C31" s="568"/>
      <c r="D31" s="21"/>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124"/>
    </row>
    <row r="32" spans="1:39" ht="15.5">
      <c r="A32" s="299" t="str">
        <f>Thresholds!A28</f>
        <v xml:space="preserve">Areal Extent Factor </v>
      </c>
      <c r="B32" s="567" t="str">
        <f>Thresholds!B28</f>
        <v>High</v>
      </c>
      <c r="C32" s="568"/>
      <c r="D32" s="21"/>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124"/>
    </row>
    <row r="33" spans="1:39" ht="15.5">
      <c r="A33" s="299" t="str">
        <f>Thresholds!A29</f>
        <v>Reservoir Pressure</v>
      </c>
      <c r="B33" s="567" t="str">
        <f>Thresholds!B29</f>
        <v>Normally Pressured</v>
      </c>
      <c r="C33" s="568"/>
      <c r="D33" s="21"/>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124"/>
    </row>
    <row r="34" spans="1:39" ht="15.5">
      <c r="A34" s="299" t="str">
        <f>Thresholds!A30</f>
        <v>Gas Calorific Value (btu/scf)</v>
      </c>
      <c r="B34" s="567">
        <f>Thresholds!B30</f>
        <v>1040</v>
      </c>
      <c r="C34" s="568"/>
      <c r="D34" s="21"/>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124"/>
    </row>
    <row r="35" spans="1:39" ht="15.5">
      <c r="A35" s="299" t="str">
        <f>Thresholds!A31</f>
        <v>Liquid Yield (bbl/mcf)</v>
      </c>
      <c r="B35" s="567">
        <f>Thresholds!B31</f>
        <v>3333.3</v>
      </c>
      <c r="C35" s="568"/>
      <c r="D35" s="21"/>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124"/>
    </row>
    <row r="36" spans="1:39" ht="16" thickBot="1">
      <c r="A36" s="299" t="str">
        <f>Input!A30</f>
        <v>Gas Type</v>
      </c>
      <c r="B36" s="567" t="str">
        <f>Thresholds!B32</f>
        <v>Sweet</v>
      </c>
      <c r="C36" s="568"/>
      <c r="D36" s="21"/>
      <c r="E36" s="22"/>
      <c r="F36" s="22"/>
      <c r="G36" s="22"/>
      <c r="H36" s="22"/>
      <c r="I36" s="22"/>
      <c r="J36" s="22"/>
      <c r="K36" s="22"/>
      <c r="L36" s="22"/>
      <c r="M36" s="22"/>
      <c r="N36" s="22"/>
      <c r="O36" s="22"/>
      <c r="P36" s="22"/>
      <c r="Q36" s="22"/>
      <c r="R36" s="22"/>
      <c r="S36" s="22"/>
      <c r="T36" s="22"/>
      <c r="U36" s="22"/>
      <c r="V36" s="22"/>
      <c r="W36" s="22"/>
      <c r="X36" s="22"/>
      <c r="Y36" s="22"/>
      <c r="Z36" s="22"/>
      <c r="AA36" s="22"/>
      <c r="AB36" s="22"/>
      <c r="AC36" s="22"/>
      <c r="AD36" s="22"/>
      <c r="AE36" s="22"/>
      <c r="AF36" s="22"/>
      <c r="AG36" s="22"/>
      <c r="AH36" s="22"/>
      <c r="AI36" s="22"/>
      <c r="AJ36" s="22"/>
      <c r="AK36" s="22"/>
      <c r="AL36" s="22"/>
      <c r="AM36" s="124"/>
    </row>
    <row r="37" spans="1:39" ht="15.5">
      <c r="A37" s="299" t="str">
        <f>Thresholds!A33</f>
        <v>Water Depth (metres)</v>
      </c>
      <c r="B37" s="567">
        <f>Thresholds!B33</f>
        <v>3000</v>
      </c>
      <c r="C37" s="568"/>
      <c r="D37" s="21"/>
      <c r="E37" s="22"/>
      <c r="F37" s="573" t="s">
        <v>789</v>
      </c>
      <c r="G37" s="574"/>
      <c r="H37" s="574"/>
      <c r="I37" s="574"/>
      <c r="J37" s="574"/>
      <c r="K37" s="574"/>
      <c r="L37" s="574"/>
      <c r="M37" s="574"/>
      <c r="N37" s="574"/>
      <c r="O37" s="574"/>
      <c r="P37" s="574"/>
      <c r="Q37" s="574"/>
      <c r="R37" s="574"/>
      <c r="S37" s="574"/>
      <c r="T37" s="575"/>
      <c r="U37" s="22"/>
      <c r="V37" s="22"/>
      <c r="W37" s="22"/>
      <c r="X37" s="22"/>
      <c r="Y37" s="22"/>
      <c r="Z37" s="22"/>
      <c r="AA37" s="22"/>
      <c r="AB37" s="22"/>
      <c r="AC37" s="22"/>
      <c r="AD37" s="22"/>
      <c r="AE37" s="22"/>
      <c r="AF37" s="22"/>
      <c r="AG37" s="22"/>
      <c r="AH37" s="22"/>
      <c r="AI37" s="22"/>
      <c r="AJ37" s="22"/>
      <c r="AK37" s="22"/>
      <c r="AL37" s="22"/>
      <c r="AM37" s="124"/>
    </row>
    <row r="38" spans="1:39" ht="18.5">
      <c r="A38" s="557" t="s">
        <v>102</v>
      </c>
      <c r="B38" s="569"/>
      <c r="C38" s="558"/>
      <c r="D38" s="21"/>
      <c r="E38" s="22"/>
      <c r="F38" s="559"/>
      <c r="G38" s="560"/>
      <c r="H38" s="560"/>
      <c r="I38" s="560"/>
      <c r="J38" s="560"/>
      <c r="K38" s="560"/>
      <c r="L38" s="560"/>
      <c r="M38" s="560"/>
      <c r="N38" s="560"/>
      <c r="O38" s="560"/>
      <c r="P38" s="560"/>
      <c r="Q38" s="560"/>
      <c r="R38" s="560"/>
      <c r="S38" s="560"/>
      <c r="T38" s="561"/>
      <c r="U38" s="22"/>
      <c r="V38" s="22"/>
      <c r="W38" s="22"/>
      <c r="X38" s="22"/>
      <c r="Y38" s="22"/>
      <c r="Z38" s="22"/>
      <c r="AA38" s="22"/>
      <c r="AB38" s="22"/>
      <c r="AC38" s="22"/>
      <c r="AD38" s="22"/>
      <c r="AE38" s="22"/>
      <c r="AF38" s="22"/>
      <c r="AG38" s="22"/>
      <c r="AH38" s="22"/>
      <c r="AI38" s="22"/>
      <c r="AJ38" s="22"/>
      <c r="AK38" s="22"/>
      <c r="AL38" s="22"/>
      <c r="AM38" s="124"/>
    </row>
    <row r="39" spans="1:39" ht="16" thickBot="1">
      <c r="A39" s="299" t="s">
        <v>103</v>
      </c>
      <c r="B39" s="567" t="str">
        <f>Input!B33</f>
        <v>No</v>
      </c>
      <c r="C39" s="568"/>
      <c r="D39" s="21"/>
      <c r="E39" s="326"/>
      <c r="F39" s="562"/>
      <c r="G39" s="563"/>
      <c r="H39" s="563"/>
      <c r="I39" s="563"/>
      <c r="J39" s="563"/>
      <c r="K39" s="563"/>
      <c r="L39" s="563"/>
      <c r="M39" s="563"/>
      <c r="N39" s="563"/>
      <c r="O39" s="563"/>
      <c r="P39" s="563"/>
      <c r="Q39" s="563"/>
      <c r="R39" s="563"/>
      <c r="S39" s="563"/>
      <c r="T39" s="564"/>
      <c r="U39" s="22"/>
      <c r="V39" s="22"/>
      <c r="W39" s="22"/>
      <c r="X39" s="22"/>
      <c r="Y39" s="22"/>
      <c r="Z39" s="22"/>
      <c r="AA39" s="22"/>
      <c r="AB39" s="22"/>
      <c r="AC39" s="22"/>
      <c r="AD39" s="22"/>
      <c r="AE39" s="22"/>
      <c r="AF39" s="22"/>
      <c r="AG39" s="22"/>
      <c r="AH39" s="22"/>
      <c r="AI39" s="22"/>
      <c r="AJ39" s="22"/>
      <c r="AK39" s="22"/>
      <c r="AL39" s="22"/>
      <c r="AM39" s="124"/>
    </row>
    <row r="40" spans="1:39" ht="15.5">
      <c r="A40" s="299" t="s">
        <v>106</v>
      </c>
      <c r="B40" s="567" t="str">
        <f>Input!B34</f>
        <v>No</v>
      </c>
      <c r="C40" s="568"/>
      <c r="D40" s="21"/>
      <c r="E40" s="22"/>
      <c r="F40" s="22"/>
      <c r="G40" s="22"/>
      <c r="H40" s="22"/>
      <c r="I40" s="22"/>
      <c r="J40" s="22"/>
      <c r="K40" s="22"/>
      <c r="L40" s="22"/>
      <c r="M40" s="22"/>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2"/>
      <c r="AM40" s="124"/>
    </row>
    <row r="41" spans="1:39" ht="15.5">
      <c r="A41" s="299" t="s">
        <v>109</v>
      </c>
      <c r="B41" s="567" t="str">
        <f>Input!B35</f>
        <v>Yes</v>
      </c>
      <c r="C41" s="568"/>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124"/>
    </row>
    <row r="42" spans="1:39">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124"/>
    </row>
    <row r="43" spans="1:39">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124"/>
    </row>
    <row r="44" spans="1:39">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124"/>
    </row>
    <row r="45" spans="1:39">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124"/>
    </row>
    <row r="46" spans="1:39">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124"/>
    </row>
    <row r="47" spans="1:39">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124"/>
    </row>
    <row r="48" spans="1:39">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124"/>
    </row>
    <row r="49" spans="1:39">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124"/>
    </row>
    <row r="50" spans="1:39">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124"/>
    </row>
    <row r="51" spans="1:39">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124"/>
    </row>
    <row r="52" spans="1:39">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124"/>
    </row>
    <row r="53" spans="1:39">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124"/>
    </row>
    <row r="54" spans="1:39">
      <c r="A54" s="22"/>
      <c r="B54" s="22"/>
      <c r="C54" s="22"/>
      <c r="D54" s="22"/>
      <c r="E54" s="22"/>
      <c r="F54" s="22"/>
      <c r="G54" s="22"/>
      <c r="H54" s="22"/>
      <c r="I54" s="22"/>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124"/>
    </row>
    <row r="55" spans="1:39">
      <c r="A55" s="22"/>
      <c r="B55" s="22"/>
      <c r="C55" s="22"/>
      <c r="D55" s="22"/>
      <c r="E55" s="22"/>
      <c r="F55" s="22"/>
      <c r="G55" s="22"/>
      <c r="H55" s="22"/>
      <c r="I55" s="22"/>
      <c r="J55" s="22"/>
      <c r="K55" s="22"/>
      <c r="L55" s="22"/>
      <c r="M55" s="22"/>
      <c r="N55" s="22"/>
      <c r="O55" s="22"/>
      <c r="P55" s="22"/>
      <c r="Q55" s="22"/>
      <c r="R55" s="22"/>
      <c r="S55" s="22"/>
      <c r="T55" s="22"/>
      <c r="U55" s="22"/>
      <c r="V55" s="23"/>
      <c r="W55" s="23"/>
      <c r="X55" s="23"/>
      <c r="Y55" s="23"/>
      <c r="Z55" s="23"/>
      <c r="AA55" s="23"/>
      <c r="AB55" s="23"/>
      <c r="AC55" s="23"/>
      <c r="AD55" s="23"/>
      <c r="AE55" s="23"/>
      <c r="AF55" s="23"/>
      <c r="AG55" s="23"/>
      <c r="AH55" s="23"/>
      <c r="AI55" s="23"/>
      <c r="AJ55" s="23"/>
      <c r="AK55" s="23"/>
      <c r="AL55" s="23"/>
      <c r="AM55" s="124"/>
    </row>
    <row r="56" spans="1:39">
      <c r="A56" s="22"/>
      <c r="B56" s="22"/>
      <c r="C56" s="22"/>
      <c r="D56" s="22"/>
      <c r="E56" s="22"/>
      <c r="F56" s="22"/>
      <c r="G56" s="22"/>
      <c r="H56" s="22"/>
      <c r="I56" s="22"/>
      <c r="J56" s="22"/>
      <c r="K56" s="22"/>
      <c r="L56" s="22"/>
      <c r="M56" s="22"/>
      <c r="N56" s="22"/>
      <c r="O56" s="22"/>
      <c r="P56" s="22"/>
      <c r="Q56" s="22"/>
      <c r="R56" s="22"/>
      <c r="S56" s="22"/>
      <c r="T56" s="22"/>
      <c r="U56" s="22"/>
      <c r="V56" s="23"/>
      <c r="W56" s="23"/>
      <c r="X56" s="23"/>
      <c r="Y56" s="23"/>
      <c r="Z56" s="23"/>
      <c r="AA56" s="23"/>
      <c r="AB56" s="23"/>
      <c r="AC56" s="23"/>
      <c r="AD56" s="23"/>
      <c r="AE56" s="23"/>
      <c r="AF56" s="23"/>
      <c r="AG56" s="23"/>
      <c r="AH56" s="23"/>
      <c r="AI56" s="23"/>
      <c r="AJ56" s="23"/>
      <c r="AK56" s="23"/>
      <c r="AL56" s="23"/>
      <c r="AM56" s="124"/>
    </row>
    <row r="57" spans="1:39">
      <c r="A57" s="22"/>
      <c r="B57" s="22"/>
      <c r="C57" s="22"/>
      <c r="D57" s="22"/>
      <c r="E57" s="22"/>
      <c r="F57" s="22"/>
      <c r="G57" s="22"/>
      <c r="H57" s="22"/>
      <c r="I57" s="22"/>
      <c r="J57" s="22"/>
      <c r="K57" s="22"/>
      <c r="L57" s="22"/>
      <c r="M57" s="22"/>
      <c r="N57" s="22"/>
      <c r="O57" s="22"/>
      <c r="P57" s="22"/>
      <c r="Q57" s="22"/>
      <c r="R57" s="22"/>
      <c r="S57" s="22"/>
      <c r="T57" s="22"/>
      <c r="U57" s="22"/>
      <c r="V57" s="23"/>
      <c r="W57" s="23"/>
      <c r="X57" s="23"/>
      <c r="Y57" s="23"/>
      <c r="Z57" s="23"/>
      <c r="AA57" s="23"/>
      <c r="AB57" s="23"/>
      <c r="AC57" s="23"/>
      <c r="AD57" s="23"/>
      <c r="AE57" s="23"/>
      <c r="AF57" s="23"/>
      <c r="AG57" s="23"/>
      <c r="AH57" s="23"/>
      <c r="AI57" s="23"/>
      <c r="AJ57" s="23"/>
      <c r="AK57" s="23"/>
      <c r="AL57" s="23"/>
      <c r="AM57" s="124"/>
    </row>
    <row r="58" spans="1:39">
      <c r="A58" s="22"/>
      <c r="B58" s="22"/>
      <c r="C58" s="22"/>
      <c r="D58" s="22"/>
      <c r="E58" s="22"/>
      <c r="F58" s="22"/>
      <c r="G58" s="22"/>
      <c r="H58" s="22"/>
      <c r="I58" s="22"/>
      <c r="J58" s="22"/>
      <c r="K58" s="22"/>
      <c r="L58" s="22"/>
      <c r="M58" s="22"/>
      <c r="N58" s="22"/>
      <c r="O58" s="22"/>
      <c r="P58" s="22"/>
      <c r="Q58" s="22"/>
      <c r="R58" s="22"/>
      <c r="S58" s="22"/>
      <c r="T58" s="22"/>
      <c r="U58" s="22"/>
      <c r="V58" s="23"/>
      <c r="W58" s="23"/>
      <c r="X58" s="23"/>
      <c r="Y58" s="23"/>
      <c r="Z58" s="23"/>
      <c r="AA58" s="23"/>
      <c r="AB58" s="23"/>
      <c r="AC58" s="23"/>
      <c r="AD58" s="23"/>
      <c r="AE58" s="23"/>
      <c r="AF58" s="23"/>
      <c r="AG58" s="23"/>
      <c r="AH58" s="23"/>
      <c r="AI58" s="23"/>
      <c r="AJ58" s="23"/>
      <c r="AK58" s="23"/>
      <c r="AL58" s="23"/>
      <c r="AM58" s="124"/>
    </row>
    <row r="59" spans="1:39">
      <c r="A59" s="22"/>
      <c r="B59" s="22"/>
      <c r="C59" s="22"/>
      <c r="D59" s="22"/>
      <c r="E59" s="22"/>
      <c r="F59" s="22"/>
      <c r="G59" s="22"/>
      <c r="H59" s="22"/>
      <c r="I59" s="22"/>
      <c r="J59" s="22"/>
      <c r="K59" s="22"/>
      <c r="L59" s="22"/>
      <c r="M59" s="22"/>
      <c r="N59" s="22"/>
      <c r="O59" s="22"/>
      <c r="P59" s="22"/>
      <c r="Q59" s="22"/>
      <c r="R59" s="22"/>
      <c r="S59" s="22"/>
      <c r="T59" s="22"/>
      <c r="U59" s="22"/>
      <c r="V59" s="23"/>
      <c r="W59" s="23"/>
      <c r="X59" s="23"/>
      <c r="Y59" s="23"/>
      <c r="Z59" s="23"/>
      <c r="AA59" s="23"/>
      <c r="AB59" s="23"/>
      <c r="AC59" s="23"/>
      <c r="AD59" s="23"/>
      <c r="AE59" s="23"/>
      <c r="AF59" s="23"/>
      <c r="AG59" s="23"/>
      <c r="AH59" s="23"/>
      <c r="AI59" s="23"/>
      <c r="AJ59" s="23"/>
      <c r="AK59" s="23"/>
      <c r="AL59" s="23"/>
      <c r="AM59" s="124"/>
    </row>
    <row r="60" spans="1:39">
      <c r="A60" s="22"/>
      <c r="B60" s="22"/>
      <c r="C60" s="22"/>
      <c r="D60" s="22"/>
      <c r="E60" s="22"/>
      <c r="F60" s="22"/>
      <c r="G60" s="22"/>
      <c r="H60" s="22"/>
      <c r="I60" s="22"/>
      <c r="J60" s="22"/>
      <c r="K60" s="22"/>
      <c r="L60" s="22"/>
      <c r="M60" s="22"/>
      <c r="N60" s="22"/>
      <c r="O60" s="22"/>
      <c r="P60" s="22"/>
      <c r="Q60" s="22"/>
      <c r="R60" s="22"/>
      <c r="S60" s="22"/>
      <c r="T60" s="22"/>
      <c r="U60" s="22"/>
      <c r="V60" s="23"/>
      <c r="W60" s="23"/>
      <c r="X60" s="23"/>
      <c r="Y60" s="23"/>
      <c r="Z60" s="23"/>
      <c r="AA60" s="23"/>
      <c r="AB60" s="23"/>
      <c r="AC60" s="23"/>
      <c r="AD60" s="23"/>
      <c r="AE60" s="23"/>
      <c r="AF60" s="23"/>
      <c r="AG60" s="23"/>
      <c r="AH60" s="23"/>
      <c r="AI60" s="23"/>
      <c r="AJ60" s="23"/>
      <c r="AK60" s="23"/>
      <c r="AL60" s="23"/>
      <c r="AM60" s="124"/>
    </row>
    <row r="61" spans="1:39">
      <c r="A61" s="22"/>
      <c r="B61" s="22"/>
      <c r="C61" s="22"/>
      <c r="D61" s="22"/>
      <c r="E61" s="22"/>
      <c r="F61" s="22"/>
      <c r="G61" s="22"/>
      <c r="H61" s="22"/>
      <c r="I61" s="22"/>
      <c r="J61" s="22"/>
      <c r="K61" s="22"/>
      <c r="L61" s="22"/>
      <c r="M61" s="22"/>
      <c r="N61" s="22"/>
      <c r="O61" s="22"/>
      <c r="P61" s="22"/>
      <c r="Q61" s="22"/>
      <c r="R61" s="22"/>
      <c r="S61" s="22"/>
      <c r="T61" s="22"/>
      <c r="U61" s="22"/>
      <c r="V61" s="23"/>
      <c r="W61" s="23"/>
      <c r="X61" s="23"/>
      <c r="Y61" s="23"/>
      <c r="Z61" s="23"/>
      <c r="AA61" s="23"/>
      <c r="AB61" s="23"/>
      <c r="AC61" s="23"/>
      <c r="AD61" s="23"/>
      <c r="AE61" s="23"/>
      <c r="AF61" s="23"/>
      <c r="AG61" s="23"/>
      <c r="AH61" s="23"/>
      <c r="AI61" s="23"/>
      <c r="AJ61" s="23"/>
      <c r="AK61" s="23"/>
      <c r="AL61" s="23"/>
      <c r="AM61" s="124"/>
    </row>
    <row r="62" spans="1:39">
      <c r="A62" s="22"/>
      <c r="B62" s="22"/>
      <c r="C62" s="22"/>
      <c r="D62" s="22"/>
      <c r="E62" s="22"/>
      <c r="F62" s="22"/>
      <c r="G62" s="22"/>
      <c r="H62" s="22"/>
      <c r="I62" s="22"/>
      <c r="J62" s="22"/>
      <c r="K62" s="22"/>
      <c r="L62" s="22"/>
      <c r="M62" s="22"/>
      <c r="N62" s="22"/>
      <c r="O62" s="22"/>
      <c r="P62" s="22"/>
      <c r="Q62" s="22"/>
      <c r="R62" s="22"/>
      <c r="S62" s="22"/>
      <c r="T62" s="22"/>
      <c r="U62" s="22"/>
      <c r="V62" s="23"/>
      <c r="W62" s="23"/>
      <c r="X62" s="23"/>
      <c r="Y62" s="23"/>
      <c r="Z62" s="23"/>
      <c r="AA62" s="23"/>
      <c r="AB62" s="23"/>
      <c r="AC62" s="23"/>
      <c r="AD62" s="23"/>
      <c r="AE62" s="23"/>
      <c r="AF62" s="23"/>
      <c r="AG62" s="23"/>
      <c r="AH62" s="23"/>
      <c r="AI62" s="23"/>
      <c r="AJ62" s="23"/>
      <c r="AK62" s="23"/>
      <c r="AL62" s="23"/>
      <c r="AM62" s="124"/>
    </row>
    <row r="63" spans="1:39">
      <c r="A63" s="22"/>
      <c r="B63" s="22"/>
      <c r="C63" s="22"/>
      <c r="D63" s="22"/>
      <c r="E63" s="22"/>
      <c r="F63" s="22"/>
      <c r="G63" s="22"/>
      <c r="H63" s="22"/>
      <c r="I63" s="22"/>
      <c r="J63" s="22"/>
      <c r="K63" s="22"/>
      <c r="L63" s="22"/>
      <c r="M63" s="22"/>
      <c r="N63" s="22"/>
      <c r="O63" s="22"/>
      <c r="P63" s="22"/>
      <c r="Q63" s="22"/>
      <c r="R63" s="22"/>
      <c r="S63" s="22"/>
      <c r="T63" s="22"/>
      <c r="U63" s="22"/>
      <c r="V63" s="23"/>
      <c r="W63" s="23"/>
      <c r="X63" s="23"/>
      <c r="Y63" s="23"/>
      <c r="Z63" s="23"/>
      <c r="AA63" s="23"/>
      <c r="AB63" s="23"/>
      <c r="AC63" s="23"/>
      <c r="AD63" s="23"/>
      <c r="AE63" s="23"/>
      <c r="AF63" s="23"/>
      <c r="AG63" s="23"/>
      <c r="AH63" s="23"/>
      <c r="AI63" s="23"/>
      <c r="AJ63" s="23"/>
      <c r="AK63" s="23"/>
      <c r="AL63" s="23"/>
      <c r="AM63" s="124"/>
    </row>
    <row r="64" spans="1:39">
      <c r="A64" s="22"/>
      <c r="B64" s="22"/>
      <c r="C64" s="22"/>
      <c r="D64" s="22"/>
      <c r="E64" s="22"/>
      <c r="F64" s="22"/>
      <c r="G64" s="22"/>
      <c r="H64" s="22"/>
      <c r="I64" s="22"/>
      <c r="J64" s="22"/>
      <c r="K64" s="22"/>
      <c r="L64" s="22"/>
      <c r="M64" s="22"/>
      <c r="N64" s="22"/>
      <c r="O64" s="22"/>
      <c r="P64" s="22"/>
      <c r="Q64" s="22"/>
      <c r="R64" s="22"/>
      <c r="S64" s="22"/>
      <c r="T64" s="22"/>
      <c r="U64" s="22"/>
      <c r="V64" s="23"/>
      <c r="W64" s="23"/>
      <c r="X64" s="23"/>
      <c r="Y64" s="23"/>
      <c r="Z64" s="23"/>
      <c r="AA64" s="23"/>
      <c r="AB64" s="23"/>
      <c r="AC64" s="23"/>
      <c r="AD64" s="23"/>
      <c r="AE64" s="23"/>
      <c r="AF64" s="23"/>
      <c r="AG64" s="23"/>
      <c r="AH64" s="23"/>
      <c r="AI64" s="23"/>
      <c r="AJ64" s="23"/>
      <c r="AK64" s="23"/>
      <c r="AL64" s="23"/>
      <c r="AM64" s="124"/>
    </row>
    <row r="65" spans="1:39">
      <c r="A65" s="22"/>
      <c r="B65" s="22"/>
      <c r="C65" s="22"/>
      <c r="D65" s="22"/>
      <c r="E65" s="22"/>
      <c r="F65" s="22"/>
      <c r="G65" s="22"/>
      <c r="H65" s="22"/>
      <c r="I65" s="22"/>
      <c r="J65" s="22"/>
      <c r="K65" s="22"/>
      <c r="L65" s="22"/>
      <c r="M65" s="22"/>
      <c r="N65" s="22"/>
      <c r="O65" s="22"/>
      <c r="P65" s="22"/>
      <c r="Q65" s="22"/>
      <c r="R65" s="22"/>
      <c r="S65" s="22"/>
      <c r="T65" s="22"/>
      <c r="U65" s="22"/>
      <c r="V65" s="23"/>
      <c r="W65" s="23"/>
      <c r="X65" s="23"/>
      <c r="Y65" s="23"/>
      <c r="Z65" s="23"/>
      <c r="AA65" s="23"/>
      <c r="AB65" s="23"/>
      <c r="AC65" s="23"/>
      <c r="AD65" s="23"/>
      <c r="AE65" s="23"/>
      <c r="AF65" s="23"/>
      <c r="AG65" s="23"/>
      <c r="AH65" s="23"/>
      <c r="AI65" s="23"/>
      <c r="AJ65" s="23"/>
      <c r="AK65" s="23"/>
      <c r="AL65" s="23"/>
      <c r="AM65" s="124"/>
    </row>
    <row r="66" spans="1:39">
      <c r="A66" s="22"/>
      <c r="B66" s="22"/>
      <c r="C66" s="22"/>
      <c r="D66" s="22"/>
      <c r="E66" s="22"/>
      <c r="F66" s="22"/>
      <c r="G66" s="22"/>
      <c r="H66" s="22"/>
      <c r="I66" s="22"/>
      <c r="J66" s="22"/>
      <c r="K66" s="22"/>
      <c r="L66" s="22"/>
      <c r="M66" s="22"/>
      <c r="N66" s="22"/>
      <c r="O66" s="22"/>
      <c r="P66" s="22"/>
      <c r="Q66" s="22"/>
      <c r="R66" s="22"/>
      <c r="S66" s="22"/>
      <c r="T66" s="22"/>
      <c r="U66" s="22"/>
      <c r="V66" s="23"/>
      <c r="W66" s="23"/>
      <c r="X66" s="23"/>
      <c r="Y66" s="23"/>
      <c r="Z66" s="23"/>
      <c r="AA66" s="23"/>
      <c r="AB66" s="23"/>
      <c r="AC66" s="23"/>
      <c r="AD66" s="23"/>
      <c r="AE66" s="23"/>
      <c r="AF66" s="23"/>
      <c r="AG66" s="23"/>
      <c r="AH66" s="23"/>
      <c r="AI66" s="23"/>
      <c r="AJ66" s="23"/>
      <c r="AK66" s="23"/>
      <c r="AL66" s="23"/>
      <c r="AM66" s="124"/>
    </row>
    <row r="67" spans="1:39">
      <c r="A67" s="22"/>
      <c r="B67" s="22"/>
      <c r="C67" s="22"/>
      <c r="D67" s="22"/>
      <c r="E67" s="22"/>
      <c r="F67" s="22"/>
      <c r="G67" s="22"/>
      <c r="H67" s="22"/>
      <c r="I67" s="22"/>
      <c r="J67" s="22"/>
      <c r="K67" s="22"/>
      <c r="L67" s="22"/>
      <c r="M67" s="22"/>
      <c r="N67" s="22"/>
      <c r="O67" s="22"/>
      <c r="P67" s="22"/>
      <c r="Q67" s="22"/>
      <c r="R67" s="22"/>
      <c r="S67" s="22"/>
      <c r="T67" s="22"/>
      <c r="U67" s="22"/>
      <c r="V67" s="23"/>
      <c r="W67" s="23"/>
      <c r="X67" s="23"/>
      <c r="Y67" s="23"/>
      <c r="Z67" s="23"/>
      <c r="AA67" s="23"/>
      <c r="AB67" s="23"/>
      <c r="AC67" s="23"/>
      <c r="AD67" s="23"/>
      <c r="AE67" s="23"/>
      <c r="AF67" s="23"/>
      <c r="AG67" s="23"/>
      <c r="AH67" s="23"/>
      <c r="AI67" s="23"/>
      <c r="AJ67" s="23"/>
      <c r="AK67" s="23"/>
      <c r="AL67" s="23"/>
      <c r="AM67" s="124"/>
    </row>
    <row r="68" spans="1:39">
      <c r="A68" s="22"/>
      <c r="B68" s="22"/>
      <c r="C68" s="22"/>
      <c r="D68" s="22"/>
      <c r="E68" s="22"/>
      <c r="F68" s="22"/>
      <c r="G68" s="22"/>
      <c r="H68" s="22"/>
      <c r="I68" s="22"/>
      <c r="J68" s="22"/>
      <c r="K68" s="22"/>
      <c r="L68" s="22"/>
      <c r="M68" s="22"/>
      <c r="N68" s="22"/>
      <c r="O68" s="22"/>
      <c r="P68" s="22"/>
      <c r="Q68" s="22"/>
      <c r="R68" s="22"/>
      <c r="S68" s="22"/>
      <c r="T68" s="22"/>
      <c r="U68" s="22"/>
      <c r="V68" s="23"/>
      <c r="W68" s="23"/>
      <c r="X68" s="23"/>
      <c r="Y68" s="23"/>
      <c r="Z68" s="23"/>
      <c r="AA68" s="23"/>
      <c r="AB68" s="23"/>
      <c r="AC68" s="23"/>
      <c r="AD68" s="23"/>
      <c r="AE68" s="23"/>
      <c r="AF68" s="23"/>
      <c r="AG68" s="23"/>
      <c r="AH68" s="23"/>
      <c r="AI68" s="23"/>
      <c r="AJ68" s="23"/>
      <c r="AK68" s="23"/>
      <c r="AL68" s="23"/>
      <c r="AM68" s="124"/>
    </row>
    <row r="69" spans="1:39">
      <c r="A69" s="22"/>
      <c r="B69" s="22"/>
      <c r="C69" s="22"/>
      <c r="D69" s="22"/>
      <c r="E69" s="22"/>
      <c r="F69" s="22"/>
      <c r="G69" s="22"/>
      <c r="H69" s="22"/>
      <c r="I69" s="22"/>
      <c r="J69" s="22"/>
      <c r="K69" s="22"/>
      <c r="L69" s="22"/>
      <c r="M69" s="22"/>
      <c r="N69" s="22"/>
      <c r="O69" s="22"/>
      <c r="P69" s="22"/>
      <c r="Q69" s="22"/>
      <c r="R69" s="22"/>
      <c r="S69" s="22"/>
      <c r="T69" s="22"/>
      <c r="U69" s="22"/>
      <c r="V69" s="23"/>
      <c r="W69" s="23"/>
      <c r="X69" s="23"/>
      <c r="Y69" s="23"/>
      <c r="Z69" s="23"/>
      <c r="AA69" s="23"/>
      <c r="AB69" s="23"/>
      <c r="AC69" s="23"/>
      <c r="AD69" s="23"/>
      <c r="AE69" s="23"/>
      <c r="AF69" s="23"/>
      <c r="AG69" s="23"/>
      <c r="AH69" s="23"/>
      <c r="AI69" s="23"/>
      <c r="AJ69" s="23"/>
      <c r="AK69" s="23"/>
      <c r="AL69" s="23"/>
      <c r="AM69" s="124"/>
    </row>
    <row r="70" spans="1:39">
      <c r="A70" s="22"/>
      <c r="B70" s="22"/>
      <c r="C70" s="22"/>
      <c r="D70" s="22"/>
      <c r="E70" s="22"/>
      <c r="F70" s="22"/>
      <c r="G70" s="22"/>
      <c r="H70" s="22"/>
      <c r="I70" s="22"/>
      <c r="J70" s="22"/>
      <c r="K70" s="22"/>
      <c r="L70" s="22"/>
      <c r="M70" s="22"/>
      <c r="N70" s="22"/>
      <c r="O70" s="22"/>
      <c r="P70" s="22"/>
      <c r="Q70" s="22"/>
      <c r="R70" s="22"/>
      <c r="S70" s="22"/>
      <c r="T70" s="22"/>
      <c r="U70" s="22"/>
      <c r="V70" s="23"/>
      <c r="W70" s="23"/>
      <c r="X70" s="23"/>
      <c r="Y70" s="23"/>
      <c r="Z70" s="23"/>
      <c r="AA70" s="23"/>
      <c r="AB70" s="23"/>
      <c r="AC70" s="23"/>
      <c r="AD70" s="23"/>
      <c r="AE70" s="23"/>
      <c r="AF70" s="23"/>
      <c r="AG70" s="23"/>
      <c r="AH70" s="23"/>
      <c r="AI70" s="23"/>
      <c r="AJ70" s="23"/>
      <c r="AK70" s="23"/>
      <c r="AL70" s="23"/>
      <c r="AM70" s="124"/>
    </row>
    <row r="71" spans="1:39">
      <c r="A71" s="22"/>
      <c r="B71" s="22"/>
      <c r="C71" s="22"/>
      <c r="D71" s="22"/>
      <c r="E71" s="22"/>
      <c r="F71" s="22"/>
      <c r="G71" s="22"/>
      <c r="H71" s="22"/>
      <c r="I71" s="22"/>
      <c r="J71" s="22"/>
      <c r="K71" s="22"/>
      <c r="L71" s="22"/>
      <c r="M71" s="22"/>
      <c r="N71" s="22"/>
      <c r="O71" s="22"/>
      <c r="P71" s="22"/>
      <c r="Q71" s="22"/>
      <c r="R71" s="22"/>
      <c r="S71" s="22"/>
      <c r="T71" s="22"/>
      <c r="U71" s="22"/>
      <c r="V71" s="23"/>
      <c r="W71" s="23"/>
      <c r="X71" s="23"/>
      <c r="Y71" s="23"/>
      <c r="Z71" s="23"/>
      <c r="AA71" s="23"/>
      <c r="AB71" s="23"/>
      <c r="AC71" s="23"/>
      <c r="AD71" s="23"/>
      <c r="AE71" s="23"/>
      <c r="AF71" s="23"/>
      <c r="AG71" s="23"/>
      <c r="AH71" s="23"/>
      <c r="AI71" s="23"/>
      <c r="AJ71" s="23"/>
      <c r="AK71" s="23"/>
      <c r="AL71" s="23"/>
      <c r="AM71" s="124"/>
    </row>
    <row r="72" spans="1:39">
      <c r="A72" s="22"/>
      <c r="B72" s="22"/>
      <c r="C72" s="22"/>
      <c r="D72" s="22"/>
      <c r="E72" s="22"/>
      <c r="F72" s="22"/>
      <c r="G72" s="22"/>
      <c r="H72" s="22"/>
      <c r="I72" s="22"/>
      <c r="J72" s="22"/>
      <c r="K72" s="22"/>
      <c r="L72" s="22"/>
      <c r="M72" s="22"/>
      <c r="N72" s="22"/>
      <c r="O72" s="22"/>
      <c r="P72" s="22"/>
      <c r="Q72" s="22"/>
      <c r="R72" s="22"/>
      <c r="S72" s="22"/>
      <c r="T72" s="22"/>
      <c r="U72" s="22"/>
      <c r="V72" s="23"/>
      <c r="W72" s="23"/>
      <c r="X72" s="23"/>
      <c r="Y72" s="23"/>
      <c r="Z72" s="23"/>
      <c r="AA72" s="23"/>
      <c r="AB72" s="23"/>
      <c r="AC72" s="23"/>
      <c r="AD72" s="23"/>
      <c r="AE72" s="23"/>
      <c r="AF72" s="23"/>
      <c r="AG72" s="23"/>
      <c r="AH72" s="23"/>
      <c r="AI72" s="23"/>
      <c r="AJ72" s="23"/>
      <c r="AK72" s="23"/>
      <c r="AL72" s="23"/>
      <c r="AM72" s="124"/>
    </row>
    <row r="73" spans="1:39">
      <c r="A73" s="22"/>
      <c r="B73" s="22"/>
      <c r="C73" s="22"/>
      <c r="D73" s="22"/>
      <c r="E73" s="22"/>
      <c r="F73" s="22"/>
      <c r="G73" s="22"/>
      <c r="H73" s="22"/>
      <c r="I73" s="22"/>
      <c r="J73" s="22"/>
      <c r="K73" s="22"/>
      <c r="L73" s="22"/>
      <c r="M73" s="22"/>
      <c r="N73" s="22"/>
      <c r="O73" s="22"/>
      <c r="P73" s="22"/>
      <c r="Q73" s="22"/>
      <c r="R73" s="22"/>
      <c r="S73" s="22"/>
      <c r="T73" s="22"/>
      <c r="U73" s="22"/>
      <c r="V73" s="23"/>
      <c r="W73" s="23"/>
      <c r="X73" s="23"/>
      <c r="Y73" s="23"/>
      <c r="Z73" s="23"/>
      <c r="AA73" s="23"/>
      <c r="AB73" s="23"/>
      <c r="AC73" s="23"/>
      <c r="AD73" s="23"/>
      <c r="AE73" s="23"/>
      <c r="AF73" s="23"/>
      <c r="AG73" s="23"/>
      <c r="AH73" s="23"/>
      <c r="AI73" s="23"/>
      <c r="AJ73" s="23"/>
      <c r="AK73" s="23"/>
      <c r="AL73" s="23"/>
      <c r="AM73" s="124"/>
    </row>
    <row r="74" spans="1:39">
      <c r="A74" s="22"/>
      <c r="B74" s="22"/>
      <c r="C74" s="22"/>
      <c r="D74" s="22"/>
      <c r="E74" s="22"/>
      <c r="F74" s="22"/>
      <c r="G74" s="22"/>
      <c r="H74" s="22"/>
      <c r="I74" s="22"/>
      <c r="J74" s="22"/>
      <c r="K74" s="22"/>
      <c r="L74" s="22"/>
      <c r="M74" s="22"/>
      <c r="N74" s="22"/>
      <c r="O74" s="22"/>
      <c r="P74" s="22"/>
      <c r="Q74" s="22"/>
      <c r="R74" s="22"/>
      <c r="S74" s="22"/>
      <c r="T74" s="22"/>
      <c r="U74" s="22"/>
      <c r="V74" s="23"/>
      <c r="W74" s="23"/>
      <c r="X74" s="23"/>
      <c r="Y74" s="23"/>
      <c r="Z74" s="23"/>
      <c r="AA74" s="23"/>
      <c r="AB74" s="23"/>
      <c r="AC74" s="23"/>
      <c r="AD74" s="23"/>
      <c r="AE74" s="23"/>
      <c r="AF74" s="23"/>
      <c r="AG74" s="23"/>
      <c r="AH74" s="23"/>
      <c r="AI74" s="23"/>
      <c r="AJ74" s="23"/>
      <c r="AK74" s="23"/>
      <c r="AL74" s="23"/>
      <c r="AM74" s="124"/>
    </row>
    <row r="75" spans="1:39">
      <c r="A75" s="22"/>
      <c r="B75" s="22"/>
      <c r="C75" s="22"/>
      <c r="D75" s="22"/>
      <c r="E75" s="22"/>
      <c r="F75" s="22"/>
      <c r="G75" s="22"/>
      <c r="H75" s="22"/>
      <c r="I75" s="22"/>
      <c r="J75" s="22"/>
      <c r="K75" s="22"/>
      <c r="L75" s="22"/>
      <c r="M75" s="22"/>
      <c r="N75" s="22"/>
      <c r="O75" s="22"/>
      <c r="P75" s="22"/>
      <c r="Q75" s="22"/>
      <c r="R75" s="22"/>
      <c r="S75" s="22"/>
      <c r="T75" s="22"/>
      <c r="U75" s="22"/>
      <c r="V75" s="23"/>
      <c r="W75" s="23"/>
      <c r="X75" s="23"/>
      <c r="Y75" s="23"/>
      <c r="Z75" s="23"/>
      <c r="AA75" s="23"/>
      <c r="AB75" s="23"/>
      <c r="AC75" s="23"/>
      <c r="AD75" s="23"/>
      <c r="AE75" s="23"/>
      <c r="AF75" s="23"/>
      <c r="AG75" s="23"/>
      <c r="AH75" s="23"/>
      <c r="AI75" s="23"/>
      <c r="AJ75" s="23"/>
      <c r="AK75" s="23"/>
      <c r="AL75" s="23"/>
      <c r="AM75" s="124"/>
    </row>
    <row r="76" spans="1:39">
      <c r="A76" s="22"/>
      <c r="B76" s="22"/>
      <c r="C76" s="22"/>
      <c r="D76" s="22"/>
      <c r="E76" s="22"/>
      <c r="F76" s="22"/>
      <c r="G76" s="22"/>
      <c r="H76" s="22"/>
      <c r="I76" s="22"/>
      <c r="J76" s="22"/>
      <c r="K76" s="22"/>
      <c r="L76" s="22"/>
      <c r="M76" s="22"/>
      <c r="N76" s="22"/>
      <c r="O76" s="22"/>
      <c r="P76" s="22"/>
      <c r="Q76" s="22"/>
      <c r="R76" s="22"/>
      <c r="S76" s="22"/>
      <c r="T76" s="22"/>
      <c r="U76" s="22"/>
      <c r="V76" s="23"/>
      <c r="W76" s="23"/>
      <c r="X76" s="23"/>
      <c r="Y76" s="23"/>
      <c r="Z76" s="23"/>
      <c r="AA76" s="23"/>
      <c r="AB76" s="23"/>
      <c r="AC76" s="23"/>
      <c r="AD76" s="23"/>
      <c r="AE76" s="23"/>
      <c r="AF76" s="23"/>
      <c r="AG76" s="23"/>
      <c r="AH76" s="23"/>
      <c r="AI76" s="23"/>
      <c r="AJ76" s="23"/>
      <c r="AK76" s="23"/>
      <c r="AL76" s="23"/>
      <c r="AM76" s="124"/>
    </row>
    <row r="77" spans="1:39">
      <c r="A77" s="22"/>
      <c r="B77" s="22"/>
      <c r="C77" s="22"/>
      <c r="D77" s="22"/>
      <c r="E77" s="22"/>
      <c r="F77" s="22"/>
      <c r="G77" s="22"/>
      <c r="H77" s="22"/>
      <c r="I77" s="22"/>
      <c r="J77" s="22"/>
      <c r="K77" s="22"/>
      <c r="L77" s="22"/>
      <c r="M77" s="22"/>
      <c r="N77" s="22"/>
      <c r="O77" s="22"/>
      <c r="P77" s="22"/>
      <c r="Q77" s="22"/>
      <c r="R77" s="22"/>
      <c r="S77" s="22"/>
      <c r="T77" s="22"/>
      <c r="U77" s="22"/>
      <c r="V77" s="23"/>
      <c r="W77" s="23"/>
      <c r="X77" s="23"/>
      <c r="Y77" s="23"/>
      <c r="Z77" s="23"/>
      <c r="AA77" s="23"/>
      <c r="AB77" s="23"/>
      <c r="AC77" s="23"/>
      <c r="AD77" s="23"/>
      <c r="AE77" s="23"/>
      <c r="AF77" s="23"/>
      <c r="AG77" s="23"/>
      <c r="AH77" s="23"/>
      <c r="AI77" s="23"/>
      <c r="AJ77" s="23"/>
      <c r="AK77" s="23"/>
      <c r="AL77" s="23"/>
      <c r="AM77" s="124"/>
    </row>
    <row r="78" spans="1:39">
      <c r="A78" s="22"/>
      <c r="B78" s="22"/>
      <c r="C78" s="22"/>
      <c r="D78" s="22"/>
      <c r="E78" s="22"/>
      <c r="F78" s="22"/>
      <c r="G78" s="22"/>
      <c r="H78" s="22"/>
      <c r="I78" s="22"/>
      <c r="J78" s="22"/>
      <c r="K78" s="22"/>
      <c r="L78" s="22"/>
      <c r="M78" s="22"/>
      <c r="N78" s="22"/>
      <c r="O78" s="22"/>
      <c r="P78" s="22"/>
      <c r="Q78" s="22"/>
      <c r="R78" s="22"/>
      <c r="S78" s="22"/>
      <c r="T78" s="22"/>
      <c r="U78" s="22"/>
      <c r="V78" s="23"/>
      <c r="W78" s="23"/>
      <c r="X78" s="23"/>
      <c r="Y78" s="23"/>
      <c r="Z78" s="23"/>
      <c r="AA78" s="23"/>
      <c r="AB78" s="23"/>
      <c r="AC78" s="23"/>
      <c r="AD78" s="23"/>
      <c r="AE78" s="23"/>
      <c r="AF78" s="23"/>
      <c r="AG78" s="23"/>
      <c r="AH78" s="23"/>
      <c r="AI78" s="23"/>
      <c r="AJ78" s="23"/>
      <c r="AK78" s="23"/>
      <c r="AL78" s="23"/>
      <c r="AM78" s="124"/>
    </row>
    <row r="79" spans="1:39">
      <c r="A79" s="22"/>
      <c r="B79" s="22"/>
      <c r="C79" s="22"/>
      <c r="D79" s="22"/>
      <c r="E79" s="22"/>
      <c r="F79" s="22"/>
      <c r="G79" s="22"/>
      <c r="H79" s="22"/>
      <c r="I79" s="22"/>
      <c r="J79" s="22"/>
      <c r="K79" s="22"/>
      <c r="L79" s="22"/>
      <c r="M79" s="22"/>
      <c r="N79" s="22"/>
      <c r="O79" s="22"/>
      <c r="P79" s="22"/>
      <c r="Q79" s="22"/>
      <c r="R79" s="22"/>
      <c r="S79" s="22"/>
      <c r="T79" s="22"/>
      <c r="U79" s="22"/>
      <c r="V79" s="23"/>
      <c r="W79" s="23"/>
      <c r="X79" s="23"/>
      <c r="Y79" s="23"/>
      <c r="Z79" s="23"/>
      <c r="AA79" s="23"/>
      <c r="AB79" s="23"/>
      <c r="AC79" s="23"/>
      <c r="AD79" s="23"/>
      <c r="AE79" s="23"/>
      <c r="AF79" s="23"/>
      <c r="AG79" s="23"/>
      <c r="AH79" s="23"/>
      <c r="AI79" s="23"/>
      <c r="AJ79" s="23"/>
      <c r="AK79" s="23"/>
      <c r="AL79" s="23"/>
      <c r="AM79" s="124"/>
    </row>
    <row r="80" spans="1:39">
      <c r="A80" s="22"/>
      <c r="B80" s="22"/>
      <c r="C80" s="22"/>
      <c r="D80" s="22"/>
      <c r="E80" s="22"/>
      <c r="F80" s="22"/>
      <c r="G80" s="22"/>
      <c r="H80" s="22"/>
      <c r="I80" s="22"/>
      <c r="J80" s="22"/>
      <c r="K80" s="22"/>
      <c r="L80" s="22"/>
      <c r="M80" s="22"/>
      <c r="N80" s="22"/>
      <c r="O80" s="22"/>
      <c r="P80" s="22"/>
      <c r="Q80" s="22"/>
      <c r="R80" s="22"/>
      <c r="S80" s="22"/>
      <c r="T80" s="22"/>
      <c r="U80" s="22"/>
      <c r="V80" s="23"/>
      <c r="W80" s="23"/>
      <c r="X80" s="23"/>
      <c r="Y80" s="23"/>
      <c r="Z80" s="23"/>
      <c r="AA80" s="23"/>
      <c r="AB80" s="23"/>
      <c r="AC80" s="23"/>
      <c r="AD80" s="23"/>
      <c r="AE80" s="23"/>
      <c r="AF80" s="23"/>
      <c r="AG80" s="23"/>
      <c r="AH80" s="23"/>
      <c r="AI80" s="23"/>
      <c r="AJ80" s="23"/>
      <c r="AK80" s="23"/>
      <c r="AL80" s="23"/>
      <c r="AM80" s="124"/>
    </row>
    <row r="81" spans="1:39">
      <c r="A81" s="22"/>
      <c r="B81" s="22"/>
      <c r="C81" s="22"/>
      <c r="D81" s="22"/>
      <c r="E81" s="22"/>
      <c r="F81" s="22"/>
      <c r="G81" s="22"/>
      <c r="H81" s="22"/>
      <c r="I81" s="22"/>
      <c r="J81" s="22"/>
      <c r="K81" s="22"/>
      <c r="L81" s="22"/>
      <c r="M81" s="22"/>
      <c r="N81" s="22"/>
      <c r="O81" s="22"/>
      <c r="P81" s="22"/>
      <c r="Q81" s="22"/>
      <c r="R81" s="22"/>
      <c r="S81" s="22"/>
      <c r="T81" s="22"/>
      <c r="U81" s="22"/>
      <c r="V81" s="23"/>
      <c r="W81" s="23"/>
      <c r="X81" s="23"/>
      <c r="Y81" s="23"/>
      <c r="Z81" s="23"/>
      <c r="AA81" s="23"/>
      <c r="AB81" s="23"/>
      <c r="AC81" s="23"/>
      <c r="AD81" s="23"/>
      <c r="AE81" s="23"/>
      <c r="AF81" s="23"/>
      <c r="AG81" s="23"/>
      <c r="AH81" s="23"/>
      <c r="AI81" s="23"/>
      <c r="AJ81" s="23"/>
      <c r="AK81" s="23"/>
      <c r="AL81" s="23"/>
      <c r="AM81" s="124"/>
    </row>
    <row r="82" spans="1:39">
      <c r="A82" s="22"/>
      <c r="B82" s="22"/>
      <c r="C82" s="22"/>
      <c r="D82" s="22"/>
      <c r="E82" s="22"/>
      <c r="F82" s="22"/>
      <c r="G82" s="22"/>
      <c r="H82" s="22"/>
      <c r="I82" s="22"/>
      <c r="J82" s="22"/>
      <c r="K82" s="22"/>
      <c r="L82" s="22"/>
      <c r="M82" s="22"/>
      <c r="N82" s="22"/>
      <c r="O82" s="22"/>
      <c r="P82" s="22"/>
      <c r="Q82" s="22"/>
      <c r="R82" s="22"/>
      <c r="S82" s="22"/>
      <c r="T82" s="22"/>
      <c r="U82" s="22"/>
      <c r="V82" s="23"/>
      <c r="W82" s="23"/>
      <c r="X82" s="23"/>
      <c r="Y82" s="23"/>
      <c r="Z82" s="23"/>
      <c r="AA82" s="23"/>
      <c r="AB82" s="23"/>
      <c r="AC82" s="23"/>
      <c r="AD82" s="23"/>
      <c r="AE82" s="23"/>
      <c r="AF82" s="23"/>
      <c r="AG82" s="23"/>
      <c r="AH82" s="23"/>
      <c r="AI82" s="23"/>
      <c r="AJ82" s="23"/>
      <c r="AK82" s="23"/>
      <c r="AL82" s="23"/>
      <c r="AM82" s="124"/>
    </row>
    <row r="83" spans="1:39">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124"/>
    </row>
    <row r="84" spans="1:39">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124"/>
    </row>
    <row r="85" spans="1:39">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124"/>
    </row>
    <row r="86" spans="1:39">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124"/>
    </row>
    <row r="87" spans="1:39">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124"/>
    </row>
    <row r="88" spans="1:39">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124"/>
    </row>
    <row r="89" spans="1:39">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124"/>
    </row>
    <row r="90" spans="1:39">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124"/>
    </row>
    <row r="91" spans="1:39">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124"/>
    </row>
    <row r="92" spans="1:39">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124"/>
    </row>
    <row r="93" spans="1:39">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124"/>
    </row>
    <row r="94" spans="1:39">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124"/>
    </row>
    <row r="95" spans="1:39">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124"/>
    </row>
    <row r="96" spans="1:39">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AL96" s="22"/>
      <c r="AM96" s="124"/>
    </row>
    <row r="97" spans="1:39">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124"/>
    </row>
    <row r="98" spans="1:39">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124"/>
    </row>
    <row r="99" spans="1:39">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124"/>
    </row>
    <row r="100" spans="1:39">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124"/>
    </row>
    <row r="101" spans="1:39">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124"/>
    </row>
    <row r="102" spans="1:39">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124"/>
    </row>
    <row r="103" spans="1:39">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124"/>
    </row>
    <row r="104" spans="1:39">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124"/>
    </row>
    <row r="105" spans="1:39">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124"/>
    </row>
    <row r="106" spans="1:39">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124"/>
    </row>
    <row r="107" spans="1:39">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124"/>
    </row>
    <row r="108" spans="1:39">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124"/>
    </row>
    <row r="109" spans="1:39">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124"/>
    </row>
    <row r="110" spans="1:39">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124"/>
    </row>
    <row r="111" spans="1:39">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124"/>
    </row>
    <row r="112" spans="1:39">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124"/>
    </row>
    <row r="113" spans="1:39">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124"/>
    </row>
    <row r="114" spans="1:39">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124"/>
    </row>
    <row r="115" spans="1:39">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124"/>
    </row>
    <row r="116" spans="1:39">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124"/>
    </row>
    <row r="117" spans="1:39">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124"/>
    </row>
    <row r="118" spans="1:39">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124"/>
    </row>
    <row r="119" spans="1:39">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124"/>
    </row>
    <row r="120" spans="1:39">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124"/>
    </row>
    <row r="121" spans="1:39">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124"/>
    </row>
    <row r="122" spans="1:39">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124"/>
    </row>
    <row r="123" spans="1:39">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124"/>
    </row>
    <row r="124" spans="1:39">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124"/>
    </row>
    <row r="125" spans="1:39">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124"/>
    </row>
    <row r="126" spans="1:39">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124"/>
    </row>
    <row r="127" spans="1:39">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124"/>
    </row>
    <row r="128" spans="1:39">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124"/>
    </row>
    <row r="129" spans="1:39">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124"/>
    </row>
    <row r="130" spans="1:39">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124"/>
    </row>
    <row r="131" spans="1:39">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124"/>
    </row>
    <row r="132" spans="1:39">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124"/>
    </row>
    <row r="133" spans="1:39">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124"/>
    </row>
    <row r="134" spans="1:39">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124"/>
    </row>
    <row r="135" spans="1:39">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124"/>
    </row>
    <row r="136" spans="1:39">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124"/>
    </row>
    <row r="137" spans="1:39">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124"/>
    </row>
    <row r="138" spans="1:39">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124"/>
    </row>
    <row r="139" spans="1:39">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124"/>
    </row>
    <row r="140" spans="1:39">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124"/>
    </row>
    <row r="141" spans="1:39">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124"/>
    </row>
    <row r="142" spans="1:39">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124"/>
    </row>
    <row r="143" spans="1:39">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124"/>
    </row>
    <row r="144" spans="1:39">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124"/>
    </row>
    <row r="145" spans="1:39">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124"/>
    </row>
    <row r="146" spans="1:39">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124"/>
    </row>
    <row r="147" spans="1:39">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c r="AJ147" s="22"/>
      <c r="AK147" s="22"/>
      <c r="AL147" s="22"/>
      <c r="AM147" s="124"/>
    </row>
    <row r="148" spans="1:39">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22"/>
      <c r="AK148" s="22"/>
      <c r="AL148" s="22"/>
      <c r="AM148" s="124"/>
    </row>
    <row r="149" spans="1:39">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c r="AL149" s="22"/>
      <c r="AM149" s="124"/>
    </row>
    <row r="150" spans="1:39">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c r="AM150" s="124"/>
    </row>
    <row r="151" spans="1:39">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22"/>
      <c r="AJ151" s="22"/>
      <c r="AK151" s="22"/>
      <c r="AL151" s="22"/>
      <c r="AM151" s="124"/>
    </row>
    <row r="152" spans="1:39">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22"/>
      <c r="AH152" s="22"/>
      <c r="AI152" s="22"/>
      <c r="AJ152" s="22"/>
      <c r="AK152" s="22"/>
      <c r="AL152" s="22"/>
      <c r="AM152" s="124"/>
    </row>
    <row r="153" spans="1:39">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124"/>
    </row>
    <row r="154" spans="1:39">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22"/>
      <c r="AJ154" s="22"/>
      <c r="AK154" s="22"/>
      <c r="AL154" s="22"/>
      <c r="AM154" s="124"/>
    </row>
    <row r="155" spans="1:39">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c r="AM155" s="124"/>
    </row>
    <row r="156" spans="1:39">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c r="AM156" s="124"/>
    </row>
    <row r="157" spans="1:39">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c r="AM157" s="124"/>
    </row>
    <row r="158" spans="1:39">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124"/>
    </row>
    <row r="159" spans="1:39">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124"/>
    </row>
    <row r="160" spans="1:39">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c r="AJ160" s="22"/>
      <c r="AK160" s="22"/>
      <c r="AL160" s="22"/>
      <c r="AM160" s="124"/>
    </row>
    <row r="161" spans="1:39">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c r="AJ161" s="22"/>
      <c r="AK161" s="22"/>
      <c r="AL161" s="22"/>
      <c r="AM161" s="124"/>
    </row>
    <row r="162" spans="1:39">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22"/>
      <c r="AJ162" s="22"/>
      <c r="AK162" s="22"/>
      <c r="AL162" s="22"/>
      <c r="AM162" s="124"/>
    </row>
    <row r="163" spans="1:39">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c r="AJ163" s="22"/>
      <c r="AK163" s="22"/>
      <c r="AL163" s="22"/>
      <c r="AM163" s="124"/>
    </row>
    <row r="164" spans="1:39">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c r="AL164" s="22"/>
      <c r="AM164" s="124"/>
    </row>
    <row r="165" spans="1:39">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2"/>
      <c r="AK165" s="22"/>
      <c r="AL165" s="22"/>
      <c r="AM165" s="124"/>
    </row>
    <row r="166" spans="1:39">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c r="AK166" s="22"/>
      <c r="AL166" s="22"/>
      <c r="AM166" s="124"/>
    </row>
    <row r="167" spans="1:39">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2"/>
      <c r="AJ167" s="22"/>
      <c r="AK167" s="22"/>
      <c r="AL167" s="22"/>
      <c r="AM167" s="124"/>
    </row>
    <row r="168" spans="1:39">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c r="AM168" s="124"/>
    </row>
  </sheetData>
  <sheetProtection algorithmName="SHA-512" hashValue="I0sRtTHaaRRo8yLi7jIXvr/2nQUYnz0bZsPGzNYaUVoG+yTjUZO7qitbtTMGQ04xgD5TP5yPBf3mhIfdEZvrfA==" saltValue="xZVCXaouIFSGksyvjH1tsQ==" spinCount="100000" sheet="1" objects="1" scenarios="1"/>
  <mergeCells count="33">
    <mergeCell ref="B23:C23"/>
    <mergeCell ref="F37:T39"/>
    <mergeCell ref="B11:C11"/>
    <mergeCell ref="B12:C12"/>
    <mergeCell ref="B13:C13"/>
    <mergeCell ref="B14:C14"/>
    <mergeCell ref="B16:C16"/>
    <mergeCell ref="B17:C17"/>
    <mergeCell ref="B18:C18"/>
    <mergeCell ref="B20:C20"/>
    <mergeCell ref="B28:C28"/>
    <mergeCell ref="B30:C30"/>
    <mergeCell ref="B31:C31"/>
    <mergeCell ref="B33:C33"/>
    <mergeCell ref="B34:C34"/>
    <mergeCell ref="B35:C35"/>
    <mergeCell ref="B19:C19"/>
    <mergeCell ref="A10:C10"/>
    <mergeCell ref="A15:C15"/>
    <mergeCell ref="B21:C21"/>
    <mergeCell ref="A22:C22"/>
    <mergeCell ref="B41:C41"/>
    <mergeCell ref="A38:C38"/>
    <mergeCell ref="B29:C29"/>
    <mergeCell ref="B37:C37"/>
    <mergeCell ref="B39:C39"/>
    <mergeCell ref="B40:C40"/>
    <mergeCell ref="B36:C36"/>
    <mergeCell ref="B24:C24"/>
    <mergeCell ref="B25:C25"/>
    <mergeCell ref="B26:C26"/>
    <mergeCell ref="B32:C32"/>
    <mergeCell ref="A27:C27"/>
  </mergeCells>
  <hyperlinks>
    <hyperlink ref="D1" location="Guide" display="Guide"/>
    <hyperlink ref="D2" location="Input" display="Input"/>
  </hyperlinks>
  <pageMargins left="0.7" right="0.7" top="0.75" bottom="0.75" header="0.3" footer="0.3"/>
  <pageSetup paperSize="9" scale="52" orientation="landscape" r:id="rId1"/>
  <headerFooter>
    <oddFooter>&amp;LNova Scotia Exploration Economics Model&amp;Rwww.indeva.com</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sheetPr>
  <dimension ref="A1:W89"/>
  <sheetViews>
    <sheetView topLeftCell="C41" workbookViewId="0">
      <selection activeCell="F45" sqref="F45"/>
    </sheetView>
  </sheetViews>
  <sheetFormatPr defaultRowHeight="14.5"/>
  <cols>
    <col min="4" max="4" width="8.54296875" customWidth="1"/>
    <col min="5" max="5" width="9.1796875" hidden="1" customWidth="1"/>
    <col min="6" max="6" width="23.453125" customWidth="1"/>
    <col min="7" max="7" width="9.1796875" customWidth="1"/>
  </cols>
  <sheetData>
    <row r="1" spans="1:23">
      <c r="A1" s="15"/>
      <c r="B1" s="15"/>
      <c r="C1" s="15"/>
      <c r="D1" s="15"/>
      <c r="E1" s="15"/>
      <c r="F1" s="15"/>
      <c r="G1" s="15"/>
      <c r="H1" s="15"/>
      <c r="I1" s="23"/>
      <c r="J1" s="23"/>
      <c r="K1" s="23"/>
      <c r="L1" s="23"/>
      <c r="M1" s="23"/>
      <c r="N1" s="23"/>
      <c r="O1" s="23"/>
      <c r="P1" s="23"/>
      <c r="Q1" s="23"/>
      <c r="R1" s="23"/>
      <c r="S1" s="23"/>
      <c r="T1" s="23"/>
      <c r="U1" s="23"/>
      <c r="V1" s="23"/>
      <c r="W1" s="23"/>
    </row>
    <row r="2" spans="1:23" ht="15.5">
      <c r="A2" s="15"/>
      <c r="B2" s="15"/>
      <c r="C2" s="15"/>
      <c r="D2" s="15"/>
      <c r="E2" s="15"/>
      <c r="F2" s="15"/>
      <c r="G2" s="17"/>
      <c r="H2" s="24" t="s">
        <v>116</v>
      </c>
      <c r="I2" s="24" t="s">
        <v>117</v>
      </c>
      <c r="J2" s="23"/>
      <c r="K2" s="23"/>
      <c r="L2" s="23"/>
      <c r="M2" s="23"/>
      <c r="N2" s="23"/>
      <c r="O2" s="23"/>
      <c r="P2" s="23"/>
      <c r="Q2" s="23"/>
      <c r="R2" s="23"/>
      <c r="S2" s="23"/>
      <c r="T2" s="23"/>
      <c r="U2" s="23"/>
      <c r="V2" s="23"/>
      <c r="W2" s="23"/>
    </row>
    <row r="3" spans="1:23" ht="15.5">
      <c r="A3" s="15"/>
      <c r="B3" s="15"/>
      <c r="C3" s="15"/>
      <c r="D3" s="15"/>
      <c r="E3" s="15"/>
      <c r="F3" s="68" t="s">
        <v>628</v>
      </c>
      <c r="H3" s="69">
        <f>1+Sensitivities!B3</f>
        <v>0.8</v>
      </c>
      <c r="I3" s="69">
        <f>1+Sensitivities!C3</f>
        <v>1.4</v>
      </c>
      <c r="J3" s="23"/>
      <c r="K3" s="23"/>
      <c r="L3" s="23"/>
      <c r="M3" s="23"/>
      <c r="N3" s="23"/>
      <c r="O3" s="23"/>
      <c r="P3" s="23"/>
      <c r="Q3" s="23"/>
      <c r="R3" s="23"/>
      <c r="S3" s="23"/>
      <c r="T3" s="23"/>
      <c r="U3" s="23"/>
      <c r="V3" s="23"/>
      <c r="W3" s="23"/>
    </row>
    <row r="4" spans="1:23" ht="15.5">
      <c r="A4" s="15"/>
      <c r="B4" s="15"/>
      <c r="C4" s="15"/>
      <c r="D4" s="15"/>
      <c r="E4" s="15"/>
      <c r="F4" s="70" t="s">
        <v>644</v>
      </c>
      <c r="G4" s="71">
        <f ca="1">Input!H30</f>
        <v>4078.982649511448</v>
      </c>
      <c r="H4" s="25">
        <f t="dataTable" ref="H4:I7" dt2D="0" dtr="1" r1="F41" ca="1"/>
        <v>2994.3757826587653</v>
      </c>
      <c r="I4" s="25">
        <v>6176.7911605846357</v>
      </c>
      <c r="J4" s="23"/>
      <c r="K4" s="23"/>
      <c r="L4" s="23"/>
      <c r="M4" s="23"/>
      <c r="N4" s="23"/>
      <c r="O4" s="23"/>
      <c r="P4" s="23"/>
      <c r="Q4" s="23"/>
      <c r="R4" s="23"/>
      <c r="S4" s="23"/>
      <c r="T4" s="23"/>
      <c r="U4" s="23"/>
      <c r="V4" s="23"/>
      <c r="W4" s="23"/>
    </row>
    <row r="5" spans="1:23" ht="15.5">
      <c r="A5" s="15"/>
      <c r="B5" s="15"/>
      <c r="C5" s="15"/>
      <c r="D5" s="15"/>
      <c r="E5" s="15"/>
      <c r="F5" s="70" t="s">
        <v>7</v>
      </c>
      <c r="G5" s="71">
        <f ca="1">Input!H31</f>
        <v>0.30037683905341267</v>
      </c>
      <c r="H5" s="72">
        <v>0.26297467434887534</v>
      </c>
      <c r="I5" s="72">
        <v>0.34750609586559794</v>
      </c>
      <c r="J5" s="23"/>
      <c r="K5" s="23"/>
      <c r="L5" s="23"/>
      <c r="M5" s="23"/>
      <c r="N5" s="23"/>
      <c r="O5" s="23"/>
      <c r="P5" s="23"/>
      <c r="Q5" s="23"/>
      <c r="R5" s="23"/>
      <c r="S5" s="23"/>
      <c r="T5" s="23"/>
      <c r="U5" s="23"/>
      <c r="V5" s="23"/>
      <c r="W5" s="23"/>
    </row>
    <row r="6" spans="1:23" ht="15.5">
      <c r="A6" s="15"/>
      <c r="B6" s="15"/>
      <c r="C6" s="15"/>
      <c r="D6" s="15"/>
      <c r="E6" s="15"/>
      <c r="F6" s="70" t="s">
        <v>8</v>
      </c>
      <c r="G6" s="71">
        <f ca="1">Input!H32</f>
        <v>0.90366819825721212</v>
      </c>
      <c r="H6" s="74">
        <v>0.71579941093465116</v>
      </c>
      <c r="I6" s="74">
        <v>1.154756329997642</v>
      </c>
      <c r="J6" s="23"/>
      <c r="K6" s="23"/>
      <c r="L6" s="23"/>
      <c r="M6" s="23"/>
      <c r="N6" s="23"/>
      <c r="O6" s="23"/>
      <c r="P6" s="23"/>
      <c r="Q6" s="23"/>
      <c r="R6" s="23"/>
      <c r="S6" s="23"/>
      <c r="T6" s="23"/>
      <c r="U6" s="23"/>
      <c r="V6" s="23"/>
      <c r="W6" s="23"/>
    </row>
    <row r="7" spans="1:23" ht="15.5">
      <c r="A7" s="15"/>
      <c r="B7" s="15"/>
      <c r="C7" s="15"/>
      <c r="D7" s="15"/>
      <c r="E7" s="15"/>
      <c r="F7" s="70" t="s">
        <v>9</v>
      </c>
      <c r="G7" s="71">
        <f ca="1">Input!H33</f>
        <v>0.90366819825721212</v>
      </c>
      <c r="H7" s="74">
        <v>0.71579941093465116</v>
      </c>
      <c r="I7" s="74">
        <v>1.154756329997642</v>
      </c>
      <c r="J7" s="23"/>
      <c r="K7" s="23"/>
      <c r="L7" s="23"/>
      <c r="M7" s="23"/>
      <c r="N7" s="23"/>
      <c r="O7" s="23"/>
      <c r="P7" s="23"/>
      <c r="Q7" s="23"/>
      <c r="R7" s="23"/>
      <c r="S7" s="23"/>
      <c r="T7" s="23"/>
      <c r="U7" s="23"/>
      <c r="V7" s="23"/>
      <c r="W7" s="23"/>
    </row>
    <row r="8" spans="1:23" ht="15.5">
      <c r="A8" s="15"/>
      <c r="B8" s="15"/>
      <c r="C8" s="15"/>
      <c r="D8" s="15"/>
      <c r="E8" s="15"/>
      <c r="F8" s="75" t="s">
        <v>629</v>
      </c>
      <c r="H8" s="69">
        <f>1+Sensitivities!B5</f>
        <v>0.7</v>
      </c>
      <c r="I8" s="69">
        <f>1+Sensitivities!C5</f>
        <v>1.3</v>
      </c>
      <c r="J8" s="23"/>
      <c r="K8" s="23"/>
      <c r="L8" s="23"/>
      <c r="M8" s="23"/>
      <c r="N8" s="23"/>
      <c r="O8" s="23"/>
      <c r="P8" s="23"/>
      <c r="Q8" s="23"/>
      <c r="R8" s="23"/>
      <c r="S8" s="23"/>
      <c r="T8" s="23"/>
      <c r="U8" s="23"/>
      <c r="V8" s="23"/>
      <c r="W8" s="23"/>
    </row>
    <row r="9" spans="1:23" ht="15.5">
      <c r="A9" s="15"/>
      <c r="B9" s="15"/>
      <c r="C9" s="15"/>
      <c r="D9" s="15"/>
      <c r="E9" s="15"/>
      <c r="F9" s="70" t="s">
        <v>644</v>
      </c>
      <c r="G9" s="71">
        <f ca="1">Input!H30</f>
        <v>4078.982649511448</v>
      </c>
      <c r="H9" s="25">
        <f t="dataTable" ref="H9:I12" dt2D="0" dtr="1" r1="F42" ca="1"/>
        <v>3745.333272712905</v>
      </c>
      <c r="I9" s="25">
        <v>4420.9119143367579</v>
      </c>
      <c r="J9" s="23"/>
      <c r="K9" s="23"/>
      <c r="L9" s="23"/>
      <c r="M9" s="23"/>
      <c r="N9" s="23"/>
      <c r="O9" s="23"/>
      <c r="P9" s="23"/>
      <c r="Q9" s="23"/>
      <c r="R9" s="23"/>
      <c r="S9" s="23"/>
      <c r="T9" s="23"/>
      <c r="U9" s="23"/>
      <c r="V9" s="23"/>
      <c r="W9" s="23"/>
    </row>
    <row r="10" spans="1:23" ht="15.5">
      <c r="A10" s="15"/>
      <c r="B10" s="15"/>
      <c r="C10" s="15"/>
      <c r="D10" s="15"/>
      <c r="E10" s="15"/>
      <c r="F10" s="70" t="s">
        <v>7</v>
      </c>
      <c r="G10" s="71">
        <f ca="1">Input!H31</f>
        <v>0.30037683905341267</v>
      </c>
      <c r="H10" s="72">
        <v>0.28750799757714879</v>
      </c>
      <c r="I10" s="72">
        <v>0.31674836797531714</v>
      </c>
      <c r="J10" s="23"/>
      <c r="K10" s="23"/>
      <c r="L10" s="23"/>
      <c r="M10" s="23"/>
      <c r="N10" s="23"/>
      <c r="O10" s="23"/>
      <c r="P10" s="23"/>
      <c r="Q10" s="23"/>
      <c r="R10" s="23"/>
      <c r="S10" s="23"/>
      <c r="T10" s="23"/>
      <c r="U10" s="23"/>
      <c r="V10" s="23"/>
      <c r="W10" s="23"/>
    </row>
    <row r="11" spans="1:23" ht="15.5">
      <c r="A11" s="15"/>
      <c r="B11" s="15"/>
      <c r="C11" s="15"/>
      <c r="D11" s="15"/>
      <c r="E11" s="15"/>
      <c r="F11" s="70" t="s">
        <v>8</v>
      </c>
      <c r="G11" s="71">
        <f ca="1">Input!H32</f>
        <v>0.90366819825721212</v>
      </c>
      <c r="H11" s="74">
        <v>0.8297506660957813</v>
      </c>
      <c r="I11" s="74">
        <v>0.97942007788658725</v>
      </c>
      <c r="J11" s="23"/>
      <c r="K11" s="23"/>
      <c r="L11" s="23"/>
      <c r="M11" s="23"/>
      <c r="N11" s="23"/>
      <c r="O11" s="23"/>
      <c r="P11" s="23"/>
      <c r="Q11" s="23"/>
      <c r="R11" s="23"/>
      <c r="S11" s="23"/>
      <c r="T11" s="23"/>
      <c r="U11" s="23"/>
      <c r="V11" s="23"/>
      <c r="W11" s="23"/>
    </row>
    <row r="12" spans="1:23" ht="15.5">
      <c r="A12" s="15"/>
      <c r="B12" s="15"/>
      <c r="C12" s="15"/>
      <c r="D12" s="15"/>
      <c r="E12" s="15"/>
      <c r="F12" s="70" t="s">
        <v>9</v>
      </c>
      <c r="G12" s="71">
        <f ca="1">Input!H33</f>
        <v>0.90366819825721212</v>
      </c>
      <c r="H12" s="74">
        <v>0.8297506660957813</v>
      </c>
      <c r="I12" s="74">
        <v>0.97942007788658725</v>
      </c>
      <c r="J12" s="23"/>
      <c r="K12" s="23"/>
      <c r="L12" s="23"/>
      <c r="M12" s="23"/>
      <c r="N12" s="23"/>
      <c r="O12" s="23"/>
      <c r="P12" s="23"/>
      <c r="Q12" s="23"/>
      <c r="R12" s="23"/>
      <c r="S12" s="23"/>
      <c r="T12" s="23"/>
      <c r="U12" s="23"/>
      <c r="V12" s="23"/>
      <c r="W12" s="23"/>
    </row>
    <row r="13" spans="1:23" ht="15.5">
      <c r="A13" s="15"/>
      <c r="B13" s="15"/>
      <c r="C13" s="15"/>
      <c r="D13" s="15"/>
      <c r="E13" s="15"/>
      <c r="F13" s="75" t="s">
        <v>630</v>
      </c>
      <c r="H13" s="114">
        <f>1+Sensitivities!B6</f>
        <v>0.75</v>
      </c>
      <c r="I13" s="114">
        <f>1+Sensitivities!C6</f>
        <v>1.3</v>
      </c>
      <c r="J13" s="23"/>
      <c r="K13" s="23"/>
      <c r="L13" s="23"/>
      <c r="M13" s="23"/>
      <c r="N13" s="23"/>
      <c r="O13" s="23"/>
      <c r="P13" s="23"/>
      <c r="Q13" s="23"/>
      <c r="R13" s="23"/>
      <c r="S13" s="23"/>
      <c r="T13" s="23"/>
      <c r="U13" s="23"/>
      <c r="V13" s="23"/>
      <c r="W13" s="23"/>
    </row>
    <row r="14" spans="1:23" ht="15.5">
      <c r="A14" s="15"/>
      <c r="B14" s="15"/>
      <c r="C14" s="15"/>
      <c r="D14" s="15"/>
      <c r="E14" s="15"/>
      <c r="F14" s="70" t="s">
        <v>644</v>
      </c>
      <c r="G14" s="71">
        <f ca="1">Input!H30</f>
        <v>4078.982649511448</v>
      </c>
      <c r="H14" s="25">
        <f t="dataTable" ref="H14:I17" dt2D="0" dtr="1" r1="F46" ca="1"/>
        <v>4078.982649511448</v>
      </c>
      <c r="I14" s="25">
        <v>4078.982649511448</v>
      </c>
      <c r="J14" s="23"/>
      <c r="K14" s="23"/>
      <c r="L14" s="23"/>
      <c r="M14" s="23"/>
      <c r="N14" s="23"/>
      <c r="O14" s="23"/>
      <c r="P14" s="23"/>
      <c r="Q14" s="23"/>
      <c r="R14" s="23"/>
      <c r="S14" s="23"/>
      <c r="T14" s="23"/>
      <c r="U14" s="23"/>
      <c r="V14" s="23"/>
      <c r="W14" s="23"/>
    </row>
    <row r="15" spans="1:23" ht="15.5">
      <c r="A15" s="15"/>
      <c r="B15" s="15"/>
      <c r="C15" s="15"/>
      <c r="D15" s="15"/>
      <c r="E15" s="15"/>
      <c r="F15" s="70" t="s">
        <v>7</v>
      </c>
      <c r="G15" s="71">
        <f ca="1">Input!H31</f>
        <v>0.30037683905341267</v>
      </c>
      <c r="H15" s="72">
        <v>0.30037683905341267</v>
      </c>
      <c r="I15" s="72">
        <v>0.30037683905341267</v>
      </c>
      <c r="J15" s="23"/>
      <c r="K15" s="23"/>
      <c r="L15" s="23"/>
      <c r="M15" s="23"/>
      <c r="N15" s="23"/>
      <c r="O15" s="23"/>
      <c r="P15" s="23"/>
      <c r="Q15" s="23"/>
      <c r="R15" s="23"/>
      <c r="S15" s="23"/>
      <c r="T15" s="23"/>
      <c r="U15" s="23"/>
      <c r="V15" s="23"/>
      <c r="W15" s="23"/>
    </row>
    <row r="16" spans="1:23" ht="15.5">
      <c r="A16" s="15"/>
      <c r="B16" s="15"/>
      <c r="C16" s="15"/>
      <c r="D16" s="15"/>
      <c r="E16" s="15"/>
      <c r="F16" s="70" t="s">
        <v>8</v>
      </c>
      <c r="G16" s="71">
        <f ca="1">Input!H32</f>
        <v>0.90366819825721212</v>
      </c>
      <c r="H16" s="74">
        <v>0.90366819825721212</v>
      </c>
      <c r="I16" s="74">
        <v>0.90366819825721212</v>
      </c>
      <c r="J16" s="23"/>
      <c r="K16" s="23"/>
      <c r="L16" s="23"/>
      <c r="M16" s="23"/>
      <c r="N16" s="23"/>
      <c r="O16" s="23"/>
      <c r="P16" s="23"/>
      <c r="Q16" s="23"/>
      <c r="R16" s="23"/>
      <c r="S16" s="23"/>
      <c r="T16" s="23"/>
      <c r="U16" s="23"/>
      <c r="V16" s="23"/>
      <c r="W16" s="23"/>
    </row>
    <row r="17" spans="1:23" ht="15.5">
      <c r="A17" s="15"/>
      <c r="B17" s="15"/>
      <c r="C17" s="15"/>
      <c r="D17" s="15"/>
      <c r="E17" s="15"/>
      <c r="F17" s="70" t="s">
        <v>9</v>
      </c>
      <c r="G17" s="71">
        <f ca="1">Input!H33</f>
        <v>0.90366819825721212</v>
      </c>
      <c r="H17" s="74">
        <v>0.90366819825721212</v>
      </c>
      <c r="I17" s="74">
        <v>0.90366819825721212</v>
      </c>
      <c r="J17" s="23"/>
      <c r="K17" s="23"/>
      <c r="L17" s="23"/>
      <c r="M17" s="23"/>
      <c r="N17" s="23"/>
      <c r="O17" s="23"/>
      <c r="P17" s="23"/>
      <c r="Q17" s="23"/>
      <c r="R17" s="23"/>
      <c r="S17" s="23"/>
      <c r="T17" s="23"/>
      <c r="U17" s="23"/>
      <c r="V17" s="23"/>
      <c r="W17" s="23"/>
    </row>
    <row r="18" spans="1:23" ht="15.5">
      <c r="A18" s="15"/>
      <c r="B18" s="15"/>
      <c r="C18" s="15"/>
      <c r="D18" s="15"/>
      <c r="E18" s="15"/>
      <c r="F18" s="75" t="s">
        <v>631</v>
      </c>
      <c r="H18" s="69">
        <f>1+Sensitivities!B7</f>
        <v>0.75</v>
      </c>
      <c r="I18" s="69">
        <f>1+Sensitivities!C7</f>
        <v>1.3</v>
      </c>
      <c r="J18" s="23"/>
      <c r="K18" s="23"/>
      <c r="L18" s="23"/>
      <c r="M18" s="23"/>
      <c r="N18" s="23"/>
      <c r="O18" s="23"/>
      <c r="P18" s="23"/>
      <c r="Q18" s="23"/>
      <c r="R18" s="23"/>
      <c r="S18" s="23"/>
      <c r="T18" s="23"/>
      <c r="U18" s="23"/>
      <c r="V18" s="23"/>
      <c r="W18" s="23"/>
    </row>
    <row r="19" spans="1:23" ht="15.5">
      <c r="A19" s="15"/>
      <c r="B19" s="15"/>
      <c r="C19" s="15"/>
      <c r="D19" s="15"/>
      <c r="E19" s="15"/>
      <c r="F19" s="70" t="s">
        <v>644</v>
      </c>
      <c r="G19" s="71">
        <f ca="1">Input!H30</f>
        <v>4078.982649511448</v>
      </c>
      <c r="H19" s="25">
        <f t="dataTable" ref="H19:I22" dt2D="0" dtr="1" r1="F43" ca="1"/>
        <v>4637.4354922708953</v>
      </c>
      <c r="I19" s="25">
        <v>3421.7362266177524</v>
      </c>
      <c r="J19" s="23"/>
      <c r="K19" s="23"/>
      <c r="L19" s="23"/>
      <c r="M19" s="23"/>
      <c r="N19" s="23"/>
      <c r="O19" s="23"/>
      <c r="P19" s="23"/>
      <c r="Q19" s="23"/>
      <c r="R19" s="23"/>
      <c r="S19" s="23"/>
      <c r="T19" s="23"/>
      <c r="U19" s="23"/>
      <c r="V19" s="23"/>
      <c r="W19" s="23"/>
    </row>
    <row r="20" spans="1:23" ht="15.5">
      <c r="A20" s="15"/>
      <c r="B20" s="15"/>
      <c r="C20" s="15"/>
      <c r="D20" s="15"/>
      <c r="E20" s="15"/>
      <c r="F20" s="70" t="s">
        <v>7</v>
      </c>
      <c r="G20" s="71">
        <f ca="1">Input!H31</f>
        <v>0.30037683905341267</v>
      </c>
      <c r="H20" s="72">
        <v>0.39334315240743012</v>
      </c>
      <c r="I20" s="72">
        <v>0.23480739567782896</v>
      </c>
      <c r="J20" s="23"/>
      <c r="K20" s="23"/>
      <c r="L20" s="23"/>
      <c r="M20" s="23"/>
      <c r="N20" s="23"/>
      <c r="O20" s="23"/>
      <c r="P20" s="23"/>
      <c r="Q20" s="23"/>
      <c r="R20" s="23"/>
      <c r="S20" s="23"/>
      <c r="T20" s="23"/>
      <c r="U20" s="23"/>
      <c r="V20" s="23"/>
      <c r="W20" s="23"/>
    </row>
    <row r="21" spans="1:23" ht="15.5">
      <c r="A21" s="15"/>
      <c r="B21" s="15"/>
      <c r="C21" s="15"/>
      <c r="D21" s="15"/>
      <c r="E21" s="15"/>
      <c r="F21" s="70" t="s">
        <v>8</v>
      </c>
      <c r="G21" s="71">
        <f ca="1">Input!H32</f>
        <v>0.90366819825721212</v>
      </c>
      <c r="H21" s="74">
        <v>1.3698523499354822</v>
      </c>
      <c r="I21" s="74">
        <v>0.58312319451092831</v>
      </c>
      <c r="J21" s="23"/>
      <c r="K21" s="23"/>
      <c r="L21" s="23"/>
      <c r="M21" s="23"/>
      <c r="N21" s="23"/>
      <c r="O21" s="23"/>
      <c r="P21" s="23"/>
      <c r="Q21" s="23"/>
      <c r="R21" s="23"/>
      <c r="S21" s="23"/>
      <c r="T21" s="23"/>
      <c r="U21" s="23"/>
      <c r="V21" s="23"/>
      <c r="W21" s="23"/>
    </row>
    <row r="22" spans="1:23" ht="15.5">
      <c r="A22" s="15"/>
      <c r="B22" s="15"/>
      <c r="C22" s="15"/>
      <c r="D22" s="15"/>
      <c r="E22" s="15"/>
      <c r="F22" s="70" t="s">
        <v>9</v>
      </c>
      <c r="G22" s="71">
        <f ca="1">Input!H33</f>
        <v>0.90366819825721212</v>
      </c>
      <c r="H22" s="74">
        <v>1.3698523499354822</v>
      </c>
      <c r="I22" s="74">
        <v>0.58312319451092831</v>
      </c>
      <c r="J22" s="23"/>
      <c r="K22" s="23"/>
      <c r="L22" s="23"/>
      <c r="M22" s="23"/>
      <c r="N22" s="23"/>
      <c r="O22" s="23"/>
      <c r="P22" s="23"/>
      <c r="Q22" s="23"/>
      <c r="R22" s="23"/>
      <c r="S22" s="23"/>
      <c r="T22" s="23"/>
      <c r="U22" s="23"/>
      <c r="V22" s="23"/>
      <c r="W22" s="23"/>
    </row>
    <row r="23" spans="1:23" ht="15.5">
      <c r="A23" s="15"/>
      <c r="B23" s="15"/>
      <c r="C23" s="15"/>
      <c r="D23" s="15"/>
      <c r="E23" s="15"/>
      <c r="F23" s="75" t="s">
        <v>632</v>
      </c>
      <c r="H23" s="69">
        <f>1+Sensitivities!B8</f>
        <v>0.5</v>
      </c>
      <c r="I23" s="69">
        <f>1+Sensitivities!C8</f>
        <v>1.5</v>
      </c>
      <c r="J23" s="23"/>
      <c r="K23" s="23"/>
      <c r="L23" s="23"/>
      <c r="M23" s="23"/>
      <c r="N23" s="23"/>
      <c r="O23" s="23"/>
      <c r="P23" s="23"/>
      <c r="Q23" s="23"/>
      <c r="R23" s="23"/>
      <c r="S23" s="23"/>
      <c r="T23" s="23"/>
      <c r="U23" s="23"/>
      <c r="V23" s="23"/>
      <c r="W23" s="23"/>
    </row>
    <row r="24" spans="1:23" ht="15.5">
      <c r="A24" s="15"/>
      <c r="B24" s="15"/>
      <c r="C24" s="15"/>
      <c r="D24" s="15"/>
      <c r="E24" s="15"/>
      <c r="F24" s="70" t="s">
        <v>644</v>
      </c>
      <c r="G24" s="73">
        <f ca="1">Input!H30</f>
        <v>4078.982649511448</v>
      </c>
      <c r="H24" s="25">
        <f t="dataTable" ref="H24:I27" dt2D="0" dtr="1" r1="F44" ca="1"/>
        <v>4576.8474351811819</v>
      </c>
      <c r="I24" s="25">
        <v>3610.9634226637518</v>
      </c>
      <c r="J24" s="23"/>
      <c r="K24" s="23"/>
      <c r="L24" s="23"/>
      <c r="M24" s="23"/>
      <c r="N24" s="23"/>
      <c r="O24" s="23"/>
      <c r="P24" s="23"/>
      <c r="Q24" s="23"/>
      <c r="R24" s="23"/>
      <c r="S24" s="23"/>
      <c r="T24" s="23"/>
      <c r="U24" s="23"/>
      <c r="V24" s="23"/>
      <c r="W24" s="23"/>
    </row>
    <row r="25" spans="1:23" ht="15.5">
      <c r="A25" s="15"/>
      <c r="B25" s="15"/>
      <c r="C25" s="15"/>
      <c r="D25" s="15"/>
      <c r="E25" s="15"/>
      <c r="F25" s="70" t="s">
        <v>7</v>
      </c>
      <c r="G25" s="73">
        <f ca="1">Input!H31</f>
        <v>0.30037683905341267</v>
      </c>
      <c r="H25" s="76">
        <v>0.3209164729912457</v>
      </c>
      <c r="I25" s="76">
        <v>0.28392561534692129</v>
      </c>
      <c r="J25" s="23"/>
      <c r="K25" s="23"/>
      <c r="L25" s="23"/>
      <c r="M25" s="23"/>
      <c r="N25" s="23"/>
      <c r="O25" s="23"/>
      <c r="P25" s="23"/>
      <c r="Q25" s="23"/>
      <c r="R25" s="23"/>
      <c r="S25" s="23"/>
      <c r="T25" s="23"/>
      <c r="U25" s="23"/>
      <c r="V25" s="23"/>
      <c r="W25" s="23"/>
    </row>
    <row r="26" spans="1:23" ht="15.5">
      <c r="A26" s="15"/>
      <c r="B26" s="15"/>
      <c r="C26" s="15"/>
      <c r="D26" s="15"/>
      <c r="E26" s="15"/>
      <c r="F26" s="70" t="s">
        <v>8</v>
      </c>
      <c r="G26" s="73">
        <f ca="1">Input!H32</f>
        <v>0.90366819825721212</v>
      </c>
      <c r="H26" s="74">
        <v>1.0139664300714044</v>
      </c>
      <c r="I26" s="74">
        <v>0.79998202750925684</v>
      </c>
      <c r="J26" s="23"/>
      <c r="K26" s="23"/>
      <c r="L26" s="23"/>
      <c r="M26" s="23"/>
      <c r="N26" s="23"/>
      <c r="O26" s="23"/>
      <c r="P26" s="23"/>
      <c r="Q26" s="23"/>
      <c r="R26" s="23"/>
      <c r="S26" s="23"/>
      <c r="T26" s="23"/>
      <c r="U26" s="23"/>
      <c r="V26" s="23"/>
      <c r="W26" s="23"/>
    </row>
    <row r="27" spans="1:23" ht="15.5">
      <c r="A27" s="15"/>
      <c r="B27" s="15"/>
      <c r="C27" s="15"/>
      <c r="D27" s="15"/>
      <c r="E27" s="15"/>
      <c r="F27" s="70" t="s">
        <v>9</v>
      </c>
      <c r="G27" s="73">
        <f ca="1">Input!H33</f>
        <v>0.90366819825721212</v>
      </c>
      <c r="H27" s="74">
        <v>1.0139664300714044</v>
      </c>
      <c r="I27" s="74">
        <v>0.79998202750925684</v>
      </c>
      <c r="J27" s="23"/>
      <c r="K27" s="23"/>
      <c r="L27" s="23"/>
      <c r="M27" s="23"/>
      <c r="N27" s="23"/>
      <c r="O27" s="23"/>
      <c r="P27" s="23"/>
      <c r="Q27" s="23"/>
      <c r="R27" s="23"/>
      <c r="S27" s="23"/>
      <c r="T27" s="23"/>
      <c r="U27" s="23"/>
      <c r="V27" s="23"/>
      <c r="W27" s="23"/>
    </row>
    <row r="28" spans="1:23" ht="15.5">
      <c r="A28" s="15"/>
      <c r="B28" s="15"/>
      <c r="C28" s="15"/>
      <c r="D28" s="15"/>
      <c r="E28" s="15"/>
      <c r="F28" s="75" t="s">
        <v>633</v>
      </c>
      <c r="G28" s="71"/>
      <c r="H28" s="69">
        <f>1+Sensitivities!B9</f>
        <v>0.8</v>
      </c>
      <c r="I28" s="69">
        <f>1+Sensitivities!C9</f>
        <v>1.3</v>
      </c>
      <c r="J28" s="15"/>
      <c r="K28" s="15"/>
      <c r="L28" s="15"/>
      <c r="M28" s="15"/>
      <c r="N28" s="15"/>
      <c r="O28" s="15"/>
      <c r="P28" s="15"/>
      <c r="Q28" s="15"/>
      <c r="R28" s="15"/>
      <c r="S28" s="15"/>
      <c r="T28" s="15"/>
      <c r="U28" s="15"/>
      <c r="V28" s="15"/>
      <c r="W28" s="15"/>
    </row>
    <row r="29" spans="1:23" ht="15.5">
      <c r="A29" s="15"/>
      <c r="B29" s="15"/>
      <c r="C29" s="15"/>
      <c r="D29" s="15"/>
      <c r="E29" s="15"/>
      <c r="F29" s="70" t="s">
        <v>644</v>
      </c>
      <c r="G29" s="73">
        <f ca="1">Input!H30</f>
        <v>4078.982649511448</v>
      </c>
      <c r="H29" s="25">
        <f t="dataTable" ref="H29:I32" dt2D="0" dtr="1" r1="F45" ca="1"/>
        <v>4078.982649511448</v>
      </c>
      <c r="I29" s="25">
        <v>4078.982649511448</v>
      </c>
      <c r="J29" s="15"/>
      <c r="K29" s="15"/>
      <c r="L29" s="15"/>
      <c r="M29" s="15"/>
      <c r="N29" s="15"/>
      <c r="O29" s="15"/>
      <c r="P29" s="15"/>
      <c r="Q29" s="15"/>
      <c r="R29" s="15"/>
      <c r="S29" s="15"/>
      <c r="T29" s="15"/>
      <c r="U29" s="15"/>
      <c r="V29" s="15"/>
      <c r="W29" s="15"/>
    </row>
    <row r="30" spans="1:23" ht="15.5">
      <c r="A30" s="15"/>
      <c r="B30" s="15"/>
      <c r="C30" s="15"/>
      <c r="D30" s="15"/>
      <c r="E30" s="15"/>
      <c r="F30" s="70" t="s">
        <v>7</v>
      </c>
      <c r="G30" s="73">
        <f ca="1">Input!H31</f>
        <v>0.30037683905341267</v>
      </c>
      <c r="H30" s="76">
        <v>0.30037683905341267</v>
      </c>
      <c r="I30" s="76">
        <v>0.30037683905341267</v>
      </c>
      <c r="J30" s="15"/>
      <c r="K30" s="15"/>
      <c r="L30" s="15"/>
      <c r="M30" s="15"/>
      <c r="N30" s="15"/>
      <c r="O30" s="15"/>
      <c r="P30" s="15"/>
      <c r="Q30" s="15"/>
      <c r="R30" s="15"/>
      <c r="S30" s="15"/>
      <c r="T30" s="15"/>
      <c r="U30" s="15"/>
      <c r="V30" s="15"/>
      <c r="W30" s="15"/>
    </row>
    <row r="31" spans="1:23" ht="15.5">
      <c r="A31" s="15"/>
      <c r="B31" s="15"/>
      <c r="C31" s="15"/>
      <c r="D31" s="15"/>
      <c r="E31" s="15"/>
      <c r="F31" s="70" t="s">
        <v>8</v>
      </c>
      <c r="G31" s="73">
        <f ca="1">Input!H32</f>
        <v>0.90366819825721212</v>
      </c>
      <c r="H31" s="74">
        <v>0.90366819825721212</v>
      </c>
      <c r="I31" s="74">
        <v>0.90366819825721212</v>
      </c>
      <c r="J31" s="15"/>
      <c r="K31" s="15"/>
      <c r="L31" s="15"/>
      <c r="M31" s="15"/>
      <c r="N31" s="15"/>
      <c r="O31" s="15"/>
      <c r="P31" s="15"/>
      <c r="Q31" s="15"/>
      <c r="R31" s="15"/>
      <c r="S31" s="15"/>
      <c r="T31" s="15"/>
      <c r="U31" s="15"/>
      <c r="V31" s="15"/>
      <c r="W31" s="15"/>
    </row>
    <row r="32" spans="1:23" ht="15.5">
      <c r="A32" s="15"/>
      <c r="B32" s="15"/>
      <c r="C32" s="15"/>
      <c r="D32" s="15"/>
      <c r="E32" s="15"/>
      <c r="F32" s="70" t="s">
        <v>9</v>
      </c>
      <c r="G32" s="73">
        <f ca="1">Input!H33</f>
        <v>0.90366819825721212</v>
      </c>
      <c r="H32" s="74">
        <v>0.90366819825721212</v>
      </c>
      <c r="I32" s="74">
        <v>0.90366819825721212</v>
      </c>
      <c r="J32" s="15"/>
      <c r="K32" s="15"/>
      <c r="L32" s="15"/>
      <c r="M32" s="15"/>
      <c r="N32" s="15"/>
      <c r="O32" s="15"/>
      <c r="P32" s="15"/>
      <c r="Q32" s="15"/>
      <c r="R32" s="15"/>
      <c r="S32" s="15"/>
      <c r="T32" s="15"/>
      <c r="U32" s="15"/>
      <c r="V32" s="15"/>
      <c r="W32" s="15"/>
    </row>
    <row r="33" spans="1:23" ht="15.5">
      <c r="A33" s="15"/>
      <c r="B33" s="15"/>
      <c r="C33" s="15"/>
      <c r="D33" s="15"/>
      <c r="E33" s="15"/>
      <c r="F33" s="113" t="s">
        <v>788</v>
      </c>
      <c r="G33" s="71"/>
      <c r="H33" s="76">
        <f>1+Sensitivities!B4</f>
        <v>0.7</v>
      </c>
      <c r="I33" s="76">
        <f>1+Sensitivities!C4</f>
        <v>1.3</v>
      </c>
      <c r="J33" s="15"/>
      <c r="K33" s="15"/>
      <c r="L33" s="15"/>
      <c r="M33" s="15"/>
      <c r="N33" s="15"/>
      <c r="O33" s="15"/>
      <c r="P33" s="15"/>
      <c r="Q33" s="15"/>
      <c r="R33" s="15"/>
      <c r="S33" s="15"/>
      <c r="T33" s="15"/>
      <c r="U33" s="15"/>
      <c r="V33" s="15"/>
      <c r="W33" s="15"/>
    </row>
    <row r="34" spans="1:23" ht="15.5">
      <c r="A34" s="15"/>
      <c r="B34" s="15"/>
      <c r="C34" s="15"/>
      <c r="D34" s="15"/>
      <c r="E34" s="15"/>
      <c r="F34" s="70" t="s">
        <v>644</v>
      </c>
      <c r="G34" s="71">
        <f ca="1">Input!H30</f>
        <v>4078.982649511448</v>
      </c>
      <c r="H34" s="74">
        <f t="dataTable" ref="H34:I37" dt2D="0" dtr="1" r1="F47" ca="1"/>
        <v>2277.0551268729296</v>
      </c>
      <c r="I34" s="74">
        <v>5877.4418487469175</v>
      </c>
      <c r="J34" s="15"/>
      <c r="K34" s="15"/>
      <c r="L34" s="15"/>
      <c r="M34" s="15"/>
      <c r="N34" s="15"/>
      <c r="O34" s="15"/>
      <c r="P34" s="15"/>
      <c r="Q34" s="15"/>
      <c r="R34" s="15"/>
      <c r="S34" s="15"/>
      <c r="T34" s="15"/>
      <c r="U34" s="15"/>
      <c r="V34" s="15"/>
      <c r="W34" s="15"/>
    </row>
    <row r="35" spans="1:23" ht="15.5">
      <c r="A35" s="15"/>
      <c r="B35" s="15"/>
      <c r="C35" s="15"/>
      <c r="D35" s="15"/>
      <c r="E35" s="15"/>
      <c r="F35" s="70" t="s">
        <v>7</v>
      </c>
      <c r="G35" s="71">
        <f ca="1">Input!H31</f>
        <v>0.30037683905341267</v>
      </c>
      <c r="H35" s="76">
        <v>0.21908217933017807</v>
      </c>
      <c r="I35" s="76">
        <v>0.37881703615924966</v>
      </c>
      <c r="J35" s="15"/>
      <c r="K35" s="15"/>
      <c r="L35" s="15"/>
      <c r="M35" s="15"/>
      <c r="N35" s="15"/>
      <c r="O35" s="15"/>
      <c r="P35" s="15"/>
      <c r="Q35" s="15"/>
      <c r="R35" s="15"/>
      <c r="S35" s="15"/>
      <c r="T35" s="15"/>
      <c r="U35" s="15"/>
      <c r="V35" s="15"/>
      <c r="W35" s="15"/>
    </row>
    <row r="36" spans="1:23" ht="15.5">
      <c r="A36" s="15"/>
      <c r="B36" s="15"/>
      <c r="C36" s="15"/>
      <c r="D36" s="15"/>
      <c r="E36" s="15"/>
      <c r="F36" s="70" t="s">
        <v>8</v>
      </c>
      <c r="G36" s="71">
        <f ca="1">Input!H32</f>
        <v>0.90366819825721212</v>
      </c>
      <c r="H36" s="74">
        <v>0.50446458851205578</v>
      </c>
      <c r="I36" s="74">
        <v>1.3021034268078611</v>
      </c>
      <c r="J36" s="15"/>
      <c r="K36" s="15"/>
      <c r="L36" s="15"/>
      <c r="M36" s="15"/>
      <c r="N36" s="15"/>
      <c r="O36" s="15"/>
      <c r="P36" s="15"/>
      <c r="Q36" s="15"/>
      <c r="R36" s="15"/>
      <c r="S36" s="15"/>
      <c r="T36" s="15"/>
      <c r="U36" s="15"/>
      <c r="V36" s="15"/>
      <c r="W36" s="15"/>
    </row>
    <row r="37" spans="1:23" ht="15.5">
      <c r="A37" s="15"/>
      <c r="B37" s="15"/>
      <c r="C37" s="15"/>
      <c r="D37" s="15"/>
      <c r="E37" s="15"/>
      <c r="F37" s="70" t="s">
        <v>9</v>
      </c>
      <c r="G37" s="71">
        <f ca="1">Input!H33</f>
        <v>0.90366819825721212</v>
      </c>
      <c r="H37" s="74">
        <v>0.50446458851205578</v>
      </c>
      <c r="I37" s="74">
        <v>1.3021034268078611</v>
      </c>
      <c r="J37" s="15"/>
      <c r="K37" s="15"/>
      <c r="L37" s="15"/>
      <c r="M37" s="15"/>
      <c r="N37" s="15"/>
      <c r="O37" s="15"/>
      <c r="P37" s="15"/>
      <c r="Q37" s="15"/>
      <c r="R37" s="15"/>
      <c r="S37" s="15"/>
      <c r="T37" s="15"/>
      <c r="U37" s="15"/>
      <c r="V37" s="15"/>
      <c r="W37" s="15"/>
    </row>
    <row r="38" spans="1:23">
      <c r="A38" s="15"/>
      <c r="B38" s="15"/>
      <c r="C38" s="15"/>
      <c r="D38" s="15"/>
      <c r="E38" s="15"/>
      <c r="F38" s="15"/>
      <c r="G38" s="15"/>
      <c r="H38" s="15"/>
      <c r="I38" s="15"/>
      <c r="J38" s="15"/>
      <c r="K38" s="15"/>
      <c r="L38" s="15"/>
      <c r="M38" s="15"/>
      <c r="N38" s="15"/>
      <c r="O38" s="15"/>
      <c r="P38" s="15"/>
      <c r="Q38" s="15"/>
      <c r="R38" s="15"/>
      <c r="S38" s="15"/>
      <c r="T38" s="15"/>
      <c r="U38" s="15"/>
      <c r="V38" s="15"/>
      <c r="W38" s="15"/>
    </row>
    <row r="39" spans="1:23">
      <c r="A39" s="15"/>
      <c r="B39" s="15"/>
      <c r="C39" s="15"/>
      <c r="D39" s="15"/>
      <c r="E39" s="15"/>
      <c r="F39" s="15"/>
      <c r="G39" s="15"/>
      <c r="H39" s="15"/>
      <c r="I39" s="15"/>
      <c r="J39" s="15"/>
      <c r="K39" s="15"/>
      <c r="L39" s="15"/>
      <c r="M39" s="15"/>
      <c r="N39" s="15"/>
      <c r="O39" s="15"/>
      <c r="P39" s="15"/>
      <c r="Q39" s="15"/>
      <c r="R39" s="15"/>
      <c r="S39" s="15"/>
      <c r="T39" s="15"/>
      <c r="U39" s="15"/>
      <c r="V39" s="15"/>
      <c r="W39" s="15"/>
    </row>
    <row r="40" spans="1:23">
      <c r="A40" s="15"/>
      <c r="B40" s="15"/>
      <c r="C40" s="15"/>
      <c r="D40" s="15"/>
      <c r="E40" s="15"/>
      <c r="F40" s="15"/>
      <c r="G40" s="15"/>
      <c r="H40" s="15"/>
      <c r="I40" s="15" t="s">
        <v>639</v>
      </c>
      <c r="J40" s="15" t="s">
        <v>115</v>
      </c>
      <c r="K40" s="15" t="s">
        <v>659</v>
      </c>
      <c r="L40" s="15" t="s">
        <v>660</v>
      </c>
      <c r="M40" s="15" t="s">
        <v>640</v>
      </c>
      <c r="N40" s="15" t="s">
        <v>666</v>
      </c>
      <c r="O40" s="15" t="s">
        <v>667</v>
      </c>
      <c r="P40" s="15" t="s">
        <v>668</v>
      </c>
      <c r="Q40" s="15" t="s">
        <v>669</v>
      </c>
      <c r="R40" s="15"/>
      <c r="S40" s="15"/>
      <c r="T40" s="15"/>
      <c r="U40" s="15"/>
      <c r="V40" s="15"/>
      <c r="W40" s="15"/>
    </row>
    <row r="41" spans="1:23">
      <c r="A41" s="15"/>
      <c r="B41" s="15"/>
      <c r="C41" s="15" t="s">
        <v>634</v>
      </c>
      <c r="D41" s="15"/>
      <c r="E41" s="15"/>
      <c r="F41" s="15">
        <v>1</v>
      </c>
      <c r="G41" s="15"/>
      <c r="H41" s="15"/>
      <c r="I41" s="15">
        <v>1</v>
      </c>
      <c r="J41" s="27" t="s">
        <v>657</v>
      </c>
      <c r="K41" s="27" t="s">
        <v>657</v>
      </c>
      <c r="L41" s="27" t="s">
        <v>657</v>
      </c>
      <c r="M41" s="27" t="s">
        <v>657</v>
      </c>
      <c r="N41" s="27">
        <v>0</v>
      </c>
      <c r="O41" s="27">
        <v>0</v>
      </c>
      <c r="P41" s="27" t="s">
        <v>657</v>
      </c>
      <c r="Q41" s="27" t="s">
        <v>657</v>
      </c>
      <c r="R41" s="15"/>
      <c r="S41" s="15"/>
      <c r="T41" s="15"/>
      <c r="U41" s="15"/>
      <c r="V41" s="15"/>
      <c r="W41" s="15"/>
    </row>
    <row r="42" spans="1:23">
      <c r="A42" s="15"/>
      <c r="B42" s="15"/>
      <c r="C42" s="15" t="s">
        <v>629</v>
      </c>
      <c r="D42" s="15"/>
      <c r="E42" s="15"/>
      <c r="F42" s="15">
        <v>1</v>
      </c>
      <c r="G42" s="15"/>
      <c r="H42" s="15"/>
      <c r="I42" s="15">
        <v>2</v>
      </c>
      <c r="J42" s="27" t="s">
        <v>657</v>
      </c>
      <c r="K42" s="27" t="s">
        <v>657</v>
      </c>
      <c r="L42" s="27" t="s">
        <v>658</v>
      </c>
      <c r="M42" s="27">
        <v>0</v>
      </c>
      <c r="N42" s="27">
        <v>0</v>
      </c>
      <c r="O42" s="27" t="s">
        <v>658</v>
      </c>
      <c r="P42" s="27" t="s">
        <v>657</v>
      </c>
      <c r="Q42" s="27" t="s">
        <v>657</v>
      </c>
      <c r="R42" s="15"/>
      <c r="S42" s="15"/>
      <c r="T42" s="15"/>
      <c r="U42" s="15"/>
      <c r="V42" s="15"/>
      <c r="W42" s="15"/>
    </row>
    <row r="43" spans="1:23">
      <c r="A43" s="15"/>
      <c r="B43" s="15"/>
      <c r="C43" s="15" t="s">
        <v>635</v>
      </c>
      <c r="D43" s="15"/>
      <c r="E43" s="15"/>
      <c r="F43" s="15">
        <v>1</v>
      </c>
      <c r="G43" s="15"/>
      <c r="H43" s="15"/>
      <c r="I43" s="15">
        <v>3</v>
      </c>
      <c r="J43" s="27" t="s">
        <v>658</v>
      </c>
      <c r="K43" s="27" t="s">
        <v>657</v>
      </c>
      <c r="L43" s="27" t="s">
        <v>658</v>
      </c>
      <c r="M43" s="27">
        <v>0</v>
      </c>
      <c r="N43" s="27" t="s">
        <v>658</v>
      </c>
      <c r="O43" s="27" t="s">
        <v>658</v>
      </c>
      <c r="P43" s="27">
        <v>0</v>
      </c>
      <c r="Q43" s="27" t="s">
        <v>657</v>
      </c>
      <c r="R43" s="15"/>
      <c r="S43" s="15"/>
      <c r="T43" s="15"/>
      <c r="U43" s="15"/>
      <c r="V43" s="15"/>
      <c r="W43" s="15"/>
    </row>
    <row r="44" spans="1:23">
      <c r="A44" s="15"/>
      <c r="B44" s="15"/>
      <c r="C44" s="15" t="s">
        <v>636</v>
      </c>
      <c r="D44" s="15"/>
      <c r="E44" s="15"/>
      <c r="F44" s="15">
        <v>1</v>
      </c>
      <c r="G44" s="15"/>
      <c r="H44" s="15"/>
      <c r="I44" s="15">
        <v>4</v>
      </c>
      <c r="J44" s="27" t="s">
        <v>658</v>
      </c>
      <c r="K44" s="27" t="s">
        <v>658</v>
      </c>
      <c r="L44" s="27" t="s">
        <v>658</v>
      </c>
      <c r="M44" s="27" t="s">
        <v>658</v>
      </c>
      <c r="N44" s="27" t="s">
        <v>658</v>
      </c>
      <c r="O44" s="27" t="s">
        <v>658</v>
      </c>
      <c r="P44" s="27">
        <v>0</v>
      </c>
      <c r="Q44" s="27">
        <v>0</v>
      </c>
      <c r="R44" s="15"/>
      <c r="S44" s="15"/>
      <c r="T44" s="15"/>
      <c r="U44" s="15"/>
      <c r="V44" s="15"/>
      <c r="W44" s="15"/>
    </row>
    <row r="45" spans="1:23">
      <c r="A45" s="15"/>
      <c r="B45" s="15"/>
      <c r="C45" s="21" t="s">
        <v>633</v>
      </c>
      <c r="D45" s="21"/>
      <c r="E45" s="21"/>
      <c r="F45" s="21">
        <v>1</v>
      </c>
      <c r="G45" s="21"/>
      <c r="H45" s="22"/>
      <c r="I45" s="22"/>
      <c r="J45" s="22"/>
      <c r="K45" s="22"/>
      <c r="L45" s="22"/>
      <c r="M45" s="22" t="s">
        <v>661</v>
      </c>
      <c r="N45" s="22" t="s">
        <v>662</v>
      </c>
      <c r="O45" s="22" t="s">
        <v>663</v>
      </c>
      <c r="P45" s="22" t="s">
        <v>664</v>
      </c>
      <c r="Q45" s="22" t="s">
        <v>665</v>
      </c>
      <c r="R45" s="22"/>
      <c r="S45" s="22"/>
      <c r="T45" s="22"/>
      <c r="U45" s="22"/>
      <c r="V45" s="22"/>
      <c r="W45" s="22"/>
    </row>
    <row r="46" spans="1:23">
      <c r="A46" s="15"/>
      <c r="B46" s="15"/>
      <c r="C46" s="21" t="s">
        <v>637</v>
      </c>
      <c r="D46" s="21"/>
      <c r="E46" s="21"/>
      <c r="F46" s="21">
        <v>1</v>
      </c>
      <c r="G46" s="21"/>
      <c r="H46" s="22"/>
      <c r="I46" s="22"/>
      <c r="J46" s="22"/>
      <c r="K46" s="22"/>
      <c r="L46" s="22"/>
      <c r="M46" s="22" t="s">
        <v>640</v>
      </c>
      <c r="N46" s="22" t="s">
        <v>642</v>
      </c>
      <c r="O46" s="22" t="s">
        <v>643</v>
      </c>
      <c r="P46" s="22" t="s">
        <v>643</v>
      </c>
      <c r="Q46" s="22" t="s">
        <v>642</v>
      </c>
      <c r="R46" s="22"/>
      <c r="S46" s="22"/>
      <c r="T46" s="22"/>
      <c r="U46" s="22"/>
      <c r="V46" s="22"/>
      <c r="W46" s="22"/>
    </row>
    <row r="47" spans="1:23">
      <c r="A47" s="15"/>
      <c r="B47" s="15"/>
      <c r="C47" s="15" t="s">
        <v>788</v>
      </c>
      <c r="D47" s="21"/>
      <c r="E47" s="21"/>
      <c r="F47" s="112">
        <v>1</v>
      </c>
      <c r="G47" s="21"/>
      <c r="T47" s="15"/>
      <c r="U47" s="22"/>
      <c r="V47" s="22"/>
      <c r="W47" s="22"/>
    </row>
    <row r="48" spans="1:23">
      <c r="A48" s="15"/>
      <c r="B48" s="15"/>
      <c r="C48" s="21"/>
      <c r="D48" s="21"/>
      <c r="E48" s="21"/>
      <c r="F48" s="23"/>
      <c r="G48" s="21"/>
      <c r="T48" s="22"/>
      <c r="U48" s="22"/>
      <c r="V48" s="22"/>
      <c r="W48" s="22"/>
    </row>
    <row r="49" spans="1:23">
      <c r="A49" s="15"/>
      <c r="B49" s="15"/>
      <c r="C49" s="21"/>
      <c r="D49" s="21"/>
      <c r="E49" s="21"/>
      <c r="F49" s="23"/>
      <c r="G49" s="21"/>
      <c r="T49" s="22"/>
      <c r="U49" s="22"/>
      <c r="V49" s="22"/>
      <c r="W49" s="22"/>
    </row>
    <row r="50" spans="1:23">
      <c r="A50" s="15"/>
      <c r="B50" s="15"/>
      <c r="C50" s="21" t="s">
        <v>638</v>
      </c>
      <c r="D50" s="21"/>
      <c r="E50" s="21"/>
      <c r="F50" s="23"/>
      <c r="G50" s="21"/>
      <c r="H50" s="23"/>
      <c r="I50" s="77" t="s">
        <v>6</v>
      </c>
      <c r="J50" s="22">
        <f ca="1">Input!H30</f>
        <v>4078.982649511448</v>
      </c>
      <c r="K50" s="22"/>
      <c r="L50" s="84" t="s">
        <v>639</v>
      </c>
      <c r="M50" s="84" t="s">
        <v>659</v>
      </c>
      <c r="N50" s="84" t="s">
        <v>660</v>
      </c>
      <c r="O50" s="85" t="s">
        <v>640</v>
      </c>
      <c r="P50" s="85" t="s">
        <v>666</v>
      </c>
      <c r="Q50" s="85" t="s">
        <v>667</v>
      </c>
      <c r="R50" s="85" t="s">
        <v>668</v>
      </c>
      <c r="S50" s="85" t="s">
        <v>669</v>
      </c>
      <c r="T50" s="22"/>
      <c r="U50" s="22"/>
      <c r="V50" s="22"/>
      <c r="W50" s="22"/>
    </row>
    <row r="51" spans="1:23">
      <c r="A51" s="15"/>
      <c r="B51" s="15"/>
      <c r="C51" s="21"/>
      <c r="D51" s="21"/>
      <c r="E51" s="21"/>
      <c r="F51" s="23"/>
      <c r="G51" s="21"/>
      <c r="H51" s="21">
        <v>1</v>
      </c>
      <c r="I51" s="22" t="s">
        <v>111</v>
      </c>
      <c r="J51" s="78">
        <f>H4</f>
        <v>2994.3757826587653</v>
      </c>
      <c r="K51" s="78">
        <f>I4</f>
        <v>6176.7911605846357</v>
      </c>
      <c r="L51" s="22">
        <f t="shared" ref="L51:L57" ca="1" si="0">IF($J$50&lt;0,IF(N51&gt;0,2,1),IF(M51&gt;0,4,3))</f>
        <v>4</v>
      </c>
      <c r="M51" s="78">
        <f t="shared" ref="M51:M57" ca="1" si="1">MIN(J51:K51,$J$50)</f>
        <v>2994.3757826587653</v>
      </c>
      <c r="N51" s="78">
        <f t="shared" ref="N51:N57" ca="1" si="2">MAX(J51:K51,$J$50)</f>
        <v>6176.7911605846357</v>
      </c>
      <c r="O51" s="22">
        <f t="shared" ref="O51:O57" ca="1" si="3">CHOOSE(L51,N51,0,0,M51)</f>
        <v>2994.3757826587653</v>
      </c>
      <c r="P51" s="22">
        <f t="shared" ref="P51:P57" ca="1" si="4">IF($J$50="Uneconomic",0,CHOOSE(L51,0,0,$J$50,$J$50-M51))</f>
        <v>1084.6068668526827</v>
      </c>
      <c r="Q51" s="22">
        <f t="shared" ref="Q51:Q57" ca="1" si="5">IF($J$50="Uneconomic",0,CHOOSE(L51,0,N51,N51-$J$50,N51-$J$50))</f>
        <v>2097.8085110731877</v>
      </c>
      <c r="R51" s="22">
        <f t="shared" ref="R51:R57" ca="1" si="6">IF($J$50="Uneconomic",0,CHOOSE(L51,$J$50-N51,$J$50,0,0))</f>
        <v>0</v>
      </c>
      <c r="S51" s="22">
        <f t="shared" ref="S51:S57" ca="1" si="7">IF($J$50="Uneconomic",0,CHOOSE(L51,M51-$J$50,M51-$J$50,M51,0))</f>
        <v>0</v>
      </c>
      <c r="T51" s="22"/>
      <c r="U51" s="22"/>
      <c r="V51" s="22"/>
      <c r="W51" s="22"/>
    </row>
    <row r="52" spans="1:23">
      <c r="A52" s="15"/>
      <c r="B52" s="15"/>
      <c r="C52" s="21"/>
      <c r="D52" s="21"/>
      <c r="E52" s="21"/>
      <c r="F52" s="23"/>
      <c r="G52" s="21"/>
      <c r="H52" s="21"/>
      <c r="I52" s="22" t="s">
        <v>758</v>
      </c>
      <c r="J52" s="78">
        <f>H34</f>
        <v>2277.0551268729296</v>
      </c>
      <c r="K52" s="78">
        <f>I34</f>
        <v>5877.4418487469175</v>
      </c>
      <c r="L52" s="22">
        <f t="shared" ca="1" si="0"/>
        <v>4</v>
      </c>
      <c r="M52" s="78">
        <f t="shared" ca="1" si="1"/>
        <v>2277.0551268729296</v>
      </c>
      <c r="N52" s="78">
        <f t="shared" ca="1" si="2"/>
        <v>5877.4418487469175</v>
      </c>
      <c r="O52" s="22">
        <f ca="1">CHOOSE(L52,N52,0,0,M52)</f>
        <v>2277.0551268729296</v>
      </c>
      <c r="P52" s="22">
        <f t="shared" ca="1" si="4"/>
        <v>1801.9275226385184</v>
      </c>
      <c r="Q52" s="22">
        <f t="shared" ca="1" si="5"/>
        <v>1798.4591992354694</v>
      </c>
      <c r="R52" s="22">
        <f t="shared" ca="1" si="6"/>
        <v>0</v>
      </c>
      <c r="S52" s="22">
        <f t="shared" ca="1" si="7"/>
        <v>0</v>
      </c>
      <c r="T52" s="22"/>
      <c r="U52" s="22"/>
      <c r="V52" s="22"/>
      <c r="W52" s="22"/>
    </row>
    <row r="53" spans="1:23">
      <c r="A53" s="15"/>
      <c r="B53" s="15"/>
      <c r="C53" s="21"/>
      <c r="D53" s="21"/>
      <c r="E53" s="21"/>
      <c r="F53" s="23"/>
      <c r="G53" s="21"/>
      <c r="H53" s="21">
        <v>6</v>
      </c>
      <c r="I53" s="22" t="s">
        <v>118</v>
      </c>
      <c r="J53" s="78">
        <f>H9</f>
        <v>3745.333272712905</v>
      </c>
      <c r="K53" s="78">
        <f>I9</f>
        <v>4420.9119143367579</v>
      </c>
      <c r="L53" s="22">
        <f t="shared" ca="1" si="0"/>
        <v>4</v>
      </c>
      <c r="M53" s="78">
        <f t="shared" ca="1" si="1"/>
        <v>3745.333272712905</v>
      </c>
      <c r="N53" s="78">
        <f t="shared" ca="1" si="2"/>
        <v>4420.9119143367579</v>
      </c>
      <c r="O53" s="22">
        <f t="shared" ca="1" si="3"/>
        <v>3745.333272712905</v>
      </c>
      <c r="P53" s="22">
        <f t="shared" ca="1" si="4"/>
        <v>333.64937679854302</v>
      </c>
      <c r="Q53" s="22">
        <f t="shared" ca="1" si="5"/>
        <v>341.92926482530993</v>
      </c>
      <c r="R53" s="22">
        <f t="shared" ca="1" si="6"/>
        <v>0</v>
      </c>
      <c r="S53" s="22">
        <f t="shared" ca="1" si="7"/>
        <v>0</v>
      </c>
      <c r="T53" s="22"/>
      <c r="U53" s="22"/>
      <c r="V53" s="22"/>
      <c r="W53" s="22"/>
    </row>
    <row r="54" spans="1:23">
      <c r="A54" s="15"/>
      <c r="B54" s="15"/>
      <c r="C54" s="21"/>
      <c r="D54" s="21"/>
      <c r="E54" s="21"/>
      <c r="F54" s="23"/>
      <c r="G54" s="21"/>
      <c r="H54" s="21">
        <v>11</v>
      </c>
      <c r="I54" s="22" t="s">
        <v>119</v>
      </c>
      <c r="J54" s="78">
        <f>H14</f>
        <v>4078.982649511448</v>
      </c>
      <c r="K54" s="78">
        <f>I14</f>
        <v>4078.982649511448</v>
      </c>
      <c r="L54" s="22">
        <f t="shared" ca="1" si="0"/>
        <v>4</v>
      </c>
      <c r="M54" s="78">
        <f t="shared" ca="1" si="1"/>
        <v>4078.982649511448</v>
      </c>
      <c r="N54" s="78">
        <f t="shared" ca="1" si="2"/>
        <v>4078.982649511448</v>
      </c>
      <c r="O54" s="22">
        <f t="shared" ca="1" si="3"/>
        <v>4078.982649511448</v>
      </c>
      <c r="P54" s="22">
        <f t="shared" ca="1" si="4"/>
        <v>0</v>
      </c>
      <c r="Q54" s="22">
        <f t="shared" ca="1" si="5"/>
        <v>0</v>
      </c>
      <c r="R54" s="22">
        <f t="shared" ca="1" si="6"/>
        <v>0</v>
      </c>
      <c r="S54" s="22">
        <f t="shared" ca="1" si="7"/>
        <v>0</v>
      </c>
      <c r="T54" s="22"/>
      <c r="U54" s="22"/>
      <c r="V54" s="22"/>
      <c r="W54" s="22"/>
    </row>
    <row r="55" spans="1:23">
      <c r="A55" s="15"/>
      <c r="B55" s="15"/>
      <c r="C55" s="21"/>
      <c r="D55" s="21"/>
      <c r="E55" s="21"/>
      <c r="F55" s="21"/>
      <c r="G55" s="21"/>
      <c r="H55" s="21">
        <v>16</v>
      </c>
      <c r="I55" s="22" t="s">
        <v>641</v>
      </c>
      <c r="J55" s="78">
        <f>H19</f>
        <v>4637.4354922708953</v>
      </c>
      <c r="K55" s="78">
        <f>I19</f>
        <v>3421.7362266177524</v>
      </c>
      <c r="L55" s="22">
        <f t="shared" ca="1" si="0"/>
        <v>4</v>
      </c>
      <c r="M55" s="78">
        <f t="shared" ca="1" si="1"/>
        <v>3421.7362266177524</v>
      </c>
      <c r="N55" s="78">
        <f t="shared" ca="1" si="2"/>
        <v>4637.4354922708953</v>
      </c>
      <c r="O55" s="22">
        <f t="shared" ca="1" si="3"/>
        <v>3421.7362266177524</v>
      </c>
      <c r="P55" s="22">
        <f t="shared" ca="1" si="4"/>
        <v>657.24642289369558</v>
      </c>
      <c r="Q55" s="22">
        <f t="shared" ca="1" si="5"/>
        <v>558.45284275944732</v>
      </c>
      <c r="R55" s="22">
        <f t="shared" ca="1" si="6"/>
        <v>0</v>
      </c>
      <c r="S55" s="22">
        <f t="shared" ca="1" si="7"/>
        <v>0</v>
      </c>
      <c r="T55" s="22"/>
      <c r="U55" s="22"/>
      <c r="V55" s="22"/>
      <c r="W55" s="22"/>
    </row>
    <row r="56" spans="1:23">
      <c r="A56" s="15"/>
      <c r="B56" s="15"/>
      <c r="C56" s="22"/>
      <c r="D56" s="22"/>
      <c r="E56" s="22"/>
      <c r="F56" s="22"/>
      <c r="G56" s="21"/>
      <c r="H56" s="21">
        <v>21</v>
      </c>
      <c r="I56" s="22" t="s">
        <v>121</v>
      </c>
      <c r="J56" s="78">
        <f>H24</f>
        <v>4576.8474351811819</v>
      </c>
      <c r="K56" s="78">
        <f>I24</f>
        <v>3610.9634226637518</v>
      </c>
      <c r="L56" s="22">
        <f t="shared" ca="1" si="0"/>
        <v>4</v>
      </c>
      <c r="M56" s="78">
        <f t="shared" ca="1" si="1"/>
        <v>3610.9634226637518</v>
      </c>
      <c r="N56" s="78">
        <f t="shared" ca="1" si="2"/>
        <v>4576.8474351811819</v>
      </c>
      <c r="O56" s="22">
        <f t="shared" ca="1" si="3"/>
        <v>3610.9634226637518</v>
      </c>
      <c r="P56" s="22">
        <f t="shared" ca="1" si="4"/>
        <v>468.01922684769625</v>
      </c>
      <c r="Q56" s="22">
        <f t="shared" ca="1" si="5"/>
        <v>497.86478566973392</v>
      </c>
      <c r="R56" s="22">
        <f t="shared" ca="1" si="6"/>
        <v>0</v>
      </c>
      <c r="S56" s="22">
        <f t="shared" ca="1" si="7"/>
        <v>0</v>
      </c>
      <c r="T56" s="22"/>
      <c r="U56" s="22"/>
      <c r="V56" s="22"/>
      <c r="W56" s="22"/>
    </row>
    <row r="57" spans="1:23">
      <c r="A57" s="15"/>
      <c r="B57" s="15"/>
      <c r="C57" s="22"/>
      <c r="D57" s="22"/>
      <c r="E57" s="22"/>
      <c r="F57" s="22"/>
      <c r="G57" s="21"/>
      <c r="H57" s="21">
        <v>26</v>
      </c>
      <c r="I57" s="22" t="s">
        <v>122</v>
      </c>
      <c r="J57" s="78">
        <f>H29</f>
        <v>4078.982649511448</v>
      </c>
      <c r="K57" s="78">
        <f>I29</f>
        <v>4078.982649511448</v>
      </c>
      <c r="L57" s="22">
        <f t="shared" ca="1" si="0"/>
        <v>4</v>
      </c>
      <c r="M57" s="78">
        <f t="shared" ca="1" si="1"/>
        <v>4078.982649511448</v>
      </c>
      <c r="N57" s="78">
        <f t="shared" ca="1" si="2"/>
        <v>4078.982649511448</v>
      </c>
      <c r="O57" s="22">
        <f t="shared" ca="1" si="3"/>
        <v>4078.982649511448</v>
      </c>
      <c r="P57" s="22">
        <f t="shared" ca="1" si="4"/>
        <v>0</v>
      </c>
      <c r="Q57" s="22">
        <f t="shared" ca="1" si="5"/>
        <v>0</v>
      </c>
      <c r="R57" s="22">
        <f t="shared" ca="1" si="6"/>
        <v>0</v>
      </c>
      <c r="S57" s="22">
        <f t="shared" ca="1" si="7"/>
        <v>0</v>
      </c>
      <c r="T57" s="22"/>
      <c r="U57" s="22"/>
      <c r="V57" s="22"/>
      <c r="W57" s="22"/>
    </row>
    <row r="58" spans="1:23">
      <c r="A58" s="15"/>
      <c r="B58" s="15"/>
      <c r="C58" s="15"/>
      <c r="D58" s="15"/>
      <c r="E58" s="15"/>
      <c r="F58" s="21"/>
      <c r="G58" s="21"/>
      <c r="H58" s="21"/>
      <c r="I58" s="22"/>
      <c r="J58" s="22"/>
      <c r="K58" s="22"/>
      <c r="L58" s="22"/>
      <c r="M58" s="22"/>
      <c r="N58" s="22"/>
      <c r="O58" s="22"/>
      <c r="P58" s="22"/>
      <c r="Q58" s="22"/>
      <c r="R58" s="22"/>
      <c r="S58" s="22"/>
      <c r="T58" s="22"/>
      <c r="U58" s="22"/>
      <c r="V58" s="22"/>
      <c r="W58" s="22"/>
    </row>
    <row r="59" spans="1:23">
      <c r="A59" s="15"/>
      <c r="B59" s="15"/>
      <c r="C59" s="15"/>
      <c r="D59" s="15"/>
      <c r="E59" s="15"/>
      <c r="F59" s="21"/>
      <c r="G59" s="21"/>
      <c r="H59" s="22"/>
      <c r="I59" s="22"/>
      <c r="J59" s="22"/>
      <c r="K59" s="22"/>
      <c r="L59" s="22"/>
      <c r="M59" s="22"/>
      <c r="N59" s="22"/>
      <c r="O59" s="22"/>
      <c r="P59" s="22"/>
      <c r="Q59" s="22"/>
      <c r="R59" s="22"/>
      <c r="S59" s="22"/>
      <c r="T59" s="22"/>
      <c r="U59" s="22"/>
      <c r="V59" s="22"/>
      <c r="W59" s="22"/>
    </row>
    <row r="60" spans="1:23">
      <c r="A60" s="15"/>
      <c r="B60" s="15"/>
      <c r="C60" s="15"/>
      <c r="D60" s="15"/>
      <c r="E60" s="15"/>
      <c r="F60" s="21"/>
      <c r="G60" s="21"/>
      <c r="H60" s="22">
        <v>1</v>
      </c>
      <c r="I60" s="77" t="s">
        <v>7</v>
      </c>
      <c r="J60" s="79">
        <f ca="1">IF(Input!H30="Uneconomic",0,Input!H31)</f>
        <v>0.30037683905341267</v>
      </c>
      <c r="K60" s="22"/>
      <c r="L60" s="84" t="s">
        <v>639</v>
      </c>
      <c r="M60" s="84" t="s">
        <v>659</v>
      </c>
      <c r="N60" s="84" t="s">
        <v>660</v>
      </c>
      <c r="O60" s="85" t="s">
        <v>640</v>
      </c>
      <c r="P60" s="85" t="s">
        <v>666</v>
      </c>
      <c r="Q60" s="85" t="s">
        <v>667</v>
      </c>
      <c r="R60" s="85" t="s">
        <v>668</v>
      </c>
      <c r="S60" s="85" t="s">
        <v>669</v>
      </c>
      <c r="T60" s="22"/>
      <c r="U60" s="22"/>
      <c r="V60" s="22"/>
      <c r="W60" s="22"/>
    </row>
    <row r="61" spans="1:23">
      <c r="A61" s="15"/>
      <c r="B61" s="15"/>
      <c r="C61" s="15"/>
      <c r="D61" s="15"/>
      <c r="E61" s="15"/>
      <c r="F61" s="21"/>
      <c r="G61" s="21"/>
      <c r="H61" s="15">
        <v>2</v>
      </c>
      <c r="I61" s="22" t="s">
        <v>111</v>
      </c>
      <c r="J61" s="80">
        <f>H5</f>
        <v>0.26297467434887534</v>
      </c>
      <c r="K61" s="80">
        <f>I5</f>
        <v>0.34750609586559794</v>
      </c>
      <c r="L61" s="22">
        <f t="shared" ref="L61:L67" ca="1" si="8">IF($J$60&lt;0,IF(N61&gt;0,2,1),IF(M61&gt;0,4,3))</f>
        <v>4</v>
      </c>
      <c r="M61" s="78">
        <f t="shared" ref="M61:M67" ca="1" si="9">IF($J$60=0,0,MIN(J61:K61,$J$60))</f>
        <v>0.26297467434887534</v>
      </c>
      <c r="N61" s="78">
        <f t="shared" ref="N61:N67" ca="1" si="10">IF($J$60=0,0,MAX(J61:K61,$J$60))</f>
        <v>0.34750609586559794</v>
      </c>
      <c r="O61" s="22">
        <f t="shared" ref="O61:O67" ca="1" si="11">CHOOSE(L61,N61,0,0,M61)</f>
        <v>0.26297467434887534</v>
      </c>
      <c r="P61" s="22">
        <f t="shared" ref="P61:P67" ca="1" si="12">CHOOSE(L61,0,0,$J$60,$J$60-M61)</f>
        <v>3.7402164704537333E-2</v>
      </c>
      <c r="Q61" s="22">
        <f t="shared" ref="Q61:Q67" ca="1" si="13">CHOOSE(L61,0,N61,N61-$J$60,N61-$J$60)</f>
        <v>4.7129256812185272E-2</v>
      </c>
      <c r="R61" s="22">
        <f t="shared" ref="R61:R67" ca="1" si="14">CHOOSE(L61,$J$60-N61,$J$60,0,0)</f>
        <v>0</v>
      </c>
      <c r="S61" s="22">
        <f t="shared" ref="S61:S67" ca="1" si="15">CHOOSE(L61,M61-$J$60,M61-$J$60,M61,0)</f>
        <v>0</v>
      </c>
      <c r="T61" s="22"/>
      <c r="U61" s="22"/>
      <c r="V61" s="22"/>
      <c r="W61" s="22"/>
    </row>
    <row r="62" spans="1:23">
      <c r="A62" s="15"/>
      <c r="B62" s="15"/>
      <c r="C62" s="15"/>
      <c r="D62" s="15"/>
      <c r="E62" s="15"/>
      <c r="F62" s="21"/>
      <c r="G62" s="21"/>
      <c r="H62" s="15"/>
      <c r="I62" s="22" t="str">
        <f>I52</f>
        <v>Oil Price</v>
      </c>
      <c r="J62" s="80">
        <f>H35</f>
        <v>0.21908217933017807</v>
      </c>
      <c r="K62" s="80">
        <f>I35</f>
        <v>0.37881703615924966</v>
      </c>
      <c r="L62" s="22">
        <f t="shared" ca="1" si="8"/>
        <v>4</v>
      </c>
      <c r="M62" s="78">
        <f t="shared" ca="1" si="9"/>
        <v>0.21908217933017807</v>
      </c>
      <c r="N62" s="78">
        <f t="shared" ca="1" si="10"/>
        <v>0.37881703615924966</v>
      </c>
      <c r="O62" s="22">
        <f ca="1">CHOOSE(L62,N62,0,0,M62)</f>
        <v>0.21908217933017807</v>
      </c>
      <c r="P62" s="22">
        <f t="shared" ca="1" si="12"/>
        <v>8.1294659723234602E-2</v>
      </c>
      <c r="Q62" s="22">
        <f t="shared" ca="1" si="13"/>
        <v>7.8440197105836995E-2</v>
      </c>
      <c r="R62" s="22">
        <f t="shared" ca="1" si="14"/>
        <v>0</v>
      </c>
      <c r="S62" s="22">
        <f t="shared" ca="1" si="15"/>
        <v>0</v>
      </c>
      <c r="T62" s="22"/>
      <c r="U62" s="22"/>
      <c r="V62" s="22"/>
      <c r="W62" s="22"/>
    </row>
    <row r="63" spans="1:23">
      <c r="A63" s="15"/>
      <c r="B63" s="15"/>
      <c r="C63" s="15"/>
      <c r="D63" s="15"/>
      <c r="E63" s="15"/>
      <c r="F63" s="21"/>
      <c r="G63" s="21"/>
      <c r="H63" s="21">
        <v>7</v>
      </c>
      <c r="I63" s="22" t="str">
        <f>I53</f>
        <v>Gas Price</v>
      </c>
      <c r="J63" s="80">
        <f>H10</f>
        <v>0.28750799757714879</v>
      </c>
      <c r="K63" s="80">
        <f>I10</f>
        <v>0.31674836797531714</v>
      </c>
      <c r="L63" s="22">
        <f t="shared" ca="1" si="8"/>
        <v>4</v>
      </c>
      <c r="M63" s="78">
        <f t="shared" ca="1" si="9"/>
        <v>0.28750799757714879</v>
      </c>
      <c r="N63" s="78">
        <f t="shared" ca="1" si="10"/>
        <v>0.31674836797531714</v>
      </c>
      <c r="O63" s="22">
        <f t="shared" ca="1" si="11"/>
        <v>0.28750799757714879</v>
      </c>
      <c r="P63" s="22">
        <f t="shared" ca="1" si="12"/>
        <v>1.2868841476263881E-2</v>
      </c>
      <c r="Q63" s="22">
        <f t="shared" ca="1" si="13"/>
        <v>1.6371528921904466E-2</v>
      </c>
      <c r="R63" s="22">
        <f t="shared" ca="1" si="14"/>
        <v>0</v>
      </c>
      <c r="S63" s="22">
        <f t="shared" ca="1" si="15"/>
        <v>0</v>
      </c>
      <c r="T63" s="22"/>
      <c r="U63" s="22"/>
      <c r="V63" s="22"/>
      <c r="W63" s="22"/>
    </row>
    <row r="64" spans="1:23">
      <c r="A64" s="15"/>
      <c r="B64" s="15"/>
      <c r="C64" s="15"/>
      <c r="D64" s="15"/>
      <c r="E64" s="15"/>
      <c r="F64" s="21"/>
      <c r="G64" s="21"/>
      <c r="H64" s="21">
        <v>12</v>
      </c>
      <c r="I64" s="22" t="s">
        <v>119</v>
      </c>
      <c r="J64" s="80">
        <f>H15</f>
        <v>0.30037683905341267</v>
      </c>
      <c r="K64" s="80">
        <f>I15</f>
        <v>0.30037683905341267</v>
      </c>
      <c r="L64" s="22">
        <f t="shared" ca="1" si="8"/>
        <v>4</v>
      </c>
      <c r="M64" s="78">
        <f t="shared" ca="1" si="9"/>
        <v>0.30037683905341267</v>
      </c>
      <c r="N64" s="78">
        <f t="shared" ca="1" si="10"/>
        <v>0.30037683905341267</v>
      </c>
      <c r="O64" s="22">
        <f t="shared" ca="1" si="11"/>
        <v>0.30037683905341267</v>
      </c>
      <c r="P64" s="22">
        <f t="shared" ca="1" si="12"/>
        <v>0</v>
      </c>
      <c r="Q64" s="22">
        <f t="shared" ca="1" si="13"/>
        <v>0</v>
      </c>
      <c r="R64" s="22">
        <f t="shared" ca="1" si="14"/>
        <v>0</v>
      </c>
      <c r="S64" s="22">
        <f t="shared" ca="1" si="15"/>
        <v>0</v>
      </c>
      <c r="T64" s="22"/>
      <c r="U64" s="22"/>
      <c r="V64" s="22"/>
      <c r="W64" s="22"/>
    </row>
    <row r="65" spans="1:23">
      <c r="A65" s="15"/>
      <c r="B65" s="15"/>
      <c r="C65" s="15"/>
      <c r="D65" s="15"/>
      <c r="E65" s="15"/>
      <c r="F65" s="15"/>
      <c r="G65" s="21"/>
      <c r="H65" s="21">
        <v>17</v>
      </c>
      <c r="I65" s="22" t="s">
        <v>641</v>
      </c>
      <c r="J65" s="80">
        <f>H20</f>
        <v>0.39334315240743012</v>
      </c>
      <c r="K65" s="80">
        <f>I20</f>
        <v>0.23480739567782896</v>
      </c>
      <c r="L65" s="22">
        <f t="shared" ca="1" si="8"/>
        <v>4</v>
      </c>
      <c r="M65" s="78">
        <f t="shared" ca="1" si="9"/>
        <v>0.23480739567782896</v>
      </c>
      <c r="N65" s="78">
        <f t="shared" ca="1" si="10"/>
        <v>0.39334315240743012</v>
      </c>
      <c r="O65" s="22">
        <f t="shared" ca="1" si="11"/>
        <v>0.23480739567782896</v>
      </c>
      <c r="P65" s="22">
        <f t="shared" ca="1" si="12"/>
        <v>6.5569443375583708E-2</v>
      </c>
      <c r="Q65" s="22">
        <f t="shared" ca="1" si="13"/>
        <v>9.2966313354017449E-2</v>
      </c>
      <c r="R65" s="22">
        <f t="shared" ca="1" si="14"/>
        <v>0</v>
      </c>
      <c r="S65" s="22">
        <f t="shared" ca="1" si="15"/>
        <v>0</v>
      </c>
      <c r="T65" s="22"/>
      <c r="U65" s="22"/>
      <c r="V65" s="22"/>
      <c r="W65" s="22"/>
    </row>
    <row r="66" spans="1:23">
      <c r="A66" s="15"/>
      <c r="B66" s="15"/>
      <c r="C66" s="15"/>
      <c r="D66" s="15"/>
      <c r="E66" s="15"/>
      <c r="F66" s="15"/>
      <c r="G66" s="15"/>
      <c r="H66" s="21">
        <v>22</v>
      </c>
      <c r="I66" s="22" t="s">
        <v>121</v>
      </c>
      <c r="J66" s="80">
        <f>H25</f>
        <v>0.3209164729912457</v>
      </c>
      <c r="K66" s="80">
        <f>I25</f>
        <v>0.28392561534692129</v>
      </c>
      <c r="L66" s="22">
        <f t="shared" ca="1" si="8"/>
        <v>4</v>
      </c>
      <c r="M66" s="78">
        <f t="shared" ca="1" si="9"/>
        <v>0.28392561534692129</v>
      </c>
      <c r="N66" s="78">
        <f t="shared" ca="1" si="10"/>
        <v>0.3209164729912457</v>
      </c>
      <c r="O66" s="22">
        <f t="shared" ca="1" si="11"/>
        <v>0.28392561534692129</v>
      </c>
      <c r="P66" s="22">
        <f t="shared" ca="1" si="12"/>
        <v>1.645122370649138E-2</v>
      </c>
      <c r="Q66" s="22">
        <f t="shared" ca="1" si="13"/>
        <v>2.0539633937833035E-2</v>
      </c>
      <c r="R66" s="22">
        <f t="shared" ca="1" si="14"/>
        <v>0</v>
      </c>
      <c r="S66" s="22">
        <f t="shared" ca="1" si="15"/>
        <v>0</v>
      </c>
      <c r="T66" s="15"/>
      <c r="U66" s="15"/>
      <c r="V66" s="15"/>
      <c r="W66" s="15"/>
    </row>
    <row r="67" spans="1:23">
      <c r="A67" s="15"/>
      <c r="B67" s="15"/>
      <c r="C67" s="15"/>
      <c r="D67" s="15"/>
      <c r="E67" s="15"/>
      <c r="F67" s="15"/>
      <c r="G67" s="15"/>
      <c r="H67" s="21">
        <v>27</v>
      </c>
      <c r="I67" s="22" t="s">
        <v>122</v>
      </c>
      <c r="J67" s="80">
        <f>H30</f>
        <v>0.30037683905341267</v>
      </c>
      <c r="K67" s="80">
        <f>I30</f>
        <v>0.30037683905341267</v>
      </c>
      <c r="L67" s="22">
        <f t="shared" ca="1" si="8"/>
        <v>4</v>
      </c>
      <c r="M67" s="78">
        <f t="shared" ca="1" si="9"/>
        <v>0.30037683905341267</v>
      </c>
      <c r="N67" s="78">
        <f t="shared" ca="1" si="10"/>
        <v>0.30037683905341267</v>
      </c>
      <c r="O67" s="22">
        <f t="shared" ca="1" si="11"/>
        <v>0.30037683905341267</v>
      </c>
      <c r="P67" s="22">
        <f t="shared" ca="1" si="12"/>
        <v>0</v>
      </c>
      <c r="Q67" s="22">
        <f t="shared" ca="1" si="13"/>
        <v>0</v>
      </c>
      <c r="R67" s="22">
        <f t="shared" ca="1" si="14"/>
        <v>0</v>
      </c>
      <c r="S67" s="22">
        <f t="shared" ca="1" si="15"/>
        <v>0</v>
      </c>
      <c r="T67" s="22"/>
      <c r="U67" s="22"/>
      <c r="V67" s="22"/>
      <c r="W67" s="15"/>
    </row>
    <row r="68" spans="1:23">
      <c r="A68" s="15"/>
      <c r="B68" s="15"/>
      <c r="C68" s="15"/>
      <c r="D68" s="15"/>
      <c r="E68" s="15"/>
      <c r="F68" s="15"/>
      <c r="G68" s="15"/>
      <c r="H68" s="15"/>
      <c r="I68" s="22"/>
      <c r="J68" s="22"/>
      <c r="K68" s="22"/>
      <c r="L68" s="22"/>
      <c r="M68" s="22"/>
      <c r="N68" s="22"/>
      <c r="O68" s="22" t="s">
        <v>640</v>
      </c>
      <c r="P68" s="22" t="s">
        <v>642</v>
      </c>
      <c r="Q68" s="22" t="s">
        <v>643</v>
      </c>
      <c r="R68" s="22" t="s">
        <v>643</v>
      </c>
      <c r="S68" s="22" t="s">
        <v>642</v>
      </c>
      <c r="T68" s="22"/>
      <c r="U68" s="22"/>
      <c r="V68" s="22"/>
      <c r="W68" s="15"/>
    </row>
    <row r="69" spans="1:23">
      <c r="A69" s="15"/>
      <c r="B69" s="15"/>
      <c r="C69" s="15"/>
      <c r="D69" s="15"/>
      <c r="E69" s="15"/>
      <c r="F69" s="15"/>
      <c r="G69" s="15"/>
      <c r="H69" s="15"/>
      <c r="I69" s="15"/>
      <c r="J69" s="15"/>
      <c r="K69" s="15"/>
      <c r="L69" s="15"/>
      <c r="M69" s="15"/>
      <c r="N69" s="15"/>
      <c r="O69" s="15"/>
      <c r="P69" s="15"/>
      <c r="Q69" s="15"/>
      <c r="R69" s="15"/>
      <c r="S69" s="15"/>
      <c r="T69" s="22"/>
      <c r="U69" s="22"/>
      <c r="V69" s="22"/>
      <c r="W69" s="15"/>
    </row>
    <row r="70" spans="1:23">
      <c r="A70" s="15"/>
      <c r="B70" s="15"/>
      <c r="C70" s="15"/>
      <c r="D70" s="15"/>
      <c r="E70" s="15"/>
      <c r="F70" s="15"/>
      <c r="G70" s="15"/>
      <c r="H70" s="22">
        <v>1</v>
      </c>
      <c r="I70" s="77" t="s">
        <v>8</v>
      </c>
      <c r="J70" s="81">
        <f ca="1">IF(Input!H30="Uneconomic",0,Input!H32)</f>
        <v>0.90366819825721212</v>
      </c>
      <c r="K70" s="81"/>
      <c r="L70" s="84" t="s">
        <v>639</v>
      </c>
      <c r="M70" s="84" t="s">
        <v>659</v>
      </c>
      <c r="N70" s="84" t="s">
        <v>660</v>
      </c>
      <c r="O70" s="85" t="s">
        <v>640</v>
      </c>
      <c r="P70" s="85" t="s">
        <v>666</v>
      </c>
      <c r="Q70" s="85" t="s">
        <v>667</v>
      </c>
      <c r="R70" s="85" t="s">
        <v>668</v>
      </c>
      <c r="S70" s="85" t="s">
        <v>669</v>
      </c>
      <c r="T70" s="22"/>
      <c r="U70" s="22"/>
      <c r="V70" s="22"/>
      <c r="W70" s="15"/>
    </row>
    <row r="71" spans="1:23">
      <c r="A71" s="15"/>
      <c r="B71" s="15"/>
      <c r="C71" s="15"/>
      <c r="D71" s="15"/>
      <c r="E71" s="15"/>
      <c r="F71" s="15"/>
      <c r="G71" s="15"/>
      <c r="H71" s="15">
        <f>H61+1</f>
        <v>3</v>
      </c>
      <c r="I71" s="22" t="s">
        <v>111</v>
      </c>
      <c r="J71" s="81">
        <f>H6</f>
        <v>0.71579941093465116</v>
      </c>
      <c r="K71" s="81">
        <f>I6</f>
        <v>1.154756329997642</v>
      </c>
      <c r="L71" s="22">
        <f t="shared" ref="L71:L77" ca="1" si="16">IF($J$70&lt;0,IF(N71&gt;0,2,1),IF(M71&gt;0,4,3))</f>
        <v>4</v>
      </c>
      <c r="M71" s="78">
        <f t="shared" ref="M71:M77" ca="1" si="17">IF($J$70=0,0,MIN(J71:K71,$J$70))</f>
        <v>0.71579941093465116</v>
      </c>
      <c r="N71" s="78">
        <f t="shared" ref="N71:N77" ca="1" si="18">IF($J$70=0,0,MAX(J71:K71,$J$70))</f>
        <v>1.154756329997642</v>
      </c>
      <c r="O71" s="22">
        <f t="shared" ref="O71:O77" ca="1" si="19">CHOOSE(L71,N71,0,0,M71)</f>
        <v>0.71579941093465116</v>
      </c>
      <c r="P71" s="22">
        <f t="shared" ref="P71:P77" ca="1" si="20">CHOOSE(L71,0,0,$J$70,$J$70-M71)</f>
        <v>0.18786878732256096</v>
      </c>
      <c r="Q71" s="22">
        <f t="shared" ref="Q71:Q77" ca="1" si="21">CHOOSE(L71,0,N71,N71-$J$70,N71-$J$70)</f>
        <v>0.25108813174042988</v>
      </c>
      <c r="R71" s="22">
        <f t="shared" ref="R71:R77" ca="1" si="22">CHOOSE(L71,$J$70-N71,$J$70,0,0)</f>
        <v>0</v>
      </c>
      <c r="S71" s="22">
        <f t="shared" ref="S71:S77" ca="1" si="23">CHOOSE(L71,M71-$J$70,M71-$J$70,M71,0)</f>
        <v>0</v>
      </c>
      <c r="T71" s="22"/>
      <c r="U71" s="22"/>
      <c r="V71" s="22"/>
      <c r="W71" s="15"/>
    </row>
    <row r="72" spans="1:23">
      <c r="A72" s="15"/>
      <c r="B72" s="15"/>
      <c r="C72" s="15"/>
      <c r="D72" s="15"/>
      <c r="E72" s="15"/>
      <c r="F72" s="15"/>
      <c r="G72" s="15"/>
      <c r="H72" s="15"/>
      <c r="I72" s="22" t="str">
        <f>I62</f>
        <v>Oil Price</v>
      </c>
      <c r="J72" s="81">
        <f>H36</f>
        <v>0.50446458851205578</v>
      </c>
      <c r="K72" s="81">
        <f>I36</f>
        <v>1.3021034268078611</v>
      </c>
      <c r="L72" s="22">
        <f t="shared" ca="1" si="16"/>
        <v>4</v>
      </c>
      <c r="M72" s="78">
        <f t="shared" ca="1" si="17"/>
        <v>0.50446458851205578</v>
      </c>
      <c r="N72" s="78">
        <f t="shared" ca="1" si="18"/>
        <v>1.3021034268078611</v>
      </c>
      <c r="O72" s="22">
        <f ca="1">CHOOSE(L72,N72,0,0,M72)</f>
        <v>0.50446458851205578</v>
      </c>
      <c r="P72" s="22">
        <f t="shared" ca="1" si="20"/>
        <v>0.39920360974515634</v>
      </c>
      <c r="Q72" s="22">
        <f t="shared" ca="1" si="21"/>
        <v>0.39843522855064895</v>
      </c>
      <c r="R72" s="22">
        <f t="shared" ca="1" si="22"/>
        <v>0</v>
      </c>
      <c r="S72" s="22">
        <f t="shared" ca="1" si="23"/>
        <v>0</v>
      </c>
      <c r="T72" s="22"/>
      <c r="U72" s="22"/>
      <c r="V72" s="22"/>
      <c r="W72" s="15"/>
    </row>
    <row r="73" spans="1:23">
      <c r="A73" s="15"/>
      <c r="B73" s="15"/>
      <c r="C73" s="15"/>
      <c r="D73" s="15"/>
      <c r="E73" s="15"/>
      <c r="F73" s="15"/>
      <c r="G73" s="15"/>
      <c r="H73" s="15">
        <f>H71+5</f>
        <v>8</v>
      </c>
      <c r="I73" s="22" t="str">
        <f>I53</f>
        <v>Gas Price</v>
      </c>
      <c r="J73" s="81">
        <f>H11</f>
        <v>0.8297506660957813</v>
      </c>
      <c r="K73" s="81">
        <f>I11</f>
        <v>0.97942007788658725</v>
      </c>
      <c r="L73" s="22">
        <f t="shared" ca="1" si="16"/>
        <v>4</v>
      </c>
      <c r="M73" s="78">
        <f t="shared" ca="1" si="17"/>
        <v>0.8297506660957813</v>
      </c>
      <c r="N73" s="78">
        <f t="shared" ca="1" si="18"/>
        <v>0.97942007788658725</v>
      </c>
      <c r="O73" s="22">
        <f t="shared" ca="1" si="19"/>
        <v>0.8297506660957813</v>
      </c>
      <c r="P73" s="22">
        <f t="shared" ca="1" si="20"/>
        <v>7.3917532161430821E-2</v>
      </c>
      <c r="Q73" s="22">
        <f t="shared" ca="1" si="21"/>
        <v>7.575187962937513E-2</v>
      </c>
      <c r="R73" s="22">
        <f t="shared" ca="1" si="22"/>
        <v>0</v>
      </c>
      <c r="S73" s="22">
        <f t="shared" ca="1" si="23"/>
        <v>0</v>
      </c>
      <c r="T73" s="22"/>
      <c r="U73" s="22"/>
      <c r="V73" s="22"/>
      <c r="W73" s="15"/>
    </row>
    <row r="74" spans="1:23">
      <c r="A74" s="15"/>
      <c r="B74" s="15"/>
      <c r="C74" s="15"/>
      <c r="D74" s="15"/>
      <c r="E74" s="15"/>
      <c r="F74" s="15"/>
      <c r="G74" s="15"/>
      <c r="H74" s="15">
        <f>H73+5</f>
        <v>13</v>
      </c>
      <c r="I74" s="22" t="s">
        <v>119</v>
      </c>
      <c r="J74" s="81">
        <f>H16</f>
        <v>0.90366819825721212</v>
      </c>
      <c r="K74" s="81">
        <f>I16</f>
        <v>0.90366819825721212</v>
      </c>
      <c r="L74" s="22">
        <f t="shared" ca="1" si="16"/>
        <v>4</v>
      </c>
      <c r="M74" s="78">
        <f t="shared" ca="1" si="17"/>
        <v>0.90366819825721212</v>
      </c>
      <c r="N74" s="78">
        <f t="shared" ca="1" si="18"/>
        <v>0.90366819825721212</v>
      </c>
      <c r="O74" s="22">
        <f t="shared" ca="1" si="19"/>
        <v>0.90366819825721212</v>
      </c>
      <c r="P74" s="22">
        <f t="shared" ca="1" si="20"/>
        <v>0</v>
      </c>
      <c r="Q74" s="22">
        <f t="shared" ca="1" si="21"/>
        <v>0</v>
      </c>
      <c r="R74" s="22">
        <f t="shared" ca="1" si="22"/>
        <v>0</v>
      </c>
      <c r="S74" s="22">
        <f t="shared" ca="1" si="23"/>
        <v>0</v>
      </c>
      <c r="T74" s="22"/>
      <c r="U74" s="22"/>
      <c r="V74" s="22"/>
      <c r="W74" s="15"/>
    </row>
    <row r="75" spans="1:23">
      <c r="A75" s="15"/>
      <c r="B75" s="15"/>
      <c r="C75" s="15"/>
      <c r="D75" s="15"/>
      <c r="E75" s="15"/>
      <c r="F75" s="15"/>
      <c r="G75" s="15"/>
      <c r="H75" s="15">
        <f>H74+5</f>
        <v>18</v>
      </c>
      <c r="I75" s="22" t="s">
        <v>641</v>
      </c>
      <c r="J75" s="81">
        <f>H21</f>
        <v>1.3698523499354822</v>
      </c>
      <c r="K75" s="81">
        <f>I21</f>
        <v>0.58312319451092831</v>
      </c>
      <c r="L75" s="22">
        <f t="shared" ca="1" si="16"/>
        <v>4</v>
      </c>
      <c r="M75" s="78">
        <f t="shared" ca="1" si="17"/>
        <v>0.58312319451092831</v>
      </c>
      <c r="N75" s="78">
        <f t="shared" ca="1" si="18"/>
        <v>1.3698523499354822</v>
      </c>
      <c r="O75" s="22">
        <f t="shared" ca="1" si="19"/>
        <v>0.58312319451092831</v>
      </c>
      <c r="P75" s="22">
        <f t="shared" ca="1" si="20"/>
        <v>0.32054500374628381</v>
      </c>
      <c r="Q75" s="22">
        <f t="shared" ca="1" si="21"/>
        <v>0.4661841516782701</v>
      </c>
      <c r="R75" s="22">
        <f t="shared" ca="1" si="22"/>
        <v>0</v>
      </c>
      <c r="S75" s="22">
        <f t="shared" ca="1" si="23"/>
        <v>0</v>
      </c>
      <c r="T75" s="22"/>
      <c r="U75" s="22"/>
      <c r="V75" s="22"/>
      <c r="W75" s="15"/>
    </row>
    <row r="76" spans="1:23">
      <c r="A76" s="15"/>
      <c r="B76" s="15"/>
      <c r="C76" s="15"/>
      <c r="D76" s="15"/>
      <c r="E76" s="15"/>
      <c r="F76" s="15"/>
      <c r="G76" s="15"/>
      <c r="H76" s="15">
        <f>H75+5</f>
        <v>23</v>
      </c>
      <c r="I76" s="22" t="s">
        <v>121</v>
      </c>
      <c r="J76" s="81">
        <f>H26</f>
        <v>1.0139664300714044</v>
      </c>
      <c r="K76" s="81">
        <f>I26</f>
        <v>0.79998202750925684</v>
      </c>
      <c r="L76" s="22">
        <f t="shared" ca="1" si="16"/>
        <v>4</v>
      </c>
      <c r="M76" s="78">
        <f t="shared" ca="1" si="17"/>
        <v>0.79998202750925684</v>
      </c>
      <c r="N76" s="78">
        <f t="shared" ca="1" si="18"/>
        <v>1.0139664300714044</v>
      </c>
      <c r="O76" s="22">
        <f t="shared" ca="1" si="19"/>
        <v>0.79998202750925684</v>
      </c>
      <c r="P76" s="22">
        <f t="shared" ca="1" si="20"/>
        <v>0.10368617074795528</v>
      </c>
      <c r="Q76" s="22">
        <f t="shared" ca="1" si="21"/>
        <v>0.11029823181419229</v>
      </c>
      <c r="R76" s="22">
        <f t="shared" ca="1" si="22"/>
        <v>0</v>
      </c>
      <c r="S76" s="22">
        <f t="shared" ca="1" si="23"/>
        <v>0</v>
      </c>
      <c r="T76" s="15"/>
      <c r="U76" s="15"/>
      <c r="V76" s="15"/>
      <c r="W76" s="15"/>
    </row>
    <row r="77" spans="1:23">
      <c r="A77" s="15"/>
      <c r="B77" s="15"/>
      <c r="C77" s="15"/>
      <c r="D77" s="15"/>
      <c r="E77" s="15"/>
      <c r="F77" s="15"/>
      <c r="G77" s="15"/>
      <c r="H77" s="15">
        <f>H76+5</f>
        <v>28</v>
      </c>
      <c r="I77" s="22" t="s">
        <v>122</v>
      </c>
      <c r="J77" s="81">
        <f>H31</f>
        <v>0.90366819825721212</v>
      </c>
      <c r="K77" s="81">
        <f>I31</f>
        <v>0.90366819825721212</v>
      </c>
      <c r="L77" s="22">
        <f t="shared" ca="1" si="16"/>
        <v>4</v>
      </c>
      <c r="M77" s="78">
        <f t="shared" ca="1" si="17"/>
        <v>0.90366819825721212</v>
      </c>
      <c r="N77" s="78">
        <f t="shared" ca="1" si="18"/>
        <v>0.90366819825721212</v>
      </c>
      <c r="O77" s="22">
        <f t="shared" ca="1" si="19"/>
        <v>0.90366819825721212</v>
      </c>
      <c r="P77" s="22">
        <f t="shared" ca="1" si="20"/>
        <v>0</v>
      </c>
      <c r="Q77" s="22">
        <f t="shared" ca="1" si="21"/>
        <v>0</v>
      </c>
      <c r="R77" s="22">
        <f t="shared" ca="1" si="22"/>
        <v>0</v>
      </c>
      <c r="S77" s="22">
        <f t="shared" ca="1" si="23"/>
        <v>0</v>
      </c>
      <c r="T77" s="15"/>
      <c r="U77" s="15"/>
      <c r="V77" s="15"/>
      <c r="W77" s="15"/>
    </row>
    <row r="78" spans="1:23">
      <c r="A78" s="15"/>
      <c r="B78" s="15"/>
      <c r="C78" s="15"/>
      <c r="D78" s="15"/>
      <c r="E78" s="15"/>
      <c r="F78" s="15"/>
      <c r="G78" s="15"/>
      <c r="H78" s="15"/>
      <c r="I78" s="22"/>
      <c r="J78" s="22"/>
      <c r="K78" s="22"/>
      <c r="L78" s="22"/>
      <c r="M78" s="22"/>
      <c r="N78" s="22"/>
      <c r="O78" s="22" t="s">
        <v>640</v>
      </c>
      <c r="P78" s="22" t="s">
        <v>642</v>
      </c>
      <c r="Q78" s="22" t="s">
        <v>643</v>
      </c>
      <c r="R78" s="22" t="s">
        <v>643</v>
      </c>
      <c r="S78" s="22" t="s">
        <v>642</v>
      </c>
      <c r="T78" s="22"/>
      <c r="U78" s="22"/>
      <c r="V78" s="22"/>
      <c r="W78" s="15"/>
    </row>
    <row r="79" spans="1:23">
      <c r="A79" s="15"/>
      <c r="B79" s="15"/>
      <c r="C79" s="15"/>
      <c r="D79" s="15"/>
      <c r="E79" s="15"/>
      <c r="F79" s="15"/>
      <c r="G79" s="15"/>
      <c r="H79" s="15"/>
      <c r="I79" s="15"/>
      <c r="J79" s="15"/>
      <c r="K79" s="15"/>
      <c r="L79" s="15"/>
      <c r="M79" s="15"/>
      <c r="N79" s="15"/>
      <c r="O79" s="15"/>
      <c r="P79" s="15"/>
      <c r="Q79" s="15"/>
      <c r="R79" s="15"/>
      <c r="S79" s="15"/>
      <c r="T79" s="22"/>
      <c r="U79" s="22"/>
      <c r="V79" s="22"/>
      <c r="W79" s="15"/>
    </row>
    <row r="80" spans="1:23">
      <c r="A80" s="15"/>
      <c r="B80" s="15"/>
      <c r="C80" s="15"/>
      <c r="D80" s="15"/>
      <c r="E80" s="15"/>
      <c r="F80" s="15"/>
      <c r="G80" s="15"/>
      <c r="H80" s="15"/>
      <c r="I80" s="15"/>
      <c r="J80" s="15"/>
      <c r="K80" s="15"/>
      <c r="L80" s="15"/>
      <c r="M80" s="15"/>
      <c r="N80" s="15"/>
      <c r="O80" s="15"/>
      <c r="P80" s="15"/>
      <c r="Q80" s="15"/>
      <c r="R80" s="15"/>
      <c r="S80" s="15"/>
      <c r="T80" s="22"/>
      <c r="U80" s="22"/>
      <c r="V80" s="22"/>
      <c r="W80" s="15"/>
    </row>
    <row r="81" spans="1:23">
      <c r="A81" s="15"/>
      <c r="B81" s="15"/>
      <c r="C81" s="15"/>
      <c r="D81" s="15"/>
      <c r="E81" s="15"/>
      <c r="F81" s="15"/>
      <c r="G81" s="15"/>
      <c r="H81" s="22">
        <v>1</v>
      </c>
      <c r="I81" s="77" t="s">
        <v>9</v>
      </c>
      <c r="J81" s="81">
        <f ca="1">IF(Input!H30="Uneconomic",0,Input!H33)</f>
        <v>0.90366819825721212</v>
      </c>
      <c r="K81" s="81"/>
      <c r="L81" s="84" t="s">
        <v>639</v>
      </c>
      <c r="M81" s="84" t="s">
        <v>659</v>
      </c>
      <c r="N81" s="84" t="s">
        <v>660</v>
      </c>
      <c r="O81" s="85" t="s">
        <v>640</v>
      </c>
      <c r="P81" s="85" t="s">
        <v>666</v>
      </c>
      <c r="Q81" s="85" t="s">
        <v>667</v>
      </c>
      <c r="R81" s="85" t="s">
        <v>668</v>
      </c>
      <c r="S81" s="85" t="s">
        <v>669</v>
      </c>
      <c r="T81" s="22"/>
      <c r="U81" s="22"/>
      <c r="V81" s="22"/>
      <c r="W81" s="15"/>
    </row>
    <row r="82" spans="1:23">
      <c r="A82" s="15"/>
      <c r="B82" s="15"/>
      <c r="C82" s="15"/>
      <c r="D82" s="15"/>
      <c r="E82" s="15"/>
      <c r="F82" s="15"/>
      <c r="G82" s="15"/>
      <c r="H82" s="15">
        <f>H71+1</f>
        <v>4</v>
      </c>
      <c r="I82" s="22" t="s">
        <v>111</v>
      </c>
      <c r="J82" s="81">
        <f>H7</f>
        <v>0.71579941093465116</v>
      </c>
      <c r="K82" s="81">
        <f>I7</f>
        <v>1.154756329997642</v>
      </c>
      <c r="L82" s="22">
        <f t="shared" ref="L82:L88" ca="1" si="24">IF($J$81&lt;0,IF(N82&gt;0,2,1),IF(M82&gt;0,4,3))</f>
        <v>4</v>
      </c>
      <c r="M82" s="78">
        <f t="shared" ref="M82:M88" ca="1" si="25">IF($J$81=0,0,MIN(J82:K82,$J$81))</f>
        <v>0.71579941093465116</v>
      </c>
      <c r="N82" s="78">
        <f t="shared" ref="N82:N88" ca="1" si="26">IF($J$81=0,0,MAX(J82:K82,$J$81))</f>
        <v>1.154756329997642</v>
      </c>
      <c r="O82" s="22">
        <f t="shared" ref="O82:O88" ca="1" si="27">CHOOSE(L82,N82,0,0,M82)</f>
        <v>0.71579941093465116</v>
      </c>
      <c r="P82" s="22">
        <f t="shared" ref="P82:P88" ca="1" si="28">CHOOSE(L82,0,0,$J$81,$J$81-M82)</f>
        <v>0.18786878732256096</v>
      </c>
      <c r="Q82" s="22">
        <f t="shared" ref="Q82:Q88" ca="1" si="29">CHOOSE(L82,0,N82,N82-$J$81,N82-$J$81)</f>
        <v>0.25108813174042988</v>
      </c>
      <c r="R82" s="22">
        <f t="shared" ref="R82:R88" ca="1" si="30">CHOOSE(L82,$J$81-N82,$J$81,0,0)</f>
        <v>0</v>
      </c>
      <c r="S82" s="22">
        <f t="shared" ref="S82:S88" ca="1" si="31">CHOOSE(L82,M82-$J$81,M82-$J$81,M82,0)</f>
        <v>0</v>
      </c>
      <c r="T82" s="22"/>
      <c r="U82" s="22"/>
      <c r="V82" s="22"/>
      <c r="W82" s="15"/>
    </row>
    <row r="83" spans="1:23">
      <c r="A83" s="15"/>
      <c r="B83" s="15"/>
      <c r="C83" s="15"/>
      <c r="D83" s="15"/>
      <c r="E83" s="15"/>
      <c r="F83" s="15"/>
      <c r="G83" s="15"/>
      <c r="H83" s="15"/>
      <c r="I83" s="22" t="str">
        <f>I72</f>
        <v>Oil Price</v>
      </c>
      <c r="J83" s="81">
        <f>H37</f>
        <v>0.50446458851205578</v>
      </c>
      <c r="K83" s="81">
        <f>I37</f>
        <v>1.3021034268078611</v>
      </c>
      <c r="L83" s="22">
        <f t="shared" ca="1" si="24"/>
        <v>4</v>
      </c>
      <c r="M83" s="78">
        <f t="shared" ca="1" si="25"/>
        <v>0.50446458851205578</v>
      </c>
      <c r="N83" s="78">
        <f t="shared" ca="1" si="26"/>
        <v>1.3021034268078611</v>
      </c>
      <c r="O83" s="22">
        <f ca="1">CHOOSE(L83,N83,0,0,M83)</f>
        <v>0.50446458851205578</v>
      </c>
      <c r="P83" s="22">
        <f t="shared" ca="1" si="28"/>
        <v>0.39920360974515634</v>
      </c>
      <c r="Q83" s="22">
        <f t="shared" ca="1" si="29"/>
        <v>0.39843522855064895</v>
      </c>
      <c r="R83" s="22">
        <f t="shared" ca="1" si="30"/>
        <v>0</v>
      </c>
      <c r="S83" s="22">
        <f t="shared" ca="1" si="31"/>
        <v>0</v>
      </c>
      <c r="T83" s="22"/>
      <c r="U83" s="22"/>
      <c r="V83" s="22"/>
      <c r="W83" s="15"/>
    </row>
    <row r="84" spans="1:23">
      <c r="A84" s="15"/>
      <c r="B84" s="15"/>
      <c r="C84" s="15"/>
      <c r="D84" s="15"/>
      <c r="E84" s="15"/>
      <c r="F84" s="15"/>
      <c r="G84" s="15"/>
      <c r="H84" s="15">
        <f>H73+1</f>
        <v>9</v>
      </c>
      <c r="I84" s="22" t="str">
        <f>I53</f>
        <v>Gas Price</v>
      </c>
      <c r="J84" s="81">
        <f>H12</f>
        <v>0.8297506660957813</v>
      </c>
      <c r="K84" s="81">
        <f>I12</f>
        <v>0.97942007788658725</v>
      </c>
      <c r="L84" s="22">
        <f t="shared" ca="1" si="24"/>
        <v>4</v>
      </c>
      <c r="M84" s="78">
        <f t="shared" ca="1" si="25"/>
        <v>0.8297506660957813</v>
      </c>
      <c r="N84" s="78">
        <f t="shared" ca="1" si="26"/>
        <v>0.97942007788658725</v>
      </c>
      <c r="O84" s="22">
        <f t="shared" ca="1" si="27"/>
        <v>0.8297506660957813</v>
      </c>
      <c r="P84" s="22">
        <f t="shared" ca="1" si="28"/>
        <v>7.3917532161430821E-2</v>
      </c>
      <c r="Q84" s="22">
        <f t="shared" ca="1" si="29"/>
        <v>7.575187962937513E-2</v>
      </c>
      <c r="R84" s="22">
        <f t="shared" ca="1" si="30"/>
        <v>0</v>
      </c>
      <c r="S84" s="22">
        <f t="shared" ca="1" si="31"/>
        <v>0</v>
      </c>
      <c r="T84" s="22"/>
      <c r="U84" s="22"/>
      <c r="V84" s="22"/>
      <c r="W84" s="15"/>
    </row>
    <row r="85" spans="1:23">
      <c r="A85" s="15"/>
      <c r="B85" s="15"/>
      <c r="C85" s="15"/>
      <c r="D85" s="15"/>
      <c r="E85" s="15"/>
      <c r="F85" s="15"/>
      <c r="G85" s="15"/>
      <c r="H85" s="15">
        <f>H74+1</f>
        <v>14</v>
      </c>
      <c r="I85" s="22" t="s">
        <v>119</v>
      </c>
      <c r="J85" s="81">
        <f>H17</f>
        <v>0.90366819825721212</v>
      </c>
      <c r="K85" s="81">
        <f>I17</f>
        <v>0.90366819825721212</v>
      </c>
      <c r="L85" s="22">
        <f t="shared" ca="1" si="24"/>
        <v>4</v>
      </c>
      <c r="M85" s="78">
        <f t="shared" ca="1" si="25"/>
        <v>0.90366819825721212</v>
      </c>
      <c r="N85" s="78">
        <f t="shared" ca="1" si="26"/>
        <v>0.90366819825721212</v>
      </c>
      <c r="O85" s="22">
        <f t="shared" ca="1" si="27"/>
        <v>0.90366819825721212</v>
      </c>
      <c r="P85" s="22">
        <f t="shared" ca="1" si="28"/>
        <v>0</v>
      </c>
      <c r="Q85" s="22">
        <f t="shared" ca="1" si="29"/>
        <v>0</v>
      </c>
      <c r="R85" s="22">
        <f t="shared" ca="1" si="30"/>
        <v>0</v>
      </c>
      <c r="S85" s="22">
        <f t="shared" ca="1" si="31"/>
        <v>0</v>
      </c>
      <c r="T85" s="22"/>
      <c r="U85" s="22"/>
      <c r="V85" s="22"/>
      <c r="W85" s="15"/>
    </row>
    <row r="86" spans="1:23">
      <c r="A86" s="15"/>
      <c r="B86" s="15"/>
      <c r="C86" s="15"/>
      <c r="D86" s="15"/>
      <c r="E86" s="15"/>
      <c r="F86" s="15"/>
      <c r="G86" s="15"/>
      <c r="H86" s="15">
        <f>H75+1</f>
        <v>19</v>
      </c>
      <c r="I86" s="22" t="s">
        <v>641</v>
      </c>
      <c r="J86" s="81">
        <f>H22</f>
        <v>1.3698523499354822</v>
      </c>
      <c r="K86" s="81">
        <f>I22</f>
        <v>0.58312319451092831</v>
      </c>
      <c r="L86" s="22">
        <f t="shared" ca="1" si="24"/>
        <v>4</v>
      </c>
      <c r="M86" s="78">
        <f t="shared" ca="1" si="25"/>
        <v>0.58312319451092831</v>
      </c>
      <c r="N86" s="78">
        <f t="shared" ca="1" si="26"/>
        <v>1.3698523499354822</v>
      </c>
      <c r="O86" s="22">
        <f t="shared" ca="1" si="27"/>
        <v>0.58312319451092831</v>
      </c>
      <c r="P86" s="22">
        <f t="shared" ca="1" si="28"/>
        <v>0.32054500374628381</v>
      </c>
      <c r="Q86" s="22">
        <f t="shared" ca="1" si="29"/>
        <v>0.4661841516782701</v>
      </c>
      <c r="R86" s="22">
        <f t="shared" ca="1" si="30"/>
        <v>0</v>
      </c>
      <c r="S86" s="22">
        <f t="shared" ca="1" si="31"/>
        <v>0</v>
      </c>
      <c r="T86" s="22"/>
      <c r="U86" s="22"/>
      <c r="V86" s="22"/>
      <c r="W86" s="15"/>
    </row>
    <row r="87" spans="1:23">
      <c r="A87" s="15"/>
      <c r="B87" s="15"/>
      <c r="C87" s="15"/>
      <c r="D87" s="15"/>
      <c r="E87" s="15"/>
      <c r="F87" s="15"/>
      <c r="G87" s="15"/>
      <c r="H87" s="15">
        <f>H76+1</f>
        <v>24</v>
      </c>
      <c r="I87" s="22" t="s">
        <v>121</v>
      </c>
      <c r="J87" s="81">
        <f>H27</f>
        <v>1.0139664300714044</v>
      </c>
      <c r="K87" s="81">
        <f>I27</f>
        <v>0.79998202750925684</v>
      </c>
      <c r="L87" s="22">
        <f t="shared" ca="1" si="24"/>
        <v>4</v>
      </c>
      <c r="M87" s="78">
        <f t="shared" ca="1" si="25"/>
        <v>0.79998202750925684</v>
      </c>
      <c r="N87" s="78">
        <f t="shared" ca="1" si="26"/>
        <v>1.0139664300714044</v>
      </c>
      <c r="O87" s="22">
        <f t="shared" ca="1" si="27"/>
        <v>0.79998202750925684</v>
      </c>
      <c r="P87" s="22">
        <f t="shared" ca="1" si="28"/>
        <v>0.10368617074795528</v>
      </c>
      <c r="Q87" s="22">
        <f t="shared" ca="1" si="29"/>
        <v>0.11029823181419229</v>
      </c>
      <c r="R87" s="22">
        <f t="shared" ca="1" si="30"/>
        <v>0</v>
      </c>
      <c r="S87" s="22">
        <f t="shared" ca="1" si="31"/>
        <v>0</v>
      </c>
      <c r="T87" s="15"/>
      <c r="U87" s="15"/>
      <c r="V87" s="15"/>
      <c r="W87" s="15"/>
    </row>
    <row r="88" spans="1:23">
      <c r="H88" s="15">
        <f>H77+1</f>
        <v>29</v>
      </c>
      <c r="I88" s="22" t="s">
        <v>122</v>
      </c>
      <c r="J88" s="81">
        <f>H32</f>
        <v>0.90366819825721212</v>
      </c>
      <c r="K88" s="81">
        <f>I32</f>
        <v>0.90366819825721212</v>
      </c>
      <c r="L88" s="22">
        <f t="shared" ca="1" si="24"/>
        <v>4</v>
      </c>
      <c r="M88" s="78">
        <f t="shared" ca="1" si="25"/>
        <v>0.90366819825721212</v>
      </c>
      <c r="N88" s="78">
        <f t="shared" ca="1" si="26"/>
        <v>0.90366819825721212</v>
      </c>
      <c r="O88" s="22">
        <f t="shared" ca="1" si="27"/>
        <v>0.90366819825721212</v>
      </c>
      <c r="P88" s="22">
        <f t="shared" ca="1" si="28"/>
        <v>0</v>
      </c>
      <c r="Q88" s="22">
        <f t="shared" ca="1" si="29"/>
        <v>0</v>
      </c>
      <c r="R88" s="22">
        <f t="shared" ca="1" si="30"/>
        <v>0</v>
      </c>
      <c r="S88" s="22">
        <f t="shared" ca="1" si="31"/>
        <v>0</v>
      </c>
    </row>
    <row r="89" spans="1:23">
      <c r="H89" s="15"/>
      <c r="I89" s="22"/>
      <c r="J89" s="22"/>
      <c r="K89" s="22"/>
      <c r="L89" s="22"/>
      <c r="M89" s="22"/>
      <c r="N89" s="22"/>
      <c r="O89" s="22" t="s">
        <v>640</v>
      </c>
      <c r="P89" s="22" t="s">
        <v>642</v>
      </c>
      <c r="Q89" s="22" t="s">
        <v>643</v>
      </c>
      <c r="R89" s="22" t="s">
        <v>643</v>
      </c>
      <c r="S89" s="22" t="s">
        <v>642</v>
      </c>
    </row>
  </sheetData>
  <conditionalFormatting sqref="H19:I22 H4:I7 H24:I27 H9:I17 H29:I37">
    <cfRule type="containsText" dxfId="2" priority="3" stopIfTrue="1" operator="containsText" text="Uneconomic">
      <formula>NOT(ISERROR(SEARCH("Uneconomic",H4)))</formula>
    </cfRule>
  </conditionalFormatting>
  <conditionalFormatting sqref="H19:I22 H4:I7 H24:I27 H9:I17 H29:I37">
    <cfRule type="cellIs" dxfId="1" priority="1" stopIfTrue="1" operator="greaterThan">
      <formula>0</formula>
    </cfRule>
    <cfRule type="cellIs" dxfId="0" priority="2" stopIfTrue="1" operator="lessThan">
      <formula>0</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pageSetUpPr fitToPage="1"/>
  </sheetPr>
  <dimension ref="A1:AJ55"/>
  <sheetViews>
    <sheetView showGridLines="0" showRowColHeaders="0" zoomScale="80" zoomScaleNormal="80" workbookViewId="0">
      <pane ySplit="2" topLeftCell="A3" activePane="bottomLeft" state="frozen"/>
      <selection activeCell="D43" sqref="D43"/>
      <selection pane="bottomLeft" activeCell="D43" sqref="D43"/>
    </sheetView>
  </sheetViews>
  <sheetFormatPr defaultRowHeight="14.5"/>
  <cols>
    <col min="1" max="1" width="31" customWidth="1"/>
    <col min="2" max="2" width="30.54296875" customWidth="1"/>
    <col min="3" max="3" width="16.26953125" customWidth="1"/>
    <col min="4" max="4" width="6.453125" customWidth="1"/>
    <col min="6" max="6" width="15.7265625" customWidth="1"/>
  </cols>
  <sheetData>
    <row r="1" spans="1:36" ht="21">
      <c r="A1" s="330" t="str">
        <f>Input!B8</f>
        <v>Prospect X</v>
      </c>
      <c r="B1" s="331"/>
      <c r="C1" s="143" t="s">
        <v>768</v>
      </c>
      <c r="D1" s="22"/>
      <c r="E1" s="22"/>
      <c r="F1" s="22"/>
      <c r="G1" s="22"/>
      <c r="H1" s="22"/>
      <c r="I1" s="22"/>
      <c r="J1" s="22"/>
      <c r="K1" s="22"/>
      <c r="L1" s="22"/>
      <c r="M1" s="22"/>
      <c r="N1" s="22"/>
      <c r="O1" s="22"/>
      <c r="P1" s="22"/>
      <c r="Q1" s="22"/>
      <c r="R1" s="22"/>
      <c r="S1" s="22"/>
      <c r="T1" s="22"/>
      <c r="U1" s="22"/>
      <c r="V1" s="22"/>
      <c r="W1" s="22"/>
      <c r="X1" s="22"/>
      <c r="Y1" s="22"/>
      <c r="Z1" s="22"/>
      <c r="AA1" s="22"/>
      <c r="AB1" s="22"/>
      <c r="AC1" s="380"/>
      <c r="AD1" s="380"/>
      <c r="AE1" s="380"/>
      <c r="AF1" s="380"/>
      <c r="AG1" s="380"/>
      <c r="AH1" s="380"/>
      <c r="AI1" s="380"/>
      <c r="AJ1" s="380"/>
    </row>
    <row r="2" spans="1:36" ht="18.5">
      <c r="A2" s="381"/>
      <c r="B2" s="331"/>
      <c r="C2" s="143" t="s">
        <v>143</v>
      </c>
      <c r="D2" s="22"/>
      <c r="E2" s="22"/>
      <c r="F2" s="22"/>
      <c r="G2" s="22"/>
      <c r="H2" s="22"/>
      <c r="I2" s="22"/>
      <c r="J2" s="22"/>
      <c r="K2" s="22"/>
      <c r="L2" s="22"/>
      <c r="M2" s="22"/>
      <c r="N2" s="22"/>
      <c r="O2" s="22"/>
      <c r="P2" s="22"/>
      <c r="Q2" s="22"/>
      <c r="R2" s="22"/>
      <c r="S2" s="22"/>
      <c r="T2" s="22"/>
      <c r="U2" s="22"/>
      <c r="V2" s="22"/>
      <c r="W2" s="22"/>
      <c r="X2" s="22"/>
      <c r="Y2" s="22"/>
      <c r="Z2" s="22"/>
      <c r="AA2" s="22"/>
      <c r="AB2" s="22"/>
      <c r="AC2" s="380"/>
      <c r="AD2" s="380"/>
      <c r="AE2" s="380"/>
      <c r="AF2" s="380"/>
      <c r="AG2" s="380"/>
      <c r="AH2" s="380"/>
      <c r="AI2" s="380"/>
      <c r="AJ2" s="380"/>
    </row>
    <row r="3" spans="1:36" ht="15.5">
      <c r="A3" s="299" t="s">
        <v>64</v>
      </c>
      <c r="B3" s="321">
        <f>Input!B3</f>
        <v>0.1</v>
      </c>
      <c r="C3" s="22"/>
      <c r="D3" s="22"/>
      <c r="E3" s="22"/>
      <c r="F3" s="22"/>
      <c r="G3" s="22"/>
      <c r="H3" s="22"/>
      <c r="I3" s="22"/>
      <c r="J3" s="22"/>
      <c r="K3" s="22"/>
      <c r="L3" s="22"/>
      <c r="M3" s="22"/>
      <c r="N3" s="22"/>
      <c r="O3" s="22"/>
      <c r="P3" s="22"/>
      <c r="Q3" s="22"/>
      <c r="R3" s="22"/>
      <c r="S3" s="22"/>
      <c r="T3" s="22"/>
      <c r="U3" s="22"/>
      <c r="V3" s="22"/>
      <c r="W3" s="22"/>
      <c r="X3" s="22"/>
      <c r="Y3" s="22"/>
      <c r="Z3" s="22"/>
      <c r="AA3" s="22"/>
      <c r="AB3" s="22"/>
      <c r="AC3" s="380"/>
      <c r="AD3" s="380"/>
      <c r="AE3" s="380"/>
      <c r="AF3" s="380"/>
      <c r="AG3" s="380"/>
      <c r="AH3" s="380"/>
      <c r="AI3" s="380"/>
      <c r="AJ3" s="380"/>
    </row>
    <row r="4" spans="1:36" ht="15.5">
      <c r="A4" s="299" t="s">
        <v>65</v>
      </c>
      <c r="B4" s="336">
        <f ca="1">Input!H13</f>
        <v>42005</v>
      </c>
      <c r="C4" s="22"/>
      <c r="D4" s="22"/>
      <c r="E4" s="22"/>
      <c r="F4" s="22"/>
      <c r="G4" s="22"/>
      <c r="H4" s="22"/>
      <c r="I4" s="22"/>
      <c r="J4" s="22"/>
      <c r="K4" s="22"/>
      <c r="L4" s="22"/>
      <c r="M4" s="22"/>
      <c r="N4" s="22"/>
      <c r="O4" s="22"/>
      <c r="P4" s="22"/>
      <c r="Q4" s="22"/>
      <c r="R4" s="22"/>
      <c r="S4" s="22"/>
      <c r="T4" s="22"/>
      <c r="U4" s="22"/>
      <c r="V4" s="22"/>
      <c r="W4" s="22"/>
      <c r="X4" s="22"/>
      <c r="Y4" s="22"/>
      <c r="Z4" s="22"/>
      <c r="AA4" s="22"/>
      <c r="AB4" s="22"/>
      <c r="AC4" s="380"/>
      <c r="AD4" s="380"/>
      <c r="AE4" s="380"/>
      <c r="AF4" s="380"/>
      <c r="AG4" s="380"/>
      <c r="AH4" s="380"/>
      <c r="AI4" s="380"/>
      <c r="AJ4" s="380"/>
    </row>
    <row r="5" spans="1:36" ht="15.5">
      <c r="A5" s="299" t="s">
        <v>72</v>
      </c>
      <c r="B5" s="341" t="str">
        <f>'Selected Economics'!D3</f>
        <v>Base +1.5% /y</v>
      </c>
      <c r="C5" s="22"/>
      <c r="D5" s="22"/>
      <c r="E5" s="22"/>
      <c r="F5" s="22"/>
      <c r="G5" s="22"/>
      <c r="H5" s="22"/>
      <c r="I5" s="22"/>
      <c r="J5" s="22"/>
      <c r="K5" s="22"/>
      <c r="L5" s="22"/>
      <c r="M5" s="22"/>
      <c r="N5" s="22"/>
      <c r="O5" s="22"/>
      <c r="P5" s="22"/>
      <c r="Q5" s="22"/>
      <c r="R5" s="22"/>
      <c r="S5" s="22"/>
      <c r="T5" s="22"/>
      <c r="U5" s="22"/>
      <c r="V5" s="22"/>
      <c r="W5" s="22"/>
      <c r="X5" s="22"/>
      <c r="Y5" s="22"/>
      <c r="Z5" s="22"/>
      <c r="AA5" s="22"/>
      <c r="AB5" s="22"/>
      <c r="AC5" s="380"/>
      <c r="AD5" s="380"/>
      <c r="AE5" s="380"/>
      <c r="AF5" s="380"/>
      <c r="AG5" s="380"/>
      <c r="AH5" s="380"/>
      <c r="AI5" s="380"/>
      <c r="AJ5" s="380"/>
    </row>
    <row r="6" spans="1:36" ht="15.5">
      <c r="A6" s="299" t="s">
        <v>73</v>
      </c>
      <c r="B6" s="341" t="str">
        <f>'Cost Assumptions'!O4</f>
        <v>NS DOE Petrofac DW Update 2015</v>
      </c>
      <c r="C6" s="22"/>
      <c r="D6" s="22"/>
      <c r="E6" s="22"/>
      <c r="F6" s="22"/>
      <c r="G6" s="22"/>
      <c r="H6" s="22"/>
      <c r="I6" s="22"/>
      <c r="J6" s="22"/>
      <c r="K6" s="22"/>
      <c r="L6" s="22"/>
      <c r="M6" s="22"/>
      <c r="N6" s="22"/>
      <c r="O6" s="22"/>
      <c r="P6" s="22"/>
      <c r="Q6" s="22"/>
      <c r="R6" s="22"/>
      <c r="S6" s="22"/>
      <c r="T6" s="22"/>
      <c r="U6" s="22"/>
      <c r="V6" s="22"/>
      <c r="W6" s="22"/>
      <c r="X6" s="22"/>
      <c r="Y6" s="22"/>
      <c r="Z6" s="22"/>
      <c r="AA6" s="22"/>
      <c r="AB6" s="22"/>
      <c r="AC6" s="380"/>
      <c r="AD6" s="380"/>
      <c r="AE6" s="380"/>
      <c r="AF6" s="380"/>
      <c r="AG6" s="380"/>
      <c r="AH6" s="380"/>
      <c r="AI6" s="380"/>
      <c r="AJ6" s="380"/>
    </row>
    <row r="7" spans="1:36" ht="18.5">
      <c r="A7" s="557" t="s">
        <v>74</v>
      </c>
      <c r="B7" s="558"/>
      <c r="C7" s="22"/>
      <c r="D7" s="22"/>
      <c r="E7" s="22"/>
      <c r="F7" s="22"/>
      <c r="G7" s="22"/>
      <c r="H7" s="22"/>
      <c r="I7" s="22"/>
      <c r="J7" s="22"/>
      <c r="K7" s="22"/>
      <c r="L7" s="22"/>
      <c r="M7" s="22"/>
      <c r="N7" s="22"/>
      <c r="O7" s="22"/>
      <c r="P7" s="22"/>
      <c r="Q7" s="22"/>
      <c r="R7" s="22"/>
      <c r="S7" s="22"/>
      <c r="T7" s="22"/>
      <c r="U7" s="22"/>
      <c r="V7" s="22"/>
      <c r="W7" s="22"/>
      <c r="X7" s="22"/>
      <c r="Y7" s="22"/>
      <c r="Z7" s="22"/>
      <c r="AA7" s="22"/>
      <c r="AB7" s="22"/>
      <c r="AC7" s="380"/>
      <c r="AD7" s="380"/>
      <c r="AE7" s="380"/>
      <c r="AF7" s="380"/>
      <c r="AG7" s="380"/>
      <c r="AH7" s="380"/>
      <c r="AI7" s="380"/>
      <c r="AJ7" s="380"/>
    </row>
    <row r="8" spans="1:36" ht="15.5">
      <c r="A8" s="299" t="s">
        <v>79</v>
      </c>
      <c r="B8" s="349">
        <f>Input!B10</f>
        <v>42005</v>
      </c>
      <c r="C8" s="22"/>
      <c r="D8" s="22"/>
      <c r="E8" s="22"/>
      <c r="F8" s="22"/>
      <c r="G8" s="22"/>
      <c r="H8" s="22"/>
      <c r="I8" s="22"/>
      <c r="J8" s="22"/>
      <c r="K8" s="22"/>
      <c r="L8" s="22"/>
      <c r="M8" s="22"/>
      <c r="N8" s="22"/>
      <c r="O8" s="22"/>
      <c r="P8" s="22"/>
      <c r="Q8" s="22"/>
      <c r="R8" s="22"/>
      <c r="S8" s="22"/>
      <c r="T8" s="22"/>
      <c r="U8" s="22"/>
      <c r="V8" s="22"/>
      <c r="W8" s="22"/>
      <c r="X8" s="22"/>
      <c r="Y8" s="22"/>
      <c r="Z8" s="22"/>
      <c r="AA8" s="22"/>
      <c r="AB8" s="22"/>
      <c r="AC8" s="380"/>
      <c r="AD8" s="380"/>
      <c r="AE8" s="380"/>
      <c r="AF8" s="380"/>
      <c r="AG8" s="380"/>
      <c r="AH8" s="380"/>
      <c r="AI8" s="380"/>
      <c r="AJ8" s="380"/>
    </row>
    <row r="9" spans="1:36" ht="15.5">
      <c r="A9" s="299" t="s">
        <v>80</v>
      </c>
      <c r="B9" s="349" t="str">
        <f>Input!B14</f>
        <v>FPSO</v>
      </c>
      <c r="C9" s="22"/>
      <c r="D9" s="22"/>
      <c r="E9" s="22"/>
      <c r="F9" s="22"/>
      <c r="G9" s="22"/>
      <c r="H9" s="22"/>
      <c r="I9" s="22"/>
      <c r="J9" s="22"/>
      <c r="K9" s="22"/>
      <c r="L9" s="22"/>
      <c r="M9" s="22"/>
      <c r="N9" s="22"/>
      <c r="O9" s="22"/>
      <c r="P9" s="22"/>
      <c r="Q9" s="22"/>
      <c r="R9" s="22"/>
      <c r="S9" s="22"/>
      <c r="T9" s="22"/>
      <c r="U9" s="22"/>
      <c r="V9" s="22"/>
      <c r="W9" s="22"/>
      <c r="X9" s="22"/>
      <c r="Y9" s="22"/>
      <c r="Z9" s="22"/>
      <c r="AA9" s="22"/>
      <c r="AB9" s="22"/>
      <c r="AC9" s="380"/>
      <c r="AD9" s="380"/>
      <c r="AE9" s="380"/>
      <c r="AF9" s="380"/>
      <c r="AG9" s="380"/>
      <c r="AH9" s="380"/>
      <c r="AI9" s="380"/>
      <c r="AJ9" s="380"/>
    </row>
    <row r="10" spans="1:36" ht="15.5">
      <c r="A10" s="299" t="s">
        <v>82</v>
      </c>
      <c r="B10" s="354" t="str">
        <f>Thresholds!B14</f>
        <v>To Infrastructure</v>
      </c>
      <c r="C10" s="22"/>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380"/>
      <c r="AD10" s="380"/>
      <c r="AE10" s="380"/>
      <c r="AF10" s="380"/>
      <c r="AG10" s="380"/>
      <c r="AH10" s="380"/>
      <c r="AI10" s="380"/>
      <c r="AJ10" s="380"/>
    </row>
    <row r="11" spans="1:36" ht="15.5">
      <c r="A11" s="299" t="s">
        <v>84</v>
      </c>
      <c r="B11" s="354">
        <f>Thresholds!B15</f>
        <v>250</v>
      </c>
      <c r="C11" s="2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380"/>
      <c r="AD11" s="380"/>
      <c r="AE11" s="380"/>
      <c r="AF11" s="380"/>
      <c r="AG11" s="380"/>
      <c r="AH11" s="380"/>
      <c r="AI11" s="380"/>
      <c r="AJ11" s="380"/>
    </row>
    <row r="12" spans="1:36" ht="15.5">
      <c r="A12" s="299" t="str">
        <f>Thresholds!A16</f>
        <v>Pipeline Percent Deepwater</v>
      </c>
      <c r="B12" s="321">
        <f>Thresholds!B16</f>
        <v>0.3</v>
      </c>
      <c r="C12" s="22"/>
      <c r="D12" s="22"/>
      <c r="E12" s="22"/>
      <c r="F12" s="22"/>
      <c r="G12" s="22"/>
      <c r="H12" s="22"/>
      <c r="I12" s="22"/>
      <c r="J12" s="22"/>
      <c r="K12" s="22"/>
      <c r="L12" s="22"/>
      <c r="M12" s="22"/>
      <c r="N12" s="22"/>
      <c r="O12" s="22"/>
      <c r="P12" s="22"/>
      <c r="Q12" s="22"/>
      <c r="R12" s="22"/>
      <c r="S12" s="22"/>
      <c r="T12" s="22"/>
      <c r="U12" s="22"/>
      <c r="V12" s="22"/>
      <c r="W12" s="22"/>
      <c r="X12" s="22"/>
      <c r="Y12" s="22"/>
      <c r="Z12" s="22"/>
      <c r="AA12" s="22"/>
      <c r="AB12" s="22"/>
      <c r="AC12" s="380"/>
      <c r="AD12" s="380"/>
      <c r="AE12" s="380"/>
      <c r="AF12" s="380"/>
      <c r="AG12" s="380"/>
      <c r="AH12" s="380"/>
      <c r="AI12" s="380"/>
      <c r="AJ12" s="380"/>
    </row>
    <row r="13" spans="1:36" ht="18.5">
      <c r="A13" s="557" t="s">
        <v>85</v>
      </c>
      <c r="B13" s="558"/>
      <c r="C13" s="22"/>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380"/>
      <c r="AD13" s="380"/>
      <c r="AE13" s="380"/>
      <c r="AF13" s="380"/>
      <c r="AG13" s="380"/>
      <c r="AH13" s="380"/>
      <c r="AI13" s="380"/>
      <c r="AJ13" s="380"/>
    </row>
    <row r="14" spans="1:36" ht="15.5">
      <c r="A14" s="299" t="s">
        <v>78</v>
      </c>
      <c r="B14" s="321">
        <f>Input!B19</f>
        <v>1</v>
      </c>
      <c r="C14" s="22"/>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380"/>
      <c r="AD14" s="380"/>
      <c r="AE14" s="380"/>
      <c r="AF14" s="380"/>
      <c r="AG14" s="380"/>
      <c r="AH14" s="380"/>
      <c r="AI14" s="380"/>
      <c r="AJ14" s="380"/>
    </row>
    <row r="15" spans="1:36" ht="15.5">
      <c r="A15" s="299" t="s">
        <v>86</v>
      </c>
      <c r="B15" s="321">
        <f>Input!B20</f>
        <v>0.35</v>
      </c>
      <c r="C15" s="22"/>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380"/>
      <c r="AD15" s="380"/>
      <c r="AE15" s="380"/>
      <c r="AF15" s="380"/>
      <c r="AG15" s="380"/>
      <c r="AH15" s="380"/>
      <c r="AI15" s="380"/>
      <c r="AJ15" s="380"/>
    </row>
    <row r="16" spans="1:36" ht="15.5">
      <c r="A16" s="299" t="s">
        <v>87</v>
      </c>
      <c r="B16" s="321">
        <f>Input!B21</f>
        <v>0.75</v>
      </c>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380"/>
      <c r="AD16" s="380"/>
      <c r="AE16" s="380"/>
      <c r="AF16" s="380"/>
      <c r="AG16" s="380"/>
      <c r="AH16" s="380"/>
      <c r="AI16" s="380"/>
      <c r="AJ16" s="380"/>
    </row>
    <row r="17" spans="1:36" ht="16.5" customHeight="1">
      <c r="A17" s="299" t="s">
        <v>88</v>
      </c>
      <c r="B17" s="321">
        <f>Input!B22</f>
        <v>1</v>
      </c>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380"/>
      <c r="AD17" s="380"/>
      <c r="AE17" s="380"/>
      <c r="AF17" s="380"/>
      <c r="AG17" s="380"/>
      <c r="AH17" s="380"/>
      <c r="AI17" s="380"/>
      <c r="AJ17" s="380"/>
    </row>
    <row r="18" spans="1:36" ht="22.5" customHeight="1">
      <c r="A18" s="557" t="s">
        <v>89</v>
      </c>
      <c r="B18" s="558"/>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380"/>
      <c r="AD18" s="380"/>
      <c r="AE18" s="380"/>
      <c r="AF18" s="380"/>
      <c r="AG18" s="380"/>
      <c r="AH18" s="380"/>
      <c r="AI18" s="380"/>
      <c r="AJ18" s="380"/>
    </row>
    <row r="19" spans="1:36" ht="23.25" customHeight="1">
      <c r="A19" s="299" t="str">
        <f>Thresholds!A23</f>
        <v>Product Type</v>
      </c>
      <c r="B19" s="341" t="str">
        <f>Thresholds!B23</f>
        <v>Oil</v>
      </c>
      <c r="C19" s="22"/>
      <c r="D19" s="22"/>
      <c r="E19" s="22"/>
      <c r="F19" s="580" t="str">
        <f>"Government Take as a Percentage of Risked Cash Flow for Varying Reserves ("&amp;IF(B19="Gas","bcf","mmbbl")&amp;")"</f>
        <v>Government Take as a Percentage of Risked Cash Flow for Varying Reserves (mmbbl)</v>
      </c>
      <c r="G19" s="580"/>
      <c r="H19" s="580"/>
      <c r="I19" s="580"/>
      <c r="J19" s="580"/>
      <c r="K19" s="580"/>
      <c r="L19" s="580"/>
      <c r="M19" s="580"/>
      <c r="N19" s="580"/>
      <c r="O19" s="22"/>
      <c r="P19" s="22"/>
      <c r="Q19" s="22"/>
      <c r="R19" s="22"/>
      <c r="S19" s="22"/>
      <c r="T19" s="22"/>
      <c r="U19" s="22"/>
      <c r="V19" s="22"/>
      <c r="W19" s="22"/>
      <c r="X19" s="22"/>
      <c r="Y19" s="22"/>
      <c r="Z19" s="22"/>
      <c r="AA19" s="22"/>
      <c r="AB19" s="22"/>
      <c r="AC19" s="380"/>
      <c r="AD19" s="380"/>
      <c r="AE19" s="380"/>
      <c r="AF19" s="380"/>
      <c r="AG19" s="380"/>
      <c r="AH19" s="380"/>
      <c r="AI19" s="380"/>
      <c r="AJ19" s="380"/>
    </row>
    <row r="20" spans="1:36" ht="16.5" customHeight="1">
      <c r="A20" s="299" t="str">
        <f>Input!A12</f>
        <v>Mean Reserves (mmbbl)</v>
      </c>
      <c r="B20" s="341">
        <f>Input!B12</f>
        <v>290</v>
      </c>
      <c r="C20" s="22"/>
      <c r="D20" s="22"/>
      <c r="E20" s="22"/>
      <c r="F20" s="580"/>
      <c r="G20" s="580"/>
      <c r="H20" s="580"/>
      <c r="I20" s="580"/>
      <c r="J20" s="580"/>
      <c r="K20" s="580"/>
      <c r="L20" s="580"/>
      <c r="M20" s="580"/>
      <c r="N20" s="580"/>
      <c r="O20" s="22"/>
      <c r="P20" s="22"/>
      <c r="Q20" s="22"/>
      <c r="R20" s="22"/>
      <c r="S20" s="22"/>
      <c r="T20" s="22"/>
      <c r="U20" s="22"/>
      <c r="V20" s="22"/>
      <c r="W20" s="22"/>
      <c r="X20" s="22"/>
      <c r="Y20" s="22"/>
      <c r="Z20" s="22"/>
      <c r="AA20" s="22"/>
      <c r="AB20" s="22"/>
      <c r="AC20" s="380"/>
      <c r="AD20" s="380"/>
      <c r="AE20" s="380"/>
      <c r="AF20" s="380"/>
      <c r="AG20" s="380"/>
      <c r="AH20" s="380"/>
      <c r="AI20" s="380"/>
      <c r="AJ20" s="380"/>
    </row>
    <row r="21" spans="1:36" ht="15.5">
      <c r="A21" s="299" t="s">
        <v>90</v>
      </c>
      <c r="B21" s="341">
        <f>Input!B24</f>
        <v>4500</v>
      </c>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380"/>
      <c r="AD21" s="380"/>
      <c r="AE21" s="380"/>
      <c r="AF21" s="380"/>
      <c r="AG21" s="380"/>
      <c r="AH21" s="380"/>
      <c r="AI21" s="380"/>
      <c r="AJ21" s="380"/>
    </row>
    <row r="22" spans="1:36" ht="15.5">
      <c r="A22" s="299" t="s">
        <v>91</v>
      </c>
      <c r="B22" s="341" t="str">
        <f>Input!B25</f>
        <v>High</v>
      </c>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380"/>
      <c r="AD22" s="380"/>
      <c r="AE22" s="380"/>
      <c r="AF22" s="380"/>
      <c r="AG22" s="380"/>
      <c r="AH22" s="380"/>
      <c r="AI22" s="380"/>
      <c r="AJ22" s="380"/>
    </row>
    <row r="23" spans="1:36" ht="15.5">
      <c r="A23" s="299" t="s">
        <v>93</v>
      </c>
      <c r="B23" s="341" t="str">
        <f>Input!B26</f>
        <v>High</v>
      </c>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380"/>
      <c r="AD23" s="380"/>
      <c r="AE23" s="380"/>
      <c r="AF23" s="380"/>
      <c r="AG23" s="380"/>
      <c r="AH23" s="380"/>
      <c r="AI23" s="380"/>
      <c r="AJ23" s="380"/>
    </row>
    <row r="24" spans="1:36" ht="15.5">
      <c r="A24" s="299" t="s">
        <v>94</v>
      </c>
      <c r="B24" s="341" t="str">
        <f>Input!B27</f>
        <v>Normally Pressured</v>
      </c>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380"/>
      <c r="AD24" s="380"/>
      <c r="AE24" s="380"/>
      <c r="AF24" s="380"/>
      <c r="AG24" s="380"/>
      <c r="AH24" s="380"/>
      <c r="AI24" s="380"/>
      <c r="AJ24" s="380"/>
    </row>
    <row r="25" spans="1:36" ht="15.5">
      <c r="A25" s="299" t="s">
        <v>96</v>
      </c>
      <c r="B25" s="341">
        <f>Input!B28</f>
        <v>1040</v>
      </c>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380"/>
      <c r="AD25" s="380"/>
      <c r="AE25" s="380"/>
      <c r="AF25" s="380"/>
      <c r="AG25" s="380"/>
      <c r="AH25" s="380"/>
      <c r="AI25" s="380"/>
      <c r="AJ25" s="380"/>
    </row>
    <row r="26" spans="1:36" ht="15.5">
      <c r="A26" s="299" t="s">
        <v>97</v>
      </c>
      <c r="B26" s="341">
        <f>Input!B29</f>
        <v>3333.3</v>
      </c>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380"/>
      <c r="AD26" s="380"/>
      <c r="AE26" s="380"/>
      <c r="AF26" s="380"/>
      <c r="AG26" s="380"/>
      <c r="AH26" s="380"/>
      <c r="AI26" s="380"/>
      <c r="AJ26" s="380"/>
    </row>
    <row r="27" spans="1:36" ht="15.5">
      <c r="A27" s="299" t="s">
        <v>98</v>
      </c>
      <c r="B27" s="341" t="str">
        <f>Input!B30</f>
        <v>Sweet</v>
      </c>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380"/>
      <c r="AD27" s="380"/>
      <c r="AE27" s="380"/>
      <c r="AF27" s="380"/>
      <c r="AG27" s="380"/>
      <c r="AH27" s="380"/>
      <c r="AI27" s="380"/>
      <c r="AJ27" s="380"/>
    </row>
    <row r="28" spans="1:36" ht="15.5">
      <c r="A28" s="299" t="s">
        <v>100</v>
      </c>
      <c r="B28" s="341">
        <f>Input!B13</f>
        <v>3000</v>
      </c>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380"/>
      <c r="AD28" s="380"/>
      <c r="AE28" s="380"/>
      <c r="AF28" s="380"/>
      <c r="AG28" s="380"/>
      <c r="AH28" s="380"/>
      <c r="AI28" s="380"/>
      <c r="AJ28" s="380"/>
    </row>
    <row r="29" spans="1:36" ht="18.5">
      <c r="A29" s="557" t="s">
        <v>102</v>
      </c>
      <c r="B29" s="558"/>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380"/>
      <c r="AD29" s="380"/>
      <c r="AE29" s="380"/>
      <c r="AF29" s="380"/>
      <c r="AG29" s="380"/>
      <c r="AH29" s="380"/>
      <c r="AI29" s="380"/>
      <c r="AJ29" s="380"/>
    </row>
    <row r="30" spans="1:36" ht="15.5">
      <c r="A30" s="299" t="s">
        <v>103</v>
      </c>
      <c r="B30" s="341" t="str">
        <f>Input!B33</f>
        <v>No</v>
      </c>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380"/>
      <c r="AD30" s="380"/>
      <c r="AE30" s="380"/>
      <c r="AF30" s="380"/>
      <c r="AG30" s="380"/>
      <c r="AH30" s="380"/>
      <c r="AI30" s="380"/>
      <c r="AJ30" s="380"/>
    </row>
    <row r="31" spans="1:36" ht="15.5">
      <c r="A31" s="299" t="s">
        <v>106</v>
      </c>
      <c r="B31" s="341" t="str">
        <f>Input!B34</f>
        <v>No</v>
      </c>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380"/>
      <c r="AD31" s="380"/>
      <c r="AE31" s="380"/>
      <c r="AF31" s="380"/>
      <c r="AG31" s="380"/>
      <c r="AH31" s="380"/>
      <c r="AI31" s="380"/>
      <c r="AJ31" s="380"/>
    </row>
    <row r="32" spans="1:36" ht="15.5">
      <c r="A32" s="299" t="s">
        <v>109</v>
      </c>
      <c r="B32" s="341" t="str">
        <f>Input!B35</f>
        <v>Yes</v>
      </c>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380"/>
      <c r="AD32" s="380"/>
      <c r="AE32" s="380"/>
      <c r="AF32" s="380"/>
      <c r="AG32" s="380"/>
      <c r="AH32" s="380"/>
      <c r="AI32" s="380"/>
      <c r="AJ32" s="380"/>
    </row>
    <row r="33" spans="1:36">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380"/>
      <c r="AD33" s="380"/>
      <c r="AE33" s="380"/>
      <c r="AF33" s="380"/>
      <c r="AG33" s="380"/>
      <c r="AH33" s="380"/>
      <c r="AI33" s="380"/>
      <c r="AJ33" s="380"/>
    </row>
    <row r="34" spans="1:36">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380"/>
      <c r="AD34" s="380"/>
      <c r="AE34" s="380"/>
      <c r="AF34" s="380"/>
      <c r="AG34" s="380"/>
      <c r="AH34" s="380"/>
      <c r="AI34" s="380"/>
      <c r="AJ34" s="380"/>
    </row>
    <row r="35" spans="1:36">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380"/>
      <c r="AD35" s="380"/>
      <c r="AE35" s="380"/>
      <c r="AF35" s="380"/>
      <c r="AG35" s="380"/>
      <c r="AH35" s="380"/>
      <c r="AI35" s="380"/>
      <c r="AJ35" s="380"/>
    </row>
    <row r="36" spans="1:36">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380"/>
      <c r="AD36" s="380"/>
      <c r="AE36" s="380"/>
      <c r="AF36" s="380"/>
      <c r="AG36" s="380"/>
      <c r="AH36" s="380"/>
      <c r="AI36" s="380"/>
      <c r="AJ36" s="380"/>
    </row>
    <row r="37" spans="1:36">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380"/>
      <c r="AD37" s="380"/>
      <c r="AE37" s="380"/>
      <c r="AF37" s="380"/>
      <c r="AG37" s="380"/>
      <c r="AH37" s="380"/>
      <c r="AI37" s="380"/>
      <c r="AJ37" s="380"/>
    </row>
    <row r="38" spans="1:36">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380"/>
      <c r="AD38" s="380"/>
      <c r="AE38" s="380"/>
      <c r="AF38" s="380"/>
      <c r="AG38" s="380"/>
      <c r="AH38" s="380"/>
      <c r="AI38" s="380"/>
      <c r="AJ38" s="380"/>
    </row>
    <row r="39" spans="1:36">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380"/>
      <c r="AD39" s="380"/>
      <c r="AE39" s="380"/>
      <c r="AF39" s="380"/>
      <c r="AG39" s="380"/>
      <c r="AH39" s="380"/>
      <c r="AI39" s="380"/>
      <c r="AJ39" s="380"/>
    </row>
    <row r="40" spans="1:36">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380"/>
      <c r="AD40" s="380"/>
      <c r="AE40" s="380"/>
      <c r="AF40" s="380"/>
      <c r="AG40" s="380"/>
      <c r="AH40" s="380"/>
      <c r="AI40" s="380"/>
      <c r="AJ40" s="380"/>
    </row>
    <row r="41" spans="1:36">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380"/>
      <c r="AD41" s="380"/>
      <c r="AE41" s="380"/>
      <c r="AF41" s="380"/>
      <c r="AG41" s="380"/>
      <c r="AH41" s="380"/>
      <c r="AI41" s="380"/>
      <c r="AJ41" s="380"/>
    </row>
    <row r="42" spans="1:36">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380"/>
      <c r="AD42" s="380"/>
      <c r="AE42" s="380"/>
      <c r="AF42" s="380"/>
      <c r="AG42" s="380"/>
      <c r="AH42" s="380"/>
      <c r="AI42" s="380"/>
      <c r="AJ42" s="380"/>
    </row>
    <row r="43" spans="1:36">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380"/>
      <c r="AD43" s="380"/>
      <c r="AE43" s="380"/>
      <c r="AF43" s="380"/>
      <c r="AG43" s="380"/>
      <c r="AH43" s="380"/>
      <c r="AI43" s="380"/>
      <c r="AJ43" s="380"/>
    </row>
    <row r="44" spans="1:36">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380"/>
      <c r="AD44" s="380"/>
      <c r="AE44" s="380"/>
      <c r="AF44" s="380"/>
      <c r="AG44" s="380"/>
      <c r="AH44" s="380"/>
      <c r="AI44" s="380"/>
      <c r="AJ44" s="380"/>
    </row>
    <row r="45" spans="1:36">
      <c r="A45" s="380"/>
      <c r="B45" s="380"/>
      <c r="C45" s="380"/>
      <c r="D45" s="380"/>
      <c r="E45" s="380"/>
      <c r="F45" s="380"/>
      <c r="G45" s="380"/>
      <c r="H45" s="380"/>
      <c r="I45" s="380"/>
      <c r="J45" s="380"/>
      <c r="K45" s="380"/>
      <c r="L45" s="380"/>
      <c r="M45" s="380"/>
      <c r="N45" s="380"/>
      <c r="O45" s="380"/>
      <c r="P45" s="380"/>
      <c r="Q45" s="380"/>
      <c r="R45" s="380"/>
      <c r="S45" s="380"/>
      <c r="T45" s="380"/>
      <c r="U45" s="380"/>
      <c r="V45" s="380"/>
      <c r="W45" s="380"/>
      <c r="X45" s="380"/>
      <c r="Y45" s="380"/>
      <c r="Z45" s="380"/>
      <c r="AA45" s="380"/>
      <c r="AB45" s="380"/>
      <c r="AC45" s="380"/>
      <c r="AD45" s="380"/>
      <c r="AE45" s="380"/>
      <c r="AF45" s="380"/>
      <c r="AG45" s="380"/>
      <c r="AH45" s="380"/>
      <c r="AI45" s="380"/>
      <c r="AJ45" s="380"/>
    </row>
    <row r="46" spans="1:36">
      <c r="A46" s="380"/>
      <c r="B46" s="380"/>
      <c r="C46" s="380"/>
      <c r="D46" s="380"/>
      <c r="E46" s="380"/>
      <c r="F46" s="380"/>
      <c r="G46" s="380"/>
      <c r="H46" s="380"/>
      <c r="I46" s="380"/>
      <c r="J46" s="380"/>
      <c r="K46" s="380"/>
      <c r="L46" s="380"/>
      <c r="M46" s="380"/>
      <c r="N46" s="380"/>
      <c r="O46" s="380"/>
      <c r="P46" s="380"/>
      <c r="Q46" s="380"/>
      <c r="R46" s="380"/>
      <c r="S46" s="380"/>
      <c r="T46" s="380"/>
      <c r="U46" s="380"/>
      <c r="V46" s="380"/>
      <c r="W46" s="380"/>
      <c r="X46" s="380"/>
      <c r="Y46" s="380"/>
      <c r="Z46" s="380"/>
      <c r="AA46" s="380"/>
      <c r="AB46" s="380"/>
      <c r="AC46" s="380"/>
      <c r="AD46" s="380"/>
      <c r="AE46" s="380"/>
      <c r="AF46" s="380"/>
      <c r="AG46" s="380"/>
      <c r="AH46" s="380"/>
      <c r="AI46" s="380"/>
      <c r="AJ46" s="380"/>
    </row>
    <row r="47" spans="1:36">
      <c r="A47" s="380"/>
      <c r="B47" s="380"/>
      <c r="C47" s="380"/>
      <c r="D47" s="380"/>
      <c r="E47" s="380"/>
      <c r="F47" s="380"/>
      <c r="G47" s="380"/>
      <c r="H47" s="380"/>
      <c r="I47" s="380"/>
      <c r="J47" s="380"/>
      <c r="K47" s="380"/>
      <c r="L47" s="380"/>
      <c r="M47" s="380"/>
      <c r="N47" s="380"/>
      <c r="O47" s="380"/>
      <c r="P47" s="380"/>
      <c r="Q47" s="380"/>
      <c r="R47" s="380"/>
      <c r="S47" s="380"/>
      <c r="T47" s="380"/>
      <c r="U47" s="380"/>
      <c r="V47" s="380"/>
      <c r="W47" s="380"/>
      <c r="X47" s="380"/>
      <c r="Y47" s="380"/>
      <c r="Z47" s="380"/>
      <c r="AA47" s="380"/>
      <c r="AB47" s="380"/>
      <c r="AC47" s="380"/>
      <c r="AD47" s="380"/>
      <c r="AE47" s="380"/>
      <c r="AF47" s="380"/>
      <c r="AG47" s="380"/>
      <c r="AH47" s="380"/>
      <c r="AI47" s="380"/>
      <c r="AJ47" s="380"/>
    </row>
    <row r="48" spans="1:36">
      <c r="A48" s="380"/>
      <c r="B48" s="380"/>
      <c r="C48" s="380"/>
      <c r="D48" s="380"/>
      <c r="E48" s="380"/>
      <c r="F48" s="380"/>
      <c r="G48" s="380"/>
      <c r="H48" s="380"/>
      <c r="I48" s="380"/>
      <c r="J48" s="380"/>
      <c r="K48" s="380"/>
      <c r="L48" s="380"/>
      <c r="M48" s="380"/>
      <c r="N48" s="380"/>
      <c r="O48" s="380"/>
      <c r="P48" s="380"/>
      <c r="Q48" s="380"/>
      <c r="R48" s="380"/>
      <c r="S48" s="380"/>
      <c r="T48" s="380"/>
      <c r="U48" s="380"/>
      <c r="V48" s="380"/>
      <c r="W48" s="380"/>
      <c r="X48" s="380"/>
      <c r="Y48" s="380"/>
      <c r="Z48" s="380"/>
      <c r="AA48" s="380"/>
      <c r="AB48" s="380"/>
      <c r="AC48" s="380"/>
      <c r="AD48" s="380"/>
      <c r="AE48" s="380"/>
      <c r="AF48" s="380"/>
      <c r="AG48" s="380"/>
      <c r="AH48" s="380"/>
      <c r="AI48" s="380"/>
      <c r="AJ48" s="380"/>
    </row>
    <row r="49" spans="1:36">
      <c r="A49" s="380"/>
      <c r="B49" s="380"/>
      <c r="C49" s="380"/>
      <c r="D49" s="380"/>
      <c r="E49" s="380"/>
      <c r="F49" s="380"/>
      <c r="G49" s="380"/>
      <c r="H49" s="380"/>
      <c r="I49" s="380"/>
      <c r="J49" s="380"/>
      <c r="K49" s="380"/>
      <c r="L49" s="380"/>
      <c r="M49" s="380"/>
      <c r="N49" s="380"/>
      <c r="O49" s="380"/>
      <c r="P49" s="380"/>
      <c r="Q49" s="380"/>
      <c r="R49" s="380"/>
      <c r="S49" s="380"/>
      <c r="T49" s="380"/>
      <c r="U49" s="380"/>
      <c r="V49" s="380"/>
      <c r="W49" s="380"/>
      <c r="X49" s="380"/>
      <c r="Y49" s="380"/>
      <c r="Z49" s="380"/>
      <c r="AA49" s="380"/>
      <c r="AB49" s="380"/>
      <c r="AC49" s="380"/>
      <c r="AD49" s="380"/>
      <c r="AE49" s="380"/>
      <c r="AF49" s="380"/>
      <c r="AG49" s="380"/>
      <c r="AH49" s="380"/>
      <c r="AI49" s="380"/>
      <c r="AJ49" s="380"/>
    </row>
    <row r="50" spans="1:36">
      <c r="A50" s="380"/>
      <c r="B50" s="380"/>
      <c r="C50" s="380"/>
      <c r="D50" s="380"/>
      <c r="E50" s="380"/>
      <c r="F50" s="380"/>
      <c r="G50" s="380"/>
      <c r="H50" s="380"/>
      <c r="I50" s="380"/>
      <c r="J50" s="380"/>
      <c r="K50" s="380"/>
      <c r="L50" s="380"/>
      <c r="M50" s="380"/>
      <c r="N50" s="380"/>
      <c r="O50" s="380"/>
      <c r="P50" s="380"/>
      <c r="Q50" s="380"/>
      <c r="R50" s="380"/>
      <c r="S50" s="380"/>
      <c r="T50" s="380"/>
      <c r="U50" s="380"/>
      <c r="V50" s="380"/>
      <c r="W50" s="380"/>
      <c r="X50" s="380"/>
      <c r="Y50" s="380"/>
      <c r="Z50" s="380"/>
      <c r="AA50" s="380"/>
      <c r="AB50" s="380"/>
      <c r="AC50" s="380"/>
      <c r="AD50" s="380"/>
      <c r="AE50" s="380"/>
      <c r="AF50" s="380"/>
      <c r="AG50" s="380"/>
      <c r="AH50" s="380"/>
      <c r="AI50" s="380"/>
      <c r="AJ50" s="380"/>
    </row>
    <row r="51" spans="1:36">
      <c r="A51" s="380"/>
      <c r="B51" s="380"/>
      <c r="C51" s="380"/>
      <c r="D51" s="380"/>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80"/>
      <c r="AI51" s="380"/>
      <c r="AJ51" s="380"/>
    </row>
    <row r="52" spans="1:36">
      <c r="A52" s="380"/>
      <c r="B52" s="380"/>
      <c r="C52" s="380"/>
      <c r="D52" s="380"/>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80"/>
      <c r="AI52" s="380"/>
      <c r="AJ52" s="380"/>
    </row>
    <row r="53" spans="1:36">
      <c r="A53" s="380"/>
      <c r="B53" s="380"/>
      <c r="C53" s="380"/>
      <c r="D53" s="380"/>
      <c r="E53" s="380"/>
      <c r="F53" s="380"/>
      <c r="G53" s="380"/>
      <c r="H53" s="380"/>
      <c r="I53" s="380"/>
      <c r="J53" s="380"/>
      <c r="K53" s="380"/>
      <c r="L53" s="380"/>
      <c r="M53" s="380"/>
      <c r="N53" s="380"/>
      <c r="O53" s="380"/>
      <c r="P53" s="380"/>
      <c r="Q53" s="380"/>
      <c r="R53" s="380"/>
      <c r="S53" s="380"/>
      <c r="T53" s="380"/>
      <c r="U53" s="380"/>
      <c r="V53" s="380"/>
      <c r="W53" s="380"/>
      <c r="X53" s="380"/>
      <c r="Y53" s="380"/>
      <c r="Z53" s="380"/>
      <c r="AA53" s="380"/>
      <c r="AB53" s="380"/>
      <c r="AC53" s="380"/>
      <c r="AD53" s="380"/>
      <c r="AE53" s="380"/>
      <c r="AF53" s="380"/>
      <c r="AG53" s="380"/>
      <c r="AH53" s="380"/>
      <c r="AI53" s="380"/>
      <c r="AJ53" s="380"/>
    </row>
    <row r="54" spans="1:36">
      <c r="A54" s="380"/>
      <c r="B54" s="380"/>
      <c r="C54" s="380"/>
      <c r="D54" s="380"/>
      <c r="E54" s="380"/>
      <c r="F54" s="380"/>
      <c r="G54" s="380"/>
      <c r="H54" s="380"/>
      <c r="I54" s="380"/>
      <c r="J54" s="380"/>
      <c r="K54" s="380"/>
      <c r="L54" s="380"/>
      <c r="M54" s="380"/>
      <c r="N54" s="380"/>
      <c r="O54" s="380"/>
      <c r="P54" s="380"/>
      <c r="Q54" s="380"/>
      <c r="R54" s="380"/>
      <c r="S54" s="380"/>
      <c r="T54" s="380"/>
      <c r="U54" s="380"/>
      <c r="V54" s="380"/>
      <c r="W54" s="380"/>
      <c r="X54" s="380"/>
      <c r="Y54" s="380"/>
      <c r="Z54" s="380"/>
      <c r="AA54" s="380"/>
      <c r="AB54" s="380"/>
      <c r="AC54" s="380"/>
      <c r="AD54" s="380"/>
      <c r="AE54" s="380"/>
      <c r="AF54" s="380"/>
      <c r="AG54" s="380"/>
      <c r="AH54" s="380"/>
      <c r="AI54" s="380"/>
      <c r="AJ54" s="380"/>
    </row>
    <row r="55" spans="1:36">
      <c r="A55" s="380"/>
      <c r="B55" s="380"/>
      <c r="C55" s="380"/>
      <c r="D55" s="380"/>
      <c r="E55" s="380"/>
      <c r="F55" s="380"/>
      <c r="G55" s="380"/>
      <c r="H55" s="380"/>
      <c r="I55" s="380"/>
      <c r="J55" s="380"/>
      <c r="K55" s="380"/>
      <c r="L55" s="380"/>
      <c r="M55" s="380"/>
      <c r="N55" s="380"/>
      <c r="O55" s="380"/>
      <c r="P55" s="380"/>
      <c r="Q55" s="380"/>
      <c r="R55" s="380"/>
      <c r="S55" s="380"/>
      <c r="T55" s="380"/>
      <c r="U55" s="380"/>
      <c r="V55" s="380"/>
      <c r="W55" s="380"/>
      <c r="X55" s="380"/>
      <c r="Y55" s="380"/>
      <c r="Z55" s="380"/>
      <c r="AA55" s="380"/>
      <c r="AB55" s="380"/>
      <c r="AC55" s="380"/>
      <c r="AD55" s="380"/>
      <c r="AE55" s="380"/>
      <c r="AF55" s="380"/>
      <c r="AG55" s="380"/>
      <c r="AH55" s="380"/>
      <c r="AI55" s="380"/>
      <c r="AJ55" s="380"/>
    </row>
  </sheetData>
  <sheetProtection algorithmName="SHA-512" hashValue="/EbOOHW58bj6bR7WnDGnTGHzzTldwYclzcxtJqkVPWfc389xzlJcJLtHmi+Ipr7UF3leTG+3taTAmyCHCQYlsw==" saltValue="8mTDqZgxzEYgDf+TAyKklQ==" spinCount="100000" sheet="1" objects="1" scenarios="1"/>
  <mergeCells count="5">
    <mergeCell ref="F19:N20"/>
    <mergeCell ref="A7:B7"/>
    <mergeCell ref="A13:B13"/>
    <mergeCell ref="A18:B18"/>
    <mergeCell ref="A29:B29"/>
  </mergeCells>
  <hyperlinks>
    <hyperlink ref="C1" location="Guide" display="Guide"/>
    <hyperlink ref="C2" location="Input" display="Input"/>
  </hyperlinks>
  <pageMargins left="0.7" right="0.7" top="0.75" bottom="0.75" header="0.3" footer="0.3"/>
  <pageSetup paperSize="9" scale="64" orientation="landscape" horizontalDpi="300" r:id="rId1"/>
  <headerFooter>
    <oddFooter>&amp;LNova Scotia Exploration Economics Model&amp;Rwww.indeva.com</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0000"/>
    <pageSetUpPr fitToPage="1"/>
  </sheetPr>
  <dimension ref="A1:AI85"/>
  <sheetViews>
    <sheetView showGridLines="0" showRowColHeaders="0" zoomScale="90" zoomScaleNormal="90" workbookViewId="0">
      <selection activeCell="D43" sqref="D43"/>
    </sheetView>
  </sheetViews>
  <sheetFormatPr defaultRowHeight="14.5"/>
  <sheetData>
    <row r="1" spans="1:35" ht="15" customHeight="1">
      <c r="A1" s="143" t="s">
        <v>768</v>
      </c>
      <c r="B1" s="93"/>
      <c r="C1" s="93"/>
      <c r="D1" s="93"/>
      <c r="E1" s="93"/>
      <c r="F1" s="93"/>
      <c r="G1" s="93"/>
      <c r="H1" s="93"/>
      <c r="I1" s="93"/>
      <c r="J1" s="93"/>
      <c r="K1" s="93"/>
      <c r="L1" s="93"/>
      <c r="M1" s="93"/>
      <c r="N1" s="93"/>
      <c r="O1" s="93"/>
      <c r="P1" s="93"/>
      <c r="Q1" s="93"/>
      <c r="R1" s="93"/>
      <c r="S1" s="93"/>
      <c r="T1" s="93"/>
      <c r="U1" s="93"/>
      <c r="V1" s="93"/>
      <c r="W1" s="93"/>
      <c r="X1" s="93"/>
      <c r="Y1" s="93"/>
      <c r="Z1" s="93"/>
      <c r="AA1" s="93"/>
      <c r="AB1" s="93"/>
      <c r="AC1" s="93"/>
      <c r="AD1" s="93"/>
      <c r="AE1" s="93"/>
      <c r="AF1" s="93"/>
      <c r="AG1" s="93"/>
      <c r="AH1" s="93"/>
      <c r="AI1" s="93"/>
    </row>
    <row r="2" spans="1:35" ht="15" customHeight="1">
      <c r="A2" s="143" t="s">
        <v>143</v>
      </c>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row>
    <row r="3" spans="1:35">
      <c r="A3" s="93"/>
      <c r="B3" s="93"/>
      <c r="C3" s="93"/>
      <c r="D3" s="93"/>
      <c r="E3" s="93"/>
      <c r="F3" s="93"/>
      <c r="G3" s="93"/>
      <c r="H3" s="93"/>
      <c r="I3" s="93"/>
      <c r="J3" s="93"/>
      <c r="K3" s="93"/>
      <c r="L3" s="93"/>
      <c r="M3" s="93"/>
      <c r="N3" s="93"/>
      <c r="O3" s="93"/>
      <c r="P3" s="93"/>
      <c r="Q3" s="93"/>
      <c r="R3" s="93"/>
      <c r="S3" s="93"/>
      <c r="T3" s="93"/>
      <c r="U3" s="93"/>
      <c r="V3" s="93"/>
      <c r="W3" s="93"/>
      <c r="X3" s="93"/>
      <c r="Y3" s="93"/>
      <c r="Z3" s="93"/>
      <c r="AA3" s="93"/>
      <c r="AB3" s="93"/>
      <c r="AC3" s="93"/>
      <c r="AD3" s="93"/>
      <c r="AE3" s="93"/>
      <c r="AF3" s="93"/>
      <c r="AG3" s="93"/>
      <c r="AH3" s="93"/>
      <c r="AI3" s="93"/>
    </row>
    <row r="4" spans="1:35">
      <c r="A4" s="93"/>
      <c r="B4" s="93"/>
      <c r="C4" s="93"/>
      <c r="D4" s="93"/>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row>
    <row r="5" spans="1:35">
      <c r="A5" s="93"/>
      <c r="B5" s="93"/>
      <c r="C5" s="93"/>
      <c r="D5" s="93"/>
      <c r="E5" s="93"/>
      <c r="F5" s="93"/>
      <c r="G5" s="93"/>
      <c r="H5" s="93"/>
      <c r="I5" s="93"/>
      <c r="J5" s="93"/>
      <c r="K5" s="93"/>
      <c r="L5" s="93"/>
      <c r="M5" s="93"/>
      <c r="N5" s="93"/>
      <c r="O5" s="93"/>
      <c r="P5" s="93"/>
      <c r="Q5" s="93"/>
      <c r="R5" s="93"/>
      <c r="S5" s="93"/>
      <c r="T5" s="93"/>
      <c r="U5" s="93"/>
      <c r="V5" s="93"/>
      <c r="W5" s="93"/>
      <c r="X5" s="93"/>
      <c r="Y5" s="93"/>
      <c r="Z5" s="93"/>
      <c r="AA5" s="93"/>
      <c r="AB5" s="93"/>
      <c r="AC5" s="93"/>
      <c r="AD5" s="93"/>
      <c r="AE5" s="93"/>
      <c r="AF5" s="93"/>
      <c r="AG5" s="93"/>
      <c r="AH5" s="93"/>
      <c r="AI5" s="93"/>
    </row>
    <row r="6" spans="1:35">
      <c r="A6" s="93"/>
      <c r="B6" s="93"/>
      <c r="C6" s="93"/>
      <c r="D6" s="93"/>
      <c r="E6" s="93"/>
      <c r="F6" s="93"/>
      <c r="G6" s="93"/>
      <c r="H6" s="93"/>
      <c r="I6" s="93"/>
      <c r="J6" s="93"/>
      <c r="K6" s="93"/>
      <c r="L6" s="93"/>
      <c r="M6" s="93"/>
      <c r="N6" s="93"/>
      <c r="O6" s="93"/>
      <c r="P6" s="93"/>
      <c r="Q6" s="93"/>
      <c r="R6" s="93"/>
      <c r="S6" s="93"/>
      <c r="T6" s="93"/>
      <c r="U6" s="93"/>
      <c r="V6" s="93"/>
      <c r="W6" s="93"/>
      <c r="X6" s="93"/>
      <c r="Y6" s="93"/>
      <c r="Z6" s="93"/>
      <c r="AA6" s="93"/>
      <c r="AB6" s="93"/>
      <c r="AC6" s="93"/>
      <c r="AD6" s="93"/>
      <c r="AE6" s="93"/>
      <c r="AF6" s="93"/>
      <c r="AG6" s="93"/>
      <c r="AH6" s="93"/>
      <c r="AI6" s="93"/>
    </row>
    <row r="7" spans="1:35">
      <c r="A7" s="93"/>
      <c r="B7" s="93"/>
      <c r="C7" s="93"/>
      <c r="D7" s="93"/>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row>
    <row r="8" spans="1:35">
      <c r="A8" s="93"/>
      <c r="B8" s="93"/>
      <c r="C8" s="93"/>
      <c r="D8" s="93"/>
      <c r="E8" s="93"/>
      <c r="F8" s="93"/>
      <c r="G8" s="93"/>
      <c r="H8" s="93"/>
      <c r="I8" s="93"/>
      <c r="J8" s="93"/>
      <c r="K8" s="93"/>
      <c r="L8" s="93"/>
      <c r="M8" s="93"/>
      <c r="N8" s="93"/>
      <c r="O8" s="93"/>
      <c r="P8" s="93"/>
      <c r="Q8" s="93"/>
      <c r="R8" s="93"/>
      <c r="S8" s="93"/>
      <c r="T8" s="93"/>
      <c r="U8" s="93"/>
      <c r="V8" s="93"/>
      <c r="W8" s="93"/>
      <c r="X8" s="93"/>
      <c r="Y8" s="93"/>
      <c r="Z8" s="93"/>
      <c r="AA8" s="93"/>
      <c r="AB8" s="93"/>
      <c r="AC8" s="93"/>
      <c r="AD8" s="93"/>
      <c r="AE8" s="93"/>
      <c r="AF8" s="93"/>
      <c r="AG8" s="93"/>
      <c r="AH8" s="93"/>
      <c r="AI8" s="93"/>
    </row>
    <row r="9" spans="1:35">
      <c r="A9" s="93"/>
      <c r="B9" s="93"/>
      <c r="C9" s="93"/>
      <c r="D9" s="93"/>
      <c r="E9" s="93"/>
      <c r="F9" s="93"/>
      <c r="G9" s="93"/>
      <c r="H9" s="93"/>
      <c r="I9" s="93"/>
      <c r="J9" s="93"/>
      <c r="K9" s="93"/>
      <c r="L9" s="93"/>
      <c r="M9" s="93"/>
      <c r="N9" s="93"/>
      <c r="O9" s="93"/>
      <c r="P9" s="93"/>
      <c r="Q9" s="93"/>
      <c r="R9" s="93"/>
      <c r="S9" s="93"/>
      <c r="T9" s="93"/>
      <c r="U9" s="93"/>
      <c r="V9" s="93"/>
      <c r="W9" s="93"/>
      <c r="X9" s="93"/>
      <c r="Y9" s="93"/>
      <c r="Z9" s="93"/>
      <c r="AA9" s="93"/>
      <c r="AB9" s="93"/>
      <c r="AC9" s="93"/>
      <c r="AD9" s="93"/>
      <c r="AE9" s="93"/>
      <c r="AF9" s="93"/>
      <c r="AG9" s="93"/>
      <c r="AH9" s="93"/>
      <c r="AI9" s="93"/>
    </row>
    <row r="10" spans="1:35">
      <c r="A10" s="93"/>
      <c r="B10" s="93"/>
      <c r="C10" s="93"/>
      <c r="D10" s="93"/>
      <c r="E10" s="93"/>
      <c r="F10" s="93"/>
      <c r="G10" s="93"/>
      <c r="H10" s="93"/>
      <c r="I10" s="93"/>
      <c r="J10" s="93"/>
      <c r="K10" s="93"/>
      <c r="L10" s="93"/>
      <c r="M10" s="93"/>
      <c r="N10" s="93"/>
      <c r="O10" s="93"/>
      <c r="P10" s="93"/>
      <c r="Q10" s="93"/>
      <c r="R10" s="93"/>
      <c r="S10" s="93"/>
      <c r="T10" s="93"/>
      <c r="U10" s="93"/>
      <c r="V10" s="93"/>
      <c r="W10" s="93"/>
      <c r="X10" s="93"/>
      <c r="Y10" s="93"/>
      <c r="Z10" s="93"/>
      <c r="AA10" s="93"/>
      <c r="AB10" s="93"/>
      <c r="AC10" s="93"/>
      <c r="AD10" s="93"/>
      <c r="AE10" s="93"/>
      <c r="AF10" s="93"/>
      <c r="AG10" s="93"/>
      <c r="AH10" s="93"/>
      <c r="AI10" s="93"/>
    </row>
    <row r="11" spans="1:35">
      <c r="A11" s="93"/>
      <c r="B11" s="93"/>
      <c r="C11" s="93"/>
      <c r="D11" s="93"/>
      <c r="E11" s="93"/>
      <c r="F11" s="93"/>
      <c r="G11" s="93"/>
      <c r="H11" s="93"/>
      <c r="I11" s="93"/>
      <c r="J11" s="93"/>
      <c r="K11" s="93"/>
      <c r="L11" s="93"/>
      <c r="M11" s="93"/>
      <c r="N11" s="93"/>
      <c r="O11" s="93"/>
      <c r="P11" s="93"/>
      <c r="Q11" s="93"/>
      <c r="R11" s="93"/>
      <c r="S11" s="93"/>
      <c r="T11" s="93"/>
      <c r="U11" s="93"/>
      <c r="V11" s="93"/>
      <c r="W11" s="93"/>
      <c r="X11" s="93"/>
      <c r="Y11" s="93"/>
      <c r="Z11" s="93"/>
      <c r="AA11" s="93"/>
      <c r="AB11" s="93"/>
      <c r="AC11" s="93"/>
      <c r="AD11" s="93"/>
      <c r="AE11" s="93"/>
      <c r="AF11" s="93"/>
      <c r="AG11" s="93"/>
      <c r="AH11" s="93"/>
      <c r="AI11" s="93"/>
    </row>
    <row r="12" spans="1:35">
      <c r="A12" s="93"/>
      <c r="B12" s="93"/>
      <c r="C12" s="93"/>
      <c r="D12" s="93"/>
      <c r="E12" s="93"/>
      <c r="F12" s="93"/>
      <c r="G12" s="93"/>
      <c r="H12" s="93"/>
      <c r="I12" s="93"/>
      <c r="J12" s="93"/>
      <c r="K12" s="93"/>
      <c r="L12" s="93"/>
      <c r="M12" s="93"/>
      <c r="N12" s="93"/>
      <c r="O12" s="93"/>
      <c r="P12" s="93"/>
      <c r="Q12" s="93"/>
      <c r="R12" s="93"/>
      <c r="S12" s="93"/>
      <c r="T12" s="93"/>
      <c r="U12" s="93"/>
      <c r="V12" s="93"/>
      <c r="W12" s="93"/>
      <c r="X12" s="93"/>
      <c r="Y12" s="93"/>
      <c r="Z12" s="93"/>
      <c r="AA12" s="93"/>
      <c r="AB12" s="93"/>
      <c r="AC12" s="93"/>
      <c r="AD12" s="93"/>
      <c r="AE12" s="93"/>
      <c r="AF12" s="93"/>
      <c r="AG12" s="93"/>
      <c r="AH12" s="93"/>
      <c r="AI12" s="93"/>
    </row>
    <row r="13" spans="1:35">
      <c r="A13" s="93"/>
      <c r="B13" s="93"/>
      <c r="C13" s="93"/>
      <c r="D13" s="93"/>
      <c r="E13" s="93"/>
      <c r="F13" s="93"/>
      <c r="G13" s="93"/>
      <c r="H13" s="93"/>
      <c r="I13" s="93"/>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row>
    <row r="14" spans="1:35">
      <c r="A14" s="93"/>
      <c r="B14" s="93"/>
      <c r="C14" s="93"/>
      <c r="D14" s="93"/>
      <c r="E14" s="93"/>
      <c r="F14" s="93"/>
      <c r="G14" s="93"/>
      <c r="H14" s="93"/>
      <c r="I14" s="93"/>
      <c r="J14" s="93"/>
      <c r="K14" s="93"/>
      <c r="L14" s="93"/>
      <c r="M14" s="93"/>
      <c r="N14" s="93"/>
      <c r="O14" s="93"/>
      <c r="P14" s="93"/>
      <c r="Q14" s="93"/>
      <c r="R14" s="93"/>
      <c r="S14" s="93"/>
      <c r="T14" s="93"/>
      <c r="U14" s="93"/>
      <c r="V14" s="93"/>
      <c r="W14" s="93"/>
      <c r="X14" s="93"/>
      <c r="Y14" s="93"/>
      <c r="Z14" s="93"/>
      <c r="AA14" s="93"/>
      <c r="AB14" s="93"/>
      <c r="AC14" s="93"/>
      <c r="AD14" s="93"/>
      <c r="AE14" s="93"/>
      <c r="AF14" s="93"/>
      <c r="AG14" s="93"/>
      <c r="AH14" s="93"/>
      <c r="AI14" s="93"/>
    </row>
    <row r="15" spans="1:35">
      <c r="A15" s="93"/>
      <c r="B15" s="93"/>
      <c r="C15" s="93"/>
      <c r="D15" s="93"/>
      <c r="E15" s="93"/>
      <c r="F15" s="93"/>
      <c r="G15" s="93"/>
      <c r="H15" s="93"/>
      <c r="I15" s="93"/>
      <c r="J15" s="93"/>
      <c r="K15" s="93"/>
      <c r="L15" s="93"/>
      <c r="M15" s="93"/>
      <c r="N15" s="93"/>
      <c r="O15" s="93"/>
      <c r="P15" s="93"/>
      <c r="Q15" s="93"/>
      <c r="R15" s="93"/>
      <c r="S15" s="93"/>
      <c r="T15" s="93"/>
      <c r="U15" s="93"/>
      <c r="V15" s="93"/>
      <c r="W15" s="93"/>
      <c r="X15" s="93"/>
      <c r="Y15" s="93"/>
      <c r="Z15" s="93"/>
      <c r="AA15" s="93"/>
      <c r="AB15" s="93"/>
      <c r="AC15" s="93"/>
      <c r="AD15" s="93"/>
      <c r="AE15" s="93"/>
      <c r="AF15" s="93"/>
      <c r="AG15" s="93"/>
      <c r="AH15" s="93"/>
      <c r="AI15" s="93"/>
    </row>
    <row r="16" spans="1:35">
      <c r="A16" s="93"/>
      <c r="B16" s="93"/>
      <c r="C16" s="93"/>
      <c r="D16" s="93"/>
      <c r="E16" s="93"/>
      <c r="F16" s="93"/>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row>
    <row r="17" spans="1:35">
      <c r="A17" s="93"/>
      <c r="B17" s="93"/>
      <c r="C17" s="93"/>
      <c r="D17" s="93"/>
      <c r="E17" s="93"/>
      <c r="F17" s="93"/>
      <c r="G17" s="93"/>
      <c r="H17" s="93"/>
      <c r="I17" s="93"/>
      <c r="J17" s="93"/>
      <c r="K17" s="93"/>
      <c r="L17" s="93"/>
      <c r="M17" s="93"/>
      <c r="N17" s="93"/>
      <c r="O17" s="93"/>
      <c r="P17" s="93"/>
      <c r="Q17" s="93"/>
      <c r="R17" s="93"/>
      <c r="S17" s="93"/>
      <c r="T17" s="93"/>
      <c r="U17" s="93"/>
      <c r="V17" s="93"/>
      <c r="W17" s="93"/>
      <c r="X17" s="93"/>
      <c r="Y17" s="93"/>
      <c r="Z17" s="93"/>
      <c r="AA17" s="93"/>
      <c r="AB17" s="93"/>
      <c r="AC17" s="93"/>
      <c r="AD17" s="93"/>
      <c r="AE17" s="93"/>
      <c r="AF17" s="93"/>
      <c r="AG17" s="93"/>
      <c r="AH17" s="93"/>
      <c r="AI17" s="93"/>
    </row>
    <row r="18" spans="1:35">
      <c r="A18" s="93"/>
      <c r="B18" s="93"/>
      <c r="C18" s="93"/>
      <c r="D18" s="93"/>
      <c r="E18" s="93"/>
      <c r="F18" s="93"/>
      <c r="G18" s="93"/>
      <c r="H18" s="93"/>
      <c r="I18" s="93"/>
      <c r="J18" s="93"/>
      <c r="K18" s="93"/>
      <c r="L18" s="93"/>
      <c r="M18" s="93"/>
      <c r="N18" s="93"/>
      <c r="O18" s="93"/>
      <c r="P18" s="93"/>
      <c r="Q18" s="93"/>
      <c r="R18" s="93"/>
      <c r="S18" s="93"/>
      <c r="T18" s="93"/>
      <c r="U18" s="93"/>
      <c r="V18" s="93"/>
      <c r="W18" s="93"/>
      <c r="X18" s="93"/>
      <c r="Y18" s="93"/>
      <c r="Z18" s="93"/>
      <c r="AA18" s="93"/>
      <c r="AB18" s="93"/>
      <c r="AC18" s="93"/>
      <c r="AD18" s="93"/>
      <c r="AE18" s="93"/>
      <c r="AF18" s="93"/>
      <c r="AG18" s="93"/>
      <c r="AH18" s="93"/>
      <c r="AI18" s="93"/>
    </row>
    <row r="19" spans="1:35">
      <c r="A19" s="93"/>
      <c r="B19" s="93"/>
      <c r="C19" s="93"/>
      <c r="D19" s="93"/>
      <c r="E19" s="93"/>
      <c r="F19" s="93"/>
      <c r="G19" s="93"/>
      <c r="H19" s="93"/>
      <c r="I19" s="93"/>
      <c r="J19" s="93"/>
      <c r="K19" s="93"/>
      <c r="L19" s="93"/>
      <c r="M19" s="93"/>
      <c r="N19" s="93"/>
      <c r="O19" s="93"/>
      <c r="P19" s="93"/>
      <c r="Q19" s="93"/>
      <c r="R19" s="93"/>
      <c r="S19" s="93"/>
      <c r="T19" s="93"/>
      <c r="U19" s="93"/>
      <c r="V19" s="93"/>
      <c r="W19" s="93"/>
      <c r="X19" s="93"/>
      <c r="Y19" s="93"/>
      <c r="Z19" s="93"/>
      <c r="AA19" s="93"/>
      <c r="AB19" s="93"/>
      <c r="AC19" s="93"/>
      <c r="AD19" s="93"/>
      <c r="AE19" s="93"/>
      <c r="AF19" s="93"/>
      <c r="AG19" s="93"/>
      <c r="AH19" s="93"/>
      <c r="AI19" s="93"/>
    </row>
    <row r="20" spans="1:35">
      <c r="A20" s="93"/>
      <c r="B20" s="93"/>
      <c r="C20" s="93"/>
      <c r="D20" s="93"/>
      <c r="E20" s="93"/>
      <c r="F20" s="93"/>
      <c r="G20" s="93"/>
      <c r="H20" s="93"/>
      <c r="I20" s="93"/>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row>
    <row r="21" spans="1:35">
      <c r="A21" s="93"/>
      <c r="B21" s="93"/>
      <c r="C21" s="93"/>
      <c r="D21" s="93"/>
      <c r="E21" s="93"/>
      <c r="F21" s="93"/>
      <c r="G21" s="93"/>
      <c r="H21" s="93"/>
      <c r="I21" s="93"/>
      <c r="J21" s="93"/>
      <c r="K21" s="93"/>
      <c r="L21" s="93"/>
      <c r="M21" s="93"/>
      <c r="N21" s="93"/>
      <c r="O21" s="93"/>
      <c r="P21" s="93"/>
      <c r="Q21" s="93"/>
      <c r="R21" s="93"/>
      <c r="S21" s="93"/>
      <c r="T21" s="93"/>
      <c r="U21" s="93"/>
      <c r="V21" s="93"/>
      <c r="W21" s="93"/>
      <c r="X21" s="93"/>
      <c r="Y21" s="93"/>
      <c r="Z21" s="93"/>
      <c r="AA21" s="93"/>
      <c r="AB21" s="93"/>
      <c r="AC21" s="93"/>
      <c r="AD21" s="93"/>
      <c r="AE21" s="93"/>
      <c r="AF21" s="93"/>
      <c r="AG21" s="93"/>
      <c r="AH21" s="93"/>
      <c r="AI21" s="93"/>
    </row>
    <row r="22" spans="1:35">
      <c r="A22" s="93"/>
      <c r="B22" s="93"/>
      <c r="C22" s="93"/>
      <c r="D22" s="93"/>
      <c r="E22" s="93"/>
      <c r="F22" s="93"/>
      <c r="G22" s="93"/>
      <c r="H22" s="93"/>
      <c r="I22" s="93"/>
      <c r="J22" s="93"/>
      <c r="K22" s="93"/>
      <c r="L22" s="93"/>
      <c r="M22" s="93"/>
      <c r="N22" s="93"/>
      <c r="O22" s="93"/>
      <c r="P22" s="93"/>
      <c r="Q22" s="93"/>
      <c r="R22" s="93"/>
      <c r="S22" s="93"/>
      <c r="T22" s="93"/>
      <c r="U22" s="93"/>
      <c r="V22" s="93"/>
      <c r="W22" s="93"/>
      <c r="X22" s="93"/>
      <c r="Y22" s="93"/>
      <c r="Z22" s="93"/>
      <c r="AA22" s="93"/>
      <c r="AB22" s="93"/>
      <c r="AC22" s="93"/>
      <c r="AD22" s="93"/>
      <c r="AE22" s="93"/>
      <c r="AF22" s="93"/>
      <c r="AG22" s="93"/>
      <c r="AH22" s="93"/>
      <c r="AI22" s="93"/>
    </row>
    <row r="23" spans="1:35">
      <c r="A23" s="93"/>
      <c r="B23" s="93"/>
      <c r="C23" s="93"/>
      <c r="D23" s="93"/>
      <c r="E23" s="93"/>
      <c r="F23" s="93"/>
      <c r="G23" s="93"/>
      <c r="H23" s="93"/>
      <c r="I23" s="93"/>
      <c r="J23" s="93"/>
      <c r="K23" s="93"/>
      <c r="L23" s="93"/>
      <c r="M23" s="93"/>
      <c r="N23" s="93"/>
      <c r="O23" s="93"/>
      <c r="P23" s="93"/>
      <c r="Q23" s="93"/>
      <c r="R23" s="93"/>
      <c r="S23" s="93"/>
      <c r="T23" s="93"/>
      <c r="U23" s="93"/>
      <c r="V23" s="93"/>
      <c r="W23" s="93"/>
      <c r="X23" s="93"/>
      <c r="Y23" s="93"/>
      <c r="Z23" s="93"/>
      <c r="AA23" s="93"/>
      <c r="AB23" s="93"/>
      <c r="AC23" s="93"/>
      <c r="AD23" s="93"/>
      <c r="AE23" s="93"/>
      <c r="AF23" s="93"/>
      <c r="AG23" s="93"/>
      <c r="AH23" s="93"/>
      <c r="AI23" s="93"/>
    </row>
    <row r="24" spans="1:35">
      <c r="A24" s="93"/>
      <c r="B24" s="93"/>
      <c r="C24" s="93"/>
      <c r="D24" s="93"/>
      <c r="E24" s="93"/>
      <c r="F24" s="93"/>
      <c r="G24" s="93"/>
      <c r="H24" s="93"/>
      <c r="I24" s="93"/>
      <c r="J24" s="93"/>
      <c r="K24" s="93"/>
      <c r="L24" s="93"/>
      <c r="M24" s="93"/>
      <c r="N24" s="93"/>
      <c r="O24" s="93"/>
      <c r="P24" s="93"/>
      <c r="Q24" s="93"/>
      <c r="R24" s="93"/>
      <c r="S24" s="93"/>
      <c r="T24" s="93"/>
      <c r="U24" s="93"/>
      <c r="V24" s="93"/>
      <c r="W24" s="93"/>
      <c r="X24" s="93"/>
      <c r="Y24" s="93"/>
      <c r="Z24" s="93"/>
      <c r="AA24" s="93"/>
      <c r="AB24" s="93"/>
      <c r="AC24" s="93"/>
      <c r="AD24" s="93"/>
      <c r="AE24" s="93"/>
      <c r="AF24" s="93"/>
      <c r="AG24" s="93"/>
      <c r="AH24" s="93"/>
      <c r="AI24" s="93"/>
    </row>
    <row r="25" spans="1:35">
      <c r="A25" s="93"/>
      <c r="B25" s="93"/>
      <c r="C25" s="93"/>
      <c r="D25" s="93"/>
      <c r="E25" s="93"/>
      <c r="F25" s="93"/>
      <c r="G25" s="93"/>
      <c r="H25" s="93"/>
      <c r="I25" s="93"/>
      <c r="J25" s="93"/>
      <c r="K25" s="93"/>
      <c r="L25" s="93"/>
      <c r="M25" s="93"/>
      <c r="N25" s="93"/>
      <c r="O25" s="93"/>
      <c r="P25" s="93"/>
      <c r="Q25" s="93"/>
      <c r="R25" s="93"/>
      <c r="S25" s="93"/>
      <c r="T25" s="93"/>
      <c r="U25" s="93"/>
      <c r="V25" s="93"/>
      <c r="W25" s="93"/>
      <c r="X25" s="93"/>
      <c r="Y25" s="93"/>
      <c r="Z25" s="93"/>
      <c r="AA25" s="93"/>
      <c r="AB25" s="93"/>
      <c r="AC25" s="93"/>
      <c r="AD25" s="93"/>
      <c r="AE25" s="93"/>
      <c r="AF25" s="93"/>
      <c r="AG25" s="93"/>
      <c r="AH25" s="93"/>
      <c r="AI25" s="93"/>
    </row>
    <row r="26" spans="1:35">
      <c r="A26" s="93"/>
      <c r="B26" s="93"/>
      <c r="C26" s="93"/>
      <c r="D26" s="93"/>
      <c r="E26" s="93"/>
      <c r="F26" s="93"/>
      <c r="G26" s="93"/>
      <c r="H26" s="93"/>
      <c r="I26" s="93"/>
      <c r="J26" s="93"/>
      <c r="K26" s="93"/>
      <c r="L26" s="93"/>
      <c r="M26" s="93"/>
      <c r="N26" s="93"/>
      <c r="O26" s="93"/>
      <c r="P26" s="93"/>
      <c r="Q26" s="93"/>
      <c r="R26" s="93"/>
      <c r="S26" s="93"/>
      <c r="T26" s="93"/>
      <c r="U26" s="93"/>
      <c r="V26" s="93"/>
      <c r="W26" s="93"/>
      <c r="X26" s="93"/>
      <c r="Y26" s="93"/>
      <c r="Z26" s="93"/>
      <c r="AA26" s="93"/>
      <c r="AB26" s="93"/>
      <c r="AC26" s="93"/>
      <c r="AD26" s="93"/>
      <c r="AE26" s="93"/>
      <c r="AF26" s="93"/>
      <c r="AG26" s="93"/>
      <c r="AH26" s="93"/>
      <c r="AI26" s="93"/>
    </row>
    <row r="27" spans="1:35">
      <c r="A27" s="93"/>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c r="AB27" s="93"/>
      <c r="AC27" s="93"/>
      <c r="AD27" s="93"/>
      <c r="AE27" s="93"/>
      <c r="AF27" s="93"/>
      <c r="AG27" s="93"/>
      <c r="AH27" s="93"/>
      <c r="AI27" s="93"/>
    </row>
    <row r="28" spans="1:35">
      <c r="A28" s="93"/>
      <c r="B28" s="93"/>
      <c r="C28" s="93"/>
      <c r="D28" s="93"/>
      <c r="E28" s="93"/>
      <c r="F28" s="93"/>
      <c r="G28" s="93"/>
      <c r="H28" s="93"/>
      <c r="I28" s="93"/>
      <c r="J28" s="93"/>
      <c r="K28" s="93"/>
      <c r="L28" s="93"/>
      <c r="M28" s="93"/>
      <c r="N28" s="93"/>
      <c r="O28" s="93"/>
      <c r="P28" s="93"/>
      <c r="Q28" s="93"/>
      <c r="R28" s="93"/>
      <c r="S28" s="93"/>
      <c r="T28" s="93"/>
      <c r="U28" s="93"/>
      <c r="V28" s="93"/>
      <c r="W28" s="93"/>
      <c r="X28" s="93"/>
      <c r="Y28" s="93"/>
      <c r="Z28" s="93"/>
      <c r="AA28" s="93"/>
      <c r="AB28" s="93"/>
      <c r="AC28" s="93"/>
      <c r="AD28" s="93"/>
      <c r="AE28" s="93"/>
      <c r="AF28" s="93"/>
      <c r="AG28" s="93"/>
      <c r="AH28" s="93"/>
      <c r="AI28" s="93"/>
    </row>
    <row r="29" spans="1:35">
      <c r="A29" s="93"/>
      <c r="B29" s="93"/>
      <c r="C29" s="93"/>
      <c r="D29" s="93"/>
      <c r="E29" s="93"/>
      <c r="F29" s="93"/>
      <c r="G29" s="93"/>
      <c r="H29" s="93"/>
      <c r="I29" s="93"/>
      <c r="J29" s="93"/>
      <c r="K29" s="93"/>
      <c r="L29" s="93"/>
      <c r="M29" s="93"/>
      <c r="N29" s="93"/>
      <c r="O29" s="93"/>
      <c r="P29" s="93"/>
      <c r="Q29" s="93"/>
      <c r="R29" s="93"/>
      <c r="S29" s="93"/>
      <c r="T29" s="93"/>
      <c r="U29" s="93"/>
      <c r="V29" s="93"/>
      <c r="W29" s="93"/>
      <c r="X29" s="93"/>
      <c r="Y29" s="93"/>
      <c r="Z29" s="93"/>
      <c r="AA29" s="93"/>
      <c r="AB29" s="93"/>
      <c r="AC29" s="93"/>
      <c r="AD29" s="93"/>
      <c r="AE29" s="93"/>
      <c r="AF29" s="93"/>
      <c r="AG29" s="93"/>
      <c r="AH29" s="93"/>
      <c r="AI29" s="93"/>
    </row>
    <row r="30" spans="1:35">
      <c r="A30" s="93"/>
      <c r="B30" s="93"/>
      <c r="C30" s="93"/>
      <c r="D30" s="93"/>
      <c r="E30" s="93"/>
      <c r="F30" s="93"/>
      <c r="G30" s="93"/>
      <c r="H30" s="93"/>
      <c r="I30" s="93"/>
      <c r="J30" s="93"/>
      <c r="K30" s="93"/>
      <c r="L30" s="93"/>
      <c r="M30" s="93"/>
      <c r="N30" s="93"/>
      <c r="O30" s="93"/>
      <c r="P30" s="93"/>
      <c r="Q30" s="93"/>
      <c r="R30" s="93"/>
      <c r="S30" s="93"/>
      <c r="T30" s="93"/>
      <c r="U30" s="93"/>
      <c r="V30" s="93"/>
      <c r="W30" s="93"/>
      <c r="X30" s="93"/>
      <c r="Y30" s="93"/>
      <c r="Z30" s="93"/>
      <c r="AA30" s="93"/>
      <c r="AB30" s="93"/>
      <c r="AC30" s="93"/>
      <c r="AD30" s="93"/>
      <c r="AE30" s="93"/>
      <c r="AF30" s="93"/>
      <c r="AG30" s="93"/>
      <c r="AH30" s="93"/>
      <c r="AI30" s="93"/>
    </row>
    <row r="31" spans="1:35">
      <c r="A31" s="93"/>
      <c r="B31" s="93"/>
      <c r="C31" s="93"/>
      <c r="D31" s="93"/>
      <c r="E31" s="93"/>
      <c r="F31" s="93"/>
      <c r="G31" s="93"/>
      <c r="H31" s="93"/>
      <c r="I31" s="93"/>
      <c r="J31" s="93"/>
      <c r="K31" s="93"/>
      <c r="L31" s="93"/>
      <c r="M31" s="93"/>
      <c r="N31" s="93"/>
      <c r="O31" s="93"/>
      <c r="P31" s="93"/>
      <c r="Q31" s="93"/>
      <c r="R31" s="93"/>
      <c r="S31" s="93"/>
      <c r="T31" s="93"/>
      <c r="U31" s="93"/>
      <c r="V31" s="93"/>
      <c r="W31" s="93"/>
      <c r="X31" s="93"/>
      <c r="Y31" s="93"/>
      <c r="Z31" s="93"/>
      <c r="AA31" s="93"/>
      <c r="AB31" s="93"/>
      <c r="AC31" s="93"/>
      <c r="AD31" s="93"/>
      <c r="AE31" s="93"/>
      <c r="AF31" s="93"/>
      <c r="AG31" s="93"/>
      <c r="AH31" s="93"/>
      <c r="AI31" s="93"/>
    </row>
    <row r="32" spans="1:35">
      <c r="A32" s="93"/>
      <c r="B32" s="93"/>
      <c r="C32" s="93"/>
      <c r="D32" s="93"/>
      <c r="E32" s="93"/>
      <c r="F32" s="93"/>
      <c r="G32" s="93"/>
      <c r="H32" s="93"/>
      <c r="I32" s="93"/>
      <c r="J32" s="93"/>
      <c r="K32" s="93"/>
      <c r="L32" s="93"/>
      <c r="M32" s="93"/>
      <c r="N32" s="93"/>
      <c r="O32" s="93"/>
      <c r="P32" s="93"/>
      <c r="Q32" s="93"/>
      <c r="R32" s="93"/>
      <c r="S32" s="93"/>
      <c r="T32" s="93"/>
      <c r="U32" s="93"/>
      <c r="V32" s="93"/>
      <c r="W32" s="93"/>
      <c r="X32" s="93"/>
      <c r="Y32" s="93"/>
      <c r="Z32" s="93"/>
      <c r="AA32" s="93"/>
      <c r="AB32" s="93"/>
      <c r="AC32" s="93"/>
      <c r="AD32" s="93"/>
      <c r="AE32" s="93"/>
      <c r="AF32" s="93"/>
      <c r="AG32" s="93"/>
      <c r="AH32" s="93"/>
      <c r="AI32" s="93"/>
    </row>
    <row r="33" spans="1:35">
      <c r="A33" s="93"/>
      <c r="B33" s="93" t="s">
        <v>830</v>
      </c>
      <c r="C33" s="93"/>
      <c r="D33" s="93"/>
      <c r="E33" s="93"/>
      <c r="F33" s="93"/>
      <c r="G33" s="93"/>
      <c r="H33" s="93"/>
      <c r="I33" s="93" t="s">
        <v>831</v>
      </c>
      <c r="J33" s="93"/>
      <c r="K33" s="93"/>
      <c r="L33" s="93"/>
      <c r="M33" s="93"/>
      <c r="N33" s="93"/>
      <c r="O33" s="93"/>
      <c r="P33" s="93" t="s">
        <v>832</v>
      </c>
      <c r="Q33" s="93"/>
      <c r="R33" s="93"/>
      <c r="S33" s="93"/>
      <c r="T33" s="93"/>
      <c r="U33" s="93"/>
      <c r="V33" s="93"/>
      <c r="W33" s="93" t="s">
        <v>833</v>
      </c>
      <c r="X33" s="93"/>
      <c r="Y33" s="93"/>
      <c r="Z33" s="93"/>
      <c r="AA33" s="93"/>
      <c r="AB33" s="93"/>
      <c r="AC33" s="93"/>
      <c r="AD33" s="93"/>
      <c r="AE33" s="93"/>
      <c r="AF33" s="93"/>
      <c r="AG33" s="93"/>
      <c r="AH33" s="93"/>
      <c r="AI33" s="93"/>
    </row>
    <row r="34" spans="1:35" ht="34.5" customHeight="1">
      <c r="A34" s="93"/>
      <c r="B34" s="382" t="str">
        <f>'Economic Assumptions'!B4</f>
        <v>Base</v>
      </c>
      <c r="C34" s="382" t="str">
        <f>'Economic Assumptions'!L4</f>
        <v>Base +1.5% /y</v>
      </c>
      <c r="D34" s="382" t="str">
        <f>'Economic Assumptions'!V4</f>
        <v>Base + 3%/y</v>
      </c>
      <c r="E34" s="382" t="str">
        <f>'Economic Assumptions'!AF4</f>
        <v>Base - 1.5%/y</v>
      </c>
      <c r="F34" s="382" t="str">
        <f>'Economic Assumptions'!AP4</f>
        <v>Flat Real</v>
      </c>
      <c r="G34" s="383"/>
      <c r="H34" s="93"/>
      <c r="I34" s="382" t="str">
        <f>B34</f>
        <v>Base</v>
      </c>
      <c r="J34" s="382" t="str">
        <f>C34</f>
        <v>Base +1.5% /y</v>
      </c>
      <c r="K34" s="382" t="str">
        <f>D34</f>
        <v>Base + 3%/y</v>
      </c>
      <c r="L34" s="382" t="str">
        <f>E34</f>
        <v>Base - 1.5%/y</v>
      </c>
      <c r="M34" s="382" t="str">
        <f>F34</f>
        <v>Flat Real</v>
      </c>
      <c r="N34" s="383"/>
      <c r="O34" s="93"/>
      <c r="P34" s="382" t="str">
        <f>I34</f>
        <v>Base</v>
      </c>
      <c r="Q34" s="382" t="str">
        <f>J34</f>
        <v>Base +1.5% /y</v>
      </c>
      <c r="R34" s="382" t="str">
        <f>K34</f>
        <v>Base + 3%/y</v>
      </c>
      <c r="S34" s="382" t="str">
        <f>L34</f>
        <v>Base - 1.5%/y</v>
      </c>
      <c r="T34" s="382" t="str">
        <f>M34</f>
        <v>Flat Real</v>
      </c>
      <c r="U34" s="93"/>
      <c r="V34" s="93"/>
      <c r="W34" s="382" t="str">
        <f>P34</f>
        <v>Base</v>
      </c>
      <c r="X34" s="382" t="str">
        <f>Q34</f>
        <v>Base +1.5% /y</v>
      </c>
      <c r="Y34" s="382" t="str">
        <f>R34</f>
        <v>Base + 3%/y</v>
      </c>
      <c r="Z34" s="382" t="str">
        <f>S34</f>
        <v>Base - 1.5%/y</v>
      </c>
      <c r="AA34" s="382" t="str">
        <f>T34</f>
        <v>Flat Real</v>
      </c>
      <c r="AB34" s="93"/>
      <c r="AC34" s="93"/>
      <c r="AD34" s="93"/>
      <c r="AE34" s="93"/>
      <c r="AF34" s="93"/>
      <c r="AG34" s="93"/>
      <c r="AH34" s="93"/>
      <c r="AI34" s="93"/>
    </row>
    <row r="35" spans="1:35">
      <c r="A35" s="157">
        <f>'Economic Assumptions'!A12</f>
        <v>2012</v>
      </c>
      <c r="B35" s="202">
        <f>'Economic Assumptions'!C12</f>
        <v>104</v>
      </c>
      <c r="C35" s="202">
        <f>'Economic Assumptions'!M12</f>
        <v>104</v>
      </c>
      <c r="D35" s="202">
        <f>'Economic Assumptions'!W12</f>
        <v>104</v>
      </c>
      <c r="E35" s="202">
        <f>'Economic Assumptions'!AG12</f>
        <v>104</v>
      </c>
      <c r="F35" s="202">
        <f>'Economic Assumptions'!AQ12</f>
        <v>104</v>
      </c>
      <c r="G35" s="227"/>
      <c r="H35" s="157">
        <f>A35</f>
        <v>2012</v>
      </c>
      <c r="I35" s="202">
        <f>'Economic Assumptions'!I12</f>
        <v>104</v>
      </c>
      <c r="J35" s="202">
        <f>'Economic Assumptions'!S12</f>
        <v>104</v>
      </c>
      <c r="K35" s="202">
        <f>'Economic Assumptions'!AC12</f>
        <v>104</v>
      </c>
      <c r="L35" s="202">
        <f>'Economic Assumptions'!AM12</f>
        <v>104</v>
      </c>
      <c r="M35" s="202">
        <f>'Economic Assumptions'!AW12</f>
        <v>104</v>
      </c>
      <c r="N35" s="227"/>
      <c r="O35" s="157">
        <f>H35</f>
        <v>2012</v>
      </c>
      <c r="P35" s="384">
        <f>'Economic Assumptions'!D12</f>
        <v>2.6</v>
      </c>
      <c r="Q35" s="384">
        <f>'Economic Assumptions'!N12</f>
        <v>2.6</v>
      </c>
      <c r="R35" s="384">
        <f>'Economic Assumptions'!X12</f>
        <v>2.6</v>
      </c>
      <c r="S35" s="384">
        <f>'Economic Assumptions'!AH12</f>
        <v>2.6</v>
      </c>
      <c r="T35" s="384">
        <f>'Economic Assumptions'!AR12</f>
        <v>2.6</v>
      </c>
      <c r="U35" s="93"/>
      <c r="V35" s="157">
        <f>O35</f>
        <v>2012</v>
      </c>
      <c r="W35" s="384">
        <f>'Economic Assumptions'!J12</f>
        <v>2.6</v>
      </c>
      <c r="X35" s="384">
        <f>'Economic Assumptions'!T12</f>
        <v>2.6</v>
      </c>
      <c r="Y35" s="384">
        <f>'Economic Assumptions'!AD12</f>
        <v>2.6</v>
      </c>
      <c r="Z35" s="384">
        <f>'Economic Assumptions'!AN12</f>
        <v>2.6</v>
      </c>
      <c r="AA35" s="384">
        <f>'Economic Assumptions'!AX12</f>
        <v>2.6</v>
      </c>
      <c r="AB35" s="93"/>
      <c r="AC35" s="93"/>
      <c r="AD35" s="93"/>
      <c r="AE35" s="93"/>
      <c r="AF35" s="93"/>
      <c r="AG35" s="93"/>
      <c r="AH35" s="93"/>
      <c r="AI35" s="93"/>
    </row>
    <row r="36" spans="1:35">
      <c r="A36" s="159">
        <f>'Economic Assumptions'!A13</f>
        <v>2013</v>
      </c>
      <c r="B36" s="204">
        <f>'Economic Assumptions'!C13</f>
        <v>104</v>
      </c>
      <c r="C36" s="204">
        <f>'Economic Assumptions'!M13</f>
        <v>104</v>
      </c>
      <c r="D36" s="204">
        <f>'Economic Assumptions'!W13</f>
        <v>104</v>
      </c>
      <c r="E36" s="204">
        <f>'Economic Assumptions'!AG13</f>
        <v>104</v>
      </c>
      <c r="F36" s="204">
        <f>'Economic Assumptions'!AQ13</f>
        <v>104</v>
      </c>
      <c r="G36" s="227"/>
      <c r="H36" s="159">
        <f t="shared" ref="H36:H73" si="0">A36</f>
        <v>2013</v>
      </c>
      <c r="I36" s="204">
        <f>'Economic Assumptions'!I13</f>
        <v>101.46341463414635</v>
      </c>
      <c r="J36" s="204">
        <f>'Economic Assumptions'!S13</f>
        <v>101.46341463414635</v>
      </c>
      <c r="K36" s="204">
        <f>'Economic Assumptions'!AC13</f>
        <v>101.46341463414635</v>
      </c>
      <c r="L36" s="204">
        <f>'Economic Assumptions'!AM13</f>
        <v>101.46341463414635</v>
      </c>
      <c r="M36" s="204">
        <f>'Economic Assumptions'!AW13</f>
        <v>101.46341463414635</v>
      </c>
      <c r="N36" s="227"/>
      <c r="O36" s="159">
        <f t="shared" ref="O36:O73" si="1">H36</f>
        <v>2013</v>
      </c>
      <c r="P36" s="385">
        <f>'Economic Assumptions'!D13</f>
        <v>3.6</v>
      </c>
      <c r="Q36" s="385">
        <f>'Economic Assumptions'!N13</f>
        <v>3.6</v>
      </c>
      <c r="R36" s="385">
        <f>'Economic Assumptions'!X13</f>
        <v>3.6</v>
      </c>
      <c r="S36" s="385">
        <f>'Economic Assumptions'!AH13</f>
        <v>3.6</v>
      </c>
      <c r="T36" s="385">
        <f>'Economic Assumptions'!AR13</f>
        <v>3.6</v>
      </c>
      <c r="U36" s="93"/>
      <c r="V36" s="159">
        <f t="shared" ref="V36:V73" si="2">O36</f>
        <v>2013</v>
      </c>
      <c r="W36" s="385">
        <f>'Economic Assumptions'!J13</f>
        <v>3.51219512195122</v>
      </c>
      <c r="X36" s="385">
        <f>'Economic Assumptions'!T13</f>
        <v>3.51219512195122</v>
      </c>
      <c r="Y36" s="385">
        <f>'Economic Assumptions'!AD13</f>
        <v>3.51219512195122</v>
      </c>
      <c r="Z36" s="385">
        <f>'Economic Assumptions'!AN13</f>
        <v>3.51219512195122</v>
      </c>
      <c r="AA36" s="385">
        <f>'Economic Assumptions'!AX13</f>
        <v>3.51219512195122</v>
      </c>
      <c r="AB36" s="93"/>
      <c r="AC36" s="93"/>
      <c r="AD36" s="93"/>
      <c r="AE36" s="93"/>
      <c r="AF36" s="93"/>
      <c r="AG36" s="93"/>
      <c r="AH36" s="93"/>
      <c r="AI36" s="93"/>
    </row>
    <row r="37" spans="1:35">
      <c r="A37" s="159">
        <f>'Economic Assumptions'!A14</f>
        <v>2014</v>
      </c>
      <c r="B37" s="204">
        <f>'Economic Assumptions'!C14</f>
        <v>98</v>
      </c>
      <c r="C37" s="204">
        <f>'Economic Assumptions'!M14</f>
        <v>98</v>
      </c>
      <c r="D37" s="204">
        <f>'Economic Assumptions'!W14</f>
        <v>98</v>
      </c>
      <c r="E37" s="204">
        <f>'Economic Assumptions'!AG14</f>
        <v>98</v>
      </c>
      <c r="F37" s="204">
        <f>'Economic Assumptions'!AQ14</f>
        <v>98</v>
      </c>
      <c r="G37" s="227"/>
      <c r="H37" s="159">
        <f t="shared" si="0"/>
        <v>2014</v>
      </c>
      <c r="I37" s="204">
        <f>'Economic Assumptions'!I14</f>
        <v>93.277810826888768</v>
      </c>
      <c r="J37" s="204">
        <f>'Economic Assumptions'!S14</f>
        <v>93.277810826888768</v>
      </c>
      <c r="K37" s="204">
        <f>'Economic Assumptions'!AC14</f>
        <v>93.277810826888768</v>
      </c>
      <c r="L37" s="204">
        <f>'Economic Assumptions'!AM14</f>
        <v>93.277810826888768</v>
      </c>
      <c r="M37" s="204">
        <f>'Economic Assumptions'!AW14</f>
        <v>93.277810826888768</v>
      </c>
      <c r="N37" s="227"/>
      <c r="O37" s="159">
        <f t="shared" si="1"/>
        <v>2014</v>
      </c>
      <c r="P37" s="385">
        <f>'Economic Assumptions'!D14</f>
        <v>3.9</v>
      </c>
      <c r="Q37" s="385">
        <f>'Economic Assumptions'!N14</f>
        <v>3.9</v>
      </c>
      <c r="R37" s="385">
        <f>'Economic Assumptions'!X14</f>
        <v>3.9</v>
      </c>
      <c r="S37" s="385">
        <f>'Economic Assumptions'!AH14</f>
        <v>3.9</v>
      </c>
      <c r="T37" s="385">
        <f>'Economic Assumptions'!AR14</f>
        <v>3.9</v>
      </c>
      <c r="U37" s="93"/>
      <c r="V37" s="159">
        <f t="shared" si="2"/>
        <v>2014</v>
      </c>
      <c r="W37" s="385">
        <f>'Economic Assumptions'!J14</f>
        <v>3.7120761451516957</v>
      </c>
      <c r="X37" s="385">
        <f>'Economic Assumptions'!T14</f>
        <v>3.7120761451516957</v>
      </c>
      <c r="Y37" s="385">
        <f>'Economic Assumptions'!AD14</f>
        <v>3.7120761451516957</v>
      </c>
      <c r="Z37" s="385">
        <f>'Economic Assumptions'!AN14</f>
        <v>3.7120761451516957</v>
      </c>
      <c r="AA37" s="385">
        <f>'Economic Assumptions'!AX14</f>
        <v>3.7120761451516957</v>
      </c>
      <c r="AB37" s="93"/>
      <c r="AC37" s="93"/>
      <c r="AD37" s="93"/>
      <c r="AE37" s="93"/>
      <c r="AF37" s="93"/>
      <c r="AG37" s="93"/>
      <c r="AH37" s="93"/>
      <c r="AI37" s="93"/>
    </row>
    <row r="38" spans="1:35">
      <c r="A38" s="159">
        <f>'Economic Assumptions'!A15</f>
        <v>2015</v>
      </c>
      <c r="B38" s="204">
        <f>'Economic Assumptions'!C15</f>
        <v>46</v>
      </c>
      <c r="C38" s="204">
        <f>'Economic Assumptions'!M15</f>
        <v>46</v>
      </c>
      <c r="D38" s="204">
        <f>'Economic Assumptions'!W15</f>
        <v>46</v>
      </c>
      <c r="E38" s="204">
        <f>'Economic Assumptions'!AG15</f>
        <v>46</v>
      </c>
      <c r="F38" s="204">
        <f>'Economic Assumptions'!AQ15</f>
        <v>46</v>
      </c>
      <c r="G38" s="227"/>
      <c r="H38" s="159">
        <f t="shared" si="0"/>
        <v>2015</v>
      </c>
      <c r="I38" s="204">
        <f>'Economic Assumptions'!I15</f>
        <v>42.715572902308452</v>
      </c>
      <c r="J38" s="204">
        <f>'Economic Assumptions'!S15</f>
        <v>42.715572902308452</v>
      </c>
      <c r="K38" s="204">
        <f>'Economic Assumptions'!AC15</f>
        <v>42.715572902308452</v>
      </c>
      <c r="L38" s="204">
        <f>'Economic Assumptions'!AM15</f>
        <v>42.715572902308452</v>
      </c>
      <c r="M38" s="204">
        <f>'Economic Assumptions'!AW15</f>
        <v>42.715572902308452</v>
      </c>
      <c r="N38" s="227"/>
      <c r="O38" s="159">
        <f t="shared" si="1"/>
        <v>2015</v>
      </c>
      <c r="P38" s="385">
        <f>'Economic Assumptions'!D15</f>
        <v>2.75</v>
      </c>
      <c r="Q38" s="385">
        <f>'Economic Assumptions'!N15</f>
        <v>2.75</v>
      </c>
      <c r="R38" s="385">
        <f>'Economic Assumptions'!X15</f>
        <v>2.75</v>
      </c>
      <c r="S38" s="385">
        <f>'Economic Assumptions'!AH15</f>
        <v>2.75</v>
      </c>
      <c r="T38" s="385">
        <f>'Economic Assumptions'!AR15</f>
        <v>2.75</v>
      </c>
      <c r="U38" s="93"/>
      <c r="V38" s="159">
        <f t="shared" si="2"/>
        <v>2015</v>
      </c>
      <c r="W38" s="385">
        <f>'Economic Assumptions'!J15</f>
        <v>2.5536483800293097</v>
      </c>
      <c r="X38" s="385">
        <f>'Economic Assumptions'!T15</f>
        <v>2.5536483800293097</v>
      </c>
      <c r="Y38" s="385">
        <f>'Economic Assumptions'!AD15</f>
        <v>2.5536483800293097</v>
      </c>
      <c r="Z38" s="385">
        <f>'Economic Assumptions'!AN15</f>
        <v>2.5536483800293097</v>
      </c>
      <c r="AA38" s="385">
        <f>'Economic Assumptions'!AX15</f>
        <v>2.5536483800293097</v>
      </c>
      <c r="AB38" s="93"/>
      <c r="AC38" s="93"/>
      <c r="AD38" s="93"/>
      <c r="AE38" s="93"/>
      <c r="AF38" s="93"/>
      <c r="AG38" s="93"/>
      <c r="AH38" s="93"/>
      <c r="AI38" s="93"/>
    </row>
    <row r="39" spans="1:35">
      <c r="A39" s="159">
        <f>'Economic Assumptions'!A16</f>
        <v>2016</v>
      </c>
      <c r="B39" s="204">
        <f>'Economic Assumptions'!C16</f>
        <v>55</v>
      </c>
      <c r="C39" s="204">
        <f>'Economic Assumptions'!M16</f>
        <v>55</v>
      </c>
      <c r="D39" s="204">
        <f>'Economic Assumptions'!W16</f>
        <v>55</v>
      </c>
      <c r="E39" s="204">
        <f>'Economic Assumptions'!AG16</f>
        <v>55</v>
      </c>
      <c r="F39" s="204">
        <f>'Economic Assumptions'!AQ16</f>
        <v>47.15</v>
      </c>
      <c r="G39" s="227"/>
      <c r="H39" s="159">
        <f t="shared" si="0"/>
        <v>2016</v>
      </c>
      <c r="I39" s="204">
        <f>'Economic Assumptions'!I16</f>
        <v>49.827285463986534</v>
      </c>
      <c r="J39" s="204">
        <f>'Economic Assumptions'!S16</f>
        <v>49.827285463986534</v>
      </c>
      <c r="K39" s="204">
        <f>'Economic Assumptions'!AC16</f>
        <v>49.827285463986534</v>
      </c>
      <c r="L39" s="204">
        <f>'Economic Assumptions'!AM16</f>
        <v>49.827285463986534</v>
      </c>
      <c r="M39" s="204">
        <f>'Economic Assumptions'!AW16</f>
        <v>42.715572902308452</v>
      </c>
      <c r="N39" s="227"/>
      <c r="O39" s="159">
        <f t="shared" si="1"/>
        <v>2016</v>
      </c>
      <c r="P39" s="385">
        <f>'Economic Assumptions'!D16</f>
        <v>3</v>
      </c>
      <c r="Q39" s="385">
        <f>'Economic Assumptions'!N16</f>
        <v>3</v>
      </c>
      <c r="R39" s="385">
        <f>'Economic Assumptions'!X16</f>
        <v>3</v>
      </c>
      <c r="S39" s="385">
        <f>'Economic Assumptions'!AH16</f>
        <v>3</v>
      </c>
      <c r="T39" s="385">
        <f>'Economic Assumptions'!AR16</f>
        <v>2.8187499999999996</v>
      </c>
      <c r="U39" s="93"/>
      <c r="V39" s="159">
        <f t="shared" si="2"/>
        <v>2016</v>
      </c>
      <c r="W39" s="385">
        <f>'Economic Assumptions'!J16</f>
        <v>2.7178519343992655</v>
      </c>
      <c r="X39" s="385">
        <f>'Economic Assumptions'!T16</f>
        <v>2.7178519343992655</v>
      </c>
      <c r="Y39" s="385">
        <f>'Economic Assumptions'!AD16</f>
        <v>2.7178519343992655</v>
      </c>
      <c r="Z39" s="385">
        <f>'Economic Assumptions'!AN16</f>
        <v>2.7178519343992655</v>
      </c>
      <c r="AA39" s="385">
        <f>'Economic Assumptions'!AX16</f>
        <v>2.5536483800293097</v>
      </c>
      <c r="AB39" s="93"/>
      <c r="AC39" s="93"/>
      <c r="AD39" s="93"/>
      <c r="AE39" s="93"/>
      <c r="AF39" s="93"/>
      <c r="AG39" s="93"/>
      <c r="AH39" s="93"/>
      <c r="AI39" s="93"/>
    </row>
    <row r="40" spans="1:35">
      <c r="A40" s="159">
        <f>'Economic Assumptions'!A17</f>
        <v>2017</v>
      </c>
      <c r="B40" s="204">
        <f>'Economic Assumptions'!C17</f>
        <v>70</v>
      </c>
      <c r="C40" s="204">
        <f>'Economic Assumptions'!M17</f>
        <v>70.824999999999989</v>
      </c>
      <c r="D40" s="204">
        <f>'Economic Assumptions'!W17</f>
        <v>71.650000000000006</v>
      </c>
      <c r="E40" s="204">
        <f>'Economic Assumptions'!AG17</f>
        <v>69.174999999999997</v>
      </c>
      <c r="F40" s="204">
        <f>'Economic Assumptions'!AQ17</f>
        <v>48.328749999999992</v>
      </c>
      <c r="G40" s="227"/>
      <c r="H40" s="159">
        <f t="shared" si="0"/>
        <v>2017</v>
      </c>
      <c r="I40" s="204">
        <f>'Economic Assumptions'!I17</f>
        <v>61.869800132666214</v>
      </c>
      <c r="J40" s="204">
        <f>'Economic Assumptions'!S17</f>
        <v>62.598979919944057</v>
      </c>
      <c r="K40" s="204">
        <f>'Economic Assumptions'!AC17</f>
        <v>63.328159707221921</v>
      </c>
      <c r="L40" s="204">
        <f>'Economic Assumptions'!AM17</f>
        <v>61.140620345388356</v>
      </c>
      <c r="M40" s="204">
        <f>'Economic Assumptions'!AW17</f>
        <v>42.715572902308452</v>
      </c>
      <c r="N40" s="227"/>
      <c r="O40" s="159">
        <f t="shared" si="1"/>
        <v>2017</v>
      </c>
      <c r="P40" s="385">
        <f>'Economic Assumptions'!D17</f>
        <v>3.5</v>
      </c>
      <c r="Q40" s="385">
        <f>'Economic Assumptions'!N17</f>
        <v>3.5449999999999999</v>
      </c>
      <c r="R40" s="385">
        <f>'Economic Assumptions'!X17</f>
        <v>3.59</v>
      </c>
      <c r="S40" s="385">
        <f>'Economic Assumptions'!AH17</f>
        <v>3.4550000000000001</v>
      </c>
      <c r="T40" s="385">
        <f>'Economic Assumptions'!AR17</f>
        <v>2.8892187499999995</v>
      </c>
      <c r="U40" s="93"/>
      <c r="V40" s="159">
        <f t="shared" si="2"/>
        <v>2017</v>
      </c>
      <c r="W40" s="385">
        <f>'Economic Assumptions'!J17</f>
        <v>3.0934900066333109</v>
      </c>
      <c r="X40" s="385">
        <f>'Economic Assumptions'!T17</f>
        <v>3.1332634495757388</v>
      </c>
      <c r="Y40" s="385">
        <f>'Economic Assumptions'!AD17</f>
        <v>3.1730368925181671</v>
      </c>
      <c r="Z40" s="385">
        <f>'Economic Assumptions'!AN17</f>
        <v>3.0537165636908825</v>
      </c>
      <c r="AA40" s="385">
        <f>'Economic Assumptions'!AX17</f>
        <v>2.5536483800293097</v>
      </c>
      <c r="AB40" s="93"/>
      <c r="AC40" s="93"/>
      <c r="AD40" s="93"/>
      <c r="AE40" s="93"/>
      <c r="AF40" s="93"/>
      <c r="AG40" s="93"/>
      <c r="AH40" s="93"/>
      <c r="AI40" s="93"/>
    </row>
    <row r="41" spans="1:35">
      <c r="A41" s="159">
        <f>'Economic Assumptions'!A18</f>
        <v>2018</v>
      </c>
      <c r="B41" s="204">
        <f>'Economic Assumptions'!C18</f>
        <v>75</v>
      </c>
      <c r="C41" s="204">
        <f>'Economic Assumptions'!M18</f>
        <v>76.887374999999977</v>
      </c>
      <c r="D41" s="204">
        <f>'Economic Assumptions'!W18</f>
        <v>78.799500000000009</v>
      </c>
      <c r="E41" s="204">
        <f>'Economic Assumptions'!AG18</f>
        <v>73.137374999999992</v>
      </c>
      <c r="F41" s="204">
        <f>'Economic Assumptions'!AQ18</f>
        <v>49.536968749999986</v>
      </c>
      <c r="G41" s="227"/>
      <c r="H41" s="159">
        <f t="shared" si="0"/>
        <v>2018</v>
      </c>
      <c r="I41" s="204">
        <f>'Economic Assumptions'!I18</f>
        <v>64.67226494703786</v>
      </c>
      <c r="J41" s="204">
        <f>'Economic Assumptions'!S18</f>
        <v>66.299742494430049</v>
      </c>
      <c r="K41" s="204">
        <f>'Economic Assumptions'!AC18</f>
        <v>67.948561889254805</v>
      </c>
      <c r="L41" s="204">
        <f>'Economic Assumptions'!AM18</f>
        <v>63.066129247078166</v>
      </c>
      <c r="M41" s="204">
        <f>'Economic Assumptions'!AW18</f>
        <v>42.715572902308452</v>
      </c>
      <c r="N41" s="227"/>
      <c r="O41" s="159">
        <f t="shared" si="1"/>
        <v>2018</v>
      </c>
      <c r="P41" s="385">
        <f>'Economic Assumptions'!D18</f>
        <v>4</v>
      </c>
      <c r="Q41" s="385">
        <f>'Economic Assumptions'!N18</f>
        <v>4.0981749999999995</v>
      </c>
      <c r="R41" s="385">
        <f>'Economic Assumptions'!X18</f>
        <v>4.1976999999999993</v>
      </c>
      <c r="S41" s="385">
        <f>'Economic Assumptions'!AH18</f>
        <v>3.9031750000000001</v>
      </c>
      <c r="T41" s="385">
        <f>'Economic Assumptions'!AR18</f>
        <v>2.9614492187499994</v>
      </c>
      <c r="U41" s="93"/>
      <c r="V41" s="159">
        <f t="shared" si="2"/>
        <v>2018</v>
      </c>
      <c r="W41" s="385">
        <f>'Economic Assumptions'!J18</f>
        <v>3.4491874638420192</v>
      </c>
      <c r="X41" s="385">
        <f>'Economic Assumptions'!T18</f>
        <v>3.5338434586576914</v>
      </c>
      <c r="Y41" s="385">
        <f>'Economic Assumptions'!AD18</f>
        <v>3.6196635542424103</v>
      </c>
      <c r="Z41" s="385">
        <f>'Economic Assumptions'!AN18</f>
        <v>3.3656955697953932</v>
      </c>
      <c r="AA41" s="385">
        <f>'Economic Assumptions'!AX18</f>
        <v>2.5536483800293102</v>
      </c>
      <c r="AB41" s="93"/>
      <c r="AC41" s="93"/>
      <c r="AD41" s="93"/>
      <c r="AE41" s="93"/>
      <c r="AF41" s="93"/>
      <c r="AG41" s="93"/>
      <c r="AH41" s="93"/>
      <c r="AI41" s="93"/>
    </row>
    <row r="42" spans="1:35">
      <c r="A42" s="159">
        <f>'Economic Assumptions'!A19</f>
        <v>2019</v>
      </c>
      <c r="B42" s="204">
        <f>'Economic Assumptions'!C19</f>
        <v>80</v>
      </c>
      <c r="C42" s="204">
        <f>'Economic Assumptions'!M19</f>
        <v>83.040685624999966</v>
      </c>
      <c r="D42" s="204">
        <f>'Economic Assumptions'!W19</f>
        <v>86.163485000000009</v>
      </c>
      <c r="E42" s="204">
        <f>'Economic Assumptions'!AG19</f>
        <v>77.040314374999994</v>
      </c>
      <c r="F42" s="204">
        <f>'Economic Assumptions'!AQ19</f>
        <v>50.775392968749983</v>
      </c>
      <c r="G42" s="227"/>
      <c r="H42" s="159">
        <f t="shared" si="0"/>
        <v>2019</v>
      </c>
      <c r="I42" s="204">
        <f>'Economic Assumptions'!I19</f>
        <v>67.30121880667356</v>
      </c>
      <c r="J42" s="204">
        <f>'Economic Assumptions'!S19</f>
        <v>69.859241913803928</v>
      </c>
      <c r="K42" s="204">
        <f>'Economic Assumptions'!AC19</f>
        <v>72.48634446413169</v>
      </c>
      <c r="L42" s="204">
        <f>'Economic Assumptions'!AM19</f>
        <v>64.811338183584908</v>
      </c>
      <c r="M42" s="204">
        <f>'Economic Assumptions'!AW19</f>
        <v>42.715572902308459</v>
      </c>
      <c r="N42" s="227"/>
      <c r="O42" s="159">
        <f t="shared" si="1"/>
        <v>2019</v>
      </c>
      <c r="P42" s="385">
        <f>'Economic Assumptions'!D19</f>
        <v>4.5</v>
      </c>
      <c r="Q42" s="385">
        <f>'Economic Assumptions'!N19</f>
        <v>4.659647624999999</v>
      </c>
      <c r="R42" s="385">
        <f>'Economic Assumptions'!X19</f>
        <v>4.8236309999999998</v>
      </c>
      <c r="S42" s="385">
        <f>'Economic Assumptions'!AH19</f>
        <v>4.344627375</v>
      </c>
      <c r="T42" s="385">
        <f>'Economic Assumptions'!AR19</f>
        <v>3.0354854492187493</v>
      </c>
      <c r="U42" s="93"/>
      <c r="V42" s="159">
        <f t="shared" si="2"/>
        <v>2019</v>
      </c>
      <c r="W42" s="385">
        <f>'Economic Assumptions'!J19</f>
        <v>3.7856935578753874</v>
      </c>
      <c r="X42" s="385">
        <f>'Economic Assumptions'!T19</f>
        <v>3.9199995546515214</v>
      </c>
      <c r="Y42" s="385">
        <f>'Economic Assumptions'!AD19</f>
        <v>4.0579530671706694</v>
      </c>
      <c r="Z42" s="385">
        <f>'Economic Assumptions'!AN19</f>
        <v>3.6549839699792344</v>
      </c>
      <c r="AA42" s="385">
        <f>'Economic Assumptions'!AX19</f>
        <v>2.5536483800293102</v>
      </c>
      <c r="AB42" s="93"/>
      <c r="AC42" s="93"/>
      <c r="AD42" s="93"/>
      <c r="AE42" s="93"/>
      <c r="AF42" s="93"/>
      <c r="AG42" s="93"/>
      <c r="AH42" s="93"/>
      <c r="AI42" s="93"/>
    </row>
    <row r="43" spans="1:35">
      <c r="A43" s="159">
        <f>'Economic Assumptions'!A20</f>
        <v>2020</v>
      </c>
      <c r="B43" s="204">
        <f>'Economic Assumptions'!C20</f>
        <v>81.199999999999989</v>
      </c>
      <c r="C43" s="204">
        <f>'Economic Assumptions'!M20</f>
        <v>85.486295909374945</v>
      </c>
      <c r="D43" s="204">
        <f>'Economic Assumptions'!W20</f>
        <v>89.948389550000002</v>
      </c>
      <c r="E43" s="204">
        <f>'Economic Assumptions'!AG20</f>
        <v>77.08470965937498</v>
      </c>
      <c r="F43" s="204">
        <f>'Economic Assumptions'!AQ20</f>
        <v>52.044777792968731</v>
      </c>
      <c r="G43" s="227"/>
      <c r="H43" s="159">
        <f t="shared" si="0"/>
        <v>2020</v>
      </c>
      <c r="I43" s="204">
        <f>'Economic Assumptions'!I20</f>
        <v>66.644621550023075</v>
      </c>
      <c r="J43" s="204">
        <f>'Economic Assumptions'!S20</f>
        <v>70.162584219132754</v>
      </c>
      <c r="K43" s="204">
        <f>'Economic Assumptions'!AC20</f>
        <v>73.824832273322684</v>
      </c>
      <c r="L43" s="204">
        <f>'Economic Assumptions'!AM20</f>
        <v>63.267011115054864</v>
      </c>
      <c r="M43" s="204">
        <f>'Economic Assumptions'!AW20</f>
        <v>42.715572902308459</v>
      </c>
      <c r="N43" s="227"/>
      <c r="O43" s="159">
        <f t="shared" si="1"/>
        <v>2020</v>
      </c>
      <c r="P43" s="385">
        <f>'Economic Assumptions'!D20</f>
        <v>4.75</v>
      </c>
      <c r="Q43" s="385">
        <f>'Economic Assumptions'!N20</f>
        <v>4.9795423393749987</v>
      </c>
      <c r="R43" s="385">
        <f>'Economic Assumptions'!X20</f>
        <v>5.21833993</v>
      </c>
      <c r="S43" s="385">
        <f>'Economic Assumptions'!AH20</f>
        <v>4.5294579643750001</v>
      </c>
      <c r="T43" s="385">
        <f>'Economic Assumptions'!AR20</f>
        <v>3.1113725854492178</v>
      </c>
      <c r="U43" s="93"/>
      <c r="V43" s="159">
        <f t="shared" si="2"/>
        <v>2020</v>
      </c>
      <c r="W43" s="385">
        <f>'Economic Assumptions'!J20</f>
        <v>3.8985462113621878</v>
      </c>
      <c r="X43" s="385">
        <f>'Economic Assumptions'!T20</f>
        <v>4.0869422992606328</v>
      </c>
      <c r="Y43" s="385">
        <f>'Economic Assumptions'!AD20</f>
        <v>4.2829346028845316</v>
      </c>
      <c r="Z43" s="385">
        <f>'Economic Assumptions'!AN20</f>
        <v>3.7175370919028308</v>
      </c>
      <c r="AA43" s="385">
        <f>'Economic Assumptions'!AX20</f>
        <v>2.5536483800293102</v>
      </c>
      <c r="AB43" s="93"/>
      <c r="AC43" s="93"/>
      <c r="AD43" s="93"/>
      <c r="AE43" s="93"/>
      <c r="AF43" s="93"/>
      <c r="AG43" s="93"/>
      <c r="AH43" s="93"/>
      <c r="AI43" s="93"/>
    </row>
    <row r="44" spans="1:35">
      <c r="A44" s="159">
        <f>'Economic Assumptions'!A21</f>
        <v>2021</v>
      </c>
      <c r="B44" s="204">
        <f>'Economic Assumptions'!C21</f>
        <v>82.417999999999978</v>
      </c>
      <c r="C44" s="204">
        <f>'Economic Assumptions'!M21</f>
        <v>87.986590348015554</v>
      </c>
      <c r="D44" s="204">
        <f>'Economic Assumptions'!W21</f>
        <v>93.864841236499998</v>
      </c>
      <c r="E44" s="204">
        <f>'Economic Assumptions'!AG21</f>
        <v>77.146439014484343</v>
      </c>
      <c r="F44" s="204">
        <f>'Economic Assumptions'!AQ21</f>
        <v>53.345897237792947</v>
      </c>
      <c r="G44" s="227"/>
      <c r="H44" s="159">
        <f t="shared" si="0"/>
        <v>2021</v>
      </c>
      <c r="I44" s="204">
        <f>'Economic Assumptions'!I21</f>
        <v>65.994430120266756</v>
      </c>
      <c r="J44" s="204">
        <f>'Economic Assumptions'!S21</f>
        <v>70.453358346995216</v>
      </c>
      <c r="K44" s="204">
        <f>'Economic Assumptions'!AC21</f>
        <v>75.16024055099777</v>
      </c>
      <c r="L44" s="204">
        <f>'Economic Assumptions'!AM21</f>
        <v>61.773341728370127</v>
      </c>
      <c r="M44" s="204">
        <f>'Economic Assumptions'!AW21</f>
        <v>42.715572902308459</v>
      </c>
      <c r="N44" s="227"/>
      <c r="O44" s="159">
        <f t="shared" si="1"/>
        <v>2021</v>
      </c>
      <c r="P44" s="385">
        <f>'Economic Assumptions'!D21</f>
        <v>4.8212499999999991</v>
      </c>
      <c r="Q44" s="385">
        <f>'Economic Assumptions'!N21</f>
        <v>5.1254854744656226</v>
      </c>
      <c r="R44" s="385">
        <f>'Economic Assumptions'!X21</f>
        <v>5.4461401278999997</v>
      </c>
      <c r="S44" s="385">
        <f>'Economic Assumptions'!AH21</f>
        <v>4.5327660949093742</v>
      </c>
      <c r="T44" s="385">
        <f>'Economic Assumptions'!AR21</f>
        <v>3.1891569000854481</v>
      </c>
      <c r="U44" s="93"/>
      <c r="V44" s="159">
        <f t="shared" si="2"/>
        <v>2021</v>
      </c>
      <c r="W44" s="385">
        <f>'Economic Assumptions'!J21</f>
        <v>3.8605116141781664</v>
      </c>
      <c r="X44" s="385">
        <f>'Economic Assumptions'!T21</f>
        <v>4.1041215872389998</v>
      </c>
      <c r="Y44" s="385">
        <f>'Economic Assumptions'!AD21</f>
        <v>4.3608788625770734</v>
      </c>
      <c r="Z44" s="385">
        <f>'Economic Assumptions'!AN21</f>
        <v>3.6295143694582639</v>
      </c>
      <c r="AA44" s="385">
        <f>'Economic Assumptions'!AX21</f>
        <v>2.5536483800293102</v>
      </c>
      <c r="AB44" s="93"/>
      <c r="AC44" s="93"/>
      <c r="AD44" s="93"/>
      <c r="AE44" s="93"/>
      <c r="AF44" s="93"/>
      <c r="AG44" s="93"/>
      <c r="AH44" s="93"/>
      <c r="AI44" s="93"/>
    </row>
    <row r="45" spans="1:35">
      <c r="A45" s="159">
        <f>'Economic Assumptions'!A22</f>
        <v>2022</v>
      </c>
      <c r="B45" s="204">
        <f>'Economic Assumptions'!C22</f>
        <v>83.654269999999968</v>
      </c>
      <c r="C45" s="204">
        <f>'Economic Assumptions'!M22</f>
        <v>90.542659203235772</v>
      </c>
      <c r="D45" s="204">
        <f>'Economic Assumptions'!W22</f>
        <v>97.917056473594997</v>
      </c>
      <c r="E45" s="204">
        <f>'Economic Assumptions'!AG22</f>
        <v>77.22551242926707</v>
      </c>
      <c r="F45" s="204">
        <f>'Economic Assumptions'!AQ22</f>
        <v>54.679544668737769</v>
      </c>
      <c r="G45" s="227"/>
      <c r="H45" s="159">
        <f t="shared" si="0"/>
        <v>2022</v>
      </c>
      <c r="I45" s="204">
        <f>'Economic Assumptions'!I22</f>
        <v>65.350582021532446</v>
      </c>
      <c r="J45" s="204">
        <f>'Economic Assumptions'!S22</f>
        <v>70.731780657565011</v>
      </c>
      <c r="K45" s="204">
        <f>'Economic Assumptions'!AC22</f>
        <v>76.492648018860208</v>
      </c>
      <c r="L45" s="204">
        <f>'Economic Assumptions'!AM22</f>
        <v>60.328446882193731</v>
      </c>
      <c r="M45" s="204">
        <f>'Economic Assumptions'!AW22</f>
        <v>42.715572902308466</v>
      </c>
      <c r="N45" s="227"/>
      <c r="O45" s="159">
        <f t="shared" si="1"/>
        <v>2022</v>
      </c>
      <c r="P45" s="385">
        <f>'Economic Assumptions'!D22</f>
        <v>4.8935687499999982</v>
      </c>
      <c r="Q45" s="385">
        <f>'Economic Assumptions'!N22</f>
        <v>5.2746865065826052</v>
      </c>
      <c r="R45" s="385">
        <f>'Economic Assumptions'!X22</f>
        <v>5.6818430817369991</v>
      </c>
      <c r="S45" s="385">
        <f>'Economic Assumptions'!AH22</f>
        <v>4.5370933534857327</v>
      </c>
      <c r="T45" s="385">
        <f>'Economic Assumptions'!AR22</f>
        <v>3.2688858225875839</v>
      </c>
      <c r="U45" s="93"/>
      <c r="V45" s="159">
        <f t="shared" si="2"/>
        <v>2022</v>
      </c>
      <c r="W45" s="385">
        <f>'Economic Assumptions'!J22</f>
        <v>3.8228480862349645</v>
      </c>
      <c r="X45" s="385">
        <f>'Economic Assumptions'!T22</f>
        <v>4.1205766685465921</v>
      </c>
      <c r="Y45" s="385">
        <f>'Economic Assumptions'!AD22</f>
        <v>4.4386467343093257</v>
      </c>
      <c r="Z45" s="385">
        <f>'Economic Assumptions'!AN22</f>
        <v>3.5443700762234753</v>
      </c>
      <c r="AA45" s="385">
        <f>'Economic Assumptions'!AX22</f>
        <v>2.5536483800293102</v>
      </c>
      <c r="AB45" s="93"/>
      <c r="AC45" s="93"/>
      <c r="AD45" s="93"/>
      <c r="AE45" s="93"/>
      <c r="AF45" s="93"/>
      <c r="AG45" s="93"/>
      <c r="AH45" s="93"/>
      <c r="AI45" s="93"/>
    </row>
    <row r="46" spans="1:35">
      <c r="A46" s="159">
        <f>'Economic Assumptions'!A23</f>
        <v>2023</v>
      </c>
      <c r="B46" s="204">
        <f>'Economic Assumptions'!C23</f>
        <v>84.909084049999962</v>
      </c>
      <c r="C46" s="204">
        <f>'Economic Assumptions'!M23</f>
        <v>93.155613141284292</v>
      </c>
      <c r="D46" s="204">
        <f>'Economic Assumptions'!W23</f>
        <v>102.10938221780285</v>
      </c>
      <c r="E46" s="204">
        <f>'Economic Assumptions'!AG23</f>
        <v>77.321943792828051</v>
      </c>
      <c r="F46" s="204">
        <f>'Economic Assumptions'!AQ23</f>
        <v>56.046533285456206</v>
      </c>
      <c r="G46" s="227"/>
      <c r="H46" s="159">
        <f t="shared" si="0"/>
        <v>2023</v>
      </c>
      <c r="I46" s="204">
        <f>'Economic Assumptions'!I23</f>
        <v>64.713015367663829</v>
      </c>
      <c r="J46" s="204">
        <f>'Economic Assumptions'!S23</f>
        <v>70.998064485611181</v>
      </c>
      <c r="K46" s="204">
        <f>'Economic Assumptions'!AC23</f>
        <v>77.822132868047802</v>
      </c>
      <c r="L46" s="204">
        <f>'Economic Assumptions'!AM23</f>
        <v>58.930516009057371</v>
      </c>
      <c r="M46" s="204">
        <f>'Economic Assumptions'!AW23</f>
        <v>42.715572902308459</v>
      </c>
      <c r="N46" s="227"/>
      <c r="O46" s="159">
        <f t="shared" si="1"/>
        <v>2023</v>
      </c>
      <c r="P46" s="385">
        <f>'Economic Assumptions'!D23</f>
        <v>4.9669722812499977</v>
      </c>
      <c r="Q46" s="385">
        <f>'Economic Assumptions'!N23</f>
        <v>5.4272103354313428</v>
      </c>
      <c r="R46" s="385">
        <f>'Economic Assumptions'!X23</f>
        <v>5.9257019054391087</v>
      </c>
      <c r="S46" s="385">
        <f>'Economic Assumptions'!AH23</f>
        <v>4.5424404844334463</v>
      </c>
      <c r="T46" s="385">
        <f>'Economic Assumptions'!AR23</f>
        <v>3.3506079681522731</v>
      </c>
      <c r="U46" s="93"/>
      <c r="V46" s="159">
        <f t="shared" si="2"/>
        <v>2023</v>
      </c>
      <c r="W46" s="385">
        <f>'Economic Assumptions'!J23</f>
        <v>3.785552007344867</v>
      </c>
      <c r="X46" s="385">
        <f>'Economic Assumptions'!T23</f>
        <v>4.1363200388959163</v>
      </c>
      <c r="Y46" s="385">
        <f>'Economic Assumptions'!AD23</f>
        <v>4.516242787933785</v>
      </c>
      <c r="Z46" s="385">
        <f>'Economic Assumptions'!AN23</f>
        <v>3.461997313535266</v>
      </c>
      <c r="AA46" s="385">
        <f>'Economic Assumptions'!AX23</f>
        <v>2.5536483800293102</v>
      </c>
      <c r="AB46" s="93"/>
      <c r="AC46" s="93"/>
      <c r="AD46" s="93"/>
      <c r="AE46" s="93"/>
      <c r="AF46" s="93"/>
      <c r="AG46" s="93"/>
      <c r="AH46" s="93"/>
      <c r="AI46" s="93"/>
    </row>
    <row r="47" spans="1:35">
      <c r="A47" s="159">
        <f>'Economic Assumptions'!A24</f>
        <v>2024</v>
      </c>
      <c r="B47" s="204">
        <f>'Economic Assumptions'!C24</f>
        <v>86.182720310749957</v>
      </c>
      <c r="C47" s="204">
        <f>'Economic Assumptions'!M24</f>
        <v>95.826583599153537</v>
      </c>
      <c r="D47" s="204">
        <f>'Economic Assumptions'!W24</f>
        <v>106.44629994508693</v>
      </c>
      <c r="E47" s="204">
        <f>'Economic Assumptions'!AG24</f>
        <v>77.435750896685619</v>
      </c>
      <c r="F47" s="204">
        <f>'Economic Assumptions'!AQ24</f>
        <v>57.447696617592605</v>
      </c>
      <c r="G47" s="227"/>
      <c r="H47" s="159">
        <f t="shared" si="0"/>
        <v>2024</v>
      </c>
      <c r="I47" s="204">
        <f>'Economic Assumptions'!I24</f>
        <v>64.081668876271991</v>
      </c>
      <c r="J47" s="204">
        <f>'Economic Assumptions'!S24</f>
        <v>71.252420178936873</v>
      </c>
      <c r="K47" s="204">
        <f>'Economic Assumptions'!AC24</f>
        <v>79.148772765467513</v>
      </c>
      <c r="L47" s="204">
        <f>'Economic Assumptions'!AM24</f>
        <v>57.577808292133142</v>
      </c>
      <c r="M47" s="204">
        <f>'Economic Assumptions'!AW24</f>
        <v>42.715572902308459</v>
      </c>
      <c r="N47" s="227"/>
      <c r="O47" s="159">
        <f t="shared" si="1"/>
        <v>2024</v>
      </c>
      <c r="P47" s="385">
        <f>'Economic Assumptions'!D24</f>
        <v>5.0414768654687467</v>
      </c>
      <c r="Q47" s="385">
        <f>'Economic Assumptions'!N24</f>
        <v>5.5831230746815619</v>
      </c>
      <c r="R47" s="385">
        <f>'Economic Assumptions'!X24</f>
        <v>6.1779775468210314</v>
      </c>
      <c r="S47" s="385">
        <f>'Economic Assumptions'!AH24</f>
        <v>4.5488084613856934</v>
      </c>
      <c r="T47" s="385">
        <f>'Economic Assumptions'!AR24</f>
        <v>3.4343731673560796</v>
      </c>
      <c r="U47" s="93"/>
      <c r="V47" s="159">
        <f t="shared" si="2"/>
        <v>2024</v>
      </c>
      <c r="W47" s="385">
        <f>'Economic Assumptions'!J24</f>
        <v>3.748619792639063</v>
      </c>
      <c r="X47" s="385">
        <f>'Economic Assumptions'!T24</f>
        <v>4.1513640191117345</v>
      </c>
      <c r="Y47" s="385">
        <f>'Economic Assumptions'!AD24</f>
        <v>4.5936715626165574</v>
      </c>
      <c r="Z47" s="385">
        <f>'Economic Assumptions'!AN24</f>
        <v>3.3822933014072287</v>
      </c>
      <c r="AA47" s="385">
        <f>'Economic Assumptions'!AX24</f>
        <v>2.5536483800293102</v>
      </c>
      <c r="AB47" s="93"/>
      <c r="AC47" s="93"/>
      <c r="AD47" s="93"/>
      <c r="AE47" s="93"/>
      <c r="AF47" s="93"/>
      <c r="AG47" s="93"/>
      <c r="AH47" s="93"/>
      <c r="AI47" s="93"/>
    </row>
    <row r="48" spans="1:35">
      <c r="A48" s="159">
        <f>'Economic Assumptions'!A25</f>
        <v>2025</v>
      </c>
      <c r="B48" s="204">
        <f>'Economic Assumptions'!C25</f>
        <v>87.475461115411193</v>
      </c>
      <c r="C48" s="204">
        <f>'Economic Assumptions'!M25</f>
        <v>98.556723157802068</v>
      </c>
      <c r="D48" s="204">
        <f>'Economic Assumptions'!W25</f>
        <v>110.93242974810079</v>
      </c>
      <c r="E48" s="204">
        <f>'Economic Assumptions'!AG25</f>
        <v>77.566955437896567</v>
      </c>
      <c r="F48" s="204">
        <f>'Economic Assumptions'!AQ25</f>
        <v>58.883889033032418</v>
      </c>
      <c r="G48" s="227"/>
      <c r="H48" s="159">
        <f t="shared" si="0"/>
        <v>2025</v>
      </c>
      <c r="I48" s="204">
        <f>'Economic Assumptions'!I25</f>
        <v>63.456481862844946</v>
      </c>
      <c r="J48" s="204">
        <f>'Economic Assumptions'!S25</f>
        <v>71.4950551363561</v>
      </c>
      <c r="K48" s="204">
        <f>'Economic Assumptions'!AC25</f>
        <v>80.472644860073785</v>
      </c>
      <c r="L48" s="204">
        <f>'Economic Assumptions'!AM25</f>
        <v>56.268649952092893</v>
      </c>
      <c r="M48" s="204">
        <f>'Economic Assumptions'!AW25</f>
        <v>42.715572902308466</v>
      </c>
      <c r="N48" s="227"/>
      <c r="O48" s="159">
        <f t="shared" si="1"/>
        <v>2025</v>
      </c>
      <c r="P48" s="385">
        <f>'Economic Assumptions'!D25</f>
        <v>5.1170990184507774</v>
      </c>
      <c r="Q48" s="385">
        <f>'Economic Assumptions'!N25</f>
        <v>5.7424920737838159</v>
      </c>
      <c r="R48" s="385">
        <f>'Economic Assumptions'!X25</f>
        <v>6.4389390262076933</v>
      </c>
      <c r="S48" s="385">
        <f>'Economic Assumptions'!AH25</f>
        <v>4.556198487446939</v>
      </c>
      <c r="T48" s="385">
        <f>'Economic Assumptions'!AR25</f>
        <v>3.5202324965399812</v>
      </c>
      <c r="U48" s="93"/>
      <c r="V48" s="159">
        <f t="shared" si="2"/>
        <v>2025</v>
      </c>
      <c r="W48" s="385">
        <f>'Economic Assumptions'!J25</f>
        <v>3.7120478922230724</v>
      </c>
      <c r="X48" s="385">
        <f>'Economic Assumptions'!T25</f>
        <v>4.1657207573541433</v>
      </c>
      <c r="Y48" s="385">
        <f>'Economic Assumptions'!AD25</f>
        <v>4.6709375672045272</v>
      </c>
      <c r="Z48" s="385">
        <f>'Economic Assumptions'!AN25</f>
        <v>3.3051592183177623</v>
      </c>
      <c r="AA48" s="385">
        <f>'Economic Assumptions'!AX25</f>
        <v>2.5536483800293102</v>
      </c>
      <c r="AB48" s="93"/>
      <c r="AC48" s="93"/>
      <c r="AD48" s="93"/>
      <c r="AE48" s="93"/>
      <c r="AF48" s="93"/>
      <c r="AG48" s="93"/>
      <c r="AH48" s="93"/>
      <c r="AI48" s="93"/>
    </row>
    <row r="49" spans="1:35">
      <c r="A49" s="159">
        <f>'Economic Assumptions'!A26</f>
        <v>2026</v>
      </c>
      <c r="B49" s="204">
        <f>'Economic Assumptions'!C26</f>
        <v>88.787593032142354</v>
      </c>
      <c r="C49" s="204">
        <f>'Economic Assumptions'!M26</f>
        <v>101.34720592190025</v>
      </c>
      <c r="D49" s="204">
        <f>'Economic Assumptions'!W26</f>
        <v>115.57253455727498</v>
      </c>
      <c r="E49" s="204">
        <f>'Economic Assumptions'!AG26</f>
        <v>77.715583023059281</v>
      </c>
      <c r="F49" s="204">
        <f>'Economic Assumptions'!AQ26</f>
        <v>60.355986258858223</v>
      </c>
      <c r="G49" s="227"/>
      <c r="H49" s="159">
        <f t="shared" si="0"/>
        <v>2026</v>
      </c>
      <c r="I49" s="204">
        <f>'Economic Assumptions'!I26</f>
        <v>62.837394234914754</v>
      </c>
      <c r="J49" s="204">
        <f>'Economic Assumptions'!S26</f>
        <v>71.726173845213765</v>
      </c>
      <c r="K49" s="204">
        <f>'Economic Assumptions'!AC26</f>
        <v>81.7938257890914</v>
      </c>
      <c r="L49" s="204">
        <f>'Economic Assumptions'!AM26</f>
        <v>55.00143163976017</v>
      </c>
      <c r="M49" s="204">
        <f>'Economic Assumptions'!AW26</f>
        <v>42.715572902308466</v>
      </c>
      <c r="N49" s="227"/>
      <c r="O49" s="159">
        <f t="shared" si="1"/>
        <v>2026</v>
      </c>
      <c r="P49" s="385">
        <f>'Economic Assumptions'!D26</f>
        <v>5.1810627561814115</v>
      </c>
      <c r="Q49" s="385">
        <f>'Economic Assumptions'!N26</f>
        <v>5.8925931926212067</v>
      </c>
      <c r="R49" s="385">
        <f>'Economic Assumptions'!X26</f>
        <v>6.6960709347245588</v>
      </c>
      <c r="S49" s="385">
        <f>'Economic Assumptions'!AH26</f>
        <v>4.5518192478658692</v>
      </c>
      <c r="T49" s="385">
        <f>'Economic Assumptions'!AR26</f>
        <v>3.6082383089534802</v>
      </c>
      <c r="U49" s="93"/>
      <c r="V49" s="159">
        <f t="shared" si="2"/>
        <v>2026</v>
      </c>
      <c r="W49" s="385">
        <f>'Economic Assumptions'!J26</f>
        <v>3.6667790154886446</v>
      </c>
      <c r="X49" s="385">
        <f>'Economic Assumptions'!T26</f>
        <v>4.1703484559680417</v>
      </c>
      <c r="Y49" s="385">
        <f>'Economic Assumptions'!AD26</f>
        <v>4.7389915052423923</v>
      </c>
      <c r="Z49" s="385">
        <f>'Economic Assumptions'!AN26</f>
        <v>3.2214462718983259</v>
      </c>
      <c r="AA49" s="385">
        <f>'Economic Assumptions'!AX26</f>
        <v>2.5536483800293102</v>
      </c>
      <c r="AB49" s="93"/>
      <c r="AC49" s="93"/>
      <c r="AD49" s="93"/>
      <c r="AE49" s="93"/>
      <c r="AF49" s="93"/>
      <c r="AG49" s="93"/>
      <c r="AH49" s="93"/>
      <c r="AI49" s="93"/>
    </row>
    <row r="50" spans="1:35">
      <c r="A50" s="159">
        <f>'Economic Assumptions'!A27</f>
        <v>2027</v>
      </c>
      <c r="B50" s="204">
        <f>'Economic Assumptions'!C27</f>
        <v>90.119406927624482</v>
      </c>
      <c r="C50" s="204">
        <f>'Economic Assumptions'!M27</f>
        <v>104.19922790621088</v>
      </c>
      <c r="D50" s="204">
        <f>'Economic Assumptions'!W27</f>
        <v>120.37152448947536</v>
      </c>
      <c r="E50" s="204">
        <f>'Economic Assumptions'!AG27</f>
        <v>77.88166317319552</v>
      </c>
      <c r="F50" s="204">
        <f>'Economic Assumptions'!AQ27</f>
        <v>61.864885915329673</v>
      </c>
      <c r="G50" s="227"/>
      <c r="H50" s="159">
        <f t="shared" si="0"/>
        <v>2027</v>
      </c>
      <c r="I50" s="204">
        <f>'Economic Assumptions'!I27</f>
        <v>62.224346486281441</v>
      </c>
      <c r="J50" s="204">
        <f>'Economic Assumptions'!S27</f>
        <v>71.945977918454346</v>
      </c>
      <c r="K50" s="204">
        <f>'Economic Assumptions'!AC27</f>
        <v>83.112391684183294</v>
      </c>
      <c r="L50" s="204">
        <f>'Economic Assumptions'!AM27</f>
        <v>53.774605930426823</v>
      </c>
      <c r="M50" s="204">
        <f>'Economic Assumptions'!AW27</f>
        <v>42.715572902308466</v>
      </c>
      <c r="N50" s="227"/>
      <c r="O50" s="159">
        <f t="shared" si="1"/>
        <v>2027</v>
      </c>
      <c r="P50" s="385">
        <f>'Economic Assumptions'!D27</f>
        <v>5.2458260406336787</v>
      </c>
      <c r="Q50" s="385">
        <f>'Economic Assumptions'!N27</f>
        <v>6.0457453749627916</v>
      </c>
      <c r="R50" s="385">
        <f>'Economic Assumptions'!X27</f>
        <v>6.9617163472185633</v>
      </c>
      <c r="S50" s="385">
        <f>'Economic Assumptions'!AH27</f>
        <v>4.5483052436001481</v>
      </c>
      <c r="T50" s="385">
        <f>'Economic Assumptions'!AR27</f>
        <v>3.698444266677317</v>
      </c>
      <c r="U50" s="93"/>
      <c r="V50" s="159">
        <f t="shared" si="2"/>
        <v>2027</v>
      </c>
      <c r="W50" s="385">
        <f>'Economic Assumptions'!J27</f>
        <v>3.6220621982265881</v>
      </c>
      <c r="X50" s="385">
        <f>'Economic Assumptions'!T27</f>
        <v>4.1743789468304104</v>
      </c>
      <c r="Y50" s="385">
        <f>'Economic Assumptions'!AD27</f>
        <v>4.8068253542373398</v>
      </c>
      <c r="Z50" s="385">
        <f>'Economic Assumptions'!AN27</f>
        <v>3.1404481126960579</v>
      </c>
      <c r="AA50" s="385">
        <f>'Economic Assumptions'!AX27</f>
        <v>2.5536483800293102</v>
      </c>
      <c r="AB50" s="93"/>
      <c r="AC50" s="93"/>
      <c r="AD50" s="93"/>
      <c r="AE50" s="93"/>
      <c r="AF50" s="93"/>
      <c r="AG50" s="93"/>
      <c r="AH50" s="93"/>
      <c r="AI50" s="93"/>
    </row>
    <row r="51" spans="1:35">
      <c r="A51" s="159">
        <f>'Economic Assumptions'!A28</f>
        <v>2028</v>
      </c>
      <c r="B51" s="204">
        <f>'Economic Assumptions'!C28</f>
        <v>91.471198031538847</v>
      </c>
      <c r="C51" s="204">
        <f>'Economic Assumptions'!M28</f>
        <v>107.11400742871839</v>
      </c>
      <c r="D51" s="204">
        <f>'Economic Assumptions'!W28</f>
        <v>125.33446132807398</v>
      </c>
      <c r="E51" s="204">
        <f>'Economic Assumptions'!AG28</f>
        <v>78.065229329511951</v>
      </c>
      <c r="F51" s="204">
        <f>'Economic Assumptions'!AQ28</f>
        <v>63.411508063212906</v>
      </c>
      <c r="G51" s="227"/>
      <c r="H51" s="159">
        <f t="shared" si="0"/>
        <v>2028</v>
      </c>
      <c r="I51" s="204">
        <f>'Economic Assumptions'!I28</f>
        <v>61.617279691293334</v>
      </c>
      <c r="J51" s="204">
        <f>'Economic Assumptions'!S28</f>
        <v>72.154666131244269</v>
      </c>
      <c r="K51" s="204">
        <f>'Economic Assumptions'!AC28</f>
        <v>84.428418177563913</v>
      </c>
      <c r="L51" s="204">
        <f>'Economic Assumptions'!AM28</f>
        <v>52.586684915867941</v>
      </c>
      <c r="M51" s="204">
        <f>'Economic Assumptions'!AW28</f>
        <v>42.715572902308466</v>
      </c>
      <c r="N51" s="227"/>
      <c r="O51" s="159">
        <f t="shared" si="1"/>
        <v>2028</v>
      </c>
      <c r="P51" s="385">
        <f>'Economic Assumptions'!D28</f>
        <v>5.3113988661415998</v>
      </c>
      <c r="Q51" s="385">
        <f>'Economic Assumptions'!N28</f>
        <v>6.2020043810951542</v>
      </c>
      <c r="R51" s="385">
        <f>'Economic Assumptions'!X28</f>
        <v>7.2361406631430416</v>
      </c>
      <c r="S51" s="385">
        <f>'Economic Assumptions'!AH28</f>
        <v>4.5456534904540673</v>
      </c>
      <c r="T51" s="385">
        <f>'Economic Assumptions'!AR28</f>
        <v>3.7909053733442497</v>
      </c>
      <c r="U51" s="93"/>
      <c r="V51" s="159">
        <f t="shared" si="2"/>
        <v>2028</v>
      </c>
      <c r="W51" s="385">
        <f>'Economic Assumptions'!J28</f>
        <v>3.577890708004313</v>
      </c>
      <c r="X51" s="385">
        <f>'Economic Assumptions'!T28</f>
        <v>4.1778247887909252</v>
      </c>
      <c r="Y51" s="385">
        <f>'Economic Assumptions'!AD28</f>
        <v>4.8744447730168705</v>
      </c>
      <c r="Z51" s="385">
        <f>'Economic Assumptions'!AN28</f>
        <v>3.062065530227756</v>
      </c>
      <c r="AA51" s="385">
        <f>'Economic Assumptions'!AX28</f>
        <v>2.5536483800293102</v>
      </c>
      <c r="AB51" s="93"/>
      <c r="AC51" s="93"/>
      <c r="AD51" s="93"/>
      <c r="AE51" s="93"/>
      <c r="AF51" s="93"/>
      <c r="AG51" s="93"/>
      <c r="AH51" s="93"/>
      <c r="AI51" s="93"/>
    </row>
    <row r="52" spans="1:35">
      <c r="A52" s="159">
        <f>'Economic Assumptions'!A29</f>
        <v>2029</v>
      </c>
      <c r="B52" s="204">
        <f>'Economic Assumptions'!C29</f>
        <v>92.843266002011916</v>
      </c>
      <c r="C52" s="204">
        <f>'Economic Assumptions'!M29</f>
        <v>110.09278551062224</v>
      </c>
      <c r="D52" s="204">
        <f>'Economic Assumptions'!W29</f>
        <v>130.46656313838929</v>
      </c>
      <c r="E52" s="204">
        <f>'Economic Assumptions'!AG29</f>
        <v>78.266318860042333</v>
      </c>
      <c r="F52" s="204">
        <f>'Economic Assumptions'!AQ29</f>
        <v>64.99679576479322</v>
      </c>
      <c r="G52" s="227"/>
      <c r="H52" s="159">
        <f t="shared" si="0"/>
        <v>2029</v>
      </c>
      <c r="I52" s="204">
        <f>'Economic Assumptions'!I29</f>
        <v>61.01613549918315</v>
      </c>
      <c r="J52" s="204">
        <f>'Economic Assumptions'!S29</f>
        <v>72.352434457153493</v>
      </c>
      <c r="K52" s="204">
        <f>'Economic Assumptions'!AC29</f>
        <v>85.74198040805878</v>
      </c>
      <c r="L52" s="204">
        <f>'Economic Assumptions'!AM29</f>
        <v>51.436237890243234</v>
      </c>
      <c r="M52" s="204">
        <f>'Economic Assumptions'!AW29</f>
        <v>42.715572902308466</v>
      </c>
      <c r="N52" s="227"/>
      <c r="O52" s="159">
        <f t="shared" si="1"/>
        <v>2029</v>
      </c>
      <c r="P52" s="385">
        <f>'Economic Assumptions'!D29</f>
        <v>5.3777913519683693</v>
      </c>
      <c r="Q52" s="385">
        <f>'Economic Assumptions'!N29</f>
        <v>6.3614269326383504</v>
      </c>
      <c r="R52" s="385">
        <f>'Economic Assumptions'!X29</f>
        <v>7.5196173688641021</v>
      </c>
      <c r="S52" s="385">
        <f>'Economic Assumptions'!AH29</f>
        <v>4.543861173924026</v>
      </c>
      <c r="T52" s="385">
        <f>'Economic Assumptions'!AR29</f>
        <v>3.8856780076778556</v>
      </c>
      <c r="U52" s="93"/>
      <c r="V52" s="159">
        <f t="shared" si="2"/>
        <v>2029</v>
      </c>
      <c r="W52" s="385">
        <f>'Economic Assumptions'!J29</f>
        <v>3.5342578944920651</v>
      </c>
      <c r="X52" s="385">
        <f>'Economic Assumptions'!T29</f>
        <v>4.1806983360710666</v>
      </c>
      <c r="Y52" s="385">
        <f>'Economic Assumptions'!AD29</f>
        <v>4.9418553659096887</v>
      </c>
      <c r="Z52" s="385">
        <f>'Economic Assumptions'!AN29</f>
        <v>2.9862031035359937</v>
      </c>
      <c r="AA52" s="385">
        <f>'Economic Assumptions'!AX29</f>
        <v>2.5536483800293102</v>
      </c>
      <c r="AB52" s="93"/>
      <c r="AC52" s="93"/>
      <c r="AD52" s="93"/>
      <c r="AE52" s="93"/>
      <c r="AF52" s="93"/>
      <c r="AG52" s="93"/>
      <c r="AH52" s="93"/>
      <c r="AI52" s="93"/>
    </row>
    <row r="53" spans="1:35">
      <c r="A53" s="159">
        <f>'Economic Assumptions'!A30</f>
        <v>2030</v>
      </c>
      <c r="B53" s="204">
        <f>'Economic Assumptions'!C30</f>
        <v>94.235914992042083</v>
      </c>
      <c r="C53" s="204">
        <f>'Economic Assumptions'!M30</f>
        <v>113.13682628331172</v>
      </c>
      <c r="D53" s="204">
        <f>'Economic Assumptions'!W30</f>
        <v>135.77320902257117</v>
      </c>
      <c r="E53" s="204">
        <f>'Economic Assumptions'!AG30</f>
        <v>78.484973067171865</v>
      </c>
      <c r="F53" s="204">
        <f>'Economic Assumptions'!AQ30</f>
        <v>66.621715658913047</v>
      </c>
      <c r="G53" s="227"/>
      <c r="H53" s="159">
        <f t="shared" si="0"/>
        <v>2030</v>
      </c>
      <c r="I53" s="204">
        <f>'Economic Assumptions'!I30</f>
        <v>60.42085612845942</v>
      </c>
      <c r="J53" s="204">
        <f>'Economic Assumptions'!S30</f>
        <v>72.539476103901009</v>
      </c>
      <c r="K53" s="204">
        <f>'Economic Assumptions'!AC30</f>
        <v>87.053153027110554</v>
      </c>
      <c r="L53" s="204">
        <f>'Economic Assumptions'!AM30</f>
        <v>50.321889126221791</v>
      </c>
      <c r="M53" s="204">
        <f>'Economic Assumptions'!AW30</f>
        <v>42.715572902308466</v>
      </c>
      <c r="N53" s="227"/>
      <c r="O53" s="159">
        <f t="shared" si="1"/>
        <v>2030</v>
      </c>
      <c r="P53" s="385">
        <f>'Economic Assumptions'!D30</f>
        <v>5.4450137438679738</v>
      </c>
      <c r="Q53" s="385">
        <f>'Economic Assumptions'!N30</f>
        <v>6.524070728527529</v>
      </c>
      <c r="R53" s="385">
        <f>'Economic Assumptions'!X30</f>
        <v>7.8124282818296296</v>
      </c>
      <c r="S53" s="385">
        <f>'Economic Assumptions'!AH30</f>
        <v>4.5429256482147702</v>
      </c>
      <c r="T53" s="385">
        <f>'Economic Assumptions'!AR30</f>
        <v>3.9828199578698018</v>
      </c>
      <c r="U53" s="93"/>
      <c r="V53" s="159">
        <f t="shared" si="2"/>
        <v>2030</v>
      </c>
      <c r="W53" s="385">
        <f>'Economic Assumptions'!J30</f>
        <v>3.4911571884616746</v>
      </c>
      <c r="X53" s="385">
        <f>'Economic Assumptions'!T30</f>
        <v>4.1830117412617396</v>
      </c>
      <c r="Y53" s="385">
        <f>'Economic Assumptions'!AD30</f>
        <v>5.009062683481103</v>
      </c>
      <c r="Z53" s="385">
        <f>'Economic Assumptions'!AN30</f>
        <v>2.9127690543064442</v>
      </c>
      <c r="AA53" s="385">
        <f>'Economic Assumptions'!AX30</f>
        <v>2.5536483800293106</v>
      </c>
      <c r="AB53" s="93"/>
      <c r="AC53" s="93"/>
      <c r="AD53" s="93"/>
      <c r="AE53" s="93"/>
      <c r="AF53" s="93"/>
      <c r="AG53" s="93"/>
      <c r="AH53" s="93"/>
      <c r="AI53" s="93"/>
    </row>
    <row r="54" spans="1:35">
      <c r="A54" s="159">
        <f>'Economic Assumptions'!A31</f>
        <v>2031</v>
      </c>
      <c r="B54" s="204">
        <f>'Economic Assumptions'!C31</f>
        <v>95.649453716922707</v>
      </c>
      <c r="C54" s="204">
        <f>'Economic Assumptions'!M31</f>
        <v>116.24741740244201</v>
      </c>
      <c r="D54" s="204">
        <f>'Economic Assumptions'!W31</f>
        <v>141.25994401812892</v>
      </c>
      <c r="E54" s="204">
        <f>'Economic Assumptions'!AG31</f>
        <v>78.72123719604491</v>
      </c>
      <c r="F54" s="204">
        <f>'Economic Assumptions'!AQ31</f>
        <v>68.287258550385872</v>
      </c>
      <c r="G54" s="227"/>
      <c r="H54" s="159">
        <f t="shared" si="0"/>
        <v>2031</v>
      </c>
      <c r="I54" s="204">
        <f>'Economic Assumptions'!I31</f>
        <v>59.831384361352491</v>
      </c>
      <c r="J54" s="204">
        <f>'Economic Assumptions'!S31</f>
        <v>72.71598154866966</v>
      </c>
      <c r="K54" s="204">
        <f>'Economic Assumptions'!AC31</f>
        <v>88.362010204732442</v>
      </c>
      <c r="L54" s="204">
        <f>'Economic Assumptions'!AM31</f>
        <v>49.242315737810095</v>
      </c>
      <c r="M54" s="204">
        <f>'Economic Assumptions'!AW31</f>
        <v>42.715572902308466</v>
      </c>
      <c r="N54" s="227"/>
      <c r="O54" s="159">
        <f t="shared" si="1"/>
        <v>2031</v>
      </c>
      <c r="P54" s="385">
        <f>'Economic Assumptions'!D31</f>
        <v>5.5130764156663234</v>
      </c>
      <c r="Q54" s="385">
        <f>'Economic Assumptions'!N31</f>
        <v>6.6899944612537912</v>
      </c>
      <c r="R54" s="385">
        <f>'Economic Assumptions'!X31</f>
        <v>8.1148638020828692</v>
      </c>
      <c r="S54" s="385">
        <f>'Economic Assumptions'!AH31</f>
        <v>4.542844435289898</v>
      </c>
      <c r="T54" s="385">
        <f>'Economic Assumptions'!AR31</f>
        <v>4.0823904568165466</v>
      </c>
      <c r="U54" s="93"/>
      <c r="V54" s="159">
        <f t="shared" si="2"/>
        <v>2031</v>
      </c>
      <c r="W54" s="385">
        <f>'Economic Assumptions'!J31</f>
        <v>3.4485821007975082</v>
      </c>
      <c r="X54" s="385">
        <f>'Economic Assumptions'!T31</f>
        <v>4.1847769582794507</v>
      </c>
      <c r="Y54" s="385">
        <f>'Economic Assumptions'!AD31</f>
        <v>5.0760722232598132</v>
      </c>
      <c r="Z54" s="385">
        <f>'Economic Assumptions'!AN31</f>
        <v>2.8416751057049932</v>
      </c>
      <c r="AA54" s="385">
        <f>'Economic Assumptions'!AX31</f>
        <v>2.5536483800293106</v>
      </c>
      <c r="AB54" s="93"/>
      <c r="AC54" s="93"/>
      <c r="AD54" s="93"/>
      <c r="AE54" s="93"/>
      <c r="AF54" s="93"/>
      <c r="AG54" s="93"/>
      <c r="AH54" s="93"/>
      <c r="AI54" s="93"/>
    </row>
    <row r="55" spans="1:35">
      <c r="A55" s="159">
        <f>'Economic Assumptions'!A32</f>
        <v>2032</v>
      </c>
      <c r="B55" s="204">
        <f>'Economic Assumptions'!C32</f>
        <v>97.084195522676538</v>
      </c>
      <c r="C55" s="204">
        <f>'Economic Assumptions'!M32</f>
        <v>119.42587046923246</v>
      </c>
      <c r="D55" s="204">
        <f>'Economic Assumptions'!W32</f>
        <v>146.93248414442661</v>
      </c>
      <c r="E55" s="204">
        <f>'Economic Assumptions'!AG32</f>
        <v>78.975160443858073</v>
      </c>
      <c r="F55" s="204">
        <f>'Economic Assumptions'!AQ32</f>
        <v>69.994440014145511</v>
      </c>
      <c r="G55" s="227"/>
      <c r="H55" s="159">
        <f t="shared" si="0"/>
        <v>2032</v>
      </c>
      <c r="I55" s="204">
        <f>'Economic Assumptions'!I32</f>
        <v>59.24766353831491</v>
      </c>
      <c r="J55" s="204">
        <f>'Economic Assumptions'!S32</f>
        <v>72.882138572995117</v>
      </c>
      <c r="K55" s="204">
        <f>'Economic Assumptions'!AC32</f>
        <v>89.668625635409455</v>
      </c>
      <c r="L55" s="204">
        <f>'Economic Assumptions'!AM32</f>
        <v>48.196245626500719</v>
      </c>
      <c r="M55" s="204">
        <f>'Economic Assumptions'!AW32</f>
        <v>42.715572902308466</v>
      </c>
      <c r="N55" s="227"/>
      <c r="O55" s="159">
        <f t="shared" si="1"/>
        <v>2032</v>
      </c>
      <c r="P55" s="385">
        <f>'Economic Assumptions'!D32</f>
        <v>5.5819898708621523</v>
      </c>
      <c r="Q55" s="385">
        <f>'Economic Assumptions'!N32</f>
        <v>6.8592578333684262</v>
      </c>
      <c r="R55" s="385">
        <f>'Economic Assumptions'!X32</f>
        <v>8.4272231713411827</v>
      </c>
      <c r="S55" s="385">
        <f>'Economic Assumptions'!AH32</f>
        <v>4.5436152239563778</v>
      </c>
      <c r="T55" s="385">
        <f>'Economic Assumptions'!AR32</f>
        <v>4.1844502182369601</v>
      </c>
      <c r="U55" s="93"/>
      <c r="V55" s="159">
        <f t="shared" si="2"/>
        <v>2032</v>
      </c>
      <c r="W55" s="385">
        <f>'Economic Assumptions'!J32</f>
        <v>3.4065262215194898</v>
      </c>
      <c r="X55" s="385">
        <f>'Economic Assumptions'!T32</f>
        <v>4.1860057452815713</v>
      </c>
      <c r="Y55" s="385">
        <f>'Economic Assumptions'!AD32</f>
        <v>5.1428894304561714</v>
      </c>
      <c r="Z55" s="385">
        <f>'Economic Assumptions'!AN32</f>
        <v>2.7728363467115971</v>
      </c>
      <c r="AA55" s="385">
        <f>'Economic Assumptions'!AX32</f>
        <v>2.5536483800293106</v>
      </c>
      <c r="AB55" s="93"/>
      <c r="AC55" s="93"/>
      <c r="AD55" s="93"/>
      <c r="AE55" s="93"/>
      <c r="AF55" s="93"/>
      <c r="AG55" s="93"/>
      <c r="AH55" s="93"/>
      <c r="AI55" s="93"/>
    </row>
    <row r="56" spans="1:35">
      <c r="A56" s="159">
        <f>'Economic Assumptions'!A33</f>
        <v>2033</v>
      </c>
      <c r="B56" s="204">
        <f>'Economic Assumptions'!C33</f>
        <v>98.540458455516671</v>
      </c>
      <c r="C56" s="204">
        <f>'Economic Assumptions'!M33</f>
        <v>122.67352145911107</v>
      </c>
      <c r="D56" s="204">
        <f>'Economic Assumptions'!W33</f>
        <v>152.79672160159956</v>
      </c>
      <c r="E56" s="204">
        <f>'Economic Assumptions'!AG33</f>
        <v>79.246795970040338</v>
      </c>
      <c r="F56" s="204">
        <f>'Economic Assumptions'!AQ33</f>
        <v>71.744301014499143</v>
      </c>
      <c r="G56" s="227"/>
      <c r="H56" s="159">
        <f t="shared" si="0"/>
        <v>2033</v>
      </c>
      <c r="I56" s="204">
        <f>'Economic Assumptions'!I33</f>
        <v>58.669637552575253</v>
      </c>
      <c r="J56" s="204">
        <f>'Economic Assumptions'!S33</f>
        <v>73.038132297233915</v>
      </c>
      <c r="K56" s="204">
        <f>'Economic Assumptions'!AC33</f>
        <v>90.973072543947794</v>
      </c>
      <c r="L56" s="204">
        <f>'Economic Assumptions'!AM33</f>
        <v>47.182455507490666</v>
      </c>
      <c r="M56" s="204">
        <f>'Economic Assumptions'!AW33</f>
        <v>42.715572902308473</v>
      </c>
      <c r="N56" s="227"/>
      <c r="O56" s="159">
        <f t="shared" si="1"/>
        <v>2033</v>
      </c>
      <c r="P56" s="385">
        <f>'Economic Assumptions'!D33</f>
        <v>5.6517647442479291</v>
      </c>
      <c r="Q56" s="385">
        <f>'Economic Assumptions'!N33</f>
        <v>7.0319215742547287</v>
      </c>
      <c r="R56" s="385">
        <f>'Economic Assumptions'!X33</f>
        <v>8.7498147398671957</v>
      </c>
      <c r="S56" s="385">
        <f>'Economic Assumptions'!AH33</f>
        <v>4.5452358689828092</v>
      </c>
      <c r="T56" s="385">
        <f>'Economic Assumptions'!AR33</f>
        <v>4.2890614736928834</v>
      </c>
      <c r="U56" s="93"/>
      <c r="V56" s="159">
        <f t="shared" si="2"/>
        <v>2033</v>
      </c>
      <c r="W56" s="385">
        <f>'Economic Assumptions'!J33</f>
        <v>3.3649832188180331</v>
      </c>
      <c r="X56" s="385">
        <f>'Economic Assumptions'!T33</f>
        <v>4.1867096675412574</v>
      </c>
      <c r="Y56" s="385">
        <f>'Economic Assumptions'!AD33</f>
        <v>5.2095196986720502</v>
      </c>
      <c r="Z56" s="385">
        <f>'Economic Assumptions'!AN33</f>
        <v>2.7061711017365049</v>
      </c>
      <c r="AA56" s="385">
        <f>'Economic Assumptions'!AX33</f>
        <v>2.5536483800293106</v>
      </c>
      <c r="AB56" s="93"/>
      <c r="AC56" s="93"/>
      <c r="AD56" s="93"/>
      <c r="AE56" s="93"/>
      <c r="AF56" s="93"/>
      <c r="AG56" s="93"/>
      <c r="AH56" s="93"/>
      <c r="AI56" s="93"/>
    </row>
    <row r="57" spans="1:35">
      <c r="A57" s="159">
        <f>'Economic Assumptions'!A34</f>
        <v>2034</v>
      </c>
      <c r="B57" s="204">
        <f>'Economic Assumptions'!C34</f>
        <v>100.01856533234941</v>
      </c>
      <c r="C57" s="204">
        <f>'Economic Assumptions'!M34</f>
        <v>125.99173115783047</v>
      </c>
      <c r="D57" s="204">
        <f>'Economic Assumptions'!W34</f>
        <v>158.85873012648028</v>
      </c>
      <c r="E57" s="204">
        <f>'Economic Assumptions'!AG34</f>
        <v>79.536200907322467</v>
      </c>
      <c r="F57" s="204">
        <f>'Economic Assumptions'!AQ34</f>
        <v>73.537908539861618</v>
      </c>
      <c r="G57" s="227"/>
      <c r="H57" s="159">
        <f t="shared" si="0"/>
        <v>2034</v>
      </c>
      <c r="I57" s="204">
        <f>'Economic Assumptions'!I34</f>
        <v>58.097250844745247</v>
      </c>
      <c r="J57" s="204">
        <f>'Economic Assumptions'!S34</f>
        <v>73.184145214615654</v>
      </c>
      <c r="K57" s="204">
        <f>'Economic Assumptions'!AC34</f>
        <v>92.275423691273033</v>
      </c>
      <c r="L57" s="204">
        <f>'Economic Assumptions'!AM34</f>
        <v>46.199769012845785</v>
      </c>
      <c r="M57" s="204">
        <f>'Economic Assumptions'!AW34</f>
        <v>42.715572902308473</v>
      </c>
      <c r="N57" s="227"/>
      <c r="O57" s="159">
        <f t="shared" si="1"/>
        <v>2034</v>
      </c>
      <c r="P57" s="385">
        <f>'Economic Assumptions'!D34</f>
        <v>5.7224118035510276</v>
      </c>
      <c r="Q57" s="385">
        <f>'Economic Assumptions'!N34</f>
        <v>7.2080474571716477</v>
      </c>
      <c r="R57" s="385">
        <f>'Economic Assumptions'!X34</f>
        <v>9.0829562413663112</v>
      </c>
      <c r="S57" s="385">
        <f>'Economic Assumptions'!AH34</f>
        <v>4.5477043902511651</v>
      </c>
      <c r="T57" s="385">
        <f>'Economic Assumptions'!AR34</f>
        <v>4.3962880105352049</v>
      </c>
      <c r="U57" s="93"/>
      <c r="V57" s="159">
        <f t="shared" si="2"/>
        <v>2034</v>
      </c>
      <c r="W57" s="385">
        <f>'Economic Assumptions'!J34</f>
        <v>3.3239468381007402</v>
      </c>
      <c r="X57" s="385">
        <f>'Economic Assumptions'!T34</f>
        <v>4.1869001002825383</v>
      </c>
      <c r="Y57" s="385">
        <f>'Economic Assumptions'!AD34</f>
        <v>5.2759683706023779</v>
      </c>
      <c r="Z57" s="385">
        <f>'Economic Assumptions'!AN34</f>
        <v>2.6416008053128608</v>
      </c>
      <c r="AA57" s="385">
        <f>'Economic Assumptions'!AX34</f>
        <v>2.5536483800293106</v>
      </c>
      <c r="AB57" s="93"/>
      <c r="AC57" s="93"/>
      <c r="AD57" s="93"/>
      <c r="AE57" s="93"/>
      <c r="AF57" s="93"/>
      <c r="AG57" s="93"/>
      <c r="AH57" s="93"/>
      <c r="AI57" s="93"/>
    </row>
    <row r="58" spans="1:35">
      <c r="A58" s="159">
        <f>'Economic Assumptions'!A35</f>
        <v>2035</v>
      </c>
      <c r="B58" s="204">
        <f>'Economic Assumptions'!C35</f>
        <v>101.51884381233464</v>
      </c>
      <c r="C58" s="204">
        <f>'Economic Assumptions'!M35</f>
        <v>129.38188560518313</v>
      </c>
      <c r="D58" s="204">
        <f>'Economic Assumptions'!W35</f>
        <v>165.12477051025991</v>
      </c>
      <c r="E58" s="204">
        <f>'Economic Assumptions'!AG35</f>
        <v>79.843436373697855</v>
      </c>
      <c r="F58" s="204">
        <f>'Economic Assumptions'!AQ35</f>
        <v>75.376356253358153</v>
      </c>
      <c r="G58" s="227"/>
      <c r="H58" s="159">
        <f t="shared" si="0"/>
        <v>2035</v>
      </c>
      <c r="I58" s="204">
        <f>'Economic Assumptions'!I35</f>
        <v>57.530448397479439</v>
      </c>
      <c r="J58" s="204">
        <f>'Economic Assumptions'!S35</f>
        <v>73.320357224883949</v>
      </c>
      <c r="K58" s="204">
        <f>'Economic Assumptions'!AC35</f>
        <v>93.575751380177948</v>
      </c>
      <c r="L58" s="204">
        <f>'Economic Assumptions'!AM35</f>
        <v>45.247054868609048</v>
      </c>
      <c r="M58" s="204">
        <f>'Economic Assumptions'!AW35</f>
        <v>42.715572902308473</v>
      </c>
      <c r="N58" s="227"/>
      <c r="O58" s="159">
        <f t="shared" si="1"/>
        <v>2035</v>
      </c>
      <c r="P58" s="385">
        <f>'Economic Assumptions'!D35</f>
        <v>5.7939419510954151</v>
      </c>
      <c r="Q58" s="385">
        <f>'Economic Assumptions'!N35</f>
        <v>7.3876983165736094</v>
      </c>
      <c r="R58" s="385">
        <f>'Economic Assumptions'!X35</f>
        <v>9.4269750761516882</v>
      </c>
      <c r="S58" s="385">
        <f>'Economic Assumptions'!AH35</f>
        <v>4.5510189719417848</v>
      </c>
      <c r="T58" s="385">
        <f>'Economic Assumptions'!AR35</f>
        <v>4.5061952107985848</v>
      </c>
      <c r="U58" s="93"/>
      <c r="V58" s="159">
        <f t="shared" si="2"/>
        <v>2035</v>
      </c>
      <c r="W58" s="385">
        <f>'Economic Assumptions'!J35</f>
        <v>3.2834109010507313</v>
      </c>
      <c r="X58" s="385">
        <f>'Economic Assumptions'!T35</f>
        <v>4.186588231476132</v>
      </c>
      <c r="Y58" s="385">
        <f>'Economic Assumptions'!AD35</f>
        <v>5.3422407387284965</v>
      </c>
      <c r="Z58" s="385">
        <f>'Economic Assumptions'!AN35</f>
        <v>2.5790498816677334</v>
      </c>
      <c r="AA58" s="385">
        <f>'Economic Assumptions'!AX35</f>
        <v>2.5536483800293106</v>
      </c>
      <c r="AB58" s="93"/>
      <c r="AC58" s="93"/>
      <c r="AD58" s="93"/>
      <c r="AE58" s="93"/>
      <c r="AF58" s="93"/>
      <c r="AG58" s="93"/>
      <c r="AH58" s="93"/>
      <c r="AI58" s="93"/>
    </row>
    <row r="59" spans="1:35">
      <c r="A59" s="159">
        <f>'Economic Assumptions'!A36</f>
        <v>2036</v>
      </c>
      <c r="B59" s="204">
        <f>'Economic Assumptions'!C36</f>
        <v>103.04162646951964</v>
      </c>
      <c r="C59" s="204">
        <f>'Economic Assumptions'!M36</f>
        <v>132.84539654644584</v>
      </c>
      <c r="D59" s="204">
        <f>'Economic Assumptions'!W36</f>
        <v>171.60129628275268</v>
      </c>
      <c r="E59" s="204">
        <f>'Economic Assumptions'!AG36</f>
        <v>80.168567485277393</v>
      </c>
      <c r="F59" s="204">
        <f>'Economic Assumptions'!AQ36</f>
        <v>77.260765159692099</v>
      </c>
      <c r="G59" s="227"/>
      <c r="H59" s="159">
        <f t="shared" si="0"/>
        <v>2036</v>
      </c>
      <c r="I59" s="204">
        <f>'Economic Assumptions'!I36</f>
        <v>56.969175730186947</v>
      </c>
      <c r="J59" s="204">
        <f>'Economic Assumptions'!S36</f>
        <v>73.446945667531097</v>
      </c>
      <c r="K59" s="204">
        <f>'Economic Assumptions'!AC36</f>
        <v>94.874127461019953</v>
      </c>
      <c r="L59" s="204">
        <f>'Economic Assumptions'!AM36</f>
        <v>44.3232251429679</v>
      </c>
      <c r="M59" s="204">
        <f>'Economic Assumptions'!AW36</f>
        <v>42.715572902308473</v>
      </c>
      <c r="N59" s="227"/>
      <c r="O59" s="159">
        <f t="shared" si="1"/>
        <v>2036</v>
      </c>
      <c r="P59" s="385">
        <f>'Economic Assumptions'!D36</f>
        <v>5.8663662254841071</v>
      </c>
      <c r="Q59" s="385">
        <f>'Economic Assumptions'!N36</f>
        <v>7.5709380657109051</v>
      </c>
      <c r="R59" s="385">
        <f>'Economic Assumptions'!X36</f>
        <v>9.7822086028249302</v>
      </c>
      <c r="S59" s="385">
        <f>'Economic Assumptions'!AH36</f>
        <v>4.5551779617513501</v>
      </c>
      <c r="T59" s="385">
        <f>'Economic Assumptions'!AR36</f>
        <v>4.6188500910685493</v>
      </c>
      <c r="U59" s="93"/>
      <c r="V59" s="159">
        <f t="shared" si="2"/>
        <v>2036</v>
      </c>
      <c r="W59" s="385">
        <f>'Economic Assumptions'!J36</f>
        <v>3.2433693046964538</v>
      </c>
      <c r="X59" s="385">
        <f>'Economic Assumptions'!T36</f>
        <v>4.1857850645964954</v>
      </c>
      <c r="Y59" s="385">
        <f>'Economic Assumptions'!AD36</f>
        <v>5.4083420460034004</v>
      </c>
      <c r="Z59" s="385">
        <f>'Economic Assumptions'!AN36</f>
        <v>2.5184456289813184</v>
      </c>
      <c r="AA59" s="385">
        <f>'Economic Assumptions'!AX36</f>
        <v>2.5536483800293106</v>
      </c>
      <c r="AB59" s="93"/>
      <c r="AC59" s="93"/>
      <c r="AD59" s="93"/>
      <c r="AE59" s="93"/>
      <c r="AF59" s="93"/>
      <c r="AG59" s="93"/>
      <c r="AH59" s="93"/>
      <c r="AI59" s="93"/>
    </row>
    <row r="60" spans="1:35">
      <c r="A60" s="159">
        <f>'Economic Assumptions'!A37</f>
        <v>2037</v>
      </c>
      <c r="B60" s="204">
        <f>'Economic Assumptions'!C37</f>
        <v>104.58725086656243</v>
      </c>
      <c r="C60" s="204">
        <f>'Economic Assumptions'!M37</f>
        <v>136.38370189168529</v>
      </c>
      <c r="D60" s="204">
        <f>'Economic Assumptions'!W37</f>
        <v>178.29495956827805</v>
      </c>
      <c r="E60" s="204">
        <f>'Economic Assumptions'!AG37</f>
        <v>80.51166337004102</v>
      </c>
      <c r="F60" s="204">
        <f>'Economic Assumptions'!AQ37</f>
        <v>79.192284288684391</v>
      </c>
      <c r="G60" s="227"/>
      <c r="H60" s="159">
        <f t="shared" si="0"/>
        <v>2037</v>
      </c>
      <c r="I60" s="204">
        <f>'Economic Assumptions'!I37</f>
        <v>56.413378893794885</v>
      </c>
      <c r="J60" s="204">
        <f>'Economic Assumptions'!S37</f>
        <v>73.564085354631089</v>
      </c>
      <c r="K60" s="204">
        <f>'Economic Assumptions'!AC37</f>
        <v>96.170623337369136</v>
      </c>
      <c r="L60" s="204">
        <f>'Economic Assumptions'!AM37</f>
        <v>43.427233562708473</v>
      </c>
      <c r="M60" s="204">
        <f>'Economic Assumptions'!AW37</f>
        <v>42.715572902308473</v>
      </c>
      <c r="N60" s="227"/>
      <c r="O60" s="159">
        <f t="shared" si="1"/>
        <v>2037</v>
      </c>
      <c r="P60" s="385">
        <f>'Economic Assumptions'!D37</f>
        <v>5.9396958033026586</v>
      </c>
      <c r="Q60" s="385">
        <f>'Economic Assumptions'!N37</f>
        <v>7.7578317145151194</v>
      </c>
      <c r="R60" s="385">
        <f>'Economic Assumptions'!X37</f>
        <v>10.14900443872823</v>
      </c>
      <c r="S60" s="385">
        <f>'Economic Assumptions'!AH37</f>
        <v>4.5601798701436316</v>
      </c>
      <c r="T60" s="385">
        <f>'Economic Assumptions'!AR37</f>
        <v>4.7343213433452629</v>
      </c>
      <c r="U60" s="93"/>
      <c r="V60" s="159">
        <f t="shared" si="2"/>
        <v>2037</v>
      </c>
      <c r="W60" s="385">
        <f>'Economic Assumptions'!J37</f>
        <v>3.2038160204928388</v>
      </c>
      <c r="X60" s="385">
        <f>'Economic Assumptions'!T37</f>
        <v>4.1845014213406326</v>
      </c>
      <c r="Y60" s="385">
        <f>'Economic Assumptions'!AD37</f>
        <v>5.4742774865289849</v>
      </c>
      <c r="Z60" s="385">
        <f>'Economic Assumptions'!AN37</f>
        <v>2.4597181081515171</v>
      </c>
      <c r="AA60" s="385">
        <f>'Economic Assumptions'!AX37</f>
        <v>2.553648380029311</v>
      </c>
      <c r="AB60" s="93"/>
      <c r="AC60" s="93"/>
      <c r="AD60" s="93"/>
      <c r="AE60" s="93"/>
      <c r="AF60" s="93"/>
      <c r="AG60" s="93"/>
      <c r="AH60" s="93"/>
      <c r="AI60" s="93"/>
    </row>
    <row r="61" spans="1:35">
      <c r="A61" s="159">
        <f>'Economic Assumptions'!A38</f>
        <v>2038</v>
      </c>
      <c r="B61" s="204">
        <f>'Economic Assumptions'!C38</f>
        <v>106.15605962956086</v>
      </c>
      <c r="C61" s="204">
        <f>'Economic Assumptions'!M38</f>
        <v>139.99826618305897</v>
      </c>
      <c r="D61" s="204">
        <f>'Economic Assumptions'!W38</f>
        <v>185.21261711832483</v>
      </c>
      <c r="E61" s="204">
        <f>'Economic Assumptions'!AG38</f>
        <v>80.872797182488839</v>
      </c>
      <c r="F61" s="204">
        <f>'Economic Assumptions'!AQ38</f>
        <v>81.172091395901489</v>
      </c>
      <c r="G61" s="227"/>
      <c r="H61" s="159">
        <f t="shared" si="0"/>
        <v>2038</v>
      </c>
      <c r="I61" s="204">
        <f>'Economic Assumptions'!I38</f>
        <v>55.863004465562739</v>
      </c>
      <c r="J61" s="204">
        <f>'Economic Assumptions'!S38</f>
        <v>73.671948603275567</v>
      </c>
      <c r="K61" s="204">
        <f>'Economic Assumptions'!AC38</f>
        <v>97.46530997160697</v>
      </c>
      <c r="L61" s="204">
        <f>'Economic Assumptions'!AM38</f>
        <v>42.558073895292459</v>
      </c>
      <c r="M61" s="204">
        <f>'Economic Assumptions'!AW38</f>
        <v>42.715572902308466</v>
      </c>
      <c r="N61" s="227"/>
      <c r="O61" s="159">
        <f t="shared" si="1"/>
        <v>2038</v>
      </c>
      <c r="P61" s="385">
        <f>'Economic Assumptions'!D38</f>
        <v>6.0139420008439419</v>
      </c>
      <c r="Q61" s="385">
        <f>'Economic Assumptions'!N38</f>
        <v>7.9484453877741288</v>
      </c>
      <c r="R61" s="385">
        <f>'Economic Assumptions'!X38</f>
        <v>10.527720769431362</v>
      </c>
      <c r="S61" s="385">
        <f>'Economic Assumptions'!AH38</f>
        <v>4.5660233696327603</v>
      </c>
      <c r="T61" s="385">
        <f>'Economic Assumptions'!AR38</f>
        <v>4.8526793769288936</v>
      </c>
      <c r="U61" s="93"/>
      <c r="V61" s="159">
        <f t="shared" si="2"/>
        <v>2038</v>
      </c>
      <c r="W61" s="385">
        <f>'Economic Assumptions'!J38</f>
        <v>3.1647450934136581</v>
      </c>
      <c r="X61" s="385">
        <f>'Economic Assumptions'!T38</f>
        <v>4.1827479443091731</v>
      </c>
      <c r="Y61" s="385">
        <f>'Economic Assumptions'!AD38</f>
        <v>5.540052206225381</v>
      </c>
      <c r="Z61" s="385">
        <f>'Economic Assumptions'!AN38</f>
        <v>2.4028000358881996</v>
      </c>
      <c r="AA61" s="385">
        <f>'Economic Assumptions'!AX38</f>
        <v>2.5536483800293106</v>
      </c>
      <c r="AB61" s="93"/>
      <c r="AC61" s="93"/>
      <c r="AD61" s="93"/>
      <c r="AE61" s="93"/>
      <c r="AF61" s="93"/>
      <c r="AG61" s="93"/>
      <c r="AH61" s="93"/>
      <c r="AI61" s="93"/>
    </row>
    <row r="62" spans="1:35">
      <c r="A62" s="159">
        <f>'Economic Assumptions'!A39</f>
        <v>2039</v>
      </c>
      <c r="B62" s="204">
        <f>'Economic Assumptions'!C39</f>
        <v>107.74840052400425</v>
      </c>
      <c r="C62" s="204">
        <f>'Economic Assumptions'!M39</f>
        <v>143.69058107024824</v>
      </c>
      <c r="D62" s="204">
        <f>'Economic Assumptions'!W39</f>
        <v>192.36133652631798</v>
      </c>
      <c r="E62" s="204">
        <f>'Economic Assumptions'!AG39</f>
        <v>81.252046119194901</v>
      </c>
      <c r="F62" s="204">
        <f>'Economic Assumptions'!AQ39</f>
        <v>83.201393680799015</v>
      </c>
      <c r="G62" s="227"/>
      <c r="H62" s="159">
        <f t="shared" si="0"/>
        <v>2039</v>
      </c>
      <c r="I62" s="204">
        <f>'Economic Assumptions'!I39</f>
        <v>55.317999543947479</v>
      </c>
      <c r="J62" s="204">
        <f>'Economic Assumptions'!S39</f>
        <v>73.770705267617686</v>
      </c>
      <c r="K62" s="204">
        <f>'Economic Assumptions'!AC39</f>
        <v>98.758257890476699</v>
      </c>
      <c r="L62" s="204">
        <f>'Economic Assumptions'!AM39</f>
        <v>41.714778393996589</v>
      </c>
      <c r="M62" s="204">
        <f>'Economic Assumptions'!AW39</f>
        <v>42.715572902308459</v>
      </c>
      <c r="N62" s="227"/>
      <c r="O62" s="159">
        <f t="shared" si="1"/>
        <v>2039</v>
      </c>
      <c r="P62" s="385">
        <f>'Economic Assumptions'!D39</f>
        <v>6.089116275854491</v>
      </c>
      <c r="Q62" s="385">
        <f>'Economic Assumptions'!N39</f>
        <v>8.1428463436012883</v>
      </c>
      <c r="R62" s="385">
        <f>'Economic Assumptions'!X39</f>
        <v>10.918726667524851</v>
      </c>
      <c r="S62" s="385">
        <f>'Economic Assumptions'!AH39</f>
        <v>4.5727072940988176</v>
      </c>
      <c r="T62" s="385">
        <f>'Economic Assumptions'!AR39</f>
        <v>4.9739963613521159</v>
      </c>
      <c r="U62" s="93"/>
      <c r="V62" s="159">
        <f t="shared" si="2"/>
        <v>2039</v>
      </c>
      <c r="W62" s="385">
        <f>'Economic Assumptions'!J39</f>
        <v>3.1261506410549549</v>
      </c>
      <c r="X62" s="385">
        <f>'Economic Assumptions'!T39</f>
        <v>4.1805350996502249</v>
      </c>
      <c r="Y62" s="385">
        <f>'Economic Assumptions'!AD39</f>
        <v>5.6056713034925005</v>
      </c>
      <c r="Z62" s="385">
        <f>'Economic Assumptions'!AN39</f>
        <v>2.3476266819683387</v>
      </c>
      <c r="AA62" s="385">
        <f>'Economic Assumptions'!AX39</f>
        <v>2.5536483800293106</v>
      </c>
      <c r="AB62" s="93"/>
      <c r="AC62" s="93"/>
      <c r="AD62" s="93"/>
      <c r="AE62" s="93"/>
      <c r="AF62" s="93"/>
      <c r="AG62" s="93"/>
      <c r="AH62" s="93"/>
      <c r="AI62" s="93"/>
    </row>
    <row r="63" spans="1:35">
      <c r="A63" s="159">
        <f>'Economic Assumptions'!A40</f>
        <v>2040</v>
      </c>
      <c r="B63" s="204">
        <f>'Economic Assumptions'!C40</f>
        <v>109.3646265318643</v>
      </c>
      <c r="C63" s="204">
        <f>'Economic Assumptions'!M40</f>
        <v>147.46216579416199</v>
      </c>
      <c r="D63" s="204">
        <f>'Economic Assumptions'!W40</f>
        <v>199.74840262996759</v>
      </c>
      <c r="E63" s="204">
        <f>'Economic Assumptions'!AG40</f>
        <v>81.649491435267024</v>
      </c>
      <c r="F63" s="204">
        <f>'Economic Assumptions'!AQ40</f>
        <v>85.281428522818985</v>
      </c>
      <c r="G63" s="227"/>
      <c r="H63" s="159">
        <f t="shared" si="0"/>
        <v>2040</v>
      </c>
      <c r="I63" s="204">
        <f>'Economic Assumptions'!I40</f>
        <v>54.778311743518721</v>
      </c>
      <c r="J63" s="204">
        <f>'Economic Assumptions'!S40</f>
        <v>73.86052277052795</v>
      </c>
      <c r="K63" s="204">
        <f>'Economic Assumptions'!AC40</f>
        <v>100.04953719058558</v>
      </c>
      <c r="L63" s="204">
        <f>'Economic Assumptions'!AM40</f>
        <v>40.896416303654483</v>
      </c>
      <c r="M63" s="204">
        <f>'Economic Assumptions'!AW40</f>
        <v>42.715572902308459</v>
      </c>
      <c r="N63" s="227"/>
      <c r="O63" s="159">
        <f t="shared" si="1"/>
        <v>2040</v>
      </c>
      <c r="P63" s="385">
        <f>'Economic Assumptions'!D40</f>
        <v>6.1652302293026722</v>
      </c>
      <c r="Q63" s="385">
        <f>'Economic Assumptions'!N40</f>
        <v>8.3411029922034885</v>
      </c>
      <c r="R63" s="385">
        <f>'Economic Assumptions'!X40</f>
        <v>11.322402420998777</v>
      </c>
      <c r="S63" s="385">
        <f>'Economic Assumptions'!AH40</f>
        <v>4.5802306381355162</v>
      </c>
      <c r="T63" s="385">
        <f>'Economic Assumptions'!AR40</f>
        <v>5.0983462703859184</v>
      </c>
      <c r="U63" s="93"/>
      <c r="V63" s="159">
        <f t="shared" si="2"/>
        <v>2040</v>
      </c>
      <c r="W63" s="385">
        <f>'Economic Assumptions'!J40</f>
        <v>3.0880268527494068</v>
      </c>
      <c r="X63" s="385">
        <f>'Economic Assumptions'!T40</f>
        <v>4.177873179666503</v>
      </c>
      <c r="Y63" s="385">
        <f>'Economic Assumptions'!AD40</f>
        <v>5.6711398298638658</v>
      </c>
      <c r="Z63" s="385">
        <f>'Economic Assumptions'!AN40</f>
        <v>2.2941357704897567</v>
      </c>
      <c r="AA63" s="385">
        <f>'Economic Assumptions'!AX40</f>
        <v>2.5536483800293106</v>
      </c>
      <c r="AB63" s="93"/>
      <c r="AC63" s="93"/>
      <c r="AD63" s="93"/>
      <c r="AE63" s="93"/>
      <c r="AF63" s="93"/>
      <c r="AG63" s="93"/>
      <c r="AH63" s="93"/>
      <c r="AI63" s="93"/>
    </row>
    <row r="64" spans="1:35">
      <c r="A64" s="159">
        <f>'Economic Assumptions'!A41</f>
        <v>2041</v>
      </c>
      <c r="B64" s="204">
        <f>'Economic Assumptions'!C41</f>
        <v>112.0987421951609</v>
      </c>
      <c r="C64" s="204">
        <f>'Economic Assumptions'!M41</f>
        <v>152.408213944371</v>
      </c>
      <c r="D64" s="204">
        <f>'Economic Assumptions'!W41</f>
        <v>208.4749703721632</v>
      </c>
      <c r="E64" s="204">
        <f>'Economic Assumptions'!AG41</f>
        <v>83.158864727034612</v>
      </c>
      <c r="F64" s="204">
        <f>'Economic Assumptions'!AQ41</f>
        <v>87.41346423588945</v>
      </c>
      <c r="G64" s="227"/>
      <c r="H64" s="159">
        <f t="shared" si="0"/>
        <v>2041</v>
      </c>
      <c r="I64" s="204">
        <f>'Economic Assumptions'!I41</f>
        <v>54.778311743518721</v>
      </c>
      <c r="J64" s="204">
        <f>'Economic Assumptions'!S41</f>
        <v>74.47598868846228</v>
      </c>
      <c r="K64" s="204">
        <f>'Economic Assumptions'!AC41</f>
        <v>101.87364009745474</v>
      </c>
      <c r="L64" s="204">
        <f>'Economic Assumptions'!AM41</f>
        <v>40.636514978231837</v>
      </c>
      <c r="M64" s="204">
        <f>'Economic Assumptions'!AW41</f>
        <v>42.715572902308459</v>
      </c>
      <c r="N64" s="227"/>
      <c r="O64" s="159">
        <f t="shared" si="1"/>
        <v>2041</v>
      </c>
      <c r="P64" s="385">
        <f>'Economic Assumptions'!D41</f>
        <v>6.3193609850352388</v>
      </c>
      <c r="Q64" s="385">
        <f>'Economic Assumptions'!N41</f>
        <v>8.620350292819106</v>
      </c>
      <c r="R64" s="385">
        <f>'Economic Assumptions'!X41</f>
        <v>11.816205249361309</v>
      </c>
      <c r="S64" s="385">
        <f>'Economic Assumptions'!AH41</f>
        <v>4.6656579342960498</v>
      </c>
      <c r="T64" s="385">
        <f>'Economic Assumptions'!AR41</f>
        <v>5.2258049271455658</v>
      </c>
      <c r="U64" s="93"/>
      <c r="V64" s="159">
        <f t="shared" si="2"/>
        <v>2041</v>
      </c>
      <c r="W64" s="385">
        <f>'Economic Assumptions'!J41</f>
        <v>3.0880268527494068</v>
      </c>
      <c r="X64" s="385">
        <f>'Economic Assumptions'!T41</f>
        <v>4.2124311694441321</v>
      </c>
      <c r="Y64" s="385">
        <f>'Economic Assumptions'!AD41</f>
        <v>5.7741216547107488</v>
      </c>
      <c r="Z64" s="385">
        <f>'Economic Assumptions'!AN41</f>
        <v>2.2799262490255079</v>
      </c>
      <c r="AA64" s="385">
        <f>'Economic Assumptions'!AX41</f>
        <v>2.5536483800293106</v>
      </c>
      <c r="AB64" s="93"/>
      <c r="AC64" s="93"/>
      <c r="AD64" s="93"/>
      <c r="AE64" s="93"/>
      <c r="AF64" s="93"/>
      <c r="AG64" s="93"/>
      <c r="AH64" s="93"/>
      <c r="AI64" s="93"/>
    </row>
    <row r="65" spans="1:35">
      <c r="A65" s="159">
        <f>'Economic Assumptions'!A42</f>
        <v>2042</v>
      </c>
      <c r="B65" s="204">
        <f>'Economic Assumptions'!C42</f>
        <v>114.90121075003991</v>
      </c>
      <c r="C65" s="204">
        <f>'Economic Assumptions'!M42</f>
        <v>157.49680570841554</v>
      </c>
      <c r="D65" s="204">
        <f>'Economic Assumptions'!W42</f>
        <v>217.53168803820711</v>
      </c>
      <c r="E65" s="204">
        <f>'Economic Assumptions'!AG42</f>
        <v>84.713950311008105</v>
      </c>
      <c r="F65" s="204">
        <f>'Economic Assumptions'!AQ42</f>
        <v>89.598800841786684</v>
      </c>
      <c r="G65" s="227"/>
      <c r="H65" s="159">
        <f t="shared" si="0"/>
        <v>2042</v>
      </c>
      <c r="I65" s="204">
        <f>'Economic Assumptions'!I42</f>
        <v>54.778311743518721</v>
      </c>
      <c r="J65" s="204">
        <f>'Economic Assumptions'!S42</f>
        <v>75.085450060855763</v>
      </c>
      <c r="K65" s="204">
        <f>'Economic Assumptions'!AC42</f>
        <v>103.70664106728425</v>
      </c>
      <c r="L65" s="204">
        <f>'Economic Assumptions'!AM42</f>
        <v>40.386756143557392</v>
      </c>
      <c r="M65" s="204">
        <f>'Economic Assumptions'!AW42</f>
        <v>42.715572902308466</v>
      </c>
      <c r="N65" s="227"/>
      <c r="O65" s="159">
        <f t="shared" si="1"/>
        <v>2042</v>
      </c>
      <c r="P65" s="385">
        <f>'Economic Assumptions'!D42</f>
        <v>6.4773450096611196</v>
      </c>
      <c r="Q65" s="385">
        <f>'Economic Assumptions'!N42</f>
        <v>8.9076395718372723</v>
      </c>
      <c r="R65" s="385">
        <f>'Economic Assumptions'!X42</f>
        <v>12.32867543146803</v>
      </c>
      <c r="S65" s="385">
        <f>'Economic Assumptions'!AH42</f>
        <v>4.7536570899074899</v>
      </c>
      <c r="T65" s="385">
        <f>'Economic Assumptions'!AR42</f>
        <v>5.3564500503242041</v>
      </c>
      <c r="U65" s="93"/>
      <c r="V65" s="159">
        <f t="shared" si="2"/>
        <v>2042</v>
      </c>
      <c r="W65" s="385">
        <f>'Economic Assumptions'!J42</f>
        <v>3.0880268527494072</v>
      </c>
      <c r="X65" s="385">
        <f>'Economic Assumptions'!T42</f>
        <v>4.2466520081019796</v>
      </c>
      <c r="Y65" s="385">
        <f>'Economic Assumptions'!AD42</f>
        <v>5.8776058299227394</v>
      </c>
      <c r="Z65" s="385">
        <f>'Economic Assumptions'!AN42</f>
        <v>2.2662712454720593</v>
      </c>
      <c r="AA65" s="385">
        <f>'Economic Assumptions'!AX42</f>
        <v>2.5536483800293106</v>
      </c>
      <c r="AB65" s="93"/>
      <c r="AC65" s="93"/>
      <c r="AD65" s="93"/>
      <c r="AE65" s="93"/>
      <c r="AF65" s="93"/>
      <c r="AG65" s="93"/>
      <c r="AH65" s="93"/>
      <c r="AI65" s="93"/>
    </row>
    <row r="66" spans="1:35">
      <c r="A66" s="159">
        <f>'Economic Assumptions'!A43</f>
        <v>2043</v>
      </c>
      <c r="B66" s="204">
        <f>'Economic Assumptions'!C43</f>
        <v>117.7737410187909</v>
      </c>
      <c r="C66" s="204">
        <f>'Economic Assumptions'!M43</f>
        <v>162.73178806279276</v>
      </c>
      <c r="D66" s="204">
        <f>'Economic Assumptions'!W43</f>
        <v>226.93016894810432</v>
      </c>
      <c r="E66" s="204">
        <f>'Economic Assumptions'!AG43</f>
        <v>86.315771325093976</v>
      </c>
      <c r="F66" s="204">
        <f>'Economic Assumptions'!AQ43</f>
        <v>91.838770862831339</v>
      </c>
      <c r="G66" s="227"/>
      <c r="H66" s="159">
        <f t="shared" si="0"/>
        <v>2043</v>
      </c>
      <c r="I66" s="204">
        <f>'Economic Assumptions'!I43</f>
        <v>54.778311743518721</v>
      </c>
      <c r="J66" s="204">
        <f>'Economic Assumptions'!S43</f>
        <v>75.688965468640561</v>
      </c>
      <c r="K66" s="204">
        <f>'Economic Assumptions'!AC43</f>
        <v>105.54858350525927</v>
      </c>
      <c r="L66" s="204">
        <f>'Economic Assumptions'!AM43</f>
        <v>40.146743995114143</v>
      </c>
      <c r="M66" s="204">
        <f>'Economic Assumptions'!AW43</f>
        <v>42.715572902308459</v>
      </c>
      <c r="N66" s="227"/>
      <c r="O66" s="159">
        <f t="shared" si="1"/>
        <v>2043</v>
      </c>
      <c r="P66" s="385">
        <f>'Economic Assumptions'!D43</f>
        <v>6.6392786349026469</v>
      </c>
      <c r="Q66" s="385">
        <f>'Economic Assumptions'!N43</f>
        <v>9.2031877906563579</v>
      </c>
      <c r="R66" s="385">
        <f>'Economic Assumptions'!X43</f>
        <v>12.860469319653598</v>
      </c>
      <c r="S66" s="385">
        <f>'Economic Assumptions'!AH43</f>
        <v>4.8442858588004052</v>
      </c>
      <c r="T66" s="385">
        <f>'Economic Assumptions'!AR43</f>
        <v>5.4903613015823085</v>
      </c>
      <c r="U66" s="93"/>
      <c r="V66" s="159">
        <f t="shared" si="2"/>
        <v>2043</v>
      </c>
      <c r="W66" s="385">
        <f>'Economic Assumptions'!J43</f>
        <v>3.0880268527494072</v>
      </c>
      <c r="X66" s="385">
        <f>'Economic Assumptions'!T43</f>
        <v>4.2805389849192625</v>
      </c>
      <c r="Y66" s="385">
        <f>'Economic Assumptions'!AD43</f>
        <v>5.9815948059894213</v>
      </c>
      <c r="Z66" s="385">
        <f>'Economic Assumptions'!AN43</f>
        <v>2.2531491201060616</v>
      </c>
      <c r="AA66" s="385">
        <f>'Economic Assumptions'!AX43</f>
        <v>2.5536483800293102</v>
      </c>
      <c r="AB66" s="93"/>
      <c r="AC66" s="93"/>
      <c r="AD66" s="93"/>
      <c r="AE66" s="93"/>
      <c r="AF66" s="93"/>
      <c r="AG66" s="93"/>
      <c r="AH66" s="93"/>
      <c r="AI66" s="93"/>
    </row>
    <row r="67" spans="1:35">
      <c r="A67" s="159">
        <f>'Economic Assumptions'!A44</f>
        <v>2044</v>
      </c>
      <c r="B67" s="204">
        <f>'Economic Assumptions'!C44</f>
        <v>120.71808454426066</v>
      </c>
      <c r="C67" s="204">
        <f>'Economic Assumptions'!M44</f>
        <v>168.11710840920438</v>
      </c>
      <c r="D67" s="204">
        <f>'Economic Assumptions'!W44</f>
        <v>236.68241754201722</v>
      </c>
      <c r="E67" s="204">
        <f>'Economic Assumptions'!AG44</f>
        <v>87.965378280687332</v>
      </c>
      <c r="F67" s="204">
        <f>'Economic Assumptions'!AQ44</f>
        <v>94.134740134402108</v>
      </c>
      <c r="G67" s="227"/>
      <c r="H67" s="159">
        <f t="shared" si="0"/>
        <v>2044</v>
      </c>
      <c r="I67" s="204">
        <f>'Economic Assumptions'!I44</f>
        <v>54.778311743518721</v>
      </c>
      <c r="J67" s="204">
        <f>'Economic Assumptions'!S44</f>
        <v>76.286592921227438</v>
      </c>
      <c r="K67" s="204">
        <f>'Economic Assumptions'!AC44</f>
        <v>107.3995110282976</v>
      </c>
      <c r="L67" s="204">
        <f>'Economic Assumptions'!AM44</f>
        <v>39.916098174415026</v>
      </c>
      <c r="M67" s="204">
        <f>'Economic Assumptions'!AW44</f>
        <v>42.715572902308459</v>
      </c>
      <c r="N67" s="227"/>
      <c r="O67" s="159">
        <f t="shared" si="1"/>
        <v>2044</v>
      </c>
      <c r="P67" s="385">
        <f>'Economic Assumptions'!D44</f>
        <v>6.8052606007752123</v>
      </c>
      <c r="Q67" s="385">
        <f>'Economic Assumptions'!N44</f>
        <v>9.5072175733887683</v>
      </c>
      <c r="R67" s="385">
        <f>'Economic Assumptions'!X44</f>
        <v>13.412265365115772</v>
      </c>
      <c r="S67" s="385">
        <f>'Economic Assumptions'!AH44</f>
        <v>4.9376035367909648</v>
      </c>
      <c r="T67" s="385">
        <f>'Economic Assumptions'!AR44</f>
        <v>5.6276203341218656</v>
      </c>
      <c r="U67" s="93"/>
      <c r="V67" s="159">
        <f t="shared" si="2"/>
        <v>2044</v>
      </c>
      <c r="W67" s="385">
        <f>'Economic Assumptions'!J44</f>
        <v>3.0880268527494072</v>
      </c>
      <c r="X67" s="385">
        <f>'Economic Assumptions'!T44</f>
        <v>4.3140953570846694</v>
      </c>
      <c r="Y67" s="385">
        <f>'Economic Assumptions'!AD44</f>
        <v>6.0860910453539905</v>
      </c>
      <c r="Z67" s="385">
        <f>'Economic Assumptions'!AN44</f>
        <v>2.2405390776811767</v>
      </c>
      <c r="AA67" s="385">
        <f>'Economic Assumptions'!AX44</f>
        <v>2.5536483800293102</v>
      </c>
      <c r="AB67" s="93"/>
      <c r="AC67" s="93"/>
      <c r="AD67" s="93"/>
      <c r="AE67" s="93"/>
      <c r="AF67" s="93"/>
      <c r="AG67" s="93"/>
      <c r="AH67" s="93"/>
      <c r="AI67" s="93"/>
    </row>
    <row r="68" spans="1:35">
      <c r="A68" s="159">
        <f>'Economic Assumptions'!A45</f>
        <v>2045</v>
      </c>
      <c r="B68" s="204">
        <f>'Economic Assumptions'!C45</f>
        <v>123.73603665786717</v>
      </c>
      <c r="C68" s="204">
        <f>'Economic Assumptions'!M45</f>
        <v>173.65681714894896</v>
      </c>
      <c r="D68" s="204">
        <f>'Economic Assumptions'!W45</f>
        <v>246.80084218188426</v>
      </c>
      <c r="E68" s="204">
        <f>'Economic Assumptions'!AG45</f>
        <v>89.663849720083533</v>
      </c>
      <c r="F68" s="204">
        <f>'Economic Assumptions'!AQ45</f>
        <v>96.488108637762153</v>
      </c>
      <c r="G68" s="227"/>
      <c r="H68" s="159">
        <f t="shared" si="0"/>
        <v>2045</v>
      </c>
      <c r="I68" s="204">
        <f>'Economic Assumptions'!I45</f>
        <v>54.778311743518728</v>
      </c>
      <c r="J68" s="204">
        <f>'Economic Assumptions'!S45</f>
        <v>76.878389862081775</v>
      </c>
      <c r="K68" s="204">
        <f>'Economic Assumptions'!AC45</f>
        <v>109.25946746608244</v>
      </c>
      <c r="L68" s="204">
        <f>'Economic Assumptions'!AM45</f>
        <v>39.694453166231</v>
      </c>
      <c r="M68" s="204">
        <f>'Economic Assumptions'!AW45</f>
        <v>42.715572902308459</v>
      </c>
      <c r="N68" s="227"/>
      <c r="O68" s="159">
        <f t="shared" si="1"/>
        <v>2045</v>
      </c>
      <c r="P68" s="385">
        <f>'Economic Assumptions'!D45</f>
        <v>6.975392115794592</v>
      </c>
      <c r="Q68" s="385">
        <f>'Economic Assumptions'!N45</f>
        <v>9.8199573520089789</v>
      </c>
      <c r="R68" s="385">
        <f>'Economic Assumptions'!X45</f>
        <v>13.984764841088625</v>
      </c>
      <c r="S68" s="385">
        <f>'Economic Assumptions'!AH45</f>
        <v>5.0336709987584802</v>
      </c>
      <c r="T68" s="385">
        <f>'Economic Assumptions'!AR45</f>
        <v>5.7683108424749117</v>
      </c>
      <c r="U68" s="93"/>
      <c r="V68" s="159">
        <f t="shared" si="2"/>
        <v>2045</v>
      </c>
      <c r="W68" s="385">
        <f>'Economic Assumptions'!J45</f>
        <v>3.0880268527494072</v>
      </c>
      <c r="X68" s="385">
        <f>'Economic Assumptions'!T45</f>
        <v>4.3473243500094387</v>
      </c>
      <c r="Y68" s="385">
        <f>'Economic Assumptions'!AD45</f>
        <v>6.1910970224715562</v>
      </c>
      <c r="Z68" s="385">
        <f>'Economic Assumptions'!AN45</f>
        <v>2.2284211344728724</v>
      </c>
      <c r="AA68" s="385">
        <f>'Economic Assumptions'!AX45</f>
        <v>2.5536483800293102</v>
      </c>
      <c r="AB68" s="93"/>
      <c r="AC68" s="93"/>
      <c r="AD68" s="93"/>
      <c r="AE68" s="93"/>
      <c r="AF68" s="93"/>
      <c r="AG68" s="93"/>
      <c r="AH68" s="93"/>
      <c r="AI68" s="93"/>
    </row>
    <row r="69" spans="1:35">
      <c r="A69" s="159">
        <f>'Economic Assumptions'!A46</f>
        <v>2046</v>
      </c>
      <c r="B69" s="204">
        <f>'Economic Assumptions'!C46</f>
        <v>126.82943757431384</v>
      </c>
      <c r="C69" s="204">
        <f>'Economic Assumptions'!M46</f>
        <v>179.35507032262984</v>
      </c>
      <c r="D69" s="204">
        <f>'Economic Assumptions'!W46</f>
        <v>257.29826836378749</v>
      </c>
      <c r="E69" s="204">
        <f>'Economic Assumptions'!AG46</f>
        <v>91.412292890728949</v>
      </c>
      <c r="F69" s="204">
        <f>'Economic Assumptions'!AQ46</f>
        <v>98.900311353706201</v>
      </c>
      <c r="G69" s="227"/>
      <c r="H69" s="159">
        <f t="shared" si="0"/>
        <v>2046</v>
      </c>
      <c r="I69" s="204">
        <f>'Economic Assumptions'!I46</f>
        <v>54.778311743518728</v>
      </c>
      <c r="J69" s="204">
        <f>'Economic Assumptions'!S46</f>
        <v>77.464413174244854</v>
      </c>
      <c r="K69" s="204">
        <f>'Economic Assumptions'!AC46</f>
        <v>111.12849686210039</v>
      </c>
      <c r="L69" s="204">
        <f>'Economic Assumptions'!AM46</f>
        <v>39.481457719341947</v>
      </c>
      <c r="M69" s="204">
        <f>'Economic Assumptions'!AW46</f>
        <v>42.715572902308459</v>
      </c>
      <c r="N69" s="227"/>
      <c r="O69" s="159">
        <f t="shared" si="1"/>
        <v>2046</v>
      </c>
      <c r="P69" s="385">
        <f>'Economic Assumptions'!D46</f>
        <v>7.1497769186894562</v>
      </c>
      <c r="Q69" s="385">
        <f>'Economic Assumptions'!N46</f>
        <v>10.141641515183977</v>
      </c>
      <c r="R69" s="385">
        <f>'Economic Assumptions'!X46</f>
        <v>14.578692589216146</v>
      </c>
      <c r="S69" s="385">
        <f>'Economic Assumptions'!AH46</f>
        <v>5.1325507366719672</v>
      </c>
      <c r="T69" s="385">
        <f>'Economic Assumptions'!AR46</f>
        <v>5.9125186135367835</v>
      </c>
      <c r="U69" s="93"/>
      <c r="V69" s="159">
        <f t="shared" si="2"/>
        <v>2046</v>
      </c>
      <c r="W69" s="385">
        <f>'Economic Assumptions'!J46</f>
        <v>3.0880268527494072</v>
      </c>
      <c r="X69" s="385">
        <f>'Economic Assumptions'!T46</f>
        <v>4.3802291576373813</v>
      </c>
      <c r="Y69" s="385">
        <f>'Economic Assumptions'!AD46</f>
        <v>6.2966152238677449</v>
      </c>
      <c r="Z69" s="385">
        <f>'Economic Assumptions'!AN46</f>
        <v>2.2167760866092823</v>
      </c>
      <c r="AA69" s="385">
        <f>'Economic Assumptions'!AX46</f>
        <v>2.5536483800293102</v>
      </c>
      <c r="AB69" s="93"/>
      <c r="AC69" s="93"/>
      <c r="AD69" s="93"/>
      <c r="AE69" s="93"/>
      <c r="AF69" s="93"/>
      <c r="AG69" s="93"/>
      <c r="AH69" s="93"/>
      <c r="AI69" s="93"/>
    </row>
    <row r="70" spans="1:35">
      <c r="A70" s="159">
        <f>'Economic Assumptions'!A47</f>
        <v>2047</v>
      </c>
      <c r="B70" s="204">
        <f>'Economic Assumptions'!C47</f>
        <v>130.00017351367168</v>
      </c>
      <c r="C70" s="204">
        <f>'Economic Assumptions'!M47</f>
        <v>185.2161323168271</v>
      </c>
      <c r="D70" s="204">
        <f>'Economic Assumptions'!W47</f>
        <v>268.18795235405895</v>
      </c>
      <c r="E70" s="204">
        <f>'Economic Assumptions'!AG47</f>
        <v>93.211844436725855</v>
      </c>
      <c r="F70" s="204">
        <f>'Economic Assumptions'!AQ47</f>
        <v>101.37281913754884</v>
      </c>
      <c r="G70" s="227"/>
      <c r="H70" s="159">
        <f t="shared" si="0"/>
        <v>2047</v>
      </c>
      <c r="I70" s="204">
        <f>'Economic Assumptions'!I47</f>
        <v>54.778311743518735</v>
      </c>
      <c r="J70" s="204">
        <f>'Economic Assumptions'!S47</f>
        <v>78.044719185801455</v>
      </c>
      <c r="K70" s="204">
        <f>'Economic Assumptions'!AC47</f>
        <v>113.00664347468428</v>
      </c>
      <c r="L70" s="204">
        <f>'Economic Assumptions'!AM47</f>
        <v>39.276774289892479</v>
      </c>
      <c r="M70" s="204">
        <f>'Economic Assumptions'!AW47</f>
        <v>42.715572902308466</v>
      </c>
      <c r="N70" s="227"/>
      <c r="O70" s="159">
        <f t="shared" si="1"/>
        <v>2047</v>
      </c>
      <c r="P70" s="385">
        <f>'Economic Assumptions'!D47</f>
        <v>7.3285213416566917</v>
      </c>
      <c r="Q70" s="385">
        <f>'Economic Assumptions'!N47</f>
        <v>10.47251056087897</v>
      </c>
      <c r="R70" s="385">
        <f>'Economic Assumptions'!X47</f>
        <v>15.194797789859866</v>
      </c>
      <c r="S70" s="385">
        <f>'Economic Assumptions'!AH47</f>
        <v>5.2343068985891232</v>
      </c>
      <c r="T70" s="385">
        <f>'Economic Assumptions'!AR47</f>
        <v>6.0603315788752026</v>
      </c>
      <c r="U70" s="93"/>
      <c r="V70" s="159">
        <f t="shared" si="2"/>
        <v>2047</v>
      </c>
      <c r="W70" s="385">
        <f>'Economic Assumptions'!J47</f>
        <v>3.0880268527494072</v>
      </c>
      <c r="X70" s="385">
        <f>'Economic Assumptions'!T47</f>
        <v>4.412812942751879</v>
      </c>
      <c r="Y70" s="385">
        <f>'Economic Assumptions'!AD47</f>
        <v>6.4026481481975734</v>
      </c>
      <c r="Z70" s="385">
        <f>'Economic Assumptions'!AN47</f>
        <v>2.2055854796379299</v>
      </c>
      <c r="AA70" s="385">
        <f>'Economic Assumptions'!AX47</f>
        <v>2.5536483800293102</v>
      </c>
      <c r="AB70" s="93"/>
      <c r="AC70" s="93"/>
      <c r="AD70" s="93"/>
      <c r="AE70" s="93"/>
      <c r="AF70" s="93"/>
      <c r="AG70" s="93"/>
      <c r="AH70" s="93"/>
      <c r="AI70" s="93"/>
    </row>
    <row r="71" spans="1:35">
      <c r="A71" s="159">
        <f>'Economic Assumptions'!A48</f>
        <v>2048</v>
      </c>
      <c r="B71" s="204">
        <f>'Economic Assumptions'!C48</f>
        <v>133.25017785151346</v>
      </c>
      <c r="C71" s="204">
        <f>'Economic Assumptions'!M48</f>
        <v>191.24437863942126</v>
      </c>
      <c r="D71" s="204">
        <f>'Economic Assumptions'!W48</f>
        <v>279.4835952625225</v>
      </c>
      <c r="E71" s="204">
        <f>'Economic Assumptions'!AG48</f>
        <v>95.063671108016734</v>
      </c>
      <c r="F71" s="204">
        <f>'Economic Assumptions'!AQ48</f>
        <v>103.90713961598756</v>
      </c>
      <c r="G71" s="227"/>
      <c r="H71" s="159">
        <f t="shared" si="0"/>
        <v>2048</v>
      </c>
      <c r="I71" s="204">
        <f>'Economic Assumptions'!I48</f>
        <v>54.778311743518728</v>
      </c>
      <c r="J71" s="204">
        <f>'Economic Assumptions'!S48</f>
        <v>78.619363675294082</v>
      </c>
      <c r="K71" s="204">
        <f>'Economic Assumptions'!AC48</f>
        <v>114.89395177806125</v>
      </c>
      <c r="L71" s="204">
        <f>'Economic Assumptions'!AM48</f>
        <v>39.080078506470294</v>
      </c>
      <c r="M71" s="204">
        <f>'Economic Assumptions'!AW48</f>
        <v>42.715572902308466</v>
      </c>
      <c r="N71" s="227"/>
      <c r="O71" s="159">
        <f t="shared" si="1"/>
        <v>2048</v>
      </c>
      <c r="P71" s="385">
        <f>'Economic Assumptions'!D48</f>
        <v>7.5117343751981087</v>
      </c>
      <c r="Q71" s="385">
        <f>'Economic Assumptions'!N48</f>
        <v>10.812811252833571</v>
      </c>
      <c r="R71" s="385">
        <f>'Economic Assumptions'!X48</f>
        <v>15.833854757097079</v>
      </c>
      <c r="S71" s="385">
        <f>'Economic Assumptions'!AH48</f>
        <v>5.3390053286517034</v>
      </c>
      <c r="T71" s="385">
        <f>'Economic Assumptions'!AR48</f>
        <v>6.2118398683470817</v>
      </c>
      <c r="U71" s="93"/>
      <c r="V71" s="159">
        <f t="shared" si="2"/>
        <v>2048</v>
      </c>
      <c r="W71" s="385">
        <f>'Economic Assumptions'!J48</f>
        <v>3.0880268527494072</v>
      </c>
      <c r="X71" s="385">
        <f>'Economic Assumptions'!T48</f>
        <v>4.4450788372798948</v>
      </c>
      <c r="Y71" s="385">
        <f>'Economic Assumptions'!AD48</f>
        <v>6.5091983063046204</v>
      </c>
      <c r="Z71" s="385">
        <f>'Economic Assumptions'!AN48</f>
        <v>2.1948315792800939</v>
      </c>
      <c r="AA71" s="385">
        <f>'Economic Assumptions'!AX48</f>
        <v>2.5536483800293102</v>
      </c>
      <c r="AB71" s="93"/>
      <c r="AC71" s="93"/>
      <c r="AD71" s="93"/>
      <c r="AE71" s="93"/>
      <c r="AF71" s="93"/>
      <c r="AG71" s="93"/>
      <c r="AH71" s="93"/>
      <c r="AI71" s="93"/>
    </row>
    <row r="72" spans="1:35">
      <c r="A72" s="159">
        <f>'Economic Assumptions'!A49</f>
        <v>2049</v>
      </c>
      <c r="B72" s="204">
        <f>'Economic Assumptions'!C49</f>
        <v>136.58143229780129</v>
      </c>
      <c r="C72" s="204">
        <f>'Economic Assumptions'!M49</f>
        <v>197.44429876530037</v>
      </c>
      <c r="D72" s="204">
        <f>'Economic Assumptions'!W49</f>
        <v>291.19935756668599</v>
      </c>
      <c r="E72" s="204">
        <f>'Economic Assumptions'!AG49</f>
        <v>96.968970487684317</v>
      </c>
      <c r="F72" s="204">
        <f>'Economic Assumptions'!AQ49</f>
        <v>106.50481810638723</v>
      </c>
      <c r="G72" s="227"/>
      <c r="H72" s="159">
        <f t="shared" si="0"/>
        <v>2049</v>
      </c>
      <c r="I72" s="204">
        <f>'Economic Assumptions'!I49</f>
        <v>54.778311743518735</v>
      </c>
      <c r="J72" s="204">
        <f>'Economic Assumptions'!S49</f>
        <v>79.188401877084331</v>
      </c>
      <c r="K72" s="204">
        <f>'Economic Assumptions'!AC49</f>
        <v>116.79046646340591</v>
      </c>
      <c r="L72" s="204">
        <f>'Economic Assumptions'!AM49</f>
        <v>38.89105865605972</v>
      </c>
      <c r="M72" s="204">
        <f>'Economic Assumptions'!AW49</f>
        <v>42.715572902308459</v>
      </c>
      <c r="N72" s="227"/>
      <c r="O72" s="159">
        <f t="shared" si="1"/>
        <v>2049</v>
      </c>
      <c r="P72" s="385">
        <f>'Economic Assumptions'!D49</f>
        <v>7.6995277345780604</v>
      </c>
      <c r="Q72" s="385">
        <f>'Economic Assumptions'!N49</f>
        <v>11.162796781006026</v>
      </c>
      <c r="R72" s="385">
        <f>'Economic Assumptions'!X49</f>
        <v>16.496663759189943</v>
      </c>
      <c r="S72" s="385">
        <f>'Economic Assumptions'!AH49</f>
        <v>5.4467136081018799</v>
      </c>
      <c r="T72" s="385">
        <f>'Economic Assumptions'!AR49</f>
        <v>6.3671358650557579</v>
      </c>
      <c r="U72" s="93"/>
      <c r="V72" s="159">
        <f t="shared" si="2"/>
        <v>2049</v>
      </c>
      <c r="W72" s="385">
        <f>'Economic Assumptions'!J49</f>
        <v>3.0880268527494072</v>
      </c>
      <c r="X72" s="385">
        <f>'Economic Assumptions'!T49</f>
        <v>4.4770299425930036</v>
      </c>
      <c r="Y72" s="385">
        <f>'Economic Assumptions'!AD49</f>
        <v>6.6162682212804826</v>
      </c>
      <c r="Z72" s="385">
        <f>'Economic Assumptions'!AN49</f>
        <v>2.1844973433264658</v>
      </c>
      <c r="AA72" s="385">
        <f>'Economic Assumptions'!AX49</f>
        <v>2.5536483800293102</v>
      </c>
      <c r="AB72" s="93"/>
      <c r="AC72" s="93"/>
      <c r="AD72" s="93"/>
      <c r="AE72" s="93"/>
      <c r="AF72" s="93"/>
      <c r="AG72" s="93"/>
      <c r="AH72" s="93"/>
      <c r="AI72" s="93"/>
    </row>
    <row r="73" spans="1:35">
      <c r="A73" s="161">
        <f>'Economic Assumptions'!A50</f>
        <v>2050</v>
      </c>
      <c r="B73" s="206">
        <f>'Economic Assumptions'!C50</f>
        <v>139.99596810524631</v>
      </c>
      <c r="C73" s="206">
        <f>'Economic Assumptions'!M50</f>
        <v>203.82049905422488</v>
      </c>
      <c r="D73" s="206">
        <f>'Economic Assumptions'!W50</f>
        <v>303.3498741011316</v>
      </c>
      <c r="E73" s="206">
        <f>'Economic Assumptions'!AG50</f>
        <v>98.928971737814067</v>
      </c>
      <c r="F73" s="206">
        <f>'Economic Assumptions'!AQ50</f>
        <v>109.1674385590469</v>
      </c>
      <c r="G73" s="227"/>
      <c r="H73" s="161">
        <f t="shared" si="0"/>
        <v>2050</v>
      </c>
      <c r="I73" s="206">
        <f>'Economic Assumptions'!I50</f>
        <v>54.778311743518735</v>
      </c>
      <c r="J73" s="206">
        <f>'Economic Assumptions'!S50</f>
        <v>79.751888486662025</v>
      </c>
      <c r="K73" s="206">
        <f>'Economic Assumptions'!AC50</f>
        <v>118.69623243989861</v>
      </c>
      <c r="L73" s="206">
        <f>'Economic Assumptions'!AM50</f>
        <v>38.709415190055402</v>
      </c>
      <c r="M73" s="206">
        <f>'Economic Assumptions'!AW50</f>
        <v>42.715572902308459</v>
      </c>
      <c r="N73" s="227"/>
      <c r="O73" s="161">
        <f t="shared" si="1"/>
        <v>2050</v>
      </c>
      <c r="P73" s="386">
        <f>'Economic Assumptions'!D50</f>
        <v>7.8920159279425111</v>
      </c>
      <c r="Q73" s="386">
        <f>'Economic Assumptions'!N50</f>
        <v>11.522726926085566</v>
      </c>
      <c r="R73" s="386">
        <f>'Economic Assumptions'!X50</f>
        <v>17.18405186533009</v>
      </c>
      <c r="S73" s="386">
        <f>'Economic Assumptions'!AH50</f>
        <v>5.5575010973448027</v>
      </c>
      <c r="T73" s="386">
        <f>'Economic Assumptions'!AR50</f>
        <v>6.5263142616821517</v>
      </c>
      <c r="U73" s="93"/>
      <c r="V73" s="161">
        <f t="shared" si="2"/>
        <v>2050</v>
      </c>
      <c r="W73" s="386">
        <f>'Economic Assumptions'!J50</f>
        <v>3.0880268527494072</v>
      </c>
      <c r="X73" s="386">
        <f>'Economic Assumptions'!T50</f>
        <v>4.5086693298054961</v>
      </c>
      <c r="Y73" s="386">
        <f>'Economic Assumptions'!AD50</f>
        <v>6.7238604285245192</v>
      </c>
      <c r="Z73" s="386">
        <f>'Economic Assumptions'!AN50</f>
        <v>2.174566394629565</v>
      </c>
      <c r="AA73" s="386">
        <f>'Economic Assumptions'!AX50</f>
        <v>2.5536483800293102</v>
      </c>
      <c r="AB73" s="93"/>
      <c r="AC73" s="93"/>
      <c r="AD73" s="93"/>
      <c r="AE73" s="93"/>
      <c r="AF73" s="93"/>
      <c r="AG73" s="93"/>
      <c r="AH73" s="93"/>
      <c r="AI73" s="93"/>
    </row>
    <row r="74" spans="1:35">
      <c r="A74" s="93"/>
      <c r="B74" s="173"/>
      <c r="C74" s="173"/>
      <c r="D74" s="173"/>
      <c r="E74" s="173"/>
      <c r="F74" s="173"/>
      <c r="G74" s="173"/>
      <c r="H74" s="93"/>
      <c r="I74" s="93"/>
      <c r="J74" s="93"/>
      <c r="K74" s="93"/>
      <c r="L74" s="93"/>
      <c r="M74" s="93"/>
      <c r="N74" s="93"/>
      <c r="O74" s="93"/>
      <c r="P74" s="93"/>
      <c r="Q74" s="93"/>
      <c r="R74" s="93"/>
      <c r="S74" s="93"/>
      <c r="T74" s="93"/>
      <c r="U74" s="93"/>
      <c r="V74" s="93"/>
      <c r="W74" s="93"/>
      <c r="X74" s="93"/>
      <c r="Y74" s="93"/>
      <c r="Z74" s="93"/>
      <c r="AA74" s="93"/>
      <c r="AB74" s="93"/>
      <c r="AC74" s="93"/>
      <c r="AD74" s="93"/>
      <c r="AE74" s="93"/>
      <c r="AF74" s="93"/>
      <c r="AG74" s="93"/>
      <c r="AH74" s="93"/>
      <c r="AI74" s="93"/>
    </row>
    <row r="75" spans="1:35">
      <c r="A75" s="93"/>
      <c r="B75" s="173"/>
      <c r="C75" s="173"/>
      <c r="D75" s="173"/>
      <c r="E75" s="173"/>
      <c r="F75" s="173"/>
      <c r="G75" s="173"/>
      <c r="H75" s="93"/>
      <c r="I75" s="93"/>
      <c r="J75" s="93"/>
      <c r="K75" s="93"/>
      <c r="L75" s="93"/>
      <c r="M75" s="93"/>
      <c r="N75" s="93"/>
      <c r="O75" s="93"/>
      <c r="P75" s="93"/>
      <c r="Q75" s="93"/>
      <c r="R75" s="93"/>
      <c r="S75" s="93"/>
      <c r="T75" s="93"/>
      <c r="U75" s="93"/>
      <c r="V75" s="93"/>
      <c r="W75" s="93"/>
      <c r="X75" s="93"/>
      <c r="Y75" s="93"/>
      <c r="Z75" s="93"/>
      <c r="AA75" s="93"/>
      <c r="AB75" s="93"/>
      <c r="AC75" s="93"/>
      <c r="AD75" s="93"/>
      <c r="AE75" s="93"/>
      <c r="AF75" s="93"/>
      <c r="AG75" s="93"/>
      <c r="AH75" s="93"/>
      <c r="AI75" s="93"/>
    </row>
    <row r="76" spans="1:35">
      <c r="A76" s="93"/>
      <c r="B76" s="173"/>
      <c r="C76" s="173"/>
      <c r="D76" s="173"/>
      <c r="E76" s="173"/>
      <c r="F76" s="173"/>
      <c r="G76" s="173"/>
      <c r="H76" s="93"/>
      <c r="I76" s="93"/>
      <c r="J76" s="93"/>
      <c r="K76" s="93"/>
      <c r="L76" s="93"/>
      <c r="M76" s="93"/>
      <c r="N76" s="93"/>
      <c r="O76" s="93"/>
      <c r="P76" s="93"/>
      <c r="Q76" s="93"/>
      <c r="R76" s="93"/>
      <c r="S76" s="93"/>
      <c r="T76" s="93"/>
      <c r="U76" s="93"/>
      <c r="V76" s="93"/>
      <c r="W76" s="93"/>
      <c r="X76" s="93"/>
      <c r="Y76" s="93"/>
      <c r="Z76" s="93"/>
      <c r="AA76" s="93"/>
      <c r="AB76" s="93"/>
      <c r="AC76" s="93"/>
      <c r="AD76" s="93"/>
      <c r="AE76" s="93"/>
      <c r="AF76" s="93"/>
      <c r="AG76" s="93"/>
      <c r="AH76" s="93"/>
      <c r="AI76" s="93"/>
    </row>
    <row r="77" spans="1:35">
      <c r="A77" s="93"/>
      <c r="B77" s="173"/>
      <c r="C77" s="173"/>
      <c r="D77" s="173"/>
      <c r="E77" s="173"/>
      <c r="F77" s="173"/>
      <c r="G77" s="173"/>
      <c r="H77" s="93"/>
      <c r="I77" s="93"/>
      <c r="J77" s="93"/>
      <c r="K77" s="93"/>
      <c r="L77" s="93"/>
      <c r="M77" s="93"/>
      <c r="N77" s="93"/>
      <c r="O77" s="93"/>
      <c r="P77" s="93"/>
      <c r="Q77" s="93"/>
      <c r="R77" s="93"/>
      <c r="S77" s="93"/>
      <c r="T77" s="93"/>
      <c r="U77" s="93"/>
      <c r="V77" s="93"/>
      <c r="W77" s="93"/>
      <c r="X77" s="93"/>
      <c r="Y77" s="93"/>
      <c r="Z77" s="93"/>
      <c r="AA77" s="93"/>
      <c r="AB77" s="93"/>
      <c r="AC77" s="93"/>
      <c r="AD77" s="93"/>
      <c r="AE77" s="93"/>
      <c r="AF77" s="93"/>
      <c r="AG77" s="93"/>
      <c r="AH77" s="93"/>
      <c r="AI77" s="93"/>
    </row>
    <row r="78" spans="1:35">
      <c r="A78" s="93"/>
      <c r="B78" s="173"/>
      <c r="C78" s="173"/>
      <c r="D78" s="173"/>
      <c r="E78" s="173"/>
      <c r="F78" s="173"/>
      <c r="G78" s="173"/>
      <c r="H78" s="93"/>
      <c r="I78" s="93"/>
      <c r="J78" s="93"/>
      <c r="K78" s="93"/>
      <c r="L78" s="93"/>
      <c r="M78" s="93"/>
      <c r="N78" s="93"/>
      <c r="O78" s="93"/>
      <c r="P78" s="93"/>
      <c r="Q78" s="93"/>
      <c r="R78" s="93"/>
      <c r="S78" s="93"/>
      <c r="T78" s="93"/>
      <c r="U78" s="93"/>
      <c r="V78" s="93"/>
      <c r="W78" s="93"/>
      <c r="X78" s="93"/>
      <c r="Y78" s="93"/>
      <c r="Z78" s="93"/>
      <c r="AA78" s="93"/>
      <c r="AB78" s="93"/>
      <c r="AC78" s="93"/>
      <c r="AD78" s="93"/>
      <c r="AE78" s="93"/>
      <c r="AF78" s="93"/>
      <c r="AG78" s="93"/>
      <c r="AH78" s="93"/>
      <c r="AI78" s="93"/>
    </row>
    <row r="79" spans="1:35">
      <c r="A79" s="93"/>
      <c r="B79" s="173"/>
      <c r="C79" s="173"/>
      <c r="D79" s="173"/>
      <c r="E79" s="173"/>
      <c r="F79" s="173"/>
      <c r="G79" s="173"/>
      <c r="H79" s="93"/>
      <c r="I79" s="93"/>
      <c r="J79" s="93"/>
      <c r="K79" s="93"/>
      <c r="L79" s="93"/>
      <c r="M79" s="93"/>
      <c r="N79" s="93"/>
      <c r="O79" s="93"/>
      <c r="P79" s="93"/>
      <c r="Q79" s="93"/>
      <c r="R79" s="93"/>
      <c r="S79" s="93"/>
      <c r="T79" s="93"/>
      <c r="U79" s="93"/>
      <c r="V79" s="93"/>
      <c r="W79" s="93"/>
      <c r="X79" s="93"/>
      <c r="Y79" s="93"/>
      <c r="Z79" s="93"/>
      <c r="AA79" s="93"/>
      <c r="AB79" s="93"/>
      <c r="AC79" s="93"/>
      <c r="AD79" s="93"/>
      <c r="AE79" s="93"/>
      <c r="AF79" s="93"/>
      <c r="AG79" s="93"/>
      <c r="AH79" s="93"/>
      <c r="AI79" s="93"/>
    </row>
    <row r="80" spans="1:35">
      <c r="A80" s="93"/>
      <c r="B80" s="173"/>
      <c r="C80" s="173"/>
      <c r="D80" s="173"/>
      <c r="E80" s="173"/>
      <c r="F80" s="173"/>
      <c r="G80" s="173"/>
      <c r="H80" s="93"/>
      <c r="I80" s="93"/>
      <c r="J80" s="93"/>
      <c r="K80" s="93"/>
      <c r="L80" s="93"/>
      <c r="M80" s="93"/>
      <c r="N80" s="93"/>
      <c r="O80" s="93"/>
      <c r="P80" s="93"/>
      <c r="Q80" s="93"/>
      <c r="R80" s="93"/>
      <c r="S80" s="93"/>
      <c r="T80" s="93"/>
      <c r="U80" s="93"/>
      <c r="V80" s="93"/>
      <c r="W80" s="93"/>
      <c r="X80" s="93"/>
      <c r="Y80" s="93"/>
      <c r="Z80" s="93"/>
      <c r="AA80" s="93"/>
      <c r="AB80" s="93"/>
      <c r="AC80" s="93"/>
      <c r="AD80" s="93"/>
      <c r="AE80" s="93"/>
      <c r="AF80" s="93"/>
      <c r="AG80" s="93"/>
      <c r="AH80" s="93"/>
      <c r="AI80" s="93"/>
    </row>
    <row r="81" spans="1:35">
      <c r="A81" s="93"/>
      <c r="B81" s="173"/>
      <c r="C81" s="173"/>
      <c r="D81" s="173"/>
      <c r="E81" s="173"/>
      <c r="F81" s="173"/>
      <c r="G81" s="173"/>
      <c r="H81" s="93"/>
      <c r="I81" s="93"/>
      <c r="J81" s="93"/>
      <c r="K81" s="93"/>
      <c r="L81" s="93"/>
      <c r="M81" s="93"/>
      <c r="N81" s="93"/>
      <c r="O81" s="93"/>
      <c r="P81" s="93"/>
      <c r="Q81" s="93"/>
      <c r="R81" s="93"/>
      <c r="S81" s="93"/>
      <c r="T81" s="93"/>
      <c r="U81" s="93"/>
      <c r="V81" s="93"/>
      <c r="W81" s="93"/>
      <c r="X81" s="93"/>
      <c r="Y81" s="93"/>
      <c r="Z81" s="93"/>
      <c r="AA81" s="93"/>
      <c r="AB81" s="93"/>
      <c r="AC81" s="93"/>
      <c r="AD81" s="93"/>
      <c r="AE81" s="93"/>
      <c r="AF81" s="93"/>
      <c r="AG81" s="93"/>
      <c r="AH81" s="93"/>
      <c r="AI81" s="93"/>
    </row>
    <row r="82" spans="1:35">
      <c r="A82" s="93"/>
      <c r="B82" s="173"/>
      <c r="C82" s="173"/>
      <c r="D82" s="173"/>
      <c r="E82" s="173"/>
      <c r="F82" s="173"/>
      <c r="G82" s="173"/>
      <c r="H82" s="93"/>
      <c r="I82" s="93"/>
      <c r="J82" s="93"/>
      <c r="K82" s="93"/>
      <c r="L82" s="93"/>
      <c r="M82" s="93"/>
      <c r="N82" s="93"/>
      <c r="O82" s="93"/>
      <c r="P82" s="93"/>
      <c r="Q82" s="93"/>
      <c r="R82" s="93"/>
      <c r="S82" s="93"/>
      <c r="T82" s="93"/>
      <c r="U82" s="93"/>
      <c r="V82" s="93"/>
      <c r="W82" s="93"/>
      <c r="X82" s="93"/>
      <c r="Y82" s="93"/>
      <c r="Z82" s="93"/>
      <c r="AA82" s="93"/>
      <c r="AB82" s="93"/>
      <c r="AC82" s="93"/>
      <c r="AD82" s="93"/>
      <c r="AE82" s="93"/>
      <c r="AF82" s="93"/>
      <c r="AG82" s="93"/>
      <c r="AH82" s="93"/>
      <c r="AI82" s="93"/>
    </row>
    <row r="83" spans="1:35">
      <c r="A83" s="93"/>
      <c r="B83" s="173"/>
      <c r="C83" s="173"/>
      <c r="D83" s="173"/>
      <c r="E83" s="173"/>
      <c r="F83" s="173"/>
      <c r="G83" s="173"/>
      <c r="H83" s="93"/>
      <c r="I83" s="93"/>
      <c r="J83" s="93"/>
      <c r="K83" s="93"/>
      <c r="L83" s="93"/>
      <c r="M83" s="93"/>
      <c r="N83" s="93"/>
      <c r="O83" s="93"/>
      <c r="P83" s="93"/>
      <c r="Q83" s="93"/>
      <c r="R83" s="93"/>
      <c r="S83" s="93"/>
      <c r="T83" s="93"/>
      <c r="U83" s="93"/>
      <c r="V83" s="93"/>
      <c r="W83" s="93"/>
      <c r="X83" s="93"/>
      <c r="Y83" s="93"/>
      <c r="Z83" s="93"/>
      <c r="AA83" s="93"/>
      <c r="AB83" s="93"/>
      <c r="AC83" s="93"/>
      <c r="AD83" s="93"/>
      <c r="AE83" s="93"/>
      <c r="AF83" s="93"/>
      <c r="AG83" s="93"/>
      <c r="AH83" s="93"/>
      <c r="AI83" s="93"/>
    </row>
    <row r="84" spans="1:35">
      <c r="A84" s="93"/>
      <c r="B84" s="173"/>
      <c r="C84" s="173"/>
      <c r="D84" s="173"/>
      <c r="E84" s="173"/>
      <c r="F84" s="173"/>
      <c r="G84" s="173"/>
      <c r="H84" s="93"/>
      <c r="I84" s="93"/>
      <c r="J84" s="93"/>
      <c r="K84" s="93"/>
      <c r="L84" s="93"/>
      <c r="M84" s="93"/>
      <c r="N84" s="93"/>
      <c r="O84" s="93"/>
      <c r="P84" s="93"/>
      <c r="Q84" s="93"/>
      <c r="R84" s="93"/>
      <c r="S84" s="93"/>
      <c r="T84" s="93"/>
      <c r="U84" s="93"/>
      <c r="V84" s="93"/>
      <c r="W84" s="93"/>
      <c r="X84" s="93"/>
      <c r="Y84" s="93"/>
      <c r="Z84" s="93"/>
      <c r="AA84" s="93"/>
      <c r="AB84" s="93"/>
      <c r="AC84" s="93"/>
      <c r="AD84" s="93"/>
      <c r="AE84" s="93"/>
      <c r="AF84" s="93"/>
      <c r="AG84" s="93"/>
      <c r="AH84" s="93"/>
      <c r="AI84" s="93"/>
    </row>
    <row r="85" spans="1:35">
      <c r="A85" s="93"/>
      <c r="B85" s="173"/>
      <c r="C85" s="173"/>
      <c r="D85" s="173"/>
      <c r="E85" s="173"/>
      <c r="F85" s="173"/>
      <c r="G85" s="173"/>
      <c r="H85" s="93"/>
      <c r="I85" s="93"/>
      <c r="J85" s="93"/>
      <c r="K85" s="93"/>
      <c r="L85" s="93"/>
      <c r="M85" s="93"/>
      <c r="N85" s="93"/>
      <c r="O85" s="93"/>
      <c r="P85" s="93"/>
      <c r="Q85" s="93"/>
      <c r="R85" s="93"/>
      <c r="S85" s="93"/>
      <c r="T85" s="93"/>
      <c r="U85" s="93"/>
      <c r="V85" s="93"/>
      <c r="W85" s="93"/>
      <c r="X85" s="93"/>
      <c r="Y85" s="93"/>
      <c r="Z85" s="93"/>
      <c r="AA85" s="93"/>
      <c r="AB85" s="93"/>
      <c r="AC85" s="93"/>
      <c r="AD85" s="93"/>
      <c r="AE85" s="93"/>
      <c r="AF85" s="93"/>
      <c r="AG85" s="93"/>
      <c r="AH85" s="93"/>
      <c r="AI85" s="93"/>
    </row>
  </sheetData>
  <sheetProtection algorithmName="SHA-512" hashValue="JA6fDyTDN+VNz9gMjp8GHKtl/igH24DOWS5nzV+jwZQOS7ztl8CwBROOWQPPHT/nmjL8hlI7fXN1IVVFJ/5xaw==" saltValue="enAdXobhjfV7ZHfATVuu1g==" spinCount="100000" sheet="1" objects="1" scenarios="1"/>
  <hyperlinks>
    <hyperlink ref="A1" location="Guide" display="Guide"/>
    <hyperlink ref="A2" location="Input" display="Input"/>
  </hyperlinks>
  <pageMargins left="0.7" right="0.7" top="0.75" bottom="0.75" header="0.3" footer="0.3"/>
  <pageSetup paperSize="9" scale="44" orientation="landscape" horizontalDpi="300" r:id="rId1"/>
  <headerFooter>
    <oddFooter>&amp;LNova Scotia Exploration Economics Model&amp;Rwww.indeva.com</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249977111117893"/>
    <pageSetUpPr fitToPage="1"/>
  </sheetPr>
  <dimension ref="A1:Z170"/>
  <sheetViews>
    <sheetView showGridLines="0" showRowColHeaders="0" zoomScale="70" zoomScaleNormal="70" workbookViewId="0">
      <pane ySplit="2" topLeftCell="A3" activePane="bottomLeft" state="frozen"/>
      <selection activeCell="D43" sqref="D43"/>
      <selection pane="bottomLeft" activeCell="C36" sqref="C36"/>
    </sheetView>
  </sheetViews>
  <sheetFormatPr defaultRowHeight="14.5"/>
  <cols>
    <col min="2" max="2" width="28.453125" customWidth="1"/>
    <col min="3" max="3" width="20.7265625" customWidth="1"/>
    <col min="4" max="4" width="13" customWidth="1"/>
    <col min="5" max="5" width="14.1796875" customWidth="1"/>
    <col min="6" max="11" width="12.7265625" customWidth="1"/>
    <col min="12" max="12" width="15.453125" customWidth="1"/>
    <col min="13" max="14" width="11" customWidth="1"/>
    <col min="15" max="15" width="13.54296875" customWidth="1"/>
  </cols>
  <sheetData>
    <row r="1" spans="1:26" ht="18.5">
      <c r="A1" s="15"/>
      <c r="B1" s="2" t="str">
        <f>Input!B8</f>
        <v>Prospect X</v>
      </c>
      <c r="C1" s="2" t="s">
        <v>138</v>
      </c>
      <c r="D1" s="2"/>
      <c r="E1" s="15"/>
      <c r="F1" s="15"/>
      <c r="G1" s="15"/>
      <c r="H1" s="107" t="s">
        <v>768</v>
      </c>
      <c r="I1" s="483"/>
      <c r="J1" s="15"/>
      <c r="K1" s="15"/>
      <c r="L1" s="15"/>
      <c r="M1" s="15"/>
      <c r="N1" s="15"/>
      <c r="O1" s="15"/>
      <c r="P1" s="15"/>
      <c r="Q1" s="15"/>
      <c r="R1" s="15"/>
      <c r="S1" s="15"/>
      <c r="T1" s="15"/>
      <c r="U1" s="15"/>
      <c r="V1" s="15"/>
      <c r="W1" s="15"/>
      <c r="X1" s="15"/>
      <c r="Y1" s="15"/>
      <c r="Z1" s="15"/>
    </row>
    <row r="2" spans="1:26" ht="18.5">
      <c r="A2" s="3"/>
      <c r="B2" s="2"/>
      <c r="C2" s="29" t="s">
        <v>139</v>
      </c>
      <c r="D2" s="59"/>
      <c r="E2" s="59"/>
      <c r="F2" s="29">
        <f>'Selected Economics'!B5</f>
        <v>2015</v>
      </c>
      <c r="G2" s="15"/>
      <c r="H2" s="107" t="s">
        <v>143</v>
      </c>
      <c r="I2" s="483"/>
      <c r="J2" s="15"/>
      <c r="K2" s="15"/>
      <c r="L2" s="15"/>
      <c r="M2" s="15"/>
      <c r="N2" s="15"/>
      <c r="O2" s="15"/>
      <c r="P2" s="15"/>
      <c r="Q2" s="15"/>
      <c r="R2" s="15"/>
      <c r="S2" s="15"/>
      <c r="T2" s="15"/>
      <c r="U2" s="15"/>
      <c r="V2" s="15"/>
      <c r="W2" s="15"/>
      <c r="X2" s="15"/>
      <c r="Y2" s="15"/>
      <c r="Z2" s="15"/>
    </row>
    <row r="3" spans="1:26" ht="18.5">
      <c r="A3" s="3"/>
      <c r="B3" s="2"/>
      <c r="C3" s="15"/>
      <c r="D3" s="15"/>
      <c r="E3" s="15"/>
      <c r="F3" s="15"/>
      <c r="G3" s="15"/>
      <c r="H3" s="15"/>
      <c r="I3" s="15"/>
      <c r="J3" s="15"/>
      <c r="K3" s="15"/>
      <c r="L3" s="15"/>
      <c r="M3" s="15"/>
      <c r="N3" s="15"/>
      <c r="O3" s="15"/>
      <c r="P3" s="15"/>
      <c r="Q3" s="15"/>
      <c r="R3" s="15"/>
      <c r="S3" s="15"/>
      <c r="T3" s="15"/>
      <c r="U3" s="15"/>
      <c r="V3" s="15"/>
      <c r="W3" s="15"/>
      <c r="X3" s="15"/>
      <c r="Y3" s="15"/>
      <c r="Z3" s="15"/>
    </row>
    <row r="4" spans="1:26">
      <c r="A4" s="15"/>
      <c r="B4" s="28" t="s">
        <v>140</v>
      </c>
      <c r="C4" s="13" t="s">
        <v>141</v>
      </c>
      <c r="D4" s="27"/>
      <c r="E4" s="15"/>
      <c r="F4" s="15"/>
      <c r="G4" s="15"/>
      <c r="H4" s="15"/>
      <c r="I4" s="15"/>
      <c r="J4" s="15"/>
      <c r="K4" s="15"/>
      <c r="L4" s="15"/>
      <c r="M4" s="15"/>
      <c r="N4" s="15"/>
      <c r="O4" s="15"/>
      <c r="P4" s="15"/>
      <c r="Q4" s="15"/>
      <c r="R4" s="15"/>
      <c r="S4" s="15"/>
      <c r="T4" s="15"/>
      <c r="U4" s="15"/>
      <c r="V4" s="15"/>
      <c r="W4" s="15"/>
      <c r="X4" s="15"/>
      <c r="Y4" s="15"/>
      <c r="Z4" s="15"/>
    </row>
    <row r="5" spans="1:26">
      <c r="A5" s="15"/>
      <c r="B5" s="15"/>
      <c r="C5" s="15"/>
      <c r="D5" s="15"/>
      <c r="E5" s="15"/>
      <c r="F5" s="15"/>
      <c r="G5" s="15"/>
      <c r="H5" s="15"/>
      <c r="I5" s="15"/>
      <c r="J5" s="15"/>
      <c r="K5" s="15"/>
      <c r="L5" s="15"/>
      <c r="M5" s="15"/>
      <c r="N5" s="15"/>
      <c r="O5" s="15"/>
      <c r="P5" s="15"/>
      <c r="Q5" s="15"/>
      <c r="R5" s="15"/>
      <c r="S5" s="15"/>
      <c r="T5" s="15"/>
      <c r="U5" s="15"/>
      <c r="V5" s="15"/>
      <c r="W5" s="15"/>
      <c r="X5" s="15"/>
      <c r="Y5" s="15"/>
      <c r="Z5" s="15"/>
    </row>
    <row r="6" spans="1:26">
      <c r="A6" s="15"/>
      <c r="B6" s="15"/>
      <c r="C6" s="29" t="s">
        <v>142</v>
      </c>
      <c r="D6" s="15"/>
      <c r="E6" s="15"/>
      <c r="F6" s="15"/>
      <c r="G6" s="15"/>
      <c r="H6" s="15"/>
      <c r="I6" s="15"/>
      <c r="J6" s="15"/>
      <c r="K6" s="15"/>
      <c r="L6" s="15"/>
      <c r="M6" s="15"/>
      <c r="N6" s="15"/>
      <c r="O6" s="15"/>
      <c r="P6" s="15"/>
      <c r="Q6" s="15"/>
      <c r="R6" s="15"/>
      <c r="S6" s="15"/>
      <c r="T6" s="15"/>
      <c r="U6" s="15"/>
      <c r="V6" s="15"/>
      <c r="W6" s="15"/>
      <c r="X6" s="15"/>
      <c r="Y6" s="15"/>
      <c r="Z6" s="15"/>
    </row>
    <row r="7" spans="1:26">
      <c r="A7" s="15"/>
      <c r="B7" s="15"/>
      <c r="C7" s="15"/>
      <c r="D7" s="15"/>
      <c r="E7" s="15"/>
      <c r="F7" s="15"/>
      <c r="G7" s="15"/>
      <c r="H7" s="15"/>
      <c r="I7" s="15"/>
      <c r="J7" s="15"/>
      <c r="K7" s="15"/>
      <c r="L7" s="15"/>
      <c r="M7" s="15"/>
      <c r="N7" s="15"/>
      <c r="O7" s="15"/>
      <c r="P7" s="15"/>
      <c r="Q7" s="15"/>
      <c r="R7" s="15"/>
      <c r="S7" s="15"/>
      <c r="T7" s="15"/>
      <c r="U7" s="15"/>
      <c r="V7" s="15"/>
      <c r="W7" s="15"/>
      <c r="X7" s="15"/>
      <c r="Y7" s="15"/>
      <c r="Z7" s="15"/>
    </row>
    <row r="8" spans="1:26">
      <c r="A8" s="15"/>
      <c r="B8" s="15"/>
      <c r="C8" s="30"/>
      <c r="D8" s="31" t="s">
        <v>143</v>
      </c>
      <c r="E8" s="581" t="s">
        <v>144</v>
      </c>
      <c r="F8" s="31" t="s">
        <v>145</v>
      </c>
      <c r="G8" s="15"/>
      <c r="H8" s="15"/>
      <c r="I8" s="15"/>
      <c r="J8" s="15"/>
      <c r="K8" s="15"/>
      <c r="L8" s="15"/>
      <c r="M8" s="15"/>
      <c r="N8" s="15"/>
      <c r="O8" s="15"/>
      <c r="P8" s="15"/>
      <c r="Q8" s="15"/>
      <c r="R8" s="15"/>
      <c r="S8" s="15"/>
      <c r="T8" s="15"/>
      <c r="U8" s="15"/>
      <c r="V8" s="15"/>
      <c r="W8" s="15"/>
      <c r="X8" s="15"/>
      <c r="Y8" s="15"/>
      <c r="Z8" s="15"/>
    </row>
    <row r="9" spans="1:26">
      <c r="A9" s="15"/>
      <c r="B9" s="15"/>
      <c r="C9" s="32"/>
      <c r="D9" s="33" t="s">
        <v>146</v>
      </c>
      <c r="E9" s="582"/>
      <c r="F9" s="33" t="s">
        <v>42</v>
      </c>
      <c r="G9" s="15"/>
      <c r="H9" s="15"/>
      <c r="I9" s="15"/>
      <c r="J9" s="15"/>
      <c r="K9" s="15"/>
      <c r="L9" s="15"/>
      <c r="M9" s="15"/>
      <c r="N9" s="15"/>
      <c r="O9" s="15"/>
      <c r="P9" s="15"/>
      <c r="Q9" s="15"/>
      <c r="R9" s="15"/>
      <c r="S9" s="15"/>
      <c r="T9" s="15"/>
      <c r="U9" s="15"/>
      <c r="V9" s="15"/>
      <c r="W9" s="15"/>
      <c r="X9" s="15"/>
      <c r="Y9" s="15"/>
      <c r="Z9" s="15"/>
    </row>
    <row r="10" spans="1:26">
      <c r="A10" s="15"/>
      <c r="B10" s="15"/>
      <c r="C10" s="34"/>
      <c r="D10" s="35" t="s">
        <v>147</v>
      </c>
      <c r="E10" s="583"/>
      <c r="F10" s="35" t="s">
        <v>2</v>
      </c>
      <c r="G10" s="15"/>
      <c r="H10" s="15"/>
      <c r="I10" s="15"/>
      <c r="J10" s="15"/>
      <c r="K10" s="15"/>
      <c r="L10" s="15"/>
      <c r="M10" s="15"/>
      <c r="N10" s="15"/>
      <c r="O10" s="15"/>
      <c r="P10" s="15"/>
      <c r="Q10" s="15"/>
      <c r="R10" s="15"/>
      <c r="S10" s="15"/>
      <c r="T10" s="15"/>
      <c r="U10" s="15"/>
      <c r="V10" s="15"/>
      <c r="W10" s="15"/>
      <c r="X10" s="15"/>
      <c r="Y10" s="15"/>
      <c r="Z10" s="15"/>
    </row>
    <row r="11" spans="1:26">
      <c r="A11" s="15"/>
      <c r="B11" s="15"/>
      <c r="C11" s="28" t="s">
        <v>78</v>
      </c>
      <c r="D11" s="36"/>
      <c r="E11" s="36"/>
      <c r="F11" s="37"/>
      <c r="G11" s="15"/>
      <c r="H11" s="15"/>
      <c r="I11" s="15"/>
      <c r="J11" s="15"/>
      <c r="K11" s="15"/>
      <c r="L11" s="15"/>
      <c r="M11" s="15"/>
      <c r="N11" s="15"/>
      <c r="O11" s="15"/>
      <c r="P11" s="15"/>
      <c r="Q11" s="15"/>
      <c r="R11" s="15"/>
      <c r="S11" s="15"/>
      <c r="T11" s="15"/>
      <c r="U11" s="15"/>
      <c r="V11" s="15"/>
      <c r="W11" s="15"/>
      <c r="X11" s="15"/>
      <c r="Y11" s="15"/>
      <c r="Z11" s="15"/>
    </row>
    <row r="12" spans="1:26">
      <c r="A12" s="15"/>
      <c r="B12" s="15"/>
      <c r="C12" s="28" t="s">
        <v>148</v>
      </c>
      <c r="D12" s="36"/>
      <c r="E12" s="36"/>
      <c r="F12" s="36"/>
      <c r="G12" s="15"/>
      <c r="H12" s="15"/>
      <c r="I12" s="15"/>
      <c r="J12" s="15"/>
      <c r="K12" s="15"/>
      <c r="L12" s="15"/>
      <c r="M12" s="15"/>
      <c r="N12" s="15"/>
      <c r="O12" s="15"/>
      <c r="P12" s="15"/>
      <c r="Q12" s="15"/>
      <c r="R12" s="15"/>
      <c r="S12" s="15"/>
      <c r="T12" s="15"/>
      <c r="U12" s="15"/>
      <c r="V12" s="15"/>
      <c r="W12" s="15"/>
      <c r="X12" s="15"/>
      <c r="Y12" s="15"/>
      <c r="Z12" s="15"/>
    </row>
    <row r="13" spans="1:26">
      <c r="A13" s="15"/>
      <c r="B13" s="15"/>
      <c r="C13" s="26"/>
      <c r="D13" s="15"/>
      <c r="E13" s="15"/>
      <c r="F13" s="15"/>
      <c r="G13" s="15"/>
      <c r="H13" s="15"/>
      <c r="I13" s="15"/>
      <c r="J13" s="15"/>
      <c r="K13" s="15"/>
      <c r="L13" s="15"/>
      <c r="M13" s="15"/>
      <c r="N13" s="15"/>
      <c r="O13" s="15"/>
      <c r="P13" s="15"/>
      <c r="Q13" s="15"/>
      <c r="R13" s="15"/>
      <c r="S13" s="15"/>
      <c r="T13" s="15"/>
      <c r="U13" s="15"/>
      <c r="V13" s="15"/>
      <c r="W13" s="15"/>
      <c r="X13" s="15"/>
      <c r="Y13" s="15"/>
      <c r="Z13" s="15"/>
    </row>
    <row r="14" spans="1:26">
      <c r="A14" s="15"/>
      <c r="B14" s="28" t="s">
        <v>149</v>
      </c>
      <c r="C14" s="13" t="s">
        <v>141</v>
      </c>
      <c r="D14" s="15"/>
      <c r="E14" s="15"/>
      <c r="F14" s="15"/>
      <c r="G14" s="15"/>
      <c r="H14" s="15"/>
      <c r="I14" s="15"/>
      <c r="J14" s="15"/>
      <c r="K14" s="15"/>
      <c r="L14" s="15"/>
      <c r="M14" s="15"/>
      <c r="N14" s="15"/>
      <c r="O14" s="15"/>
      <c r="P14" s="15"/>
      <c r="Q14" s="15"/>
      <c r="R14" s="15"/>
      <c r="S14" s="15"/>
      <c r="T14" s="15"/>
      <c r="U14" s="15"/>
      <c r="V14" s="15"/>
      <c r="W14" s="15"/>
      <c r="X14" s="15"/>
      <c r="Y14" s="15"/>
      <c r="Z14" s="15"/>
    </row>
    <row r="15" spans="1:26">
      <c r="A15" s="15"/>
      <c r="B15" s="15"/>
      <c r="C15" s="15"/>
      <c r="D15" s="15"/>
      <c r="E15" s="15"/>
      <c r="F15" s="15"/>
      <c r="G15" s="15"/>
      <c r="H15" s="15"/>
      <c r="I15" s="15"/>
      <c r="J15" s="15"/>
      <c r="K15" s="15"/>
      <c r="L15" s="15"/>
      <c r="M15" s="15"/>
      <c r="N15" s="15"/>
      <c r="O15" s="15"/>
      <c r="P15" s="15"/>
      <c r="Q15" s="15"/>
      <c r="R15" s="15"/>
      <c r="S15" s="15"/>
      <c r="T15" s="15"/>
      <c r="U15" s="15"/>
      <c r="V15" s="15"/>
      <c r="W15" s="15"/>
      <c r="X15" s="15"/>
      <c r="Y15" s="15"/>
      <c r="Z15" s="15"/>
    </row>
    <row r="16" spans="1:26">
      <c r="A16" s="15"/>
      <c r="B16" s="15"/>
      <c r="C16" s="30"/>
      <c r="D16" s="31" t="s">
        <v>143</v>
      </c>
      <c r="E16" s="581" t="s">
        <v>144</v>
      </c>
      <c r="F16" s="31" t="s">
        <v>145</v>
      </c>
      <c r="G16" s="15"/>
      <c r="H16" s="15"/>
      <c r="I16" s="15"/>
      <c r="J16" s="15"/>
      <c r="K16" s="15"/>
      <c r="L16" s="15"/>
      <c r="M16" s="15"/>
      <c r="N16" s="15"/>
      <c r="O16" s="15"/>
      <c r="P16" s="15"/>
      <c r="Q16" s="15"/>
      <c r="R16" s="15"/>
      <c r="S16" s="15"/>
      <c r="T16" s="15"/>
      <c r="U16" s="15"/>
      <c r="V16" s="15"/>
      <c r="W16" s="15"/>
      <c r="X16" s="15"/>
      <c r="Y16" s="15"/>
      <c r="Z16" s="15"/>
    </row>
    <row r="17" spans="1:26">
      <c r="A17" s="15"/>
      <c r="B17" s="15"/>
      <c r="C17" s="32"/>
      <c r="D17" s="33" t="s">
        <v>146</v>
      </c>
      <c r="E17" s="582"/>
      <c r="F17" s="33" t="s">
        <v>42</v>
      </c>
      <c r="G17" s="15"/>
      <c r="H17" s="15"/>
      <c r="I17" s="15"/>
      <c r="J17" s="15"/>
      <c r="K17" s="15"/>
      <c r="L17" s="15"/>
      <c r="M17" s="15"/>
      <c r="N17" s="15"/>
      <c r="O17" s="15"/>
      <c r="P17" s="15"/>
      <c r="Q17" s="15"/>
      <c r="R17" s="15"/>
      <c r="S17" s="15"/>
      <c r="T17" s="15"/>
      <c r="U17" s="15"/>
      <c r="V17" s="15"/>
      <c r="W17" s="15"/>
      <c r="X17" s="15"/>
      <c r="Y17" s="15"/>
      <c r="Z17" s="15"/>
    </row>
    <row r="18" spans="1:26">
      <c r="A18" s="15"/>
      <c r="B18" s="15"/>
      <c r="C18" s="34"/>
      <c r="D18" s="35" t="s">
        <v>147</v>
      </c>
      <c r="E18" s="583"/>
      <c r="F18" s="35" t="s">
        <v>2</v>
      </c>
      <c r="G18" s="15"/>
      <c r="H18" s="15"/>
      <c r="I18" s="15"/>
      <c r="J18" s="15"/>
      <c r="K18" s="15"/>
      <c r="L18" s="15"/>
      <c r="M18" s="15"/>
      <c r="N18" s="15"/>
      <c r="O18" s="15"/>
      <c r="P18" s="15"/>
      <c r="Q18" s="15"/>
      <c r="R18" s="15"/>
      <c r="S18" s="15"/>
      <c r="T18" s="15"/>
      <c r="U18" s="15"/>
      <c r="V18" s="15"/>
      <c r="W18" s="15"/>
      <c r="X18" s="15"/>
      <c r="Y18" s="15"/>
      <c r="Z18" s="15"/>
    </row>
    <row r="19" spans="1:26">
      <c r="A19" s="15"/>
      <c r="B19" s="15"/>
      <c r="C19" s="28" t="s">
        <v>86</v>
      </c>
      <c r="D19" s="36"/>
      <c r="E19" s="36"/>
      <c r="F19" s="36"/>
      <c r="G19" s="15"/>
      <c r="H19" s="15"/>
      <c r="I19" s="15"/>
      <c r="J19" s="15"/>
      <c r="K19" s="15"/>
      <c r="L19" s="15"/>
      <c r="M19" s="15"/>
      <c r="N19" s="15"/>
      <c r="O19" s="15"/>
      <c r="P19" s="15"/>
      <c r="Q19" s="15"/>
      <c r="R19" s="15"/>
      <c r="S19" s="15"/>
      <c r="T19" s="15"/>
      <c r="U19" s="15"/>
      <c r="V19" s="15"/>
      <c r="W19" s="15"/>
      <c r="X19" s="15"/>
      <c r="Y19" s="15"/>
      <c r="Z19" s="15"/>
    </row>
    <row r="20" spans="1:26">
      <c r="A20" s="15"/>
      <c r="B20" s="15"/>
      <c r="C20" s="28" t="s">
        <v>150</v>
      </c>
      <c r="D20" s="36"/>
      <c r="E20" s="36"/>
      <c r="F20" s="36"/>
      <c r="G20" s="15"/>
      <c r="H20" s="15"/>
      <c r="I20" s="15"/>
      <c r="J20" s="15"/>
      <c r="K20" s="15"/>
      <c r="L20" s="15"/>
      <c r="M20" s="15"/>
      <c r="N20" s="15"/>
      <c r="O20" s="15"/>
      <c r="P20" s="15"/>
      <c r="Q20" s="15"/>
      <c r="R20" s="15"/>
      <c r="S20" s="15"/>
      <c r="T20" s="15"/>
      <c r="U20" s="15"/>
      <c r="V20" s="15"/>
      <c r="W20" s="15"/>
      <c r="X20" s="15"/>
      <c r="Y20" s="15"/>
      <c r="Z20" s="15"/>
    </row>
    <row r="21" spans="1:26">
      <c r="A21" s="15"/>
      <c r="B21" s="15"/>
      <c r="C21" s="26"/>
      <c r="D21" s="15"/>
      <c r="E21" s="15"/>
      <c r="F21" s="15"/>
      <c r="G21" s="15"/>
      <c r="H21" s="15"/>
      <c r="I21" s="15"/>
      <c r="J21" s="15"/>
      <c r="K21" s="15"/>
      <c r="L21" s="15"/>
      <c r="M21" s="15"/>
      <c r="N21" s="15"/>
      <c r="O21" s="15"/>
      <c r="P21" s="15"/>
      <c r="Q21" s="15"/>
      <c r="R21" s="15"/>
      <c r="S21" s="15"/>
      <c r="T21" s="15"/>
      <c r="U21" s="15"/>
      <c r="V21" s="15"/>
      <c r="W21" s="15"/>
      <c r="X21" s="15"/>
      <c r="Y21" s="15"/>
      <c r="Z21" s="15"/>
    </row>
    <row r="22" spans="1:26">
      <c r="A22" s="15"/>
      <c r="B22" s="28" t="s">
        <v>151</v>
      </c>
      <c r="C22" s="13" t="s">
        <v>141</v>
      </c>
      <c r="D22" s="15"/>
      <c r="E22" s="15"/>
      <c r="F22" s="15"/>
      <c r="G22" s="15"/>
      <c r="H22" s="15"/>
      <c r="I22" s="15"/>
      <c r="J22" s="15"/>
      <c r="K22" s="15"/>
      <c r="L22" s="15"/>
      <c r="M22" s="15"/>
      <c r="N22" s="15"/>
      <c r="O22" s="15"/>
      <c r="P22" s="15"/>
      <c r="Q22" s="15"/>
      <c r="R22" s="15"/>
      <c r="S22" s="15"/>
      <c r="T22" s="15"/>
      <c r="U22" s="15"/>
      <c r="V22" s="15"/>
      <c r="W22" s="15"/>
      <c r="X22" s="15"/>
      <c r="Y22" s="15"/>
      <c r="Z22" s="15"/>
    </row>
    <row r="23" spans="1:26">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row>
    <row r="24" spans="1:26">
      <c r="A24" s="15"/>
      <c r="B24" s="15"/>
      <c r="C24" s="30"/>
      <c r="D24" s="31" t="s">
        <v>143</v>
      </c>
      <c r="E24" s="581" t="s">
        <v>144</v>
      </c>
      <c r="F24" s="31" t="s">
        <v>145</v>
      </c>
      <c r="G24" s="15"/>
      <c r="H24" s="15"/>
      <c r="I24" s="15"/>
      <c r="J24" s="15"/>
      <c r="K24" s="15"/>
      <c r="L24" s="15"/>
      <c r="M24" s="15"/>
      <c r="N24" s="15"/>
      <c r="O24" s="15"/>
      <c r="P24" s="15"/>
      <c r="Q24" s="15"/>
      <c r="R24" s="15"/>
      <c r="S24" s="15"/>
      <c r="T24" s="15"/>
      <c r="U24" s="15"/>
      <c r="V24" s="15"/>
      <c r="W24" s="15"/>
      <c r="X24" s="15"/>
      <c r="Y24" s="15"/>
      <c r="Z24" s="15"/>
    </row>
    <row r="25" spans="1:26">
      <c r="A25" s="15"/>
      <c r="B25" s="15"/>
      <c r="C25" s="32"/>
      <c r="D25" s="33" t="s">
        <v>146</v>
      </c>
      <c r="E25" s="582"/>
      <c r="F25" s="33" t="s">
        <v>42</v>
      </c>
      <c r="G25" s="15"/>
      <c r="H25" s="15"/>
      <c r="I25" s="15"/>
      <c r="J25" s="15"/>
      <c r="K25" s="15"/>
      <c r="L25" s="15"/>
      <c r="M25" s="15"/>
      <c r="N25" s="15"/>
      <c r="O25" s="15"/>
      <c r="P25" s="15"/>
      <c r="Q25" s="15"/>
      <c r="R25" s="15"/>
      <c r="S25" s="15"/>
      <c r="T25" s="15"/>
      <c r="U25" s="15"/>
      <c r="V25" s="15"/>
      <c r="W25" s="15"/>
      <c r="X25" s="15"/>
      <c r="Y25" s="15"/>
      <c r="Z25" s="15"/>
    </row>
    <row r="26" spans="1:26">
      <c r="A26" s="15"/>
      <c r="B26" s="15"/>
      <c r="C26" s="34"/>
      <c r="D26" s="35" t="s">
        <v>147</v>
      </c>
      <c r="E26" s="583"/>
      <c r="F26" s="35" t="s">
        <v>2</v>
      </c>
      <c r="G26" s="15"/>
      <c r="H26" s="15"/>
      <c r="I26" s="15"/>
      <c r="J26" s="15"/>
      <c r="K26" s="15"/>
      <c r="L26" s="15"/>
      <c r="M26" s="15"/>
      <c r="N26" s="15"/>
      <c r="O26" s="15"/>
      <c r="P26" s="15"/>
      <c r="Q26" s="15"/>
      <c r="R26" s="15"/>
      <c r="S26" s="15"/>
      <c r="T26" s="15"/>
      <c r="U26" s="15"/>
      <c r="V26" s="15"/>
      <c r="W26" s="15"/>
      <c r="X26" s="15"/>
      <c r="Y26" s="15"/>
      <c r="Z26" s="15"/>
    </row>
    <row r="27" spans="1:26">
      <c r="A27" s="15"/>
      <c r="B27" s="15"/>
      <c r="C27" s="28" t="s">
        <v>152</v>
      </c>
      <c r="D27" s="36"/>
      <c r="E27" s="36"/>
      <c r="F27" s="36"/>
      <c r="G27" s="15"/>
      <c r="H27" s="15"/>
      <c r="I27" s="15"/>
      <c r="J27" s="15"/>
      <c r="K27" s="15"/>
      <c r="L27" s="15"/>
      <c r="M27" s="15"/>
      <c r="N27" s="15"/>
      <c r="O27" s="15"/>
      <c r="P27" s="15"/>
      <c r="Q27" s="15"/>
      <c r="R27" s="15"/>
      <c r="S27" s="15"/>
      <c r="T27" s="15"/>
      <c r="U27" s="15"/>
      <c r="V27" s="15"/>
      <c r="W27" s="15"/>
      <c r="X27" s="15"/>
      <c r="Y27" s="15"/>
      <c r="Z27" s="15"/>
    </row>
    <row r="28" spans="1:26">
      <c r="A28" s="15"/>
      <c r="B28" s="15"/>
      <c r="C28" s="28" t="s">
        <v>153</v>
      </c>
      <c r="D28" s="36"/>
      <c r="E28" s="36"/>
      <c r="F28" s="36"/>
      <c r="G28" s="15"/>
      <c r="H28" s="15"/>
      <c r="I28" s="15"/>
      <c r="J28" s="15"/>
      <c r="K28" s="15"/>
      <c r="L28" s="15"/>
      <c r="M28" s="15"/>
      <c r="N28" s="15"/>
      <c r="O28" s="15"/>
      <c r="P28" s="15"/>
      <c r="Q28" s="15"/>
      <c r="R28" s="15"/>
      <c r="S28" s="15"/>
      <c r="T28" s="15"/>
      <c r="U28" s="15"/>
      <c r="V28" s="15"/>
      <c r="W28" s="15"/>
      <c r="X28" s="15"/>
      <c r="Y28" s="15"/>
      <c r="Z28" s="15"/>
    </row>
    <row r="29" spans="1:26">
      <c r="A29" s="15"/>
      <c r="B29" s="15"/>
      <c r="C29" s="28" t="s">
        <v>154</v>
      </c>
      <c r="D29" s="36"/>
      <c r="E29" s="36"/>
      <c r="F29" s="36"/>
      <c r="G29" s="15"/>
      <c r="H29" s="15"/>
      <c r="I29" s="15"/>
      <c r="J29" s="15"/>
      <c r="K29" s="15"/>
      <c r="L29" s="15"/>
      <c r="M29" s="15"/>
      <c r="N29" s="15"/>
      <c r="O29" s="15"/>
      <c r="P29" s="15"/>
      <c r="Q29" s="15"/>
      <c r="R29" s="15"/>
      <c r="S29" s="15"/>
      <c r="T29" s="15"/>
      <c r="U29" s="15"/>
      <c r="V29" s="15"/>
      <c r="W29" s="15"/>
      <c r="X29" s="15"/>
      <c r="Y29" s="15"/>
      <c r="Z29" s="15"/>
    </row>
    <row r="30" spans="1:26">
      <c r="A30" s="15"/>
      <c r="B30" s="15"/>
      <c r="C30" s="28" t="s">
        <v>155</v>
      </c>
      <c r="D30" s="36"/>
      <c r="E30" s="36"/>
      <c r="F30" s="36"/>
      <c r="G30" s="15"/>
      <c r="H30" s="15"/>
      <c r="I30" s="15"/>
      <c r="J30" s="15"/>
      <c r="K30" s="15"/>
      <c r="L30" s="15"/>
      <c r="M30" s="15"/>
      <c r="N30" s="15"/>
      <c r="O30" s="15"/>
      <c r="P30" s="15"/>
      <c r="Q30" s="15"/>
      <c r="R30" s="15"/>
      <c r="S30" s="15"/>
      <c r="T30" s="15"/>
      <c r="U30" s="15"/>
      <c r="V30" s="15"/>
      <c r="W30" s="15"/>
      <c r="X30" s="15"/>
      <c r="Y30" s="15"/>
      <c r="Z30" s="15"/>
    </row>
    <row r="31" spans="1:26">
      <c r="A31" s="15"/>
      <c r="B31" s="15"/>
      <c r="C31" s="28" t="s">
        <v>156</v>
      </c>
      <c r="D31" s="36"/>
      <c r="E31" s="36"/>
      <c r="F31" s="36"/>
      <c r="G31" s="15"/>
      <c r="H31" s="15"/>
      <c r="I31" s="15"/>
      <c r="J31" s="15"/>
      <c r="K31" s="15"/>
      <c r="L31" s="15"/>
      <c r="M31" s="15"/>
      <c r="N31" s="15"/>
      <c r="O31" s="15"/>
      <c r="P31" s="15"/>
      <c r="Q31" s="15"/>
      <c r="R31" s="15"/>
      <c r="S31" s="15"/>
      <c r="T31" s="15"/>
      <c r="U31" s="15"/>
      <c r="V31" s="15"/>
      <c r="W31" s="15"/>
      <c r="X31" s="15"/>
      <c r="Y31" s="15"/>
      <c r="Z31" s="15"/>
    </row>
    <row r="32" spans="1:26">
      <c r="A32" s="15"/>
      <c r="B32" s="15"/>
      <c r="C32" s="28"/>
      <c r="D32" s="15"/>
      <c r="E32" s="15"/>
      <c r="F32" s="15"/>
      <c r="G32" s="15"/>
      <c r="H32" s="15"/>
      <c r="I32" s="15"/>
      <c r="J32" s="15"/>
      <c r="K32" s="15"/>
      <c r="L32" s="15"/>
      <c r="M32" s="15"/>
      <c r="N32" s="15"/>
      <c r="O32" s="15"/>
      <c r="P32" s="15"/>
      <c r="Q32" s="15"/>
      <c r="R32" s="15"/>
      <c r="S32" s="15"/>
      <c r="T32" s="15"/>
      <c r="U32" s="15"/>
      <c r="V32" s="15"/>
      <c r="W32" s="15"/>
      <c r="X32" s="15"/>
      <c r="Y32" s="15"/>
      <c r="Z32" s="15"/>
    </row>
    <row r="33" spans="1:26">
      <c r="A33" s="15"/>
      <c r="B33" s="28" t="s">
        <v>88</v>
      </c>
      <c r="C33" s="13" t="s">
        <v>141</v>
      </c>
      <c r="D33" s="15"/>
      <c r="E33" s="29"/>
      <c r="F33" s="15"/>
      <c r="G33" s="15"/>
      <c r="H33" s="15"/>
      <c r="I33" s="15"/>
      <c r="J33" s="15"/>
      <c r="K33" s="15"/>
      <c r="L33" s="15"/>
      <c r="M33" s="15"/>
      <c r="N33" s="15"/>
      <c r="O33" s="15"/>
      <c r="P33" s="15"/>
      <c r="Q33" s="15"/>
      <c r="R33" s="15"/>
      <c r="S33" s="15"/>
      <c r="T33" s="15"/>
      <c r="U33" s="15"/>
      <c r="V33" s="15"/>
      <c r="W33" s="15"/>
      <c r="X33" s="15"/>
      <c r="Y33" s="15"/>
      <c r="Z33" s="15"/>
    </row>
    <row r="34" spans="1:26">
      <c r="A34" s="15"/>
      <c r="B34" s="26"/>
      <c r="C34" s="26"/>
      <c r="D34" s="15"/>
      <c r="E34" s="29"/>
      <c r="F34" s="15"/>
      <c r="G34" s="15"/>
      <c r="H34" s="15"/>
      <c r="I34" s="15"/>
      <c r="J34" s="15"/>
      <c r="K34" s="15"/>
      <c r="L34" s="15"/>
      <c r="M34" s="15"/>
      <c r="N34" s="15"/>
      <c r="O34" s="15"/>
      <c r="P34" s="15"/>
      <c r="Q34" s="15"/>
      <c r="R34" s="15"/>
      <c r="S34" s="15"/>
      <c r="T34" s="15"/>
      <c r="U34" s="15"/>
      <c r="V34" s="15"/>
      <c r="W34" s="15"/>
      <c r="X34" s="15"/>
      <c r="Y34" s="15"/>
      <c r="Z34" s="15"/>
    </row>
    <row r="35" spans="1:26">
      <c r="A35" s="15"/>
      <c r="B35" s="28" t="s">
        <v>157</v>
      </c>
      <c r="C35" s="38"/>
      <c r="D35" s="15" t="s">
        <v>2</v>
      </c>
      <c r="E35" s="29"/>
      <c r="F35" s="15"/>
      <c r="G35" s="15"/>
      <c r="H35" s="15"/>
      <c r="I35" s="15"/>
      <c r="J35" s="15"/>
      <c r="K35" s="15"/>
      <c r="L35" s="15"/>
      <c r="M35" s="15"/>
      <c r="N35" s="15"/>
      <c r="O35" s="15"/>
      <c r="P35" s="15"/>
      <c r="Q35" s="15"/>
      <c r="R35" s="15"/>
      <c r="S35" s="15"/>
      <c r="T35" s="15"/>
      <c r="U35" s="15"/>
      <c r="V35" s="15"/>
      <c r="W35" s="15"/>
      <c r="X35" s="15"/>
      <c r="Y35" s="15"/>
      <c r="Z35" s="15"/>
    </row>
    <row r="36" spans="1:26">
      <c r="A36" s="15"/>
      <c r="B36" s="39" t="s">
        <v>158</v>
      </c>
      <c r="C36" s="37"/>
      <c r="D36" s="15" t="s">
        <v>159</v>
      </c>
      <c r="E36" s="29"/>
      <c r="F36" s="15"/>
      <c r="G36" s="15"/>
      <c r="H36" s="15"/>
      <c r="I36" s="15"/>
      <c r="J36" s="15"/>
      <c r="K36" s="15"/>
      <c r="L36" s="15"/>
      <c r="M36" s="15"/>
      <c r="N36" s="15"/>
      <c r="O36" s="15"/>
      <c r="P36" s="15"/>
      <c r="Q36" s="15"/>
      <c r="R36" s="15"/>
      <c r="S36" s="15"/>
      <c r="T36" s="15"/>
      <c r="U36" s="15"/>
      <c r="V36" s="15"/>
      <c r="W36" s="15"/>
      <c r="X36" s="15"/>
      <c r="Y36" s="15"/>
      <c r="Z36" s="15"/>
    </row>
    <row r="37" spans="1:26">
      <c r="A37" s="15"/>
      <c r="B37" s="26"/>
      <c r="C37" s="40"/>
      <c r="D37" s="15"/>
      <c r="E37" s="29"/>
      <c r="F37" s="15"/>
      <c r="G37" s="15"/>
      <c r="H37" s="15"/>
      <c r="I37" s="15"/>
      <c r="J37" s="15"/>
      <c r="K37" s="15"/>
      <c r="L37" s="15"/>
      <c r="M37" s="15"/>
      <c r="N37" s="15"/>
      <c r="O37" s="15"/>
      <c r="P37" s="15"/>
      <c r="Q37" s="15"/>
      <c r="R37" s="15"/>
      <c r="S37" s="15"/>
      <c r="T37" s="15"/>
      <c r="U37" s="15"/>
      <c r="V37" s="15"/>
      <c r="W37" s="15"/>
      <c r="X37" s="15"/>
      <c r="Y37" s="15"/>
      <c r="Z37" s="15"/>
    </row>
    <row r="38" spans="1:26">
      <c r="A38" s="15"/>
      <c r="B38" s="28" t="s">
        <v>160</v>
      </c>
      <c r="C38" s="13" t="s">
        <v>141</v>
      </c>
      <c r="D38" s="15"/>
      <c r="E38" s="29"/>
      <c r="F38" s="15"/>
      <c r="G38" s="15"/>
      <c r="H38" s="15"/>
      <c r="I38" s="15"/>
      <c r="J38" s="15"/>
      <c r="K38" s="15"/>
      <c r="L38" s="15"/>
      <c r="M38" s="15"/>
      <c r="N38" s="15"/>
      <c r="O38" s="15"/>
      <c r="P38" s="15"/>
      <c r="Q38" s="15"/>
      <c r="R38" s="15"/>
      <c r="S38" s="15"/>
      <c r="T38" s="15"/>
      <c r="U38" s="15"/>
      <c r="V38" s="15"/>
      <c r="W38" s="15"/>
      <c r="X38" s="15"/>
      <c r="Y38" s="15"/>
      <c r="Z38" s="15"/>
    </row>
    <row r="39" spans="1:26">
      <c r="A39" s="15"/>
      <c r="B39" s="28" t="s">
        <v>121</v>
      </c>
      <c r="C39" s="13" t="s">
        <v>141</v>
      </c>
      <c r="D39" s="15"/>
      <c r="E39" s="29"/>
      <c r="F39" s="15"/>
      <c r="G39" s="15"/>
      <c r="H39" s="15"/>
      <c r="I39" s="15"/>
      <c r="J39" s="15"/>
      <c r="K39" s="15"/>
      <c r="L39" s="15"/>
      <c r="M39" s="15"/>
      <c r="N39" s="15"/>
      <c r="O39" s="15"/>
      <c r="P39" s="15"/>
      <c r="Q39" s="15"/>
      <c r="R39" s="15"/>
      <c r="S39" s="15"/>
      <c r="T39" s="15"/>
      <c r="U39" s="15"/>
      <c r="V39" s="15"/>
      <c r="W39" s="15"/>
      <c r="X39" s="15"/>
      <c r="Y39" s="15"/>
      <c r="Z39" s="15"/>
    </row>
    <row r="40" spans="1:26">
      <c r="A40" s="15"/>
      <c r="B40" s="41"/>
      <c r="C40" s="26"/>
      <c r="D40" s="15"/>
      <c r="E40" s="29"/>
      <c r="F40" s="15"/>
      <c r="G40" s="15"/>
      <c r="H40" s="15"/>
      <c r="I40" s="15"/>
      <c r="J40" s="15"/>
      <c r="K40" s="15"/>
      <c r="L40" s="15"/>
      <c r="M40" s="15"/>
      <c r="N40" s="15"/>
      <c r="O40" s="15"/>
      <c r="P40" s="15"/>
      <c r="Q40" s="15"/>
      <c r="R40" s="15"/>
      <c r="S40" s="15"/>
      <c r="T40" s="15"/>
      <c r="U40" s="15"/>
      <c r="V40" s="15"/>
      <c r="W40" s="15"/>
      <c r="X40" s="15"/>
      <c r="Y40" s="15"/>
      <c r="Z40" s="15"/>
    </row>
    <row r="41" spans="1:26">
      <c r="A41" s="15"/>
      <c r="B41" s="15"/>
      <c r="C41" s="29" t="s">
        <v>161</v>
      </c>
      <c r="D41" s="15"/>
      <c r="E41" s="15"/>
      <c r="F41" s="15"/>
      <c r="G41" s="15"/>
      <c r="H41" s="15"/>
      <c r="I41" s="15"/>
      <c r="J41" s="15"/>
      <c r="K41" s="15"/>
      <c r="L41" s="15"/>
      <c r="M41" s="15"/>
      <c r="N41" s="15"/>
      <c r="O41" s="15"/>
      <c r="P41" s="15"/>
      <c r="Q41" s="15"/>
      <c r="R41" s="15"/>
      <c r="S41" s="15"/>
      <c r="T41" s="15"/>
      <c r="U41" s="15"/>
      <c r="V41" s="15"/>
      <c r="W41" s="15"/>
      <c r="X41" s="15"/>
      <c r="Y41" s="15"/>
      <c r="Z41" s="15"/>
    </row>
    <row r="42" spans="1:26">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spans="1:26">
      <c r="A43" s="15"/>
      <c r="B43" s="15"/>
      <c r="C43" s="30"/>
      <c r="D43" s="30" t="s">
        <v>162</v>
      </c>
      <c r="E43" s="30" t="s">
        <v>163</v>
      </c>
      <c r="F43" s="30" t="s">
        <v>164</v>
      </c>
      <c r="G43" s="30" t="s">
        <v>165</v>
      </c>
      <c r="H43" s="30" t="s">
        <v>166</v>
      </c>
      <c r="I43" s="30" t="s">
        <v>864</v>
      </c>
      <c r="J43" s="30" t="s">
        <v>167</v>
      </c>
      <c r="K43" s="30" t="s">
        <v>13</v>
      </c>
      <c r="L43" s="31" t="s">
        <v>168</v>
      </c>
      <c r="M43" s="31" t="s">
        <v>647</v>
      </c>
      <c r="N43" s="31" t="s">
        <v>342</v>
      </c>
      <c r="O43" s="31" t="s">
        <v>18</v>
      </c>
      <c r="P43" s="15"/>
      <c r="Q43" s="15"/>
      <c r="R43" s="15"/>
      <c r="S43" s="15"/>
      <c r="T43" s="15"/>
      <c r="U43" s="15"/>
      <c r="V43" s="15"/>
      <c r="W43" s="15"/>
      <c r="X43" s="15"/>
      <c r="Y43" s="15"/>
      <c r="Z43" s="15"/>
    </row>
    <row r="44" spans="1:26">
      <c r="A44" s="15"/>
      <c r="B44" s="15"/>
      <c r="C44" s="32" t="s">
        <v>169</v>
      </c>
      <c r="D44" s="32" t="s">
        <v>170</v>
      </c>
      <c r="E44" s="32"/>
      <c r="F44" s="32" t="s">
        <v>171</v>
      </c>
      <c r="G44" s="32" t="s">
        <v>172</v>
      </c>
      <c r="H44" s="32" t="s">
        <v>173</v>
      </c>
      <c r="I44" s="32" t="s">
        <v>865</v>
      </c>
      <c r="J44" s="32"/>
      <c r="K44" s="32" t="s">
        <v>41</v>
      </c>
      <c r="L44" s="35" t="s">
        <v>174</v>
      </c>
      <c r="M44" s="35" t="s">
        <v>649</v>
      </c>
      <c r="N44" s="35" t="s">
        <v>649</v>
      </c>
      <c r="O44" s="35" t="s">
        <v>42</v>
      </c>
      <c r="P44" s="15"/>
      <c r="Q44" s="15"/>
      <c r="R44" s="15"/>
      <c r="S44" s="15"/>
      <c r="T44" s="15"/>
      <c r="U44" s="15"/>
      <c r="V44" s="15"/>
      <c r="W44" s="15"/>
      <c r="X44" s="15"/>
      <c r="Y44" s="15"/>
      <c r="Z44" s="15"/>
    </row>
    <row r="45" spans="1:26">
      <c r="A45" s="15"/>
      <c r="B45" s="30"/>
      <c r="C45" s="30"/>
      <c r="D45" s="30"/>
      <c r="E45" s="30"/>
      <c r="F45" s="30"/>
      <c r="G45" s="30"/>
      <c r="H45" s="30"/>
      <c r="I45" s="30"/>
      <c r="J45" s="30"/>
      <c r="K45" s="30"/>
      <c r="L45" s="30"/>
      <c r="M45" s="30"/>
      <c r="N45" s="30"/>
      <c r="O45" s="30"/>
      <c r="P45" s="15"/>
      <c r="Q45" s="15"/>
      <c r="R45" s="15"/>
      <c r="S45" s="15"/>
      <c r="T45" s="15"/>
      <c r="U45" s="15"/>
      <c r="V45" s="15"/>
      <c r="W45" s="15"/>
      <c r="X45" s="15"/>
      <c r="Y45" s="15"/>
      <c r="Z45" s="15"/>
    </row>
    <row r="46" spans="1:26">
      <c r="A46" s="15"/>
      <c r="B46" s="32" t="s">
        <v>13</v>
      </c>
      <c r="C46" s="42">
        <f t="shared" ref="C46:K46" si="0">SUM(C48:C57)</f>
        <v>0</v>
      </c>
      <c r="D46" s="42">
        <f t="shared" si="0"/>
        <v>0</v>
      </c>
      <c r="E46" s="42">
        <f t="shared" si="0"/>
        <v>0</v>
      </c>
      <c r="F46" s="42">
        <f t="shared" si="0"/>
        <v>0</v>
      </c>
      <c r="G46" s="42">
        <f t="shared" si="0"/>
        <v>0</v>
      </c>
      <c r="H46" s="42">
        <f t="shared" si="0"/>
        <v>0</v>
      </c>
      <c r="I46" s="42">
        <f t="shared" si="0"/>
        <v>0</v>
      </c>
      <c r="J46" s="42">
        <f t="shared" si="0"/>
        <v>0</v>
      </c>
      <c r="K46" s="42">
        <f t="shared" si="0"/>
        <v>0</v>
      </c>
      <c r="L46" s="42">
        <f>SUM(L48:L57)</f>
        <v>0</v>
      </c>
      <c r="M46" s="42">
        <f>SUM(M48:M57)</f>
        <v>0</v>
      </c>
      <c r="N46" s="42">
        <f>SUM(N48:N57)</f>
        <v>0</v>
      </c>
      <c r="O46" s="42">
        <f>SUM(O48:O57)</f>
        <v>0</v>
      </c>
      <c r="P46" s="15"/>
      <c r="Q46" s="15"/>
      <c r="R46" s="15"/>
      <c r="S46" s="15"/>
      <c r="T46" s="15"/>
      <c r="U46" s="15"/>
      <c r="V46" s="15"/>
      <c r="W46" s="15"/>
      <c r="X46" s="15"/>
      <c r="Y46" s="15"/>
      <c r="Z46" s="15"/>
    </row>
    <row r="47" spans="1:26">
      <c r="A47" s="15"/>
      <c r="B47" s="28" t="s">
        <v>175</v>
      </c>
      <c r="C47" s="28"/>
      <c r="D47" s="28"/>
      <c r="E47" s="28"/>
      <c r="F47" s="28"/>
      <c r="G47" s="28"/>
      <c r="H47" s="28"/>
      <c r="I47" s="28"/>
      <c r="J47" s="28"/>
      <c r="K47" s="28"/>
      <c r="L47" s="28"/>
      <c r="M47" s="28"/>
      <c r="N47" s="28"/>
      <c r="O47" s="28"/>
      <c r="P47" s="15"/>
      <c r="Q47" s="15"/>
      <c r="R47" s="15"/>
      <c r="S47" s="15"/>
      <c r="T47" s="15"/>
      <c r="U47" s="15"/>
      <c r="V47" s="15"/>
      <c r="W47" s="15"/>
      <c r="X47" s="15"/>
      <c r="Y47" s="15"/>
      <c r="Z47" s="15"/>
    </row>
    <row r="48" spans="1:26">
      <c r="A48" s="15"/>
      <c r="B48" s="28">
        <v>1</v>
      </c>
      <c r="C48" s="36"/>
      <c r="D48" s="493"/>
      <c r="E48" s="493"/>
      <c r="F48" s="493"/>
      <c r="G48" s="493"/>
      <c r="H48" s="493"/>
      <c r="I48" s="493"/>
      <c r="J48" s="493"/>
      <c r="K48" s="43">
        <f>SUM(C48:I48)</f>
        <v>0</v>
      </c>
      <c r="L48" s="494"/>
      <c r="M48" s="494"/>
      <c r="N48" s="494"/>
      <c r="O48" s="494"/>
      <c r="P48" s="15"/>
      <c r="Q48" s="15"/>
      <c r="R48" s="15"/>
      <c r="S48" s="15"/>
      <c r="T48" s="15"/>
      <c r="U48" s="15"/>
      <c r="V48" s="15"/>
      <c r="W48" s="15"/>
      <c r="X48" s="15"/>
      <c r="Y48" s="15"/>
      <c r="Z48" s="15"/>
    </row>
    <row r="49" spans="1:26">
      <c r="A49" s="15"/>
      <c r="B49" s="28">
        <f>B48+1</f>
        <v>2</v>
      </c>
      <c r="C49" s="36"/>
      <c r="D49" s="493"/>
      <c r="E49" s="493"/>
      <c r="F49" s="493"/>
      <c r="G49" s="493"/>
      <c r="H49" s="493"/>
      <c r="I49" s="493"/>
      <c r="J49" s="493"/>
      <c r="K49" s="43">
        <f t="shared" ref="K49:K87" si="1">SUM(C49:I49)</f>
        <v>0</v>
      </c>
      <c r="L49" s="494"/>
      <c r="M49" s="494"/>
      <c r="N49" s="494"/>
      <c r="O49" s="494"/>
      <c r="P49" s="15"/>
      <c r="Q49" s="15"/>
      <c r="R49" s="15"/>
      <c r="S49" s="15"/>
      <c r="T49" s="15"/>
      <c r="U49" s="15"/>
      <c r="V49" s="15"/>
      <c r="W49" s="15"/>
      <c r="X49" s="15"/>
      <c r="Y49" s="15"/>
      <c r="Z49" s="15"/>
    </row>
    <row r="50" spans="1:26">
      <c r="A50" s="15"/>
      <c r="B50" s="28">
        <f t="shared" ref="B50:B87" si="2">B49+1</f>
        <v>3</v>
      </c>
      <c r="C50" s="36"/>
      <c r="D50" s="493"/>
      <c r="E50" s="493"/>
      <c r="F50" s="493"/>
      <c r="G50" s="493"/>
      <c r="H50" s="493"/>
      <c r="I50" s="493"/>
      <c r="J50" s="493"/>
      <c r="K50" s="43">
        <f t="shared" si="1"/>
        <v>0</v>
      </c>
      <c r="L50" s="494"/>
      <c r="M50" s="494"/>
      <c r="N50" s="494"/>
      <c r="O50" s="494"/>
      <c r="P50" s="15"/>
      <c r="Q50" s="15"/>
      <c r="R50" s="15"/>
      <c r="S50" s="15"/>
      <c r="T50" s="15"/>
      <c r="U50" s="15"/>
      <c r="V50" s="15"/>
      <c r="W50" s="15"/>
      <c r="X50" s="15"/>
      <c r="Y50" s="15"/>
      <c r="Z50" s="15"/>
    </row>
    <row r="51" spans="1:26">
      <c r="A51" s="15"/>
      <c r="B51" s="28">
        <f t="shared" si="2"/>
        <v>4</v>
      </c>
      <c r="C51" s="36"/>
      <c r="D51" s="493"/>
      <c r="E51" s="493"/>
      <c r="F51" s="493"/>
      <c r="G51" s="493"/>
      <c r="H51" s="493"/>
      <c r="I51" s="493"/>
      <c r="J51" s="493"/>
      <c r="K51" s="43">
        <f t="shared" si="1"/>
        <v>0</v>
      </c>
      <c r="L51" s="494"/>
      <c r="M51" s="494"/>
      <c r="N51" s="494"/>
      <c r="O51" s="494"/>
      <c r="P51" s="15"/>
      <c r="Q51" s="15"/>
      <c r="R51" s="15"/>
      <c r="S51" s="15"/>
      <c r="T51" s="15"/>
      <c r="U51" s="15"/>
      <c r="V51" s="15"/>
      <c r="W51" s="15"/>
      <c r="X51" s="15"/>
      <c r="Y51" s="15"/>
      <c r="Z51" s="15"/>
    </row>
    <row r="52" spans="1:26">
      <c r="A52" s="15"/>
      <c r="B52" s="28">
        <f t="shared" si="2"/>
        <v>5</v>
      </c>
      <c r="C52" s="36"/>
      <c r="D52" s="36"/>
      <c r="E52" s="36"/>
      <c r="F52" s="36"/>
      <c r="G52" s="36"/>
      <c r="H52" s="36"/>
      <c r="I52" s="36"/>
      <c r="J52" s="36"/>
      <c r="K52" s="43">
        <f t="shared" si="1"/>
        <v>0</v>
      </c>
      <c r="L52" s="494"/>
      <c r="M52" s="494"/>
      <c r="N52" s="494"/>
      <c r="O52" s="494"/>
      <c r="P52" s="15"/>
      <c r="Q52" s="15"/>
      <c r="R52" s="15"/>
      <c r="S52" s="15"/>
      <c r="T52" s="15"/>
      <c r="U52" s="15"/>
      <c r="V52" s="15"/>
      <c r="W52" s="15"/>
      <c r="X52" s="15"/>
      <c r="Y52" s="15"/>
      <c r="Z52" s="15"/>
    </row>
    <row r="53" spans="1:26">
      <c r="A53" s="15"/>
      <c r="B53" s="28">
        <f t="shared" si="2"/>
        <v>6</v>
      </c>
      <c r="C53" s="36"/>
      <c r="D53" s="36"/>
      <c r="E53" s="36"/>
      <c r="F53" s="36"/>
      <c r="G53" s="36"/>
      <c r="H53" s="36"/>
      <c r="I53" s="36"/>
      <c r="J53" s="36"/>
      <c r="K53" s="43">
        <f t="shared" si="1"/>
        <v>0</v>
      </c>
      <c r="L53" s="494"/>
      <c r="M53" s="494"/>
      <c r="N53" s="494"/>
      <c r="O53" s="494"/>
      <c r="P53" s="15"/>
      <c r="Q53" s="15"/>
      <c r="R53" s="15"/>
      <c r="S53" s="15"/>
      <c r="T53" s="15"/>
      <c r="U53" s="15"/>
      <c r="V53" s="15"/>
      <c r="W53" s="15"/>
      <c r="X53" s="15"/>
      <c r="Y53" s="15"/>
      <c r="Z53" s="15"/>
    </row>
    <row r="54" spans="1:26">
      <c r="A54" s="15"/>
      <c r="B54" s="28">
        <f t="shared" si="2"/>
        <v>7</v>
      </c>
      <c r="C54" s="36"/>
      <c r="D54" s="36"/>
      <c r="E54" s="36"/>
      <c r="F54" s="36"/>
      <c r="G54" s="36"/>
      <c r="H54" s="36"/>
      <c r="I54" s="36"/>
      <c r="J54" s="36"/>
      <c r="K54" s="43">
        <f t="shared" si="1"/>
        <v>0</v>
      </c>
      <c r="L54" s="494"/>
      <c r="M54" s="494"/>
      <c r="N54" s="494"/>
      <c r="O54" s="494"/>
      <c r="P54" s="15"/>
      <c r="Q54" s="15"/>
      <c r="R54" s="15"/>
      <c r="S54" s="15"/>
      <c r="T54" s="15"/>
      <c r="U54" s="15"/>
      <c r="V54" s="15"/>
      <c r="W54" s="15"/>
      <c r="X54" s="15"/>
      <c r="Y54" s="15"/>
      <c r="Z54" s="15"/>
    </row>
    <row r="55" spans="1:26">
      <c r="A55" s="15"/>
      <c r="B55" s="28">
        <f t="shared" si="2"/>
        <v>8</v>
      </c>
      <c r="C55" s="36"/>
      <c r="D55" s="36"/>
      <c r="E55" s="36"/>
      <c r="F55" s="36"/>
      <c r="G55" s="36"/>
      <c r="H55" s="36"/>
      <c r="I55" s="36"/>
      <c r="J55" s="36"/>
      <c r="K55" s="43">
        <f t="shared" si="1"/>
        <v>0</v>
      </c>
      <c r="L55" s="494"/>
      <c r="M55" s="494"/>
      <c r="N55" s="494"/>
      <c r="O55" s="494"/>
      <c r="P55" s="15"/>
      <c r="Q55" s="15"/>
      <c r="R55" s="15"/>
      <c r="S55" s="15"/>
      <c r="T55" s="15"/>
      <c r="U55" s="15"/>
      <c r="V55" s="15"/>
      <c r="W55" s="15"/>
      <c r="X55" s="15"/>
      <c r="Y55" s="15"/>
      <c r="Z55" s="15"/>
    </row>
    <row r="56" spans="1:26">
      <c r="A56" s="15"/>
      <c r="B56" s="28">
        <f t="shared" si="2"/>
        <v>9</v>
      </c>
      <c r="C56" s="36"/>
      <c r="D56" s="36"/>
      <c r="E56" s="36"/>
      <c r="F56" s="36"/>
      <c r="G56" s="36"/>
      <c r="H56" s="36"/>
      <c r="I56" s="36"/>
      <c r="J56" s="36"/>
      <c r="K56" s="43">
        <f t="shared" si="1"/>
        <v>0</v>
      </c>
      <c r="L56" s="494"/>
      <c r="M56" s="494"/>
      <c r="N56" s="494"/>
      <c r="O56" s="494"/>
      <c r="P56" s="15"/>
      <c r="Q56" s="15"/>
      <c r="R56" s="15"/>
      <c r="S56" s="15"/>
      <c r="T56" s="15"/>
      <c r="U56" s="15"/>
      <c r="V56" s="15"/>
      <c r="W56" s="15"/>
      <c r="X56" s="15"/>
      <c r="Y56" s="15"/>
      <c r="Z56" s="15"/>
    </row>
    <row r="57" spans="1:26">
      <c r="A57" s="15"/>
      <c r="B57" s="28">
        <f t="shared" si="2"/>
        <v>10</v>
      </c>
      <c r="C57" s="36"/>
      <c r="D57" s="36"/>
      <c r="E57" s="36"/>
      <c r="F57" s="36"/>
      <c r="G57" s="36"/>
      <c r="H57" s="36"/>
      <c r="I57" s="36"/>
      <c r="J57" s="36"/>
      <c r="K57" s="43">
        <f t="shared" si="1"/>
        <v>0</v>
      </c>
      <c r="L57" s="13"/>
      <c r="M57" s="13"/>
      <c r="N57" s="98"/>
      <c r="O57" s="13"/>
      <c r="P57" s="15"/>
      <c r="Q57" s="15"/>
      <c r="R57" s="15"/>
      <c r="S57" s="15"/>
      <c r="T57" s="15"/>
      <c r="U57" s="15"/>
      <c r="V57" s="15"/>
      <c r="W57" s="15"/>
      <c r="X57" s="15"/>
      <c r="Y57" s="15"/>
      <c r="Z57" s="15"/>
    </row>
    <row r="58" spans="1:26">
      <c r="A58" s="15"/>
      <c r="B58" s="28">
        <f t="shared" si="2"/>
        <v>11</v>
      </c>
      <c r="C58" s="36"/>
      <c r="D58" s="36"/>
      <c r="E58" s="36"/>
      <c r="F58" s="36"/>
      <c r="G58" s="36"/>
      <c r="H58" s="36"/>
      <c r="I58" s="36"/>
      <c r="J58" s="36"/>
      <c r="K58" s="43">
        <f t="shared" si="1"/>
        <v>0</v>
      </c>
      <c r="L58" s="13"/>
      <c r="M58" s="13"/>
      <c r="N58" s="98"/>
      <c r="O58" s="13"/>
      <c r="P58" s="15"/>
      <c r="Q58" s="15"/>
      <c r="R58" s="15"/>
      <c r="S58" s="15"/>
      <c r="T58" s="15"/>
      <c r="U58" s="15"/>
      <c r="V58" s="15"/>
      <c r="W58" s="15"/>
      <c r="X58" s="15"/>
      <c r="Y58" s="15"/>
      <c r="Z58" s="15"/>
    </row>
    <row r="59" spans="1:26">
      <c r="A59" s="15"/>
      <c r="B59" s="28">
        <f t="shared" si="2"/>
        <v>12</v>
      </c>
      <c r="C59" s="36"/>
      <c r="D59" s="36"/>
      <c r="E59" s="36"/>
      <c r="F59" s="36"/>
      <c r="G59" s="36"/>
      <c r="H59" s="36"/>
      <c r="I59" s="36"/>
      <c r="J59" s="36"/>
      <c r="K59" s="43">
        <f t="shared" si="1"/>
        <v>0</v>
      </c>
      <c r="L59" s="13"/>
      <c r="M59" s="13"/>
      <c r="N59" s="98"/>
      <c r="O59" s="13"/>
      <c r="P59" s="15"/>
      <c r="Q59" s="15"/>
      <c r="R59" s="15"/>
      <c r="S59" s="15"/>
      <c r="T59" s="15"/>
      <c r="U59" s="15"/>
      <c r="V59" s="15"/>
      <c r="W59" s="15"/>
      <c r="X59" s="15"/>
      <c r="Y59" s="15"/>
      <c r="Z59" s="15"/>
    </row>
    <row r="60" spans="1:26">
      <c r="A60" s="15"/>
      <c r="B60" s="28">
        <f t="shared" si="2"/>
        <v>13</v>
      </c>
      <c r="C60" s="36"/>
      <c r="D60" s="36"/>
      <c r="E60" s="36"/>
      <c r="F60" s="36"/>
      <c r="G60" s="36"/>
      <c r="H60" s="36"/>
      <c r="I60" s="36"/>
      <c r="J60" s="36"/>
      <c r="K60" s="43">
        <f t="shared" si="1"/>
        <v>0</v>
      </c>
      <c r="L60" s="13"/>
      <c r="M60" s="13"/>
      <c r="N60" s="98"/>
      <c r="O60" s="13"/>
      <c r="P60" s="15"/>
      <c r="Q60" s="15"/>
      <c r="R60" s="15"/>
      <c r="S60" s="15"/>
      <c r="T60" s="15"/>
      <c r="U60" s="15"/>
      <c r="V60" s="15"/>
      <c r="W60" s="15"/>
      <c r="X60" s="15"/>
      <c r="Y60" s="15"/>
      <c r="Z60" s="15"/>
    </row>
    <row r="61" spans="1:26">
      <c r="A61" s="15"/>
      <c r="B61" s="28">
        <f t="shared" si="2"/>
        <v>14</v>
      </c>
      <c r="C61" s="36"/>
      <c r="D61" s="36"/>
      <c r="E61" s="36"/>
      <c r="F61" s="36"/>
      <c r="G61" s="36"/>
      <c r="H61" s="36"/>
      <c r="I61" s="36"/>
      <c r="J61" s="36"/>
      <c r="K61" s="43">
        <f t="shared" si="1"/>
        <v>0</v>
      </c>
      <c r="L61" s="13"/>
      <c r="M61" s="13"/>
      <c r="N61" s="98"/>
      <c r="O61" s="13"/>
      <c r="P61" s="15"/>
      <c r="Q61" s="15"/>
      <c r="R61" s="15"/>
      <c r="S61" s="15"/>
      <c r="T61" s="15"/>
      <c r="U61" s="15"/>
      <c r="V61" s="15"/>
      <c r="W61" s="15"/>
      <c r="X61" s="15"/>
      <c r="Y61" s="15"/>
      <c r="Z61" s="15"/>
    </row>
    <row r="62" spans="1:26">
      <c r="A62" s="15"/>
      <c r="B62" s="28">
        <f t="shared" si="2"/>
        <v>15</v>
      </c>
      <c r="C62" s="36"/>
      <c r="D62" s="36"/>
      <c r="E62" s="36"/>
      <c r="F62" s="36"/>
      <c r="G62" s="36"/>
      <c r="H62" s="36"/>
      <c r="I62" s="36"/>
      <c r="J62" s="36"/>
      <c r="K62" s="43">
        <f t="shared" si="1"/>
        <v>0</v>
      </c>
      <c r="L62" s="13"/>
      <c r="M62" s="13"/>
      <c r="N62" s="98"/>
      <c r="O62" s="13"/>
      <c r="P62" s="15"/>
      <c r="Q62" s="15"/>
      <c r="R62" s="15"/>
      <c r="S62" s="15"/>
      <c r="T62" s="15"/>
      <c r="U62" s="15"/>
      <c r="V62" s="15"/>
      <c r="W62" s="15"/>
      <c r="X62" s="15"/>
      <c r="Y62" s="15"/>
      <c r="Z62" s="15"/>
    </row>
    <row r="63" spans="1:26">
      <c r="A63" s="15"/>
      <c r="B63" s="28">
        <f t="shared" si="2"/>
        <v>16</v>
      </c>
      <c r="C63" s="36"/>
      <c r="D63" s="36"/>
      <c r="E63" s="36"/>
      <c r="F63" s="36"/>
      <c r="G63" s="36"/>
      <c r="H63" s="36"/>
      <c r="I63" s="36"/>
      <c r="J63" s="36"/>
      <c r="K63" s="43">
        <f t="shared" si="1"/>
        <v>0</v>
      </c>
      <c r="L63" s="13"/>
      <c r="M63" s="13"/>
      <c r="N63" s="98"/>
      <c r="O63" s="13"/>
      <c r="P63" s="15"/>
      <c r="Q63" s="15"/>
      <c r="R63" s="15"/>
      <c r="S63" s="15"/>
      <c r="T63" s="15"/>
      <c r="U63" s="15"/>
      <c r="V63" s="15"/>
      <c r="W63" s="15"/>
      <c r="X63" s="15"/>
      <c r="Y63" s="15"/>
      <c r="Z63" s="15"/>
    </row>
    <row r="64" spans="1:26">
      <c r="A64" s="15"/>
      <c r="B64" s="28">
        <f t="shared" si="2"/>
        <v>17</v>
      </c>
      <c r="C64" s="36"/>
      <c r="D64" s="36"/>
      <c r="E64" s="36"/>
      <c r="F64" s="36"/>
      <c r="G64" s="36"/>
      <c r="H64" s="36"/>
      <c r="I64" s="36"/>
      <c r="J64" s="36"/>
      <c r="K64" s="43">
        <f t="shared" si="1"/>
        <v>0</v>
      </c>
      <c r="L64" s="13"/>
      <c r="M64" s="13"/>
      <c r="N64" s="98"/>
      <c r="O64" s="13"/>
      <c r="P64" s="15"/>
      <c r="Q64" s="15"/>
      <c r="R64" s="15"/>
      <c r="S64" s="15"/>
      <c r="T64" s="15"/>
      <c r="U64" s="15"/>
      <c r="V64" s="15"/>
      <c r="W64" s="15"/>
      <c r="X64" s="15"/>
      <c r="Y64" s="15"/>
      <c r="Z64" s="15"/>
    </row>
    <row r="65" spans="1:26">
      <c r="A65" s="15"/>
      <c r="B65" s="28">
        <f t="shared" si="2"/>
        <v>18</v>
      </c>
      <c r="C65" s="36"/>
      <c r="D65" s="36"/>
      <c r="E65" s="36"/>
      <c r="F65" s="36"/>
      <c r="G65" s="36"/>
      <c r="H65" s="36"/>
      <c r="I65" s="36"/>
      <c r="J65" s="36"/>
      <c r="K65" s="43">
        <f t="shared" si="1"/>
        <v>0</v>
      </c>
      <c r="L65" s="13"/>
      <c r="M65" s="13"/>
      <c r="N65" s="98"/>
      <c r="O65" s="13"/>
      <c r="P65" s="15"/>
      <c r="Q65" s="15"/>
      <c r="R65" s="15"/>
      <c r="S65" s="15"/>
      <c r="T65" s="15"/>
      <c r="U65" s="15"/>
      <c r="V65" s="15"/>
      <c r="W65" s="15"/>
      <c r="X65" s="15"/>
      <c r="Y65" s="15"/>
      <c r="Z65" s="15"/>
    </row>
    <row r="66" spans="1:26">
      <c r="A66" s="15"/>
      <c r="B66" s="28">
        <f t="shared" si="2"/>
        <v>19</v>
      </c>
      <c r="C66" s="36"/>
      <c r="D66" s="36"/>
      <c r="E66" s="36"/>
      <c r="F66" s="36"/>
      <c r="G66" s="36"/>
      <c r="H66" s="36"/>
      <c r="I66" s="36"/>
      <c r="J66" s="36"/>
      <c r="K66" s="43">
        <f t="shared" si="1"/>
        <v>0</v>
      </c>
      <c r="L66" s="13"/>
      <c r="M66" s="13"/>
      <c r="N66" s="98"/>
      <c r="O66" s="13"/>
      <c r="P66" s="15"/>
      <c r="Q66" s="15"/>
      <c r="R66" s="15"/>
      <c r="S66" s="15"/>
      <c r="T66" s="15"/>
      <c r="U66" s="15"/>
      <c r="V66" s="15"/>
      <c r="W66" s="15"/>
      <c r="X66" s="15"/>
      <c r="Y66" s="15"/>
      <c r="Z66" s="15"/>
    </row>
    <row r="67" spans="1:26">
      <c r="A67" s="15"/>
      <c r="B67" s="28">
        <f t="shared" si="2"/>
        <v>20</v>
      </c>
      <c r="C67" s="36"/>
      <c r="D67" s="36"/>
      <c r="E67" s="36"/>
      <c r="F67" s="36"/>
      <c r="G67" s="36"/>
      <c r="H67" s="36"/>
      <c r="I67" s="36"/>
      <c r="J67" s="36"/>
      <c r="K67" s="43">
        <f t="shared" si="1"/>
        <v>0</v>
      </c>
      <c r="L67" s="13"/>
      <c r="M67" s="13"/>
      <c r="N67" s="98"/>
      <c r="O67" s="13"/>
      <c r="P67" s="15"/>
      <c r="Q67" s="15"/>
      <c r="R67" s="15"/>
      <c r="S67" s="15"/>
      <c r="T67" s="15"/>
      <c r="U67" s="15"/>
      <c r="V67" s="15"/>
      <c r="W67" s="15"/>
      <c r="X67" s="15"/>
      <c r="Y67" s="15"/>
      <c r="Z67" s="15"/>
    </row>
    <row r="68" spans="1:26">
      <c r="A68" s="15"/>
      <c r="B68" s="28">
        <f t="shared" si="2"/>
        <v>21</v>
      </c>
      <c r="C68" s="36"/>
      <c r="D68" s="36"/>
      <c r="E68" s="36"/>
      <c r="F68" s="36"/>
      <c r="G68" s="36"/>
      <c r="H68" s="36"/>
      <c r="I68" s="36"/>
      <c r="J68" s="36"/>
      <c r="K68" s="43">
        <f t="shared" si="1"/>
        <v>0</v>
      </c>
      <c r="L68" s="13"/>
      <c r="M68" s="13"/>
      <c r="N68" s="98"/>
      <c r="O68" s="13"/>
      <c r="P68" s="15"/>
      <c r="Q68" s="15"/>
      <c r="R68" s="15"/>
      <c r="S68" s="15"/>
      <c r="T68" s="15"/>
      <c r="U68" s="15"/>
      <c r="V68" s="15"/>
      <c r="W68" s="15"/>
      <c r="X68" s="15"/>
      <c r="Y68" s="15"/>
      <c r="Z68" s="15"/>
    </row>
    <row r="69" spans="1:26">
      <c r="A69" s="15"/>
      <c r="B69" s="28">
        <f t="shared" si="2"/>
        <v>22</v>
      </c>
      <c r="C69" s="36"/>
      <c r="D69" s="36"/>
      <c r="E69" s="36"/>
      <c r="F69" s="36"/>
      <c r="G69" s="36"/>
      <c r="H69" s="36"/>
      <c r="I69" s="36"/>
      <c r="J69" s="36"/>
      <c r="K69" s="43">
        <f t="shared" si="1"/>
        <v>0</v>
      </c>
      <c r="L69" s="13"/>
      <c r="M69" s="13"/>
      <c r="N69" s="98"/>
      <c r="O69" s="13"/>
      <c r="P69" s="15"/>
      <c r="Q69" s="15"/>
      <c r="R69" s="15"/>
      <c r="S69" s="15"/>
      <c r="T69" s="15"/>
      <c r="U69" s="15"/>
      <c r="V69" s="15"/>
      <c r="W69" s="15"/>
      <c r="X69" s="15"/>
      <c r="Y69" s="15"/>
      <c r="Z69" s="15"/>
    </row>
    <row r="70" spans="1:26">
      <c r="A70" s="15"/>
      <c r="B70" s="28">
        <f t="shared" si="2"/>
        <v>23</v>
      </c>
      <c r="C70" s="36"/>
      <c r="D70" s="36"/>
      <c r="E70" s="36"/>
      <c r="F70" s="36"/>
      <c r="G70" s="36"/>
      <c r="H70" s="36"/>
      <c r="I70" s="36"/>
      <c r="J70" s="36"/>
      <c r="K70" s="43">
        <f t="shared" si="1"/>
        <v>0</v>
      </c>
      <c r="L70" s="13"/>
      <c r="M70" s="13"/>
      <c r="N70" s="98"/>
      <c r="O70" s="13"/>
      <c r="P70" s="15"/>
      <c r="Q70" s="15"/>
      <c r="R70" s="15"/>
      <c r="S70" s="15"/>
      <c r="T70" s="15"/>
      <c r="U70" s="15"/>
      <c r="V70" s="15"/>
      <c r="W70" s="15"/>
      <c r="X70" s="15"/>
      <c r="Y70" s="15"/>
      <c r="Z70" s="15"/>
    </row>
    <row r="71" spans="1:26">
      <c r="A71" s="15"/>
      <c r="B71" s="28">
        <f t="shared" si="2"/>
        <v>24</v>
      </c>
      <c r="C71" s="36"/>
      <c r="D71" s="36"/>
      <c r="E71" s="36"/>
      <c r="F71" s="36"/>
      <c r="G71" s="36"/>
      <c r="H71" s="36"/>
      <c r="I71" s="36"/>
      <c r="J71" s="36"/>
      <c r="K71" s="43">
        <f t="shared" si="1"/>
        <v>0</v>
      </c>
      <c r="L71" s="13"/>
      <c r="M71" s="13"/>
      <c r="N71" s="98"/>
      <c r="O71" s="13"/>
      <c r="P71" s="15"/>
      <c r="Q71" s="15"/>
      <c r="R71" s="15"/>
      <c r="S71" s="15"/>
      <c r="T71" s="15"/>
      <c r="U71" s="15"/>
      <c r="V71" s="15"/>
      <c r="W71" s="15"/>
      <c r="X71" s="15"/>
      <c r="Y71" s="15"/>
      <c r="Z71" s="15"/>
    </row>
    <row r="72" spans="1:26">
      <c r="A72" s="15"/>
      <c r="B72" s="28">
        <f t="shared" si="2"/>
        <v>25</v>
      </c>
      <c r="C72" s="36"/>
      <c r="D72" s="36"/>
      <c r="E72" s="36"/>
      <c r="F72" s="36"/>
      <c r="G72" s="36"/>
      <c r="H72" s="36"/>
      <c r="I72" s="36"/>
      <c r="J72" s="36"/>
      <c r="K72" s="43">
        <f t="shared" si="1"/>
        <v>0</v>
      </c>
      <c r="L72" s="13"/>
      <c r="M72" s="13"/>
      <c r="N72" s="98"/>
      <c r="O72" s="13"/>
      <c r="P72" s="15"/>
      <c r="Q72" s="15"/>
      <c r="R72" s="15"/>
      <c r="S72" s="15"/>
      <c r="T72" s="15"/>
      <c r="U72" s="15"/>
      <c r="V72" s="15"/>
      <c r="W72" s="15"/>
      <c r="X72" s="15"/>
      <c r="Y72" s="15"/>
      <c r="Z72" s="15"/>
    </row>
    <row r="73" spans="1:26">
      <c r="A73" s="15"/>
      <c r="B73" s="28">
        <f t="shared" si="2"/>
        <v>26</v>
      </c>
      <c r="C73" s="36"/>
      <c r="D73" s="36"/>
      <c r="E73" s="36"/>
      <c r="F73" s="36"/>
      <c r="G73" s="36"/>
      <c r="H73" s="36"/>
      <c r="I73" s="36"/>
      <c r="J73" s="36"/>
      <c r="K73" s="43">
        <f t="shared" si="1"/>
        <v>0</v>
      </c>
      <c r="L73" s="13"/>
      <c r="M73" s="13"/>
      <c r="N73" s="98"/>
      <c r="O73" s="13"/>
      <c r="P73" s="15"/>
      <c r="Q73" s="15"/>
      <c r="R73" s="15"/>
      <c r="S73" s="15"/>
      <c r="T73" s="15"/>
      <c r="U73" s="15"/>
      <c r="V73" s="15"/>
      <c r="W73" s="15"/>
      <c r="X73" s="15"/>
      <c r="Y73" s="15"/>
      <c r="Z73" s="15"/>
    </row>
    <row r="74" spans="1:26">
      <c r="A74" s="15"/>
      <c r="B74" s="28">
        <f t="shared" si="2"/>
        <v>27</v>
      </c>
      <c r="C74" s="36"/>
      <c r="D74" s="36"/>
      <c r="E74" s="36"/>
      <c r="F74" s="36"/>
      <c r="G74" s="36"/>
      <c r="H74" s="36"/>
      <c r="I74" s="36"/>
      <c r="J74" s="36"/>
      <c r="K74" s="43">
        <f t="shared" si="1"/>
        <v>0</v>
      </c>
      <c r="L74" s="13"/>
      <c r="M74" s="13"/>
      <c r="N74" s="98"/>
      <c r="O74" s="13"/>
      <c r="P74" s="15"/>
      <c r="Q74" s="15"/>
      <c r="R74" s="15"/>
      <c r="S74" s="15"/>
      <c r="T74" s="15"/>
      <c r="U74" s="15"/>
      <c r="V74" s="15"/>
      <c r="W74" s="15"/>
      <c r="X74" s="15"/>
      <c r="Y74" s="15"/>
      <c r="Z74" s="15"/>
    </row>
    <row r="75" spans="1:26">
      <c r="A75" s="15"/>
      <c r="B75" s="28">
        <f t="shared" si="2"/>
        <v>28</v>
      </c>
      <c r="C75" s="36"/>
      <c r="D75" s="36"/>
      <c r="E75" s="36"/>
      <c r="F75" s="36"/>
      <c r="G75" s="36"/>
      <c r="H75" s="36"/>
      <c r="I75" s="36"/>
      <c r="J75" s="36"/>
      <c r="K75" s="43">
        <f t="shared" si="1"/>
        <v>0</v>
      </c>
      <c r="L75" s="13"/>
      <c r="M75" s="13"/>
      <c r="N75" s="98"/>
      <c r="O75" s="13"/>
      <c r="P75" s="15"/>
      <c r="Q75" s="15"/>
      <c r="R75" s="15"/>
      <c r="S75" s="15"/>
      <c r="T75" s="15"/>
      <c r="U75" s="15"/>
      <c r="V75" s="15"/>
      <c r="W75" s="15"/>
      <c r="X75" s="15"/>
      <c r="Y75" s="15"/>
      <c r="Z75" s="15"/>
    </row>
    <row r="76" spans="1:26">
      <c r="A76" s="15"/>
      <c r="B76" s="28">
        <f t="shared" si="2"/>
        <v>29</v>
      </c>
      <c r="C76" s="36"/>
      <c r="D76" s="36"/>
      <c r="E76" s="36"/>
      <c r="F76" s="36"/>
      <c r="G76" s="36"/>
      <c r="H76" s="36"/>
      <c r="I76" s="36"/>
      <c r="J76" s="36"/>
      <c r="K76" s="43">
        <f t="shared" si="1"/>
        <v>0</v>
      </c>
      <c r="L76" s="13"/>
      <c r="M76" s="13"/>
      <c r="N76" s="98"/>
      <c r="O76" s="13"/>
      <c r="P76" s="15"/>
      <c r="Q76" s="15"/>
      <c r="R76" s="15"/>
      <c r="S76" s="15"/>
      <c r="T76" s="15"/>
      <c r="U76" s="15"/>
      <c r="V76" s="15"/>
      <c r="W76" s="15"/>
      <c r="X76" s="15"/>
      <c r="Y76" s="15"/>
      <c r="Z76" s="15"/>
    </row>
    <row r="77" spans="1:26">
      <c r="A77" s="15"/>
      <c r="B77" s="28">
        <f t="shared" si="2"/>
        <v>30</v>
      </c>
      <c r="C77" s="36"/>
      <c r="D77" s="36"/>
      <c r="E77" s="36"/>
      <c r="F77" s="36"/>
      <c r="G77" s="36"/>
      <c r="H77" s="36"/>
      <c r="I77" s="36"/>
      <c r="J77" s="36"/>
      <c r="K77" s="43">
        <f t="shared" si="1"/>
        <v>0</v>
      </c>
      <c r="L77" s="13"/>
      <c r="M77" s="13"/>
      <c r="N77" s="98"/>
      <c r="O77" s="13"/>
      <c r="P77" s="15"/>
      <c r="Q77" s="15"/>
      <c r="R77" s="15"/>
      <c r="S77" s="15"/>
      <c r="T77" s="15"/>
      <c r="U77" s="15"/>
      <c r="V77" s="15"/>
      <c r="W77" s="15"/>
      <c r="X77" s="15"/>
      <c r="Y77" s="15"/>
      <c r="Z77" s="15"/>
    </row>
    <row r="78" spans="1:26">
      <c r="A78" s="15"/>
      <c r="B78" s="28">
        <f t="shared" si="2"/>
        <v>31</v>
      </c>
      <c r="C78" s="36"/>
      <c r="D78" s="36"/>
      <c r="E78" s="36"/>
      <c r="F78" s="36"/>
      <c r="G78" s="36"/>
      <c r="H78" s="36"/>
      <c r="I78" s="36"/>
      <c r="J78" s="36"/>
      <c r="K78" s="43">
        <f t="shared" si="1"/>
        <v>0</v>
      </c>
      <c r="L78" s="13"/>
      <c r="M78" s="13"/>
      <c r="N78" s="98"/>
      <c r="O78" s="13"/>
      <c r="P78" s="15"/>
      <c r="Q78" s="15"/>
      <c r="R78" s="15"/>
      <c r="S78" s="15"/>
      <c r="T78" s="15"/>
      <c r="U78" s="15"/>
      <c r="V78" s="15"/>
      <c r="W78" s="15"/>
      <c r="X78" s="15"/>
      <c r="Y78" s="15"/>
      <c r="Z78" s="15"/>
    </row>
    <row r="79" spans="1:26">
      <c r="A79" s="15"/>
      <c r="B79" s="28">
        <f t="shared" si="2"/>
        <v>32</v>
      </c>
      <c r="C79" s="36"/>
      <c r="D79" s="36"/>
      <c r="E79" s="36"/>
      <c r="F79" s="36"/>
      <c r="G79" s="36"/>
      <c r="H79" s="36"/>
      <c r="I79" s="36"/>
      <c r="J79" s="36"/>
      <c r="K79" s="43">
        <f t="shared" si="1"/>
        <v>0</v>
      </c>
      <c r="L79" s="13"/>
      <c r="M79" s="13"/>
      <c r="N79" s="98"/>
      <c r="O79" s="13"/>
      <c r="P79" s="15"/>
      <c r="Q79" s="15"/>
      <c r="R79" s="15"/>
      <c r="S79" s="15"/>
      <c r="T79" s="15"/>
      <c r="U79" s="15"/>
      <c r="V79" s="15"/>
      <c r="W79" s="15"/>
      <c r="X79" s="15"/>
      <c r="Y79" s="15"/>
      <c r="Z79" s="15"/>
    </row>
    <row r="80" spans="1:26">
      <c r="A80" s="15"/>
      <c r="B80" s="28">
        <f t="shared" si="2"/>
        <v>33</v>
      </c>
      <c r="C80" s="36"/>
      <c r="D80" s="36"/>
      <c r="E80" s="36"/>
      <c r="F80" s="36"/>
      <c r="G80" s="36"/>
      <c r="H80" s="36"/>
      <c r="I80" s="36"/>
      <c r="J80" s="36"/>
      <c r="K80" s="43">
        <f t="shared" si="1"/>
        <v>0</v>
      </c>
      <c r="L80" s="13"/>
      <c r="M80" s="13"/>
      <c r="N80" s="98"/>
      <c r="O80" s="13"/>
      <c r="P80" s="15"/>
      <c r="Q80" s="15"/>
      <c r="R80" s="15"/>
      <c r="S80" s="15"/>
      <c r="T80" s="15"/>
      <c r="U80" s="15"/>
      <c r="V80" s="15"/>
      <c r="W80" s="15"/>
      <c r="X80" s="15"/>
      <c r="Y80" s="15"/>
      <c r="Z80" s="15"/>
    </row>
    <row r="81" spans="1:26">
      <c r="A81" s="15"/>
      <c r="B81" s="28">
        <f t="shared" si="2"/>
        <v>34</v>
      </c>
      <c r="C81" s="36"/>
      <c r="D81" s="36"/>
      <c r="E81" s="36"/>
      <c r="F81" s="36"/>
      <c r="G81" s="36"/>
      <c r="H81" s="36"/>
      <c r="I81" s="36"/>
      <c r="J81" s="36"/>
      <c r="K81" s="43">
        <f t="shared" si="1"/>
        <v>0</v>
      </c>
      <c r="L81" s="13"/>
      <c r="M81" s="13"/>
      <c r="N81" s="98"/>
      <c r="O81" s="13"/>
      <c r="P81" s="15"/>
      <c r="Q81" s="15"/>
      <c r="R81" s="15"/>
      <c r="S81" s="15"/>
      <c r="T81" s="15"/>
      <c r="U81" s="15"/>
      <c r="V81" s="15"/>
      <c r="W81" s="15"/>
      <c r="X81" s="15"/>
      <c r="Y81" s="15"/>
      <c r="Z81" s="15"/>
    </row>
    <row r="82" spans="1:26">
      <c r="A82" s="15"/>
      <c r="B82" s="28">
        <f t="shared" si="2"/>
        <v>35</v>
      </c>
      <c r="C82" s="36"/>
      <c r="D82" s="36"/>
      <c r="E82" s="36"/>
      <c r="F82" s="36"/>
      <c r="G82" s="36"/>
      <c r="H82" s="36"/>
      <c r="I82" s="36"/>
      <c r="J82" s="36"/>
      <c r="K82" s="43">
        <f t="shared" si="1"/>
        <v>0</v>
      </c>
      <c r="L82" s="13"/>
      <c r="M82" s="13"/>
      <c r="N82" s="98"/>
      <c r="O82" s="13"/>
      <c r="P82" s="15"/>
      <c r="Q82" s="15"/>
      <c r="R82" s="15"/>
      <c r="S82" s="15"/>
      <c r="T82" s="15"/>
      <c r="U82" s="15"/>
      <c r="V82" s="15"/>
      <c r="W82" s="15"/>
      <c r="X82" s="15"/>
      <c r="Y82" s="15"/>
      <c r="Z82" s="15"/>
    </row>
    <row r="83" spans="1:26">
      <c r="A83" s="15"/>
      <c r="B83" s="28">
        <f t="shared" si="2"/>
        <v>36</v>
      </c>
      <c r="C83" s="36"/>
      <c r="D83" s="36"/>
      <c r="E83" s="36"/>
      <c r="F83" s="36"/>
      <c r="G83" s="36"/>
      <c r="H83" s="36"/>
      <c r="I83" s="36"/>
      <c r="J83" s="36"/>
      <c r="K83" s="43">
        <f t="shared" si="1"/>
        <v>0</v>
      </c>
      <c r="L83" s="13"/>
      <c r="M83" s="13"/>
      <c r="N83" s="98"/>
      <c r="O83" s="13"/>
      <c r="P83" s="15"/>
      <c r="Q83" s="15"/>
      <c r="R83" s="15"/>
      <c r="S83" s="15"/>
      <c r="T83" s="15"/>
      <c r="U83" s="15"/>
      <c r="V83" s="15"/>
      <c r="W83" s="15"/>
      <c r="X83" s="15"/>
      <c r="Y83" s="15"/>
      <c r="Z83" s="15"/>
    </row>
    <row r="84" spans="1:26">
      <c r="A84" s="15"/>
      <c r="B84" s="28">
        <f t="shared" si="2"/>
        <v>37</v>
      </c>
      <c r="C84" s="36"/>
      <c r="D84" s="36"/>
      <c r="E84" s="36"/>
      <c r="F84" s="36"/>
      <c r="G84" s="36"/>
      <c r="H84" s="36"/>
      <c r="I84" s="36"/>
      <c r="J84" s="36"/>
      <c r="K84" s="43">
        <f t="shared" si="1"/>
        <v>0</v>
      </c>
      <c r="L84" s="13"/>
      <c r="M84" s="13"/>
      <c r="N84" s="98"/>
      <c r="O84" s="13"/>
      <c r="P84" s="15"/>
      <c r="Q84" s="15"/>
      <c r="R84" s="15"/>
      <c r="S84" s="15"/>
      <c r="T84" s="15"/>
      <c r="U84" s="15"/>
      <c r="V84" s="15"/>
      <c r="W84" s="15"/>
      <c r="X84" s="15"/>
      <c r="Y84" s="15"/>
      <c r="Z84" s="15"/>
    </row>
    <row r="85" spans="1:26">
      <c r="A85" s="15"/>
      <c r="B85" s="28">
        <f t="shared" si="2"/>
        <v>38</v>
      </c>
      <c r="C85" s="36"/>
      <c r="D85" s="36"/>
      <c r="E85" s="36"/>
      <c r="F85" s="36"/>
      <c r="G85" s="36"/>
      <c r="H85" s="36"/>
      <c r="I85" s="36"/>
      <c r="J85" s="36"/>
      <c r="K85" s="43">
        <f t="shared" si="1"/>
        <v>0</v>
      </c>
      <c r="L85" s="13"/>
      <c r="M85" s="13"/>
      <c r="N85" s="98"/>
      <c r="O85" s="13"/>
      <c r="P85" s="15"/>
      <c r="Q85" s="15"/>
      <c r="R85" s="15"/>
      <c r="S85" s="15"/>
      <c r="T85" s="15"/>
      <c r="U85" s="15"/>
      <c r="V85" s="15"/>
      <c r="W85" s="15"/>
      <c r="X85" s="15"/>
      <c r="Y85" s="15"/>
      <c r="Z85" s="15"/>
    </row>
    <row r="86" spans="1:26">
      <c r="A86" s="15"/>
      <c r="B86" s="28">
        <f t="shared" si="2"/>
        <v>39</v>
      </c>
      <c r="C86" s="36"/>
      <c r="D86" s="36"/>
      <c r="E86" s="36"/>
      <c r="F86" s="36"/>
      <c r="G86" s="36"/>
      <c r="H86" s="36"/>
      <c r="I86" s="36"/>
      <c r="J86" s="36"/>
      <c r="K86" s="43">
        <f t="shared" si="1"/>
        <v>0</v>
      </c>
      <c r="L86" s="13"/>
      <c r="M86" s="13"/>
      <c r="N86" s="98"/>
      <c r="O86" s="13"/>
      <c r="P86" s="15"/>
      <c r="Q86" s="15"/>
      <c r="R86" s="15"/>
      <c r="S86" s="15"/>
      <c r="T86" s="15"/>
      <c r="U86" s="15"/>
      <c r="V86" s="15"/>
      <c r="W86" s="15"/>
      <c r="X86" s="15"/>
      <c r="Y86" s="15"/>
      <c r="Z86" s="15"/>
    </row>
    <row r="87" spans="1:26">
      <c r="A87" s="15"/>
      <c r="B87" s="28">
        <f t="shared" si="2"/>
        <v>40</v>
      </c>
      <c r="C87" s="36"/>
      <c r="D87" s="36"/>
      <c r="E87" s="36"/>
      <c r="F87" s="36"/>
      <c r="G87" s="36"/>
      <c r="H87" s="36"/>
      <c r="I87" s="36"/>
      <c r="J87" s="36"/>
      <c r="K87" s="43">
        <f t="shared" si="1"/>
        <v>0</v>
      </c>
      <c r="L87" s="13"/>
      <c r="M87" s="13"/>
      <c r="N87" s="98"/>
      <c r="O87" s="13"/>
      <c r="P87" s="15"/>
      <c r="Q87" s="15"/>
      <c r="R87" s="15"/>
      <c r="S87" s="15"/>
      <c r="T87" s="15"/>
      <c r="U87" s="15"/>
      <c r="V87" s="15"/>
      <c r="W87" s="15"/>
      <c r="X87" s="15"/>
      <c r="Y87" s="15"/>
      <c r="Z87" s="15"/>
    </row>
    <row r="88" spans="1:26">
      <c r="A88" s="15"/>
      <c r="B88" s="26"/>
      <c r="C88" s="26"/>
      <c r="D88" s="26"/>
      <c r="E88" s="26"/>
      <c r="F88" s="15"/>
      <c r="G88" s="15"/>
      <c r="H88" s="15"/>
      <c r="I88" s="15"/>
      <c r="J88" s="15"/>
      <c r="K88" s="15"/>
      <c r="L88" s="15"/>
      <c r="M88" s="15"/>
      <c r="N88" s="15"/>
      <c r="O88" s="15"/>
      <c r="P88" s="15"/>
      <c r="Q88" s="15"/>
      <c r="R88" s="15"/>
      <c r="S88" s="15"/>
      <c r="T88" s="15"/>
      <c r="U88" s="15"/>
      <c r="V88" s="15"/>
      <c r="W88" s="15"/>
      <c r="X88" s="15"/>
      <c r="Y88" s="15"/>
      <c r="Z88" s="15"/>
    </row>
    <row r="89" spans="1:26">
      <c r="A89" s="15"/>
      <c r="B89" s="26"/>
      <c r="C89" s="26"/>
      <c r="D89" s="26"/>
      <c r="E89" s="26"/>
      <c r="F89" s="15"/>
      <c r="G89" s="15"/>
      <c r="H89" s="15"/>
      <c r="I89" s="15"/>
      <c r="J89" s="15"/>
      <c r="K89" s="15"/>
      <c r="L89" s="15"/>
      <c r="M89" s="15"/>
      <c r="N89" s="15"/>
      <c r="O89" s="15"/>
      <c r="P89" s="15"/>
      <c r="Q89" s="15"/>
      <c r="R89" s="15"/>
      <c r="S89" s="15"/>
      <c r="T89" s="15"/>
      <c r="U89" s="15"/>
      <c r="V89" s="15"/>
      <c r="W89" s="15"/>
      <c r="X89" s="15"/>
      <c r="Y89" s="15"/>
      <c r="Z89" s="15"/>
    </row>
    <row r="90" spans="1:26">
      <c r="A90" s="15"/>
      <c r="B90" s="28" t="s">
        <v>176</v>
      </c>
      <c r="C90" s="13" t="s">
        <v>141</v>
      </c>
      <c r="D90" s="26"/>
      <c r="E90" s="26"/>
      <c r="F90" s="15"/>
      <c r="G90" s="15"/>
      <c r="H90" s="15"/>
      <c r="I90" s="15"/>
      <c r="J90" s="15"/>
      <c r="K90" s="15"/>
      <c r="L90" s="15"/>
      <c r="M90" s="15"/>
      <c r="N90" s="15"/>
      <c r="O90" s="15"/>
      <c r="P90" s="15"/>
      <c r="Q90" s="15"/>
      <c r="R90" s="15"/>
      <c r="S90" s="15"/>
      <c r="T90" s="15"/>
      <c r="U90" s="15"/>
      <c r="V90" s="15"/>
      <c r="W90" s="15"/>
      <c r="X90" s="15"/>
      <c r="Y90" s="15"/>
      <c r="Z90" s="15"/>
    </row>
    <row r="91" spans="1:26">
      <c r="A91" s="15"/>
      <c r="B91" s="26"/>
      <c r="C91" s="44"/>
      <c r="D91" s="26"/>
      <c r="E91" s="26"/>
      <c r="F91" s="15"/>
      <c r="G91" s="15"/>
      <c r="H91" s="15"/>
      <c r="I91" s="15"/>
      <c r="J91" s="15"/>
      <c r="K91" s="15"/>
      <c r="L91" s="15"/>
      <c r="M91" s="15"/>
      <c r="N91" s="15"/>
      <c r="O91" s="15"/>
      <c r="P91" s="15"/>
      <c r="Q91" s="15"/>
      <c r="R91" s="15"/>
      <c r="S91" s="15"/>
      <c r="T91" s="15"/>
      <c r="U91" s="15"/>
      <c r="V91" s="15"/>
      <c r="W91" s="15"/>
      <c r="X91" s="15"/>
      <c r="Y91" s="15"/>
      <c r="Z91" s="15"/>
    </row>
    <row r="92" spans="1:26">
      <c r="A92" s="15"/>
      <c r="B92" s="28" t="s">
        <v>177</v>
      </c>
      <c r="C92" s="36"/>
      <c r="D92" s="26"/>
      <c r="E92" s="26"/>
      <c r="F92" s="15"/>
      <c r="G92" s="15"/>
      <c r="H92" s="15"/>
      <c r="I92" s="15"/>
      <c r="J92" s="15"/>
      <c r="K92" s="15"/>
      <c r="L92" s="15"/>
      <c r="M92" s="15"/>
      <c r="N92" s="15"/>
      <c r="O92" s="15"/>
      <c r="P92" s="15"/>
      <c r="Q92" s="15"/>
      <c r="R92" s="15"/>
      <c r="S92" s="15"/>
      <c r="T92" s="15"/>
      <c r="U92" s="15"/>
      <c r="V92" s="15"/>
      <c r="W92" s="15"/>
      <c r="X92" s="15"/>
      <c r="Y92" s="15"/>
      <c r="Z92" s="15"/>
    </row>
    <row r="93" spans="1:26">
      <c r="A93" s="15"/>
      <c r="B93" s="15"/>
      <c r="C93" s="15"/>
      <c r="D93" s="26"/>
      <c r="E93" s="26"/>
      <c r="F93" s="15"/>
      <c r="G93" s="15"/>
      <c r="H93" s="15"/>
      <c r="I93" s="15"/>
      <c r="J93" s="15"/>
      <c r="K93" s="15"/>
      <c r="L93" s="15"/>
      <c r="M93" s="15"/>
      <c r="N93" s="15"/>
      <c r="O93" s="15"/>
      <c r="P93" s="15"/>
      <c r="Q93" s="15"/>
      <c r="R93" s="15"/>
      <c r="S93" s="15"/>
      <c r="T93" s="15"/>
      <c r="U93" s="15"/>
      <c r="V93" s="15"/>
      <c r="W93" s="15"/>
      <c r="X93" s="15"/>
      <c r="Y93" s="15"/>
      <c r="Z93" s="15"/>
    </row>
    <row r="94" spans="1:26">
      <c r="A94" s="15"/>
      <c r="B94" s="15"/>
      <c r="C94" s="15"/>
      <c r="D94" s="26"/>
      <c r="E94" s="26"/>
      <c r="F94" s="15"/>
      <c r="G94" s="15"/>
      <c r="H94" s="15"/>
      <c r="I94" s="15"/>
      <c r="J94" s="15"/>
      <c r="K94" s="15"/>
      <c r="L94" s="15"/>
      <c r="M94" s="15"/>
      <c r="N94" s="15"/>
      <c r="O94" s="15"/>
      <c r="P94" s="15"/>
      <c r="Q94" s="15"/>
      <c r="R94" s="15"/>
      <c r="S94" s="15"/>
      <c r="T94" s="15"/>
      <c r="U94" s="15"/>
      <c r="V94" s="15"/>
      <c r="W94" s="15"/>
      <c r="X94" s="15"/>
      <c r="Y94" s="15"/>
      <c r="Z94" s="15"/>
    </row>
    <row r="95" spans="1:26">
      <c r="A95" s="15"/>
      <c r="B95" s="28" t="s">
        <v>178</v>
      </c>
      <c r="C95" s="13" t="s">
        <v>141</v>
      </c>
      <c r="D95" s="26"/>
      <c r="E95" s="26"/>
      <c r="F95" s="15"/>
      <c r="G95" s="15"/>
      <c r="H95" s="15"/>
      <c r="I95" s="15"/>
      <c r="J95" s="15"/>
      <c r="K95" s="15"/>
      <c r="L95" s="15"/>
      <c r="M95" s="15"/>
      <c r="N95" s="15"/>
      <c r="O95" s="15"/>
      <c r="P95" s="15"/>
      <c r="Q95" s="15"/>
      <c r="R95" s="15"/>
      <c r="S95" s="15"/>
      <c r="T95" s="15"/>
      <c r="U95" s="15"/>
      <c r="V95" s="15"/>
      <c r="W95" s="15"/>
      <c r="X95" s="15"/>
      <c r="Y95" s="15"/>
      <c r="Z95" s="15"/>
    </row>
    <row r="96" spans="1:26">
      <c r="A96" s="15"/>
      <c r="B96" s="26"/>
      <c r="C96" s="26"/>
      <c r="D96" s="26"/>
      <c r="E96" s="26"/>
      <c r="F96" s="15"/>
      <c r="G96" s="15"/>
      <c r="H96" s="15"/>
      <c r="I96" s="15"/>
      <c r="J96" s="15"/>
      <c r="K96" s="15"/>
      <c r="L96" s="15"/>
      <c r="M96" s="15"/>
      <c r="N96" s="15"/>
      <c r="O96" s="15"/>
      <c r="P96" s="15"/>
      <c r="Q96" s="15"/>
      <c r="R96" s="15"/>
      <c r="S96" s="15"/>
      <c r="T96" s="15"/>
      <c r="U96" s="15"/>
      <c r="V96" s="15"/>
      <c r="W96" s="15"/>
      <c r="X96" s="15"/>
      <c r="Y96" s="15"/>
      <c r="Z96" s="15"/>
    </row>
    <row r="97" spans="1:26">
      <c r="A97" s="15"/>
      <c r="B97" s="45" t="s">
        <v>78</v>
      </c>
      <c r="C97" s="36"/>
      <c r="D97" s="26"/>
      <c r="E97" s="26"/>
      <c r="F97" s="15"/>
      <c r="G97" s="15"/>
      <c r="H97" s="15"/>
      <c r="I97" s="15"/>
      <c r="J97" s="15"/>
      <c r="K97" s="15"/>
      <c r="L97" s="15"/>
      <c r="M97" s="15"/>
      <c r="N97" s="15"/>
      <c r="O97" s="15"/>
      <c r="P97" s="15"/>
      <c r="Q97" s="15"/>
      <c r="R97" s="15"/>
      <c r="S97" s="15"/>
      <c r="T97" s="15"/>
      <c r="U97" s="15"/>
      <c r="V97" s="15"/>
      <c r="W97" s="15"/>
      <c r="X97" s="15"/>
      <c r="Y97" s="15"/>
      <c r="Z97" s="15"/>
    </row>
    <row r="98" spans="1:26">
      <c r="A98" s="15"/>
      <c r="B98" s="45" t="s">
        <v>86</v>
      </c>
      <c r="C98" s="36"/>
      <c r="D98" s="26"/>
      <c r="E98" s="26"/>
      <c r="F98" s="15"/>
      <c r="G98" s="15"/>
      <c r="H98" s="15"/>
      <c r="I98" s="15"/>
      <c r="J98" s="15"/>
      <c r="K98" s="15"/>
      <c r="L98" s="15"/>
      <c r="M98" s="15"/>
      <c r="N98" s="15"/>
      <c r="O98" s="15"/>
      <c r="P98" s="15"/>
      <c r="Q98" s="15"/>
      <c r="R98" s="15"/>
      <c r="S98" s="15"/>
      <c r="T98" s="15"/>
      <c r="U98" s="15"/>
      <c r="V98" s="15"/>
      <c r="W98" s="15"/>
      <c r="X98" s="15"/>
      <c r="Y98" s="15"/>
      <c r="Z98" s="15"/>
    </row>
    <row r="99" spans="1:26">
      <c r="A99" s="15"/>
      <c r="B99" s="45" t="s">
        <v>87</v>
      </c>
      <c r="C99" s="36"/>
      <c r="D99" s="26"/>
      <c r="E99" s="26"/>
      <c r="F99" s="15"/>
      <c r="G99" s="15"/>
      <c r="H99" s="15"/>
      <c r="I99" s="15"/>
      <c r="J99" s="15"/>
      <c r="K99" s="15"/>
      <c r="L99" s="15"/>
      <c r="M99" s="15"/>
      <c r="N99" s="15"/>
      <c r="O99" s="15"/>
      <c r="P99" s="15"/>
      <c r="Q99" s="15"/>
      <c r="R99" s="15"/>
      <c r="S99" s="15"/>
      <c r="T99" s="15"/>
      <c r="U99" s="15"/>
      <c r="V99" s="15"/>
      <c r="W99" s="15"/>
      <c r="X99" s="15"/>
      <c r="Y99" s="15"/>
      <c r="Z99" s="15"/>
    </row>
    <row r="100" spans="1:26">
      <c r="A100" s="15"/>
      <c r="B100" s="45" t="s">
        <v>88</v>
      </c>
      <c r="C100" s="36"/>
      <c r="D100" s="26"/>
      <c r="E100" s="26"/>
      <c r="F100" s="15"/>
      <c r="G100" s="15"/>
      <c r="H100" s="15"/>
      <c r="I100" s="15"/>
      <c r="J100" s="15"/>
      <c r="K100" s="15"/>
      <c r="L100" s="15"/>
      <c r="M100" s="15"/>
      <c r="N100" s="15"/>
      <c r="O100" s="15"/>
      <c r="P100" s="15"/>
      <c r="Q100" s="15"/>
      <c r="R100" s="15"/>
      <c r="S100" s="15"/>
      <c r="T100" s="15"/>
      <c r="U100" s="15"/>
      <c r="V100" s="15"/>
      <c r="W100" s="15"/>
      <c r="X100" s="15"/>
      <c r="Y100" s="15"/>
      <c r="Z100" s="15"/>
    </row>
    <row r="101" spans="1:26">
      <c r="A101" s="15"/>
      <c r="B101" s="28" t="s">
        <v>179</v>
      </c>
      <c r="C101" s="36"/>
      <c r="D101" s="26"/>
      <c r="E101" s="26"/>
      <c r="F101" s="15"/>
      <c r="G101" s="15"/>
      <c r="H101" s="15"/>
      <c r="I101" s="15"/>
      <c r="J101" s="15"/>
      <c r="K101" s="15"/>
      <c r="L101" s="15"/>
      <c r="M101" s="15"/>
      <c r="N101" s="15"/>
      <c r="O101" s="15"/>
      <c r="P101" s="15"/>
      <c r="Q101" s="15"/>
      <c r="R101" s="15"/>
      <c r="S101" s="15"/>
      <c r="T101" s="15"/>
      <c r="U101" s="15"/>
      <c r="V101" s="15"/>
      <c r="W101" s="15"/>
      <c r="X101" s="15"/>
      <c r="Y101" s="15"/>
      <c r="Z101" s="15"/>
    </row>
    <row r="102" spans="1:26">
      <c r="A102" s="15"/>
      <c r="B102" s="28" t="s">
        <v>180</v>
      </c>
      <c r="C102" s="36"/>
      <c r="D102" s="26"/>
      <c r="E102" s="26"/>
      <c r="F102" s="15"/>
      <c r="G102" s="15"/>
      <c r="H102" s="15"/>
      <c r="I102" s="15"/>
      <c r="J102" s="15"/>
      <c r="K102" s="15"/>
      <c r="L102" s="15"/>
      <c r="M102" s="15"/>
      <c r="N102" s="15"/>
      <c r="O102" s="15"/>
      <c r="P102" s="15"/>
      <c r="Q102" s="15"/>
      <c r="R102" s="15"/>
      <c r="S102" s="15"/>
      <c r="T102" s="15"/>
      <c r="U102" s="15"/>
      <c r="V102" s="15"/>
      <c r="W102" s="15"/>
      <c r="X102" s="15"/>
      <c r="Y102" s="15"/>
      <c r="Z102" s="15"/>
    </row>
    <row r="103" spans="1:26">
      <c r="A103" s="15"/>
      <c r="B103" s="28" t="s">
        <v>181</v>
      </c>
      <c r="C103" s="36"/>
      <c r="D103" s="26"/>
      <c r="E103" s="26"/>
      <c r="F103" s="15"/>
      <c r="G103" s="15"/>
      <c r="H103" s="15"/>
      <c r="I103" s="15"/>
      <c r="J103" s="15"/>
      <c r="K103" s="15"/>
      <c r="L103" s="15"/>
      <c r="M103" s="15"/>
      <c r="N103" s="15"/>
      <c r="O103" s="15"/>
      <c r="P103" s="15"/>
      <c r="Q103" s="15"/>
      <c r="R103" s="15"/>
      <c r="S103" s="15"/>
      <c r="T103" s="15"/>
      <c r="U103" s="15"/>
      <c r="V103" s="15"/>
      <c r="W103" s="15"/>
      <c r="X103" s="15"/>
      <c r="Y103" s="15"/>
      <c r="Z103" s="15"/>
    </row>
    <row r="104" spans="1:26">
      <c r="A104" s="15"/>
      <c r="B104" s="26"/>
      <c r="C104" s="26"/>
      <c r="D104" s="26"/>
      <c r="E104" s="26"/>
      <c r="F104" s="15"/>
      <c r="G104" s="15"/>
      <c r="H104" s="15"/>
      <c r="I104" s="15"/>
      <c r="J104" s="15"/>
      <c r="K104" s="15"/>
      <c r="L104" s="15"/>
      <c r="M104" s="15"/>
      <c r="N104" s="15"/>
      <c r="O104" s="15"/>
      <c r="P104" s="15"/>
      <c r="Q104" s="15"/>
      <c r="R104" s="15"/>
      <c r="S104" s="15"/>
      <c r="T104" s="15"/>
      <c r="U104" s="15"/>
      <c r="V104" s="15"/>
      <c r="W104" s="15"/>
      <c r="X104" s="15"/>
      <c r="Y104" s="15"/>
      <c r="Z104" s="15"/>
    </row>
    <row r="105" spans="1:26">
      <c r="A105" s="15"/>
      <c r="B105" s="26"/>
      <c r="C105" s="26"/>
      <c r="D105" s="26"/>
      <c r="E105" s="26"/>
      <c r="F105" s="15"/>
      <c r="G105" s="15"/>
      <c r="H105" s="15"/>
      <c r="I105" s="15"/>
      <c r="J105" s="15"/>
      <c r="K105" s="15"/>
      <c r="L105" s="15"/>
      <c r="M105" s="15"/>
      <c r="N105" s="15"/>
      <c r="O105" s="15"/>
      <c r="P105" s="15"/>
      <c r="Q105" s="15"/>
      <c r="R105" s="15"/>
      <c r="S105" s="15"/>
      <c r="T105" s="15"/>
      <c r="U105" s="15"/>
      <c r="V105" s="15"/>
      <c r="W105" s="15"/>
      <c r="X105" s="15"/>
      <c r="Y105" s="15"/>
      <c r="Z105" s="15"/>
    </row>
    <row r="106" spans="1:26">
      <c r="A106" s="15"/>
      <c r="B106" s="26"/>
      <c r="C106" s="26"/>
      <c r="D106" s="26"/>
      <c r="E106" s="26"/>
      <c r="F106" s="15"/>
      <c r="G106" s="15"/>
      <c r="H106" s="15"/>
      <c r="I106" s="15"/>
      <c r="J106" s="15"/>
      <c r="K106" s="15"/>
      <c r="L106" s="15"/>
      <c r="M106" s="15"/>
      <c r="N106" s="15"/>
      <c r="O106" s="15"/>
      <c r="P106" s="15"/>
      <c r="Q106" s="15"/>
      <c r="R106" s="15"/>
      <c r="S106" s="15"/>
      <c r="T106" s="15"/>
      <c r="U106" s="15"/>
      <c r="V106" s="15"/>
      <c r="W106" s="15"/>
      <c r="X106" s="15"/>
      <c r="Y106" s="15"/>
      <c r="Z106" s="15"/>
    </row>
    <row r="107" spans="1:26">
      <c r="A107" s="15"/>
      <c r="B107" s="26"/>
      <c r="C107" s="26"/>
      <c r="D107" s="26"/>
      <c r="E107" s="26"/>
      <c r="F107" s="15"/>
      <c r="G107" s="15"/>
      <c r="H107" s="15"/>
      <c r="I107" s="15"/>
      <c r="J107" s="15"/>
      <c r="K107" s="15"/>
      <c r="L107" s="15"/>
      <c r="M107" s="15"/>
      <c r="N107" s="15"/>
      <c r="O107" s="15"/>
      <c r="P107" s="15"/>
      <c r="Q107" s="15"/>
      <c r="R107" s="15"/>
      <c r="S107" s="15"/>
      <c r="T107" s="15"/>
      <c r="U107" s="15"/>
      <c r="V107" s="15"/>
      <c r="W107" s="15"/>
      <c r="X107" s="15"/>
      <c r="Y107" s="15"/>
      <c r="Z107" s="15"/>
    </row>
    <row r="108" spans="1:26">
      <c r="A108" s="15"/>
      <c r="B108" s="26"/>
      <c r="C108" s="26"/>
      <c r="D108" s="26"/>
      <c r="E108" s="26"/>
      <c r="F108" s="15"/>
      <c r="G108" s="15"/>
      <c r="H108" s="15"/>
      <c r="I108" s="15"/>
      <c r="J108" s="15"/>
      <c r="K108" s="15"/>
      <c r="L108" s="15"/>
      <c r="M108" s="15"/>
      <c r="N108" s="15"/>
      <c r="O108" s="15"/>
      <c r="P108" s="15"/>
      <c r="Q108" s="15"/>
      <c r="R108" s="15"/>
      <c r="S108" s="15"/>
      <c r="T108" s="15"/>
      <c r="U108" s="15"/>
      <c r="V108" s="15"/>
      <c r="W108" s="15"/>
      <c r="X108" s="15"/>
      <c r="Y108" s="15"/>
      <c r="Z108" s="15"/>
    </row>
    <row r="109" spans="1:26">
      <c r="A109" s="15"/>
      <c r="B109" s="26"/>
      <c r="C109" s="26"/>
      <c r="D109" s="26"/>
      <c r="E109" s="26"/>
      <c r="F109" s="15"/>
      <c r="G109" s="15"/>
      <c r="H109" s="15"/>
      <c r="I109" s="15"/>
      <c r="J109" s="15"/>
      <c r="K109" s="15"/>
      <c r="L109" s="15"/>
      <c r="M109" s="15"/>
      <c r="N109" s="15"/>
      <c r="O109" s="15"/>
      <c r="P109" s="15"/>
      <c r="Q109" s="15"/>
      <c r="R109" s="15"/>
      <c r="S109" s="15"/>
      <c r="T109" s="15"/>
      <c r="U109" s="15"/>
      <c r="V109" s="15"/>
      <c r="W109" s="15"/>
      <c r="X109" s="15"/>
      <c r="Y109" s="15"/>
      <c r="Z109" s="15"/>
    </row>
    <row r="110" spans="1:26">
      <c r="A110" s="15"/>
      <c r="B110" s="26"/>
      <c r="C110" s="26"/>
      <c r="D110" s="26"/>
      <c r="E110" s="26"/>
      <c r="F110" s="15"/>
      <c r="G110" s="15"/>
      <c r="H110" s="15"/>
      <c r="I110" s="15"/>
      <c r="J110" s="15"/>
      <c r="K110" s="15"/>
      <c r="L110" s="15"/>
      <c r="M110" s="15"/>
      <c r="N110" s="15"/>
      <c r="O110" s="15"/>
      <c r="P110" s="15"/>
      <c r="Q110" s="15"/>
      <c r="R110" s="15"/>
      <c r="S110" s="15"/>
      <c r="T110" s="15"/>
      <c r="U110" s="15"/>
      <c r="V110" s="15"/>
      <c r="W110" s="15"/>
      <c r="X110" s="15"/>
      <c r="Y110" s="15"/>
      <c r="Z110" s="15"/>
    </row>
    <row r="111" spans="1:26">
      <c r="A111" s="15"/>
      <c r="B111" s="26"/>
      <c r="C111" s="26"/>
      <c r="D111" s="26"/>
      <c r="E111" s="26"/>
      <c r="F111" s="15"/>
      <c r="G111" s="15"/>
      <c r="H111" s="15"/>
      <c r="I111" s="15"/>
      <c r="J111" s="15"/>
      <c r="K111" s="15"/>
      <c r="L111" s="15"/>
      <c r="M111" s="15"/>
      <c r="N111" s="15"/>
      <c r="O111" s="15"/>
      <c r="P111" s="15"/>
      <c r="Q111" s="15"/>
      <c r="R111" s="15"/>
      <c r="S111" s="15"/>
      <c r="T111" s="15"/>
      <c r="U111" s="15"/>
      <c r="V111" s="15"/>
      <c r="W111" s="15"/>
      <c r="X111" s="15"/>
      <c r="Y111" s="15"/>
      <c r="Z111" s="15"/>
    </row>
    <row r="112" spans="1:26">
      <c r="A112" s="15"/>
      <c r="B112" s="26"/>
      <c r="C112" s="26"/>
      <c r="D112" s="26"/>
      <c r="E112" s="26"/>
      <c r="F112" s="15"/>
      <c r="G112" s="15"/>
      <c r="H112" s="15"/>
      <c r="I112" s="15"/>
      <c r="J112" s="15"/>
      <c r="K112" s="15"/>
      <c r="L112" s="15"/>
      <c r="M112" s="15"/>
      <c r="N112" s="15"/>
      <c r="O112" s="15"/>
      <c r="P112" s="15"/>
      <c r="Q112" s="15"/>
      <c r="R112" s="15"/>
      <c r="S112" s="15"/>
      <c r="T112" s="15"/>
      <c r="U112" s="15"/>
      <c r="V112" s="15"/>
      <c r="W112" s="15"/>
      <c r="X112" s="15"/>
      <c r="Y112" s="15"/>
      <c r="Z112" s="15"/>
    </row>
    <row r="113" spans="1:26">
      <c r="A113" s="15"/>
      <c r="B113" s="26"/>
      <c r="C113" s="26"/>
      <c r="D113" s="26"/>
      <c r="E113" s="26"/>
      <c r="F113" s="15"/>
      <c r="G113" s="15"/>
      <c r="H113" s="15"/>
      <c r="I113" s="15"/>
      <c r="J113" s="15"/>
      <c r="K113" s="15"/>
      <c r="L113" s="15"/>
      <c r="M113" s="15"/>
      <c r="N113" s="15"/>
      <c r="O113" s="15"/>
      <c r="P113" s="15"/>
      <c r="Q113" s="15"/>
      <c r="R113" s="15"/>
      <c r="S113" s="15"/>
      <c r="T113" s="15"/>
      <c r="U113" s="15"/>
      <c r="V113" s="15"/>
      <c r="W113" s="15"/>
      <c r="X113" s="15"/>
      <c r="Y113" s="15"/>
      <c r="Z113" s="15"/>
    </row>
    <row r="114" spans="1:26">
      <c r="A114" s="15"/>
      <c r="B114" s="26"/>
      <c r="C114" s="26"/>
      <c r="D114" s="26"/>
      <c r="E114" s="26"/>
      <c r="F114" s="15"/>
      <c r="G114" s="15"/>
      <c r="H114" s="15"/>
      <c r="I114" s="15"/>
      <c r="J114" s="15"/>
      <c r="K114" s="15"/>
      <c r="L114" s="15"/>
      <c r="M114" s="15"/>
      <c r="N114" s="15"/>
      <c r="O114" s="15"/>
      <c r="P114" s="15"/>
      <c r="Q114" s="15"/>
      <c r="R114" s="15"/>
      <c r="S114" s="15"/>
      <c r="T114" s="15"/>
      <c r="U114" s="15"/>
      <c r="V114" s="15"/>
      <c r="W114" s="15"/>
      <c r="X114" s="15"/>
      <c r="Y114" s="15"/>
      <c r="Z114" s="15"/>
    </row>
    <row r="115" spans="1:26">
      <c r="A115" s="15"/>
      <c r="B115" s="26"/>
      <c r="C115" s="26"/>
      <c r="D115" s="26"/>
      <c r="E115" s="26"/>
      <c r="F115" s="15"/>
      <c r="G115" s="15"/>
      <c r="H115" s="15"/>
      <c r="I115" s="15"/>
      <c r="J115" s="15"/>
      <c r="K115" s="15"/>
      <c r="L115" s="15"/>
      <c r="M115" s="15"/>
      <c r="N115" s="15"/>
      <c r="O115" s="15"/>
      <c r="P115" s="15"/>
      <c r="Q115" s="15"/>
      <c r="R115" s="15"/>
      <c r="S115" s="15"/>
      <c r="T115" s="15"/>
      <c r="U115" s="15"/>
      <c r="V115" s="15"/>
      <c r="W115" s="15"/>
      <c r="X115" s="15"/>
      <c r="Y115" s="15"/>
      <c r="Z115" s="15"/>
    </row>
    <row r="116" spans="1:26">
      <c r="A116" s="15"/>
      <c r="B116" s="26"/>
      <c r="C116" s="26"/>
      <c r="D116" s="26"/>
      <c r="E116" s="26"/>
      <c r="F116" s="15"/>
      <c r="G116" s="15"/>
      <c r="H116" s="15"/>
      <c r="I116" s="15"/>
      <c r="J116" s="15"/>
      <c r="K116" s="15"/>
      <c r="L116" s="15"/>
      <c r="M116" s="15"/>
      <c r="N116" s="15"/>
      <c r="O116" s="15"/>
      <c r="P116" s="15"/>
      <c r="Q116" s="15"/>
      <c r="R116" s="15"/>
      <c r="S116" s="15"/>
      <c r="T116" s="15"/>
      <c r="U116" s="15"/>
      <c r="V116" s="15"/>
      <c r="W116" s="15"/>
      <c r="X116" s="15"/>
      <c r="Y116" s="15"/>
      <c r="Z116" s="15"/>
    </row>
    <row r="117" spans="1:26">
      <c r="A117" s="15"/>
      <c r="B117" s="26"/>
      <c r="C117" s="26"/>
      <c r="D117" s="26"/>
      <c r="E117" s="26"/>
      <c r="F117" s="15"/>
      <c r="G117" s="15"/>
      <c r="H117" s="15"/>
      <c r="I117" s="15"/>
      <c r="J117" s="15"/>
      <c r="K117" s="15"/>
      <c r="L117" s="15"/>
      <c r="M117" s="15"/>
      <c r="N117" s="15"/>
      <c r="O117" s="15"/>
      <c r="P117" s="15"/>
      <c r="Q117" s="15"/>
      <c r="R117" s="15"/>
      <c r="S117" s="15"/>
      <c r="T117" s="15"/>
      <c r="U117" s="15"/>
      <c r="V117" s="15"/>
      <c r="W117" s="15"/>
      <c r="X117" s="15"/>
      <c r="Y117" s="15"/>
      <c r="Z117" s="15"/>
    </row>
    <row r="118" spans="1:26">
      <c r="A118" s="15"/>
      <c r="B118" s="26"/>
      <c r="C118" s="26"/>
      <c r="D118" s="26"/>
      <c r="E118" s="26"/>
      <c r="F118" s="15"/>
      <c r="G118" s="15"/>
      <c r="H118" s="15"/>
      <c r="I118" s="15"/>
      <c r="J118" s="15"/>
      <c r="K118" s="15"/>
      <c r="L118" s="15"/>
      <c r="M118" s="15"/>
      <c r="N118" s="15"/>
      <c r="O118" s="15"/>
      <c r="P118" s="15"/>
      <c r="Q118" s="15"/>
      <c r="R118" s="15"/>
      <c r="S118" s="15"/>
      <c r="T118" s="15"/>
      <c r="U118" s="15"/>
      <c r="V118" s="15"/>
      <c r="W118" s="15"/>
      <c r="X118" s="15"/>
      <c r="Y118" s="15"/>
      <c r="Z118" s="15"/>
    </row>
    <row r="119" spans="1:26">
      <c r="A119" s="15"/>
      <c r="B119" s="26"/>
      <c r="C119" s="26"/>
      <c r="D119" s="26"/>
      <c r="E119" s="26"/>
      <c r="F119" s="15"/>
      <c r="G119" s="15"/>
      <c r="H119" s="15"/>
      <c r="I119" s="15"/>
      <c r="J119" s="15"/>
      <c r="K119" s="15"/>
      <c r="L119" s="15"/>
      <c r="M119" s="15"/>
      <c r="N119" s="15"/>
      <c r="O119" s="15"/>
      <c r="P119" s="15"/>
      <c r="Q119" s="15"/>
      <c r="R119" s="15"/>
      <c r="S119" s="15"/>
      <c r="T119" s="15"/>
      <c r="U119" s="15"/>
      <c r="V119" s="15"/>
      <c r="W119" s="15"/>
      <c r="X119" s="15"/>
      <c r="Y119" s="15"/>
      <c r="Z119" s="15"/>
    </row>
    <row r="120" spans="1:26">
      <c r="A120" s="15"/>
      <c r="B120" s="26"/>
      <c r="C120" s="26"/>
      <c r="D120" s="26"/>
      <c r="E120" s="26"/>
      <c r="F120" s="15"/>
      <c r="G120" s="15"/>
      <c r="H120" s="15"/>
      <c r="I120" s="15"/>
      <c r="J120" s="15"/>
      <c r="K120" s="15"/>
      <c r="L120" s="15"/>
      <c r="M120" s="15"/>
      <c r="N120" s="15"/>
      <c r="O120" s="15"/>
      <c r="P120" s="15"/>
      <c r="Q120" s="15"/>
      <c r="R120" s="15"/>
      <c r="S120" s="15"/>
      <c r="T120" s="15"/>
      <c r="U120" s="15"/>
      <c r="V120" s="15"/>
      <c r="W120" s="15"/>
      <c r="X120" s="15"/>
      <c r="Y120" s="15"/>
      <c r="Z120" s="15"/>
    </row>
    <row r="121" spans="1:26">
      <c r="A121" s="15"/>
      <c r="B121" s="26"/>
      <c r="C121" s="26"/>
      <c r="D121" s="26"/>
      <c r="E121" s="26"/>
      <c r="F121" s="15"/>
      <c r="G121" s="15"/>
      <c r="H121" s="15"/>
      <c r="I121" s="15"/>
      <c r="J121" s="15"/>
      <c r="K121" s="15"/>
      <c r="L121" s="15"/>
      <c r="M121" s="15"/>
      <c r="N121" s="15"/>
      <c r="O121" s="15"/>
      <c r="P121" s="15"/>
      <c r="Q121" s="15"/>
      <c r="R121" s="15"/>
      <c r="S121" s="15"/>
      <c r="T121" s="15"/>
      <c r="U121" s="15"/>
      <c r="V121" s="15"/>
      <c r="W121" s="15"/>
      <c r="X121" s="15"/>
      <c r="Y121" s="15"/>
      <c r="Z121" s="15"/>
    </row>
    <row r="122" spans="1:26">
      <c r="A122" s="15"/>
      <c r="B122" s="26"/>
      <c r="C122" s="26"/>
      <c r="D122" s="26"/>
      <c r="E122" s="26"/>
      <c r="F122" s="15"/>
      <c r="G122" s="15"/>
      <c r="H122" s="15"/>
      <c r="I122" s="15"/>
      <c r="J122" s="15"/>
      <c r="K122" s="15"/>
      <c r="L122" s="15"/>
      <c r="M122" s="15"/>
      <c r="N122" s="15"/>
      <c r="O122" s="15"/>
      <c r="P122" s="15"/>
      <c r="Q122" s="15"/>
      <c r="R122" s="15"/>
      <c r="S122" s="15"/>
      <c r="T122" s="15"/>
      <c r="U122" s="15"/>
      <c r="V122" s="15"/>
      <c r="W122" s="15"/>
      <c r="X122" s="15"/>
      <c r="Y122" s="15"/>
      <c r="Z122" s="15"/>
    </row>
    <row r="123" spans="1:26">
      <c r="A123" s="15"/>
      <c r="B123" s="26"/>
      <c r="C123" s="26"/>
      <c r="D123" s="26"/>
      <c r="E123" s="26"/>
      <c r="F123" s="15"/>
      <c r="G123" s="15"/>
      <c r="H123" s="15"/>
      <c r="I123" s="15"/>
      <c r="J123" s="15"/>
      <c r="K123" s="15"/>
      <c r="L123" s="15"/>
      <c r="M123" s="15"/>
      <c r="N123" s="15"/>
      <c r="O123" s="15"/>
      <c r="P123" s="15"/>
      <c r="Q123" s="15"/>
      <c r="R123" s="15"/>
      <c r="S123" s="15"/>
      <c r="T123" s="15"/>
      <c r="U123" s="15"/>
      <c r="V123" s="15"/>
      <c r="W123" s="15"/>
      <c r="X123" s="15"/>
      <c r="Y123" s="15"/>
      <c r="Z123" s="15"/>
    </row>
    <row r="124" spans="1:26">
      <c r="A124" s="15"/>
      <c r="B124" s="26"/>
      <c r="C124" s="26"/>
      <c r="D124" s="26"/>
      <c r="E124" s="26"/>
      <c r="F124" s="15"/>
      <c r="G124" s="15"/>
      <c r="H124" s="15"/>
      <c r="I124" s="15"/>
      <c r="J124" s="15"/>
      <c r="K124" s="15"/>
      <c r="L124" s="15"/>
      <c r="M124" s="15"/>
      <c r="N124" s="15"/>
      <c r="O124" s="15"/>
      <c r="P124" s="15"/>
      <c r="Q124" s="15"/>
      <c r="R124" s="15"/>
      <c r="S124" s="15"/>
      <c r="T124" s="15"/>
      <c r="U124" s="15"/>
      <c r="V124" s="15"/>
      <c r="W124" s="15"/>
      <c r="X124" s="15"/>
      <c r="Y124" s="15"/>
      <c r="Z124" s="15"/>
    </row>
    <row r="125" spans="1:26">
      <c r="A125" s="15"/>
      <c r="B125" s="26"/>
      <c r="C125" s="26"/>
      <c r="D125" s="26"/>
      <c r="E125" s="26"/>
      <c r="F125" s="15"/>
      <c r="G125" s="15"/>
      <c r="H125" s="15"/>
      <c r="I125" s="15"/>
      <c r="J125" s="15"/>
      <c r="K125" s="15"/>
      <c r="L125" s="15"/>
      <c r="M125" s="15"/>
      <c r="N125" s="15"/>
      <c r="O125" s="15"/>
      <c r="P125" s="15"/>
      <c r="Q125" s="15"/>
      <c r="R125" s="15"/>
      <c r="S125" s="15"/>
      <c r="T125" s="15"/>
      <c r="U125" s="15"/>
      <c r="V125" s="15"/>
      <c r="W125" s="15"/>
      <c r="X125" s="15"/>
      <c r="Y125" s="15"/>
      <c r="Z125" s="15"/>
    </row>
    <row r="126" spans="1:26">
      <c r="A126" s="15"/>
      <c r="B126" s="26"/>
      <c r="C126" s="26"/>
      <c r="D126" s="26"/>
      <c r="E126" s="26"/>
      <c r="F126" s="15"/>
      <c r="G126" s="15"/>
      <c r="H126" s="15"/>
      <c r="I126" s="15"/>
      <c r="J126" s="15"/>
      <c r="K126" s="15"/>
      <c r="L126" s="15"/>
      <c r="M126" s="15"/>
      <c r="N126" s="15"/>
      <c r="O126" s="15"/>
      <c r="P126" s="15"/>
      <c r="Q126" s="15"/>
      <c r="R126" s="15"/>
      <c r="S126" s="15"/>
      <c r="T126" s="15"/>
      <c r="U126" s="15"/>
      <c r="V126" s="15"/>
      <c r="W126" s="15"/>
      <c r="X126" s="15"/>
      <c r="Y126" s="15"/>
      <c r="Z126" s="15"/>
    </row>
    <row r="127" spans="1:26">
      <c r="A127" s="15"/>
      <c r="B127" s="26"/>
      <c r="C127" s="26"/>
      <c r="D127" s="26"/>
      <c r="E127" s="26"/>
      <c r="F127" s="15"/>
      <c r="G127" s="15"/>
      <c r="H127" s="15"/>
      <c r="I127" s="15"/>
      <c r="J127" s="15"/>
      <c r="K127" s="15"/>
      <c r="L127" s="15"/>
      <c r="M127" s="15"/>
      <c r="N127" s="15"/>
      <c r="O127" s="15"/>
      <c r="P127" s="15"/>
      <c r="Q127" s="15"/>
      <c r="R127" s="15"/>
      <c r="S127" s="15"/>
      <c r="T127" s="15"/>
      <c r="U127" s="15"/>
      <c r="V127" s="15"/>
      <c r="W127" s="15"/>
      <c r="X127" s="15"/>
      <c r="Y127" s="15"/>
      <c r="Z127" s="15"/>
    </row>
    <row r="128" spans="1:26">
      <c r="A128" s="15"/>
      <c r="B128" s="26"/>
      <c r="C128" s="26"/>
      <c r="D128" s="26"/>
      <c r="E128" s="26"/>
      <c r="F128" s="15"/>
      <c r="G128" s="15"/>
      <c r="H128" s="15"/>
      <c r="I128" s="15"/>
      <c r="J128" s="15"/>
      <c r="K128" s="15"/>
      <c r="L128" s="15"/>
      <c r="M128" s="15"/>
      <c r="N128" s="15"/>
      <c r="O128" s="15"/>
      <c r="P128" s="15"/>
      <c r="Q128" s="15"/>
      <c r="R128" s="15"/>
      <c r="S128" s="15"/>
      <c r="T128" s="15"/>
      <c r="U128" s="15"/>
      <c r="V128" s="15"/>
      <c r="W128" s="15"/>
      <c r="X128" s="15"/>
      <c r="Y128" s="15"/>
      <c r="Z128" s="15"/>
    </row>
    <row r="129" spans="1:26">
      <c r="A129" s="15"/>
      <c r="B129" s="26"/>
      <c r="C129" s="26"/>
      <c r="D129" s="26"/>
      <c r="E129" s="26"/>
      <c r="F129" s="15"/>
      <c r="G129" s="15"/>
      <c r="H129" s="15"/>
      <c r="I129" s="15"/>
      <c r="J129" s="15"/>
      <c r="K129" s="15"/>
      <c r="L129" s="15"/>
      <c r="M129" s="15"/>
      <c r="N129" s="15"/>
      <c r="O129" s="15"/>
      <c r="P129" s="15"/>
      <c r="Q129" s="15"/>
      <c r="R129" s="15"/>
      <c r="S129" s="15"/>
      <c r="T129" s="15"/>
      <c r="U129" s="15"/>
      <c r="V129" s="15"/>
      <c r="W129" s="15"/>
      <c r="X129" s="15"/>
      <c r="Y129" s="15"/>
      <c r="Z129" s="15"/>
    </row>
    <row r="130" spans="1:26">
      <c r="A130" s="15"/>
      <c r="B130" s="26"/>
      <c r="C130" s="26"/>
      <c r="D130" s="26"/>
      <c r="E130" s="26"/>
      <c r="F130" s="15"/>
      <c r="G130" s="15"/>
      <c r="H130" s="15"/>
      <c r="I130" s="15"/>
      <c r="J130" s="15"/>
      <c r="K130" s="15"/>
      <c r="L130" s="15"/>
      <c r="M130" s="15"/>
      <c r="N130" s="15"/>
      <c r="O130" s="15"/>
      <c r="P130" s="15"/>
      <c r="Q130" s="15"/>
      <c r="R130" s="15"/>
      <c r="S130" s="15"/>
      <c r="T130" s="15"/>
      <c r="U130" s="15"/>
      <c r="V130" s="15"/>
      <c r="W130" s="15"/>
      <c r="X130" s="15"/>
      <c r="Y130" s="15"/>
      <c r="Z130" s="15"/>
    </row>
    <row r="131" spans="1:26">
      <c r="A131" s="15"/>
      <c r="B131" s="26"/>
      <c r="C131" s="26"/>
      <c r="D131" s="26"/>
      <c r="E131" s="26"/>
      <c r="F131" s="15"/>
      <c r="G131" s="15"/>
      <c r="H131" s="15"/>
      <c r="I131" s="15"/>
      <c r="J131" s="15"/>
      <c r="K131" s="15"/>
      <c r="L131" s="15"/>
      <c r="M131" s="15"/>
      <c r="N131" s="15"/>
      <c r="O131" s="15"/>
      <c r="P131" s="15"/>
      <c r="Q131" s="15"/>
      <c r="R131" s="15"/>
      <c r="S131" s="15"/>
      <c r="T131" s="15"/>
      <c r="U131" s="15"/>
      <c r="V131" s="15"/>
      <c r="W131" s="15"/>
      <c r="X131" s="15"/>
      <c r="Y131" s="15"/>
      <c r="Z131" s="15"/>
    </row>
    <row r="132" spans="1:26">
      <c r="A132" s="15"/>
      <c r="B132" s="26"/>
      <c r="C132" s="26"/>
      <c r="D132" s="26"/>
      <c r="E132" s="26"/>
      <c r="F132" s="15"/>
      <c r="G132" s="15"/>
      <c r="H132" s="15"/>
      <c r="I132" s="15"/>
      <c r="J132" s="15"/>
      <c r="K132" s="15"/>
      <c r="L132" s="15"/>
      <c r="M132" s="15"/>
      <c r="N132" s="15"/>
      <c r="O132" s="15"/>
      <c r="P132" s="15"/>
      <c r="Q132" s="15"/>
      <c r="R132" s="15"/>
      <c r="S132" s="15"/>
      <c r="T132" s="15"/>
      <c r="U132" s="15"/>
      <c r="V132" s="15"/>
      <c r="W132" s="15"/>
      <c r="X132" s="15"/>
      <c r="Y132" s="15"/>
      <c r="Z132" s="15"/>
    </row>
    <row r="133" spans="1:26">
      <c r="A133" s="15"/>
      <c r="B133" s="26"/>
      <c r="C133" s="26"/>
      <c r="D133" s="26"/>
      <c r="E133" s="26"/>
      <c r="F133" s="15"/>
      <c r="G133" s="15"/>
      <c r="H133" s="15"/>
      <c r="I133" s="15"/>
      <c r="J133" s="15"/>
      <c r="K133" s="15"/>
      <c r="L133" s="15"/>
      <c r="M133" s="15"/>
      <c r="N133" s="15"/>
      <c r="O133" s="15"/>
      <c r="P133" s="15"/>
      <c r="Q133" s="15"/>
      <c r="R133" s="15"/>
      <c r="S133" s="15"/>
      <c r="T133" s="15"/>
      <c r="U133" s="15"/>
      <c r="V133" s="15"/>
      <c r="W133" s="15"/>
      <c r="X133" s="15"/>
      <c r="Y133" s="15"/>
      <c r="Z133" s="15"/>
    </row>
    <row r="134" spans="1:26">
      <c r="A134" s="15"/>
      <c r="B134" s="26"/>
      <c r="C134" s="26"/>
      <c r="D134" s="26"/>
      <c r="E134" s="26"/>
      <c r="F134" s="15"/>
      <c r="G134" s="15"/>
      <c r="H134" s="15"/>
      <c r="I134" s="15"/>
      <c r="J134" s="15"/>
      <c r="K134" s="15"/>
      <c r="L134" s="15"/>
      <c r="M134" s="15"/>
      <c r="N134" s="15"/>
      <c r="O134" s="15"/>
      <c r="P134" s="15"/>
      <c r="Q134" s="15"/>
      <c r="R134" s="15"/>
      <c r="S134" s="15"/>
      <c r="T134" s="15"/>
      <c r="U134" s="15"/>
      <c r="V134" s="15"/>
      <c r="W134" s="15"/>
      <c r="X134" s="15"/>
      <c r="Y134" s="15"/>
      <c r="Z134" s="15"/>
    </row>
    <row r="135" spans="1:26">
      <c r="A135" s="15"/>
      <c r="B135" s="26"/>
      <c r="C135" s="26"/>
      <c r="D135" s="26"/>
      <c r="E135" s="26"/>
      <c r="F135" s="15"/>
      <c r="G135" s="15"/>
      <c r="H135" s="15"/>
      <c r="I135" s="15"/>
      <c r="J135" s="15"/>
      <c r="K135" s="15"/>
      <c r="L135" s="15"/>
      <c r="M135" s="15"/>
      <c r="N135" s="15"/>
      <c r="O135" s="15"/>
      <c r="P135" s="15"/>
      <c r="Q135" s="15"/>
      <c r="R135" s="15"/>
      <c r="S135" s="15"/>
      <c r="T135" s="15"/>
      <c r="U135" s="15"/>
      <c r="V135" s="15"/>
      <c r="W135" s="15"/>
      <c r="X135" s="15"/>
      <c r="Y135" s="15"/>
      <c r="Z135" s="15"/>
    </row>
    <row r="136" spans="1:26">
      <c r="A136" s="15"/>
      <c r="B136" s="26"/>
      <c r="C136" s="26"/>
      <c r="D136" s="26"/>
      <c r="E136" s="26"/>
      <c r="F136" s="15"/>
      <c r="G136" s="15"/>
      <c r="H136" s="15"/>
      <c r="I136" s="15"/>
      <c r="J136" s="15"/>
      <c r="K136" s="15"/>
      <c r="L136" s="15"/>
      <c r="M136" s="15"/>
      <c r="N136" s="15"/>
      <c r="O136" s="15"/>
      <c r="P136" s="15"/>
      <c r="Q136" s="15"/>
      <c r="R136" s="15"/>
      <c r="S136" s="15"/>
      <c r="T136" s="15"/>
      <c r="U136" s="15"/>
      <c r="V136" s="15"/>
      <c r="W136" s="15"/>
      <c r="X136" s="15"/>
      <c r="Y136" s="15"/>
      <c r="Z136" s="15"/>
    </row>
    <row r="137" spans="1:26">
      <c r="A137" s="15"/>
      <c r="B137" s="26"/>
      <c r="C137" s="26"/>
      <c r="D137" s="26"/>
      <c r="E137" s="26"/>
      <c r="F137" s="15"/>
      <c r="G137" s="15"/>
      <c r="H137" s="15"/>
      <c r="I137" s="15"/>
      <c r="J137" s="15"/>
      <c r="K137" s="15"/>
      <c r="L137" s="15"/>
      <c r="M137" s="15"/>
      <c r="N137" s="15"/>
      <c r="O137" s="15"/>
      <c r="P137" s="15"/>
      <c r="Q137" s="15"/>
      <c r="R137" s="15"/>
      <c r="S137" s="15"/>
      <c r="T137" s="15"/>
      <c r="U137" s="15"/>
      <c r="V137" s="15"/>
      <c r="W137" s="15"/>
      <c r="X137" s="15"/>
      <c r="Y137" s="15"/>
      <c r="Z137" s="15"/>
    </row>
    <row r="138" spans="1:26">
      <c r="A138" s="15"/>
      <c r="B138" s="26"/>
      <c r="C138" s="26"/>
      <c r="D138" s="26"/>
      <c r="E138" s="26"/>
      <c r="F138" s="15"/>
      <c r="G138" s="15"/>
      <c r="H138" s="15"/>
      <c r="I138" s="15"/>
      <c r="J138" s="15"/>
      <c r="K138" s="15"/>
      <c r="L138" s="15"/>
      <c r="M138" s="15"/>
      <c r="N138" s="15"/>
      <c r="O138" s="15"/>
      <c r="P138" s="15"/>
      <c r="Q138" s="15"/>
      <c r="R138" s="15"/>
      <c r="S138" s="15"/>
      <c r="T138" s="15"/>
      <c r="U138" s="15"/>
      <c r="V138" s="15"/>
      <c r="W138" s="15"/>
      <c r="X138" s="15"/>
      <c r="Y138" s="15"/>
      <c r="Z138" s="15"/>
    </row>
    <row r="139" spans="1:26">
      <c r="A139" s="15"/>
      <c r="B139" s="26"/>
      <c r="C139" s="26"/>
      <c r="D139" s="26"/>
      <c r="E139" s="26"/>
      <c r="F139" s="15"/>
      <c r="G139" s="15"/>
      <c r="H139" s="15"/>
      <c r="I139" s="15"/>
      <c r="J139" s="15"/>
      <c r="K139" s="15"/>
      <c r="L139" s="15"/>
      <c r="M139" s="15"/>
      <c r="N139" s="15"/>
      <c r="O139" s="15"/>
      <c r="P139" s="15"/>
      <c r="Q139" s="15"/>
      <c r="R139" s="15"/>
      <c r="S139" s="15"/>
      <c r="T139" s="15"/>
      <c r="U139" s="15"/>
      <c r="V139" s="15"/>
      <c r="W139" s="15"/>
      <c r="X139" s="15"/>
      <c r="Y139" s="15"/>
      <c r="Z139" s="15"/>
    </row>
    <row r="140" spans="1:26">
      <c r="A140" s="15"/>
      <c r="B140" s="26"/>
      <c r="C140" s="26"/>
      <c r="D140" s="26"/>
      <c r="E140" s="26"/>
      <c r="F140" s="15"/>
      <c r="G140" s="15"/>
      <c r="H140" s="15"/>
      <c r="I140" s="15"/>
      <c r="J140" s="15"/>
      <c r="K140" s="15"/>
      <c r="L140" s="15"/>
      <c r="M140" s="15"/>
      <c r="N140" s="15"/>
      <c r="O140" s="15"/>
      <c r="P140" s="15"/>
      <c r="Q140" s="15"/>
      <c r="R140" s="15"/>
      <c r="S140" s="15"/>
      <c r="T140" s="15"/>
      <c r="U140" s="15"/>
      <c r="V140" s="15"/>
      <c r="W140" s="15"/>
      <c r="X140" s="15"/>
      <c r="Y140" s="15"/>
      <c r="Z140" s="15"/>
    </row>
    <row r="141" spans="1:26">
      <c r="A141" s="15"/>
      <c r="B141" s="26"/>
      <c r="C141" s="26"/>
      <c r="D141" s="26"/>
      <c r="E141" s="26"/>
      <c r="F141" s="15"/>
      <c r="G141" s="15"/>
      <c r="H141" s="15"/>
      <c r="I141" s="15"/>
      <c r="J141" s="15"/>
      <c r="K141" s="15"/>
      <c r="L141" s="15"/>
      <c r="M141" s="15"/>
      <c r="N141" s="15"/>
      <c r="O141" s="15"/>
      <c r="P141" s="15"/>
      <c r="Q141" s="15"/>
      <c r="R141" s="15"/>
      <c r="S141" s="15"/>
      <c r="T141" s="15"/>
      <c r="U141" s="15"/>
      <c r="V141" s="15"/>
      <c r="W141" s="15"/>
      <c r="X141" s="15"/>
      <c r="Y141" s="15"/>
      <c r="Z141" s="15"/>
    </row>
    <row r="142" spans="1:26">
      <c r="A142" s="15"/>
      <c r="B142" s="26"/>
      <c r="C142" s="26"/>
      <c r="D142" s="26"/>
      <c r="E142" s="26"/>
      <c r="F142" s="15"/>
      <c r="G142" s="15"/>
      <c r="H142" s="15"/>
      <c r="I142" s="15"/>
      <c r="J142" s="15"/>
      <c r="K142" s="15"/>
      <c r="L142" s="15"/>
      <c r="M142" s="15"/>
      <c r="N142" s="15"/>
      <c r="O142" s="15"/>
      <c r="P142" s="15"/>
      <c r="Q142" s="15"/>
      <c r="R142" s="15"/>
      <c r="S142" s="15"/>
      <c r="T142" s="15"/>
      <c r="U142" s="15"/>
      <c r="V142" s="15"/>
      <c r="W142" s="15"/>
      <c r="X142" s="15"/>
      <c r="Y142" s="15"/>
      <c r="Z142" s="15"/>
    </row>
    <row r="143" spans="1:26">
      <c r="A143" s="15"/>
      <c r="B143" s="26"/>
      <c r="C143" s="26"/>
      <c r="D143" s="26"/>
      <c r="E143" s="26"/>
      <c r="F143" s="15"/>
      <c r="G143" s="15"/>
      <c r="H143" s="15"/>
      <c r="I143" s="15"/>
      <c r="J143" s="15"/>
      <c r="K143" s="15"/>
      <c r="L143" s="15"/>
      <c r="M143" s="15"/>
      <c r="N143" s="15"/>
      <c r="O143" s="15"/>
      <c r="P143" s="15"/>
      <c r="Q143" s="15"/>
      <c r="R143" s="15"/>
      <c r="S143" s="15"/>
      <c r="T143" s="15"/>
      <c r="U143" s="15"/>
      <c r="V143" s="15"/>
      <c r="W143" s="15"/>
      <c r="X143" s="15"/>
      <c r="Y143" s="15"/>
      <c r="Z143" s="15"/>
    </row>
    <row r="144" spans="1:26">
      <c r="A144" s="15"/>
      <c r="B144" s="26"/>
      <c r="C144" s="26"/>
      <c r="D144" s="26"/>
      <c r="E144" s="26"/>
      <c r="F144" s="15"/>
      <c r="G144" s="15"/>
      <c r="H144" s="15"/>
      <c r="I144" s="15"/>
      <c r="J144" s="15"/>
      <c r="K144" s="15"/>
      <c r="L144" s="15"/>
      <c r="M144" s="15"/>
      <c r="N144" s="15"/>
      <c r="O144" s="15"/>
      <c r="P144" s="15"/>
      <c r="Q144" s="15"/>
      <c r="R144" s="15"/>
      <c r="S144" s="15"/>
      <c r="T144" s="15"/>
      <c r="U144" s="15"/>
      <c r="V144" s="15"/>
      <c r="W144" s="15"/>
      <c r="X144" s="15"/>
      <c r="Y144" s="15"/>
      <c r="Z144" s="15"/>
    </row>
    <row r="145" spans="1:26">
      <c r="A145" s="15"/>
      <c r="B145" s="26"/>
      <c r="C145" s="26"/>
      <c r="D145" s="26"/>
      <c r="E145" s="26"/>
      <c r="F145" s="15"/>
      <c r="G145" s="15"/>
      <c r="H145" s="15"/>
      <c r="I145" s="15"/>
      <c r="J145" s="15"/>
      <c r="K145" s="15"/>
      <c r="L145" s="15"/>
      <c r="M145" s="15"/>
      <c r="N145" s="15"/>
      <c r="O145" s="15"/>
      <c r="P145" s="15"/>
      <c r="Q145" s="15"/>
      <c r="R145" s="15"/>
      <c r="S145" s="15"/>
      <c r="T145" s="15"/>
      <c r="U145" s="15"/>
      <c r="V145" s="15"/>
      <c r="W145" s="15"/>
      <c r="X145" s="15"/>
      <c r="Y145" s="15"/>
      <c r="Z145" s="15"/>
    </row>
    <row r="146" spans="1:26">
      <c r="A146" s="15"/>
      <c r="B146" s="26"/>
      <c r="C146" s="26"/>
      <c r="D146" s="26"/>
      <c r="E146" s="26"/>
      <c r="F146" s="15"/>
      <c r="G146" s="15"/>
      <c r="H146" s="15"/>
      <c r="I146" s="15"/>
      <c r="J146" s="15"/>
      <c r="K146" s="15"/>
      <c r="L146" s="15"/>
      <c r="M146" s="15"/>
      <c r="N146" s="15"/>
      <c r="O146" s="15"/>
      <c r="P146" s="15"/>
      <c r="Q146" s="15"/>
      <c r="R146" s="15"/>
      <c r="S146" s="15"/>
      <c r="T146" s="15"/>
      <c r="U146" s="15"/>
      <c r="V146" s="15"/>
      <c r="W146" s="15"/>
      <c r="X146" s="15"/>
      <c r="Y146" s="15"/>
      <c r="Z146" s="15"/>
    </row>
    <row r="147" spans="1:26">
      <c r="A147" s="15"/>
      <c r="B147" s="26"/>
      <c r="C147" s="26"/>
      <c r="D147" s="26"/>
      <c r="E147" s="26"/>
      <c r="F147" s="15"/>
      <c r="G147" s="15"/>
      <c r="H147" s="15"/>
      <c r="I147" s="15"/>
      <c r="J147" s="15"/>
      <c r="K147" s="15"/>
      <c r="L147" s="15"/>
      <c r="M147" s="15"/>
      <c r="N147" s="15"/>
      <c r="O147" s="15"/>
      <c r="P147" s="15"/>
      <c r="Q147" s="15"/>
      <c r="R147" s="15"/>
      <c r="S147" s="15"/>
      <c r="T147" s="15"/>
      <c r="U147" s="15"/>
      <c r="V147" s="15"/>
      <c r="W147" s="15"/>
      <c r="X147" s="15"/>
      <c r="Y147" s="15"/>
      <c r="Z147" s="15"/>
    </row>
    <row r="148" spans="1:26">
      <c r="A148" s="15"/>
      <c r="B148" s="26"/>
      <c r="C148" s="26"/>
      <c r="D148" s="26"/>
      <c r="E148" s="26"/>
      <c r="F148" s="15"/>
      <c r="G148" s="15"/>
      <c r="H148" s="15"/>
      <c r="I148" s="15"/>
      <c r="J148" s="15"/>
      <c r="K148" s="15"/>
      <c r="L148" s="15"/>
      <c r="M148" s="15"/>
      <c r="N148" s="15"/>
      <c r="O148" s="15"/>
      <c r="P148" s="15"/>
      <c r="Q148" s="15"/>
      <c r="R148" s="15"/>
      <c r="S148" s="15"/>
      <c r="T148" s="15"/>
      <c r="U148" s="15"/>
      <c r="V148" s="15"/>
      <c r="W148" s="15"/>
      <c r="X148" s="15"/>
      <c r="Y148" s="15"/>
      <c r="Z148" s="15"/>
    </row>
    <row r="149" spans="1:26">
      <c r="A149" s="15"/>
      <c r="B149" s="26"/>
      <c r="C149" s="26"/>
      <c r="D149" s="26"/>
      <c r="E149" s="26"/>
      <c r="F149" s="15"/>
      <c r="G149" s="15"/>
      <c r="H149" s="15"/>
      <c r="I149" s="15"/>
      <c r="J149" s="15"/>
      <c r="K149" s="15"/>
      <c r="L149" s="15"/>
      <c r="M149" s="15"/>
      <c r="N149" s="15"/>
      <c r="O149" s="15"/>
      <c r="P149" s="15"/>
      <c r="Q149" s="15"/>
      <c r="R149" s="15"/>
      <c r="S149" s="15"/>
      <c r="T149" s="15"/>
      <c r="U149" s="15"/>
      <c r="V149" s="15"/>
      <c r="W149" s="15"/>
      <c r="X149" s="15"/>
      <c r="Y149" s="15"/>
      <c r="Z149" s="15"/>
    </row>
    <row r="150" spans="1:26">
      <c r="A150" s="15"/>
      <c r="B150" s="26"/>
      <c r="C150" s="26"/>
      <c r="D150" s="26"/>
      <c r="E150" s="26"/>
      <c r="F150" s="15"/>
      <c r="G150" s="15"/>
      <c r="H150" s="15"/>
      <c r="I150" s="15"/>
      <c r="J150" s="15"/>
      <c r="K150" s="15"/>
      <c r="L150" s="15"/>
      <c r="M150" s="15"/>
      <c r="N150" s="15"/>
      <c r="O150" s="15"/>
      <c r="P150" s="15"/>
      <c r="Q150" s="15"/>
      <c r="R150" s="15"/>
      <c r="S150" s="15"/>
      <c r="T150" s="15"/>
      <c r="U150" s="15"/>
      <c r="V150" s="15"/>
      <c r="W150" s="15"/>
      <c r="X150" s="15"/>
      <c r="Y150" s="15"/>
      <c r="Z150" s="15"/>
    </row>
    <row r="151" spans="1:26">
      <c r="A151" s="15"/>
      <c r="B151" s="26"/>
      <c r="C151" s="26"/>
      <c r="D151" s="26"/>
      <c r="E151" s="26"/>
      <c r="F151" s="15"/>
      <c r="G151" s="15"/>
      <c r="H151" s="15"/>
      <c r="I151" s="15"/>
      <c r="J151" s="15"/>
      <c r="K151" s="15"/>
      <c r="L151" s="15"/>
      <c r="M151" s="15"/>
      <c r="N151" s="15"/>
      <c r="O151" s="15"/>
      <c r="P151" s="15"/>
      <c r="Q151" s="15"/>
      <c r="R151" s="15"/>
      <c r="S151" s="15"/>
      <c r="T151" s="15"/>
      <c r="U151" s="15"/>
      <c r="V151" s="15"/>
      <c r="W151" s="15"/>
      <c r="X151" s="15"/>
      <c r="Y151" s="15"/>
      <c r="Z151" s="15"/>
    </row>
    <row r="152" spans="1:26">
      <c r="A152" s="15"/>
      <c r="B152" s="26"/>
      <c r="C152" s="26"/>
      <c r="D152" s="26"/>
      <c r="E152" s="26"/>
      <c r="F152" s="15"/>
      <c r="G152" s="15"/>
      <c r="H152" s="15"/>
      <c r="I152" s="15"/>
      <c r="J152" s="15"/>
      <c r="K152" s="15"/>
      <c r="L152" s="15"/>
      <c r="M152" s="15"/>
      <c r="N152" s="15"/>
      <c r="O152" s="15"/>
      <c r="P152" s="15"/>
      <c r="Q152" s="15"/>
      <c r="R152" s="15"/>
      <c r="S152" s="15"/>
      <c r="T152" s="15"/>
      <c r="U152" s="15"/>
      <c r="V152" s="15"/>
      <c r="W152" s="15"/>
      <c r="X152" s="15"/>
      <c r="Y152" s="15"/>
      <c r="Z152" s="15"/>
    </row>
    <row r="153" spans="1:26">
      <c r="A153" s="15"/>
      <c r="B153" s="26"/>
      <c r="C153" s="26"/>
      <c r="D153" s="26"/>
      <c r="E153" s="26"/>
      <c r="F153" s="15"/>
      <c r="G153" s="15"/>
      <c r="H153" s="15"/>
      <c r="I153" s="15"/>
      <c r="J153" s="15"/>
      <c r="K153" s="15"/>
      <c r="L153" s="15"/>
      <c r="M153" s="15"/>
      <c r="N153" s="15"/>
      <c r="O153" s="15"/>
      <c r="P153" s="15"/>
      <c r="Q153" s="15"/>
      <c r="R153" s="15"/>
      <c r="S153" s="15"/>
      <c r="T153" s="15"/>
      <c r="U153" s="15"/>
      <c r="V153" s="15"/>
      <c r="W153" s="15"/>
      <c r="X153" s="15"/>
      <c r="Y153" s="15"/>
      <c r="Z153" s="15"/>
    </row>
    <row r="154" spans="1:26">
      <c r="A154" s="15"/>
      <c r="B154" s="26"/>
      <c r="C154" s="26"/>
      <c r="D154" s="26"/>
      <c r="E154" s="26"/>
      <c r="F154" s="15"/>
      <c r="G154" s="15"/>
      <c r="H154" s="15"/>
      <c r="I154" s="15"/>
      <c r="J154" s="15"/>
      <c r="K154" s="15"/>
      <c r="L154" s="15"/>
      <c r="M154" s="15"/>
      <c r="N154" s="15"/>
      <c r="O154" s="15"/>
      <c r="P154" s="15"/>
      <c r="Q154" s="15"/>
      <c r="R154" s="15"/>
      <c r="S154" s="15"/>
      <c r="T154" s="15"/>
      <c r="U154" s="15"/>
      <c r="V154" s="15"/>
      <c r="W154" s="15"/>
      <c r="X154" s="15"/>
      <c r="Y154" s="15"/>
      <c r="Z154" s="15"/>
    </row>
    <row r="155" spans="1:26">
      <c r="A155" s="15"/>
      <c r="B155" s="26"/>
      <c r="C155" s="26"/>
      <c r="D155" s="26"/>
      <c r="E155" s="26"/>
      <c r="F155" s="15"/>
      <c r="G155" s="15"/>
      <c r="H155" s="15"/>
      <c r="I155" s="15"/>
      <c r="J155" s="15"/>
      <c r="K155" s="15"/>
      <c r="L155" s="15"/>
      <c r="M155" s="15"/>
      <c r="N155" s="15"/>
      <c r="O155" s="15"/>
      <c r="P155" s="15"/>
      <c r="Q155" s="15"/>
      <c r="R155" s="15"/>
      <c r="S155" s="15"/>
      <c r="T155" s="15"/>
      <c r="U155" s="15"/>
      <c r="V155" s="15"/>
      <c r="W155" s="15"/>
      <c r="X155" s="15"/>
      <c r="Y155" s="15"/>
      <c r="Z155" s="15"/>
    </row>
    <row r="156" spans="1:26">
      <c r="A156" s="15"/>
      <c r="B156" s="26"/>
      <c r="C156" s="26"/>
      <c r="D156" s="26"/>
      <c r="E156" s="26"/>
      <c r="F156" s="15"/>
      <c r="G156" s="15"/>
      <c r="H156" s="15"/>
      <c r="I156" s="15"/>
      <c r="J156" s="15"/>
      <c r="K156" s="15"/>
      <c r="L156" s="15"/>
      <c r="M156" s="15"/>
      <c r="N156" s="15"/>
      <c r="O156" s="15"/>
      <c r="P156" s="15"/>
      <c r="Q156" s="15"/>
      <c r="R156" s="15"/>
      <c r="S156" s="15"/>
      <c r="T156" s="15"/>
      <c r="U156" s="15"/>
      <c r="V156" s="15"/>
      <c r="W156" s="15"/>
      <c r="X156" s="15"/>
      <c r="Y156" s="15"/>
      <c r="Z156" s="15"/>
    </row>
    <row r="157" spans="1:26">
      <c r="A157" s="15"/>
      <c r="B157" s="26"/>
      <c r="C157" s="26"/>
      <c r="D157" s="26"/>
      <c r="E157" s="26"/>
      <c r="F157" s="15"/>
      <c r="G157" s="15"/>
      <c r="H157" s="15"/>
      <c r="I157" s="15"/>
      <c r="J157" s="15"/>
      <c r="K157" s="15"/>
      <c r="L157" s="15"/>
      <c r="M157" s="15"/>
      <c r="N157" s="15"/>
      <c r="O157" s="15"/>
      <c r="P157" s="15"/>
      <c r="Q157" s="15"/>
      <c r="R157" s="15"/>
      <c r="S157" s="15"/>
      <c r="T157" s="15"/>
      <c r="U157" s="15"/>
      <c r="V157" s="15"/>
      <c r="W157" s="15"/>
      <c r="X157" s="15"/>
      <c r="Y157" s="15"/>
      <c r="Z157" s="15"/>
    </row>
    <row r="158" spans="1:26">
      <c r="A158" s="15"/>
      <c r="B158" s="26"/>
      <c r="C158" s="26"/>
      <c r="D158" s="26"/>
      <c r="E158" s="26"/>
      <c r="F158" s="15"/>
      <c r="G158" s="15"/>
      <c r="H158" s="15"/>
      <c r="I158" s="15"/>
      <c r="J158" s="15"/>
      <c r="K158" s="15"/>
      <c r="L158" s="15"/>
      <c r="M158" s="15"/>
      <c r="N158" s="15"/>
      <c r="O158" s="15"/>
      <c r="P158" s="15"/>
      <c r="Q158" s="15"/>
      <c r="R158" s="15"/>
      <c r="S158" s="15"/>
      <c r="T158" s="15"/>
      <c r="U158" s="15"/>
      <c r="V158" s="15"/>
      <c r="W158" s="15"/>
      <c r="X158" s="15"/>
      <c r="Y158" s="15"/>
      <c r="Z158" s="15"/>
    </row>
    <row r="159" spans="1:26">
      <c r="A159" s="15"/>
      <c r="B159" s="26"/>
      <c r="C159" s="26"/>
      <c r="D159" s="26"/>
      <c r="E159" s="26"/>
      <c r="F159" s="15"/>
      <c r="G159" s="15"/>
      <c r="H159" s="15"/>
      <c r="I159" s="15"/>
      <c r="J159" s="15"/>
      <c r="K159" s="15"/>
      <c r="L159" s="15"/>
      <c r="M159" s="15"/>
      <c r="N159" s="15"/>
      <c r="O159" s="15"/>
      <c r="P159" s="15"/>
      <c r="Q159" s="15"/>
      <c r="R159" s="15"/>
      <c r="S159" s="15"/>
      <c r="T159" s="15"/>
      <c r="U159" s="15"/>
      <c r="V159" s="15"/>
      <c r="W159" s="15"/>
      <c r="X159" s="15"/>
      <c r="Y159" s="15"/>
      <c r="Z159" s="15"/>
    </row>
    <row r="160" spans="1:26">
      <c r="A160" s="15"/>
      <c r="B160" s="26"/>
      <c r="C160" s="26"/>
      <c r="D160" s="26"/>
      <c r="E160" s="26"/>
      <c r="F160" s="15"/>
      <c r="G160" s="15"/>
      <c r="H160" s="15"/>
      <c r="I160" s="15"/>
      <c r="J160" s="15"/>
      <c r="K160" s="15"/>
      <c r="L160" s="15"/>
      <c r="M160" s="15"/>
      <c r="N160" s="15"/>
      <c r="O160" s="15"/>
      <c r="P160" s="15"/>
      <c r="Q160" s="15"/>
      <c r="R160" s="15"/>
      <c r="S160" s="15"/>
      <c r="T160" s="15"/>
      <c r="U160" s="15"/>
      <c r="V160" s="15"/>
      <c r="W160" s="15"/>
      <c r="X160" s="15"/>
      <c r="Y160" s="15"/>
      <c r="Z160" s="15"/>
    </row>
    <row r="161" spans="1:26">
      <c r="A161" s="15"/>
      <c r="B161" s="26"/>
      <c r="C161" s="26"/>
      <c r="D161" s="26"/>
      <c r="E161" s="26"/>
      <c r="F161" s="15"/>
      <c r="G161" s="15"/>
      <c r="H161" s="15"/>
      <c r="I161" s="15"/>
      <c r="J161" s="15"/>
      <c r="K161" s="15"/>
      <c r="L161" s="15"/>
      <c r="M161" s="15"/>
      <c r="N161" s="15"/>
      <c r="O161" s="15"/>
      <c r="P161" s="15"/>
      <c r="Q161" s="15"/>
      <c r="R161" s="15"/>
      <c r="S161" s="15"/>
      <c r="T161" s="15"/>
      <c r="U161" s="15"/>
      <c r="V161" s="15"/>
      <c r="W161" s="15"/>
      <c r="X161" s="15"/>
      <c r="Y161" s="15"/>
      <c r="Z161" s="15"/>
    </row>
    <row r="162" spans="1:26">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sheetData>
  <sheetProtection algorithmName="SHA-512" hashValue="3wDhOwZoJWichpGy4rXpsXtqblyQv2S//M9AUeaybzF2MYjpFilq4KNbSl0YrKXjd3UuC5u9rmcEbt9wOUSbtw==" saltValue="lSX60W3OlRijwSrh47Cgjg==" spinCount="100000" sheet="1" objects="1" scenarios="1"/>
  <mergeCells count="3">
    <mergeCell ref="E8:E10"/>
    <mergeCell ref="E16:E18"/>
    <mergeCell ref="E24:E26"/>
  </mergeCells>
  <dataValidations xWindow="546" yWindow="226" count="1">
    <dataValidation type="list" allowBlank="1" showInputMessage="1" showErrorMessage="1" promptTitle="Manual Override" prompt="Select whether to allow model to calculate or to manually override" sqref="C90 C95 C14 C4 C22 C38:C39 C33:C34">
      <formula1>Manual_override</formula1>
    </dataValidation>
  </dataValidations>
  <hyperlinks>
    <hyperlink ref="H1" location="Guide" display="Guide"/>
    <hyperlink ref="H2" location="Input" display="Input"/>
  </hyperlinks>
  <pageMargins left="0.7" right="0.7" top="0.75" bottom="0.75" header="0.3" footer="0.3"/>
  <pageSetup paperSize="9" scale="41" orientation="portrait" r:id="rId1"/>
  <headerFooter>
    <oddFooter>&amp;LNova Scotia Exploration Economics Model&amp;Rwww.indeva.com</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9" tint="-0.249977111117893"/>
  </sheetPr>
  <dimension ref="A1:BI107"/>
  <sheetViews>
    <sheetView showGridLines="0" showRowColHeaders="0" zoomScale="60" zoomScaleNormal="60" workbookViewId="0">
      <pane xSplit="1" ySplit="7" topLeftCell="B8" activePane="bottomRight" state="frozen"/>
      <selection activeCell="D43" sqref="D43"/>
      <selection pane="topRight" activeCell="D43" sqref="D43"/>
      <selection pane="bottomLeft" activeCell="D43" sqref="D43"/>
      <selection pane="bottomRight" activeCell="BB13" sqref="BB13:BB15"/>
    </sheetView>
  </sheetViews>
  <sheetFormatPr defaultRowHeight="14.5"/>
  <cols>
    <col min="1" max="1" width="14.453125" customWidth="1"/>
    <col min="2" max="2" width="15.26953125" customWidth="1"/>
    <col min="3" max="9" width="11.7265625" customWidth="1"/>
    <col min="10" max="11" width="12.26953125" customWidth="1"/>
    <col min="12" max="12" width="16.26953125" customWidth="1"/>
    <col min="13" max="21" width="11.7265625" customWidth="1"/>
    <col min="22" max="22" width="14.54296875" customWidth="1"/>
    <col min="23" max="31" width="11.7265625" customWidth="1"/>
    <col min="32" max="32" width="15.26953125" customWidth="1"/>
    <col min="33" max="66" width="11.7265625" customWidth="1"/>
  </cols>
  <sheetData>
    <row r="1" spans="1:61" ht="18.5">
      <c r="A1" s="107" t="s">
        <v>768</v>
      </c>
      <c r="B1" s="5" t="s">
        <v>568</v>
      </c>
      <c r="C1" s="5"/>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spans="1:61" ht="18.5">
      <c r="A2" s="107" t="s">
        <v>143</v>
      </c>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row>
    <row r="3" spans="1:61">
      <c r="A3" s="1" t="s">
        <v>430</v>
      </c>
      <c r="B3" s="46" t="s">
        <v>569</v>
      </c>
      <c r="C3" s="46"/>
      <c r="D3" s="1"/>
      <c r="E3" s="1"/>
      <c r="F3" s="1"/>
      <c r="G3" s="1"/>
      <c r="H3" s="1"/>
      <c r="I3" s="1"/>
      <c r="J3" s="1"/>
      <c r="K3" s="1"/>
      <c r="L3" s="46" t="s">
        <v>570</v>
      </c>
      <c r="M3" s="46"/>
      <c r="N3" s="1"/>
      <c r="O3" s="1"/>
      <c r="P3" s="1"/>
      <c r="Q3" s="1"/>
      <c r="R3" s="1"/>
      <c r="S3" s="1"/>
      <c r="T3" s="1"/>
      <c r="U3" s="1"/>
      <c r="V3" s="46" t="s">
        <v>571</v>
      </c>
      <c r="W3" s="46"/>
      <c r="X3" s="1"/>
      <c r="Y3" s="1"/>
      <c r="Z3" s="1"/>
      <c r="AA3" s="1"/>
      <c r="AB3" s="1"/>
      <c r="AC3" s="1"/>
      <c r="AD3" s="1"/>
      <c r="AE3" s="1"/>
      <c r="AF3" s="46" t="s">
        <v>572</v>
      </c>
      <c r="AG3" s="46"/>
      <c r="AH3" s="1"/>
      <c r="AI3" s="1"/>
      <c r="AJ3" s="1"/>
      <c r="AK3" s="1"/>
      <c r="AL3" s="1"/>
      <c r="AM3" s="1"/>
      <c r="AN3" s="1"/>
      <c r="AO3" s="1"/>
      <c r="AP3" s="46" t="s">
        <v>573</v>
      </c>
      <c r="AQ3" s="46"/>
      <c r="AR3" s="1"/>
      <c r="AS3" s="1"/>
      <c r="AT3" s="1"/>
      <c r="AU3" s="1"/>
      <c r="AV3" s="1"/>
      <c r="AW3" s="1"/>
      <c r="AX3" s="1"/>
      <c r="AY3" s="1"/>
      <c r="AZ3" s="1"/>
      <c r="BA3" s="1"/>
      <c r="BB3" s="1"/>
      <c r="BC3" s="1"/>
      <c r="BD3" s="1"/>
      <c r="BE3" s="1"/>
      <c r="BF3" s="1"/>
      <c r="BG3" s="1"/>
      <c r="BH3" s="1"/>
      <c r="BI3" s="1"/>
    </row>
    <row r="4" spans="1:61">
      <c r="A4" s="1" t="s">
        <v>475</v>
      </c>
      <c r="B4" s="60" t="s">
        <v>115</v>
      </c>
      <c r="C4" s="95">
        <v>42309</v>
      </c>
      <c r="D4" s="1"/>
      <c r="E4" s="1"/>
      <c r="F4" s="1"/>
      <c r="G4" s="1"/>
      <c r="H4" s="1"/>
      <c r="I4" s="1"/>
      <c r="J4" s="1"/>
      <c r="K4" s="1"/>
      <c r="L4" s="60" t="s">
        <v>1061</v>
      </c>
      <c r="M4" s="95">
        <f>C4</f>
        <v>42309</v>
      </c>
      <c r="N4" s="108">
        <v>1.4999999999999999E-2</v>
      </c>
      <c r="O4" s="1"/>
      <c r="P4" s="1"/>
      <c r="Q4" s="1"/>
      <c r="R4" s="1"/>
      <c r="S4" s="1"/>
      <c r="T4" s="1"/>
      <c r="U4" s="1"/>
      <c r="V4" s="60" t="s">
        <v>1062</v>
      </c>
      <c r="W4" s="95">
        <f>M4</f>
        <v>42309</v>
      </c>
      <c r="X4" s="108">
        <v>0.03</v>
      </c>
      <c r="Y4" s="1"/>
      <c r="Z4" s="1"/>
      <c r="AA4" s="1"/>
      <c r="AB4" s="1"/>
      <c r="AC4" s="1"/>
      <c r="AD4" s="1"/>
      <c r="AE4" s="1"/>
      <c r="AF4" s="60" t="s">
        <v>1063</v>
      </c>
      <c r="AG4" s="95">
        <f>W4</f>
        <v>42309</v>
      </c>
      <c r="AH4" s="108">
        <v>-1.4999999999999999E-2</v>
      </c>
      <c r="AI4" s="1"/>
      <c r="AJ4" s="1"/>
      <c r="AK4" s="1"/>
      <c r="AL4" s="1"/>
      <c r="AM4" s="1"/>
      <c r="AN4" s="1"/>
      <c r="AO4" s="1"/>
      <c r="AP4" s="60" t="s">
        <v>746</v>
      </c>
      <c r="AQ4" s="95">
        <f>AG4</f>
        <v>42309</v>
      </c>
      <c r="AR4" s="1"/>
      <c r="AS4" s="1"/>
      <c r="AT4" s="1"/>
      <c r="AU4" s="1"/>
      <c r="AV4" s="1"/>
      <c r="AW4" s="1"/>
      <c r="AX4" s="1"/>
      <c r="AY4" s="1"/>
      <c r="AZ4" s="1"/>
      <c r="BA4" s="1"/>
      <c r="BB4" s="1"/>
      <c r="BC4" s="1"/>
      <c r="BD4" s="1"/>
      <c r="BE4" s="1"/>
      <c r="BF4" s="1"/>
      <c r="BG4" s="1"/>
      <c r="BH4" s="1"/>
      <c r="BI4" s="1"/>
    </row>
    <row r="5" spans="1:61" ht="15" customHeight="1">
      <c r="A5" s="10"/>
      <c r="B5" s="7" t="s">
        <v>757</v>
      </c>
      <c r="C5" s="7" t="s">
        <v>757</v>
      </c>
      <c r="D5" s="7" t="s">
        <v>757</v>
      </c>
      <c r="E5" s="7" t="s">
        <v>574</v>
      </c>
      <c r="F5" s="7" t="s">
        <v>436</v>
      </c>
      <c r="G5" s="7" t="s">
        <v>437</v>
      </c>
      <c r="H5" s="101" t="s">
        <v>784</v>
      </c>
      <c r="I5" s="7" t="s">
        <v>785</v>
      </c>
      <c r="J5" s="584" t="s">
        <v>786</v>
      </c>
      <c r="K5" s="1"/>
      <c r="L5" s="7" t="s">
        <v>757</v>
      </c>
      <c r="M5" s="7" t="s">
        <v>757</v>
      </c>
      <c r="N5" s="7" t="s">
        <v>757</v>
      </c>
      <c r="O5" s="7" t="s">
        <v>574</v>
      </c>
      <c r="P5" s="7" t="s">
        <v>436</v>
      </c>
      <c r="Q5" s="7" t="s">
        <v>437</v>
      </c>
      <c r="R5" s="101" t="s">
        <v>784</v>
      </c>
      <c r="S5" s="7" t="s">
        <v>785</v>
      </c>
      <c r="T5" s="584" t="s">
        <v>786</v>
      </c>
      <c r="U5" s="1"/>
      <c r="V5" s="7" t="s">
        <v>757</v>
      </c>
      <c r="W5" s="7" t="s">
        <v>757</v>
      </c>
      <c r="X5" s="7" t="s">
        <v>757</v>
      </c>
      <c r="Y5" s="7" t="s">
        <v>574</v>
      </c>
      <c r="Z5" s="7" t="s">
        <v>436</v>
      </c>
      <c r="AA5" s="7" t="s">
        <v>437</v>
      </c>
      <c r="AB5" s="101" t="s">
        <v>784</v>
      </c>
      <c r="AC5" s="7" t="s">
        <v>785</v>
      </c>
      <c r="AD5" s="584" t="s">
        <v>786</v>
      </c>
      <c r="AE5" s="1"/>
      <c r="AF5" s="7" t="s">
        <v>757</v>
      </c>
      <c r="AG5" s="7" t="s">
        <v>757</v>
      </c>
      <c r="AH5" s="7" t="s">
        <v>757</v>
      </c>
      <c r="AI5" s="7" t="s">
        <v>574</v>
      </c>
      <c r="AJ5" s="7" t="s">
        <v>436</v>
      </c>
      <c r="AK5" s="7" t="s">
        <v>437</v>
      </c>
      <c r="AL5" s="101" t="s">
        <v>784</v>
      </c>
      <c r="AM5" s="7" t="s">
        <v>785</v>
      </c>
      <c r="AN5" s="584" t="s">
        <v>786</v>
      </c>
      <c r="AO5" s="1"/>
      <c r="AP5" s="7" t="s">
        <v>757</v>
      </c>
      <c r="AQ5" s="7" t="s">
        <v>757</v>
      </c>
      <c r="AR5" s="7" t="s">
        <v>757</v>
      </c>
      <c r="AS5" s="7" t="s">
        <v>574</v>
      </c>
      <c r="AT5" s="7" t="s">
        <v>436</v>
      </c>
      <c r="AU5" s="7" t="s">
        <v>437</v>
      </c>
      <c r="AV5" s="101" t="s">
        <v>784</v>
      </c>
      <c r="AW5" s="7" t="s">
        <v>785</v>
      </c>
      <c r="AX5" s="584" t="s">
        <v>786</v>
      </c>
      <c r="AY5" s="1"/>
      <c r="AZ5" s="1"/>
      <c r="BA5" s="1"/>
      <c r="BB5" s="1"/>
      <c r="BC5" s="1"/>
      <c r="BD5" s="1"/>
      <c r="BE5" s="1"/>
      <c r="BF5" s="1"/>
      <c r="BG5" s="1"/>
      <c r="BH5" s="1"/>
      <c r="BI5" s="1"/>
    </row>
    <row r="6" spans="1:61">
      <c r="A6" s="47" t="s">
        <v>14</v>
      </c>
      <c r="B6" s="8" t="s">
        <v>1053</v>
      </c>
      <c r="C6" s="8" t="s">
        <v>758</v>
      </c>
      <c r="D6" s="8" t="s">
        <v>439</v>
      </c>
      <c r="E6" s="8" t="s">
        <v>444</v>
      </c>
      <c r="F6" s="8" t="s">
        <v>438</v>
      </c>
      <c r="G6" s="8" t="s">
        <v>440</v>
      </c>
      <c r="H6" s="110"/>
      <c r="I6" s="8" t="s">
        <v>758</v>
      </c>
      <c r="J6" s="585"/>
      <c r="K6" s="1"/>
      <c r="L6" s="8" t="s">
        <v>1053</v>
      </c>
      <c r="M6" s="8" t="s">
        <v>758</v>
      </c>
      <c r="N6" s="8" t="s">
        <v>439</v>
      </c>
      <c r="O6" s="8" t="s">
        <v>444</v>
      </c>
      <c r="P6" s="8" t="s">
        <v>438</v>
      </c>
      <c r="Q6" s="8" t="s">
        <v>440</v>
      </c>
      <c r="R6" s="110"/>
      <c r="S6" s="8" t="s">
        <v>758</v>
      </c>
      <c r="T6" s="585"/>
      <c r="U6" s="1"/>
      <c r="V6" s="8" t="s">
        <v>1053</v>
      </c>
      <c r="W6" s="8" t="s">
        <v>758</v>
      </c>
      <c r="X6" s="8" t="s">
        <v>439</v>
      </c>
      <c r="Y6" s="8" t="s">
        <v>444</v>
      </c>
      <c r="Z6" s="8" t="s">
        <v>438</v>
      </c>
      <c r="AA6" s="8" t="s">
        <v>440</v>
      </c>
      <c r="AB6" s="110"/>
      <c r="AC6" s="8" t="s">
        <v>758</v>
      </c>
      <c r="AD6" s="585"/>
      <c r="AE6" s="1"/>
      <c r="AF6" s="8" t="s">
        <v>1053</v>
      </c>
      <c r="AG6" s="8" t="s">
        <v>758</v>
      </c>
      <c r="AH6" s="8" t="s">
        <v>439</v>
      </c>
      <c r="AI6" s="8" t="s">
        <v>444</v>
      </c>
      <c r="AJ6" s="8" t="s">
        <v>438</v>
      </c>
      <c r="AK6" s="8" t="s">
        <v>440</v>
      </c>
      <c r="AL6" s="110"/>
      <c r="AM6" s="8" t="s">
        <v>758</v>
      </c>
      <c r="AN6" s="585"/>
      <c r="AO6" s="1"/>
      <c r="AP6" s="8" t="s">
        <v>1053</v>
      </c>
      <c r="AQ6" s="8" t="s">
        <v>758</v>
      </c>
      <c r="AR6" s="8" t="s">
        <v>439</v>
      </c>
      <c r="AS6" s="8" t="s">
        <v>444</v>
      </c>
      <c r="AT6" s="8" t="s">
        <v>438</v>
      </c>
      <c r="AU6" s="8" t="s">
        <v>440</v>
      </c>
      <c r="AV6" s="110"/>
      <c r="AW6" s="8" t="s">
        <v>758</v>
      </c>
      <c r="AX6" s="585"/>
      <c r="AY6" s="1"/>
      <c r="AZ6" s="1"/>
      <c r="BA6" s="1"/>
      <c r="BB6" s="1"/>
      <c r="BC6" s="1"/>
      <c r="BD6" s="1"/>
      <c r="BE6" s="1"/>
      <c r="BF6" s="1"/>
      <c r="BG6" s="1"/>
      <c r="BH6" s="1"/>
      <c r="BI6" s="1"/>
    </row>
    <row r="7" spans="1:61">
      <c r="A7" s="48"/>
      <c r="B7" s="9" t="s">
        <v>441</v>
      </c>
      <c r="C7" s="9" t="s">
        <v>441</v>
      </c>
      <c r="D7" s="9" t="s">
        <v>442</v>
      </c>
      <c r="E7" s="9" t="s">
        <v>443</v>
      </c>
      <c r="F7" s="9"/>
      <c r="G7" s="9" t="s">
        <v>444</v>
      </c>
      <c r="H7" s="111"/>
      <c r="I7" s="9" t="s">
        <v>441</v>
      </c>
      <c r="J7" s="586"/>
      <c r="K7" s="1"/>
      <c r="L7" s="9" t="s">
        <v>441</v>
      </c>
      <c r="M7" s="9" t="s">
        <v>441</v>
      </c>
      <c r="N7" s="9" t="s">
        <v>442</v>
      </c>
      <c r="O7" s="9" t="s">
        <v>443</v>
      </c>
      <c r="P7" s="9"/>
      <c r="Q7" s="9" t="s">
        <v>444</v>
      </c>
      <c r="R7" s="111"/>
      <c r="S7" s="9" t="s">
        <v>441</v>
      </c>
      <c r="T7" s="586"/>
      <c r="U7" s="1"/>
      <c r="V7" s="9" t="s">
        <v>441</v>
      </c>
      <c r="W7" s="9" t="s">
        <v>441</v>
      </c>
      <c r="X7" s="9" t="s">
        <v>442</v>
      </c>
      <c r="Y7" s="9" t="s">
        <v>443</v>
      </c>
      <c r="Z7" s="9"/>
      <c r="AA7" s="9" t="s">
        <v>444</v>
      </c>
      <c r="AB7" s="111"/>
      <c r="AC7" s="9" t="s">
        <v>441</v>
      </c>
      <c r="AD7" s="586"/>
      <c r="AE7" s="1"/>
      <c r="AF7" s="9" t="s">
        <v>441</v>
      </c>
      <c r="AG7" s="9" t="s">
        <v>441</v>
      </c>
      <c r="AH7" s="9" t="s">
        <v>442</v>
      </c>
      <c r="AI7" s="9" t="s">
        <v>443</v>
      </c>
      <c r="AJ7" s="9"/>
      <c r="AK7" s="9" t="s">
        <v>444</v>
      </c>
      <c r="AL7" s="111"/>
      <c r="AM7" s="9" t="s">
        <v>441</v>
      </c>
      <c r="AN7" s="586"/>
      <c r="AO7" s="1"/>
      <c r="AP7" s="9" t="s">
        <v>441</v>
      </c>
      <c r="AQ7" s="9" t="s">
        <v>441</v>
      </c>
      <c r="AR7" s="9" t="s">
        <v>442</v>
      </c>
      <c r="AS7" s="9" t="s">
        <v>443</v>
      </c>
      <c r="AT7" s="9"/>
      <c r="AU7" s="9" t="s">
        <v>444</v>
      </c>
      <c r="AV7" s="111"/>
      <c r="AW7" s="9" t="s">
        <v>441</v>
      </c>
      <c r="AX7" s="586"/>
      <c r="AY7" s="1"/>
      <c r="AZ7" s="1"/>
      <c r="BA7" s="1"/>
      <c r="BB7" s="1"/>
      <c r="BC7" s="1"/>
      <c r="BD7" s="1"/>
      <c r="BE7" s="1"/>
      <c r="BF7" s="1"/>
      <c r="BG7" s="1"/>
      <c r="BH7" s="1"/>
      <c r="BI7" s="1"/>
    </row>
    <row r="8" spans="1:61">
      <c r="A8" s="1"/>
      <c r="B8" s="1"/>
      <c r="C8" s="1"/>
      <c r="D8" s="1"/>
      <c r="E8" s="1"/>
      <c r="F8" s="1"/>
      <c r="G8" s="1"/>
      <c r="H8" s="51"/>
      <c r="I8" s="12"/>
      <c r="J8" s="12"/>
      <c r="K8" s="1"/>
      <c r="L8" s="1"/>
      <c r="M8" s="1"/>
      <c r="N8" s="1"/>
      <c r="O8" s="1"/>
      <c r="P8" s="1"/>
      <c r="Q8" s="1"/>
      <c r="R8" s="51"/>
      <c r="S8" s="12"/>
      <c r="T8" s="12"/>
      <c r="U8" s="1"/>
      <c r="V8" s="1"/>
      <c r="W8" s="1"/>
      <c r="X8" s="1"/>
      <c r="Y8" s="1"/>
      <c r="Z8" s="1"/>
      <c r="AA8" s="1"/>
      <c r="AB8" s="51"/>
      <c r="AC8" s="12"/>
      <c r="AD8" s="12"/>
      <c r="AE8" s="1"/>
      <c r="AF8" s="1"/>
      <c r="AG8" s="1"/>
      <c r="AH8" s="1"/>
      <c r="AI8" s="1"/>
      <c r="AJ8" s="1"/>
      <c r="AK8" s="1"/>
      <c r="AL8" s="51"/>
      <c r="AM8" s="12"/>
      <c r="AN8" s="12"/>
      <c r="AO8" s="1"/>
      <c r="AP8" s="1"/>
      <c r="AQ8" s="1"/>
      <c r="AR8" s="1"/>
      <c r="AS8" s="1"/>
      <c r="AT8" s="1"/>
      <c r="AU8" s="1"/>
      <c r="AV8" s="51"/>
      <c r="AW8" s="12"/>
      <c r="AX8" s="12"/>
      <c r="AY8" s="1"/>
      <c r="AZ8" s="1"/>
      <c r="BA8" s="1"/>
      <c r="BB8" s="1"/>
      <c r="BC8" s="1"/>
      <c r="BD8" s="1"/>
      <c r="BE8" s="1"/>
      <c r="BF8" s="1"/>
      <c r="BG8" s="1"/>
      <c r="BH8" s="1"/>
      <c r="BI8" s="1"/>
    </row>
    <row r="9" spans="1:61" ht="29">
      <c r="A9" s="50" t="s">
        <v>759</v>
      </c>
      <c r="B9" s="61">
        <v>0</v>
      </c>
      <c r="C9" s="61">
        <v>0</v>
      </c>
      <c r="D9" s="61">
        <v>0</v>
      </c>
      <c r="E9" s="1"/>
      <c r="F9" s="1"/>
      <c r="G9" s="1"/>
      <c r="H9" s="12"/>
      <c r="I9" s="12"/>
      <c r="J9" s="12"/>
      <c r="K9" s="1"/>
      <c r="L9" s="6">
        <f>$B$9</f>
        <v>0</v>
      </c>
      <c r="M9" s="6">
        <f>$C$9</f>
        <v>0</v>
      </c>
      <c r="N9" s="6">
        <f>$D$9</f>
        <v>0</v>
      </c>
      <c r="O9" s="1"/>
      <c r="P9" s="1"/>
      <c r="Q9" s="1"/>
      <c r="R9" s="12"/>
      <c r="S9" s="12"/>
      <c r="T9" s="12"/>
      <c r="U9" s="1"/>
      <c r="V9" s="6">
        <f>$B$9</f>
        <v>0</v>
      </c>
      <c r="W9" s="6">
        <f>$C$9</f>
        <v>0</v>
      </c>
      <c r="X9" s="6">
        <f>$D$9</f>
        <v>0</v>
      </c>
      <c r="Y9" s="1"/>
      <c r="Z9" s="1"/>
      <c r="AA9" s="1"/>
      <c r="AB9" s="12"/>
      <c r="AC9" s="12"/>
      <c r="AD9" s="12"/>
      <c r="AE9" s="1"/>
      <c r="AF9" s="6">
        <f>$B$9</f>
        <v>0</v>
      </c>
      <c r="AG9" s="6">
        <f>$C$9</f>
        <v>0</v>
      </c>
      <c r="AH9" s="6">
        <f>$D$9</f>
        <v>0</v>
      </c>
      <c r="AI9" s="1"/>
      <c r="AJ9" s="1"/>
      <c r="AK9" s="1"/>
      <c r="AL9" s="12"/>
      <c r="AM9" s="12"/>
      <c r="AN9" s="12"/>
      <c r="AO9" s="1"/>
      <c r="AP9" s="6">
        <f>$B$9</f>
        <v>0</v>
      </c>
      <c r="AQ9" s="6">
        <f>$C$9</f>
        <v>0</v>
      </c>
      <c r="AR9" s="6">
        <f>$D$9</f>
        <v>0</v>
      </c>
      <c r="AS9" s="1"/>
      <c r="AT9" s="1"/>
      <c r="AU9" s="1"/>
      <c r="AV9" s="12"/>
      <c r="AW9" s="12"/>
      <c r="AX9" s="12"/>
      <c r="AY9" s="1"/>
      <c r="AZ9" s="1"/>
      <c r="BA9" s="1"/>
      <c r="BB9" s="1"/>
      <c r="BC9" s="1"/>
      <c r="BD9" s="1"/>
      <c r="BE9" s="1"/>
      <c r="BF9" s="1"/>
      <c r="BG9" s="1"/>
      <c r="BH9" s="1"/>
      <c r="BI9" s="1"/>
    </row>
    <row r="10" spans="1:61">
      <c r="A10" s="1"/>
      <c r="B10" s="1"/>
      <c r="C10" s="1"/>
      <c r="D10" s="1"/>
      <c r="E10" s="1"/>
      <c r="F10" s="1"/>
      <c r="G10" s="1"/>
      <c r="H10" s="12"/>
      <c r="I10" s="12"/>
      <c r="J10" s="12"/>
      <c r="K10" s="1"/>
      <c r="L10" s="1"/>
      <c r="M10" s="1"/>
      <c r="N10" s="1"/>
      <c r="O10" s="1"/>
      <c r="P10" s="1"/>
      <c r="Q10" s="1"/>
      <c r="R10" s="12"/>
      <c r="S10" s="12"/>
      <c r="T10" s="12"/>
      <c r="U10" s="1"/>
      <c r="V10" s="1"/>
      <c r="W10" s="1"/>
      <c r="X10" s="1"/>
      <c r="Y10" s="1"/>
      <c r="Z10" s="1"/>
      <c r="AA10" s="1"/>
      <c r="AB10" s="12"/>
      <c r="AC10" s="12"/>
      <c r="AD10" s="12"/>
      <c r="AE10" s="1"/>
      <c r="AF10" s="1"/>
      <c r="AG10" s="1"/>
      <c r="AH10" s="1"/>
      <c r="AI10" s="1"/>
      <c r="AJ10" s="1"/>
      <c r="AK10" s="1"/>
      <c r="AL10" s="12"/>
      <c r="AM10" s="12"/>
      <c r="AN10" s="12"/>
      <c r="AO10" s="1"/>
      <c r="AP10" s="1"/>
      <c r="AQ10" s="1"/>
      <c r="AR10" s="1"/>
      <c r="AS10" s="1"/>
      <c r="AT10" s="1"/>
      <c r="AU10" s="1"/>
      <c r="AV10" s="12"/>
      <c r="AW10" s="12"/>
      <c r="AX10" s="12"/>
      <c r="AY10" s="1"/>
      <c r="AZ10" s="1"/>
      <c r="BA10" s="1"/>
      <c r="BB10" s="1"/>
      <c r="BC10" s="1"/>
      <c r="BD10" s="1"/>
      <c r="BE10" s="1"/>
      <c r="BF10" s="1"/>
      <c r="BG10" s="1"/>
      <c r="BH10" s="1"/>
      <c r="BI10" s="1"/>
    </row>
    <row r="11" spans="1:61">
      <c r="A11" s="1"/>
      <c r="B11" s="1"/>
      <c r="C11" s="1"/>
      <c r="D11" s="1"/>
      <c r="E11" s="1"/>
      <c r="F11" s="1"/>
      <c r="G11" s="1"/>
      <c r="H11" s="52"/>
      <c r="I11" s="12"/>
      <c r="J11" s="12"/>
      <c r="K11" s="1"/>
      <c r="L11" s="1"/>
      <c r="M11" s="1"/>
      <c r="N11" s="1"/>
      <c r="O11" s="1"/>
      <c r="P11" s="1"/>
      <c r="Q11" s="1"/>
      <c r="R11" s="52"/>
      <c r="S11" s="12"/>
      <c r="T11" s="12"/>
      <c r="U11" s="1"/>
      <c r="V11" s="1"/>
      <c r="W11" s="1"/>
      <c r="X11" s="1"/>
      <c r="Y11" s="1"/>
      <c r="Z11" s="1"/>
      <c r="AA11" s="1"/>
      <c r="AB11" s="52"/>
      <c r="AC11" s="12"/>
      <c r="AD11" s="12"/>
      <c r="AE11" s="1"/>
      <c r="AF11" s="1"/>
      <c r="AG11" s="1"/>
      <c r="AH11" s="1"/>
      <c r="AI11" s="1"/>
      <c r="AJ11" s="1"/>
      <c r="AK11" s="1"/>
      <c r="AL11" s="52"/>
      <c r="AM11" s="12"/>
      <c r="AN11" s="12"/>
      <c r="AO11" s="1"/>
      <c r="AP11" s="1"/>
      <c r="AQ11" s="1"/>
      <c r="AR11" s="1"/>
      <c r="AS11" s="1"/>
      <c r="AT11" s="1"/>
      <c r="AU11" s="1"/>
      <c r="AV11" s="52"/>
      <c r="AW11" s="12"/>
      <c r="AX11" s="12"/>
      <c r="AY11" s="1"/>
      <c r="AZ11" s="1"/>
      <c r="BA11" s="1"/>
      <c r="BB11" s="1"/>
      <c r="BC11" s="1"/>
      <c r="BD11" s="1"/>
      <c r="BE11" s="1"/>
      <c r="BF11" s="1"/>
      <c r="BG11" s="1"/>
      <c r="BH11" s="1"/>
      <c r="BI11" s="1"/>
    </row>
    <row r="12" spans="1:61">
      <c r="A12" s="10">
        <v>2012</v>
      </c>
      <c r="B12" s="62">
        <f>C12*1.08</f>
        <v>112.32000000000001</v>
      </c>
      <c r="C12" s="61">
        <v>104</v>
      </c>
      <c r="D12" s="61">
        <v>2.6</v>
      </c>
      <c r="E12" s="61">
        <v>1</v>
      </c>
      <c r="F12" s="54">
        <v>2.5000000000000001E-2</v>
      </c>
      <c r="G12" s="54">
        <v>2.5000000000000001E-2</v>
      </c>
      <c r="H12" s="178">
        <f>1</f>
        <v>1</v>
      </c>
      <c r="I12" s="178">
        <f>C12*H12</f>
        <v>104</v>
      </c>
      <c r="J12" s="182">
        <f>D12*H12</f>
        <v>2.6</v>
      </c>
      <c r="K12" s="1"/>
      <c r="L12" s="61">
        <f>$B12</f>
        <v>112.32000000000001</v>
      </c>
      <c r="M12" s="61">
        <f>$C12</f>
        <v>104</v>
      </c>
      <c r="N12" s="61">
        <f>$D12</f>
        <v>2.6</v>
      </c>
      <c r="O12" s="62">
        <f>E12</f>
        <v>1</v>
      </c>
      <c r="P12" s="54">
        <v>2.5000000000000001E-2</v>
      </c>
      <c r="Q12" s="54">
        <v>2.5000000000000001E-2</v>
      </c>
      <c r="R12" s="91">
        <f>1</f>
        <v>1</v>
      </c>
      <c r="S12" s="91">
        <f>M12*R12</f>
        <v>104</v>
      </c>
      <c r="T12" s="6">
        <f>N12*R12</f>
        <v>2.6</v>
      </c>
      <c r="U12" s="1"/>
      <c r="V12" s="61">
        <f>$B12</f>
        <v>112.32000000000001</v>
      </c>
      <c r="W12" s="61">
        <f>$C12</f>
        <v>104</v>
      </c>
      <c r="X12" s="61">
        <f>$D12</f>
        <v>2.6</v>
      </c>
      <c r="Y12" s="62">
        <f>O12</f>
        <v>1</v>
      </c>
      <c r="Z12" s="54">
        <v>2.5000000000000001E-2</v>
      </c>
      <c r="AA12" s="54">
        <v>2.5000000000000001E-2</v>
      </c>
      <c r="AB12" s="91">
        <f>1</f>
        <v>1</v>
      </c>
      <c r="AC12" s="91">
        <f>W12*AB12</f>
        <v>104</v>
      </c>
      <c r="AD12" s="6">
        <f>X12*AB12</f>
        <v>2.6</v>
      </c>
      <c r="AE12" s="1"/>
      <c r="AF12" s="61">
        <f>$B12</f>
        <v>112.32000000000001</v>
      </c>
      <c r="AG12" s="61">
        <f>$C12</f>
        <v>104</v>
      </c>
      <c r="AH12" s="61">
        <f>$D12</f>
        <v>2.6</v>
      </c>
      <c r="AI12" s="62">
        <f>E12</f>
        <v>1</v>
      </c>
      <c r="AJ12" s="54">
        <v>2.5000000000000001E-2</v>
      </c>
      <c r="AK12" s="54">
        <v>2.5000000000000001E-2</v>
      </c>
      <c r="AL12" s="91">
        <f>1</f>
        <v>1</v>
      </c>
      <c r="AM12" s="91">
        <f>AG12*AL12</f>
        <v>104</v>
      </c>
      <c r="AN12" s="6">
        <f>AH12*AL12</f>
        <v>2.6</v>
      </c>
      <c r="AO12" s="1"/>
      <c r="AP12" s="61">
        <f>$B12</f>
        <v>112.32000000000001</v>
      </c>
      <c r="AQ12" s="61">
        <f>$C12</f>
        <v>104</v>
      </c>
      <c r="AR12" s="61">
        <f>$D12</f>
        <v>2.6</v>
      </c>
      <c r="AS12" s="62">
        <f>E12</f>
        <v>1</v>
      </c>
      <c r="AT12" s="54">
        <v>2.5000000000000001E-2</v>
      </c>
      <c r="AU12" s="54">
        <v>2.5000000000000001E-2</v>
      </c>
      <c r="AV12" s="91">
        <f>1</f>
        <v>1</v>
      </c>
      <c r="AW12" s="91">
        <f>AQ12*AV12</f>
        <v>104</v>
      </c>
      <c r="AX12" s="6">
        <f>AR12*AV12</f>
        <v>2.6</v>
      </c>
      <c r="AY12" s="1"/>
      <c r="AZ12" s="1"/>
      <c r="BA12" s="1"/>
      <c r="BB12" s="1"/>
      <c r="BC12" s="1"/>
      <c r="BD12" s="1"/>
      <c r="BE12" s="1"/>
      <c r="BF12" s="1"/>
      <c r="BG12" s="1"/>
      <c r="BH12" s="1"/>
      <c r="BI12" s="1"/>
    </row>
    <row r="13" spans="1:61">
      <c r="A13" s="47">
        <f>A12+1</f>
        <v>2013</v>
      </c>
      <c r="B13" s="62">
        <f t="shared" ref="B13:B14" si="0">C13*1.08</f>
        <v>112.32000000000001</v>
      </c>
      <c r="C13" s="61">
        <v>104</v>
      </c>
      <c r="D13" s="61">
        <v>3.6</v>
      </c>
      <c r="E13" s="62">
        <v>1</v>
      </c>
      <c r="F13" s="54">
        <v>2.5000000000000001E-2</v>
      </c>
      <c r="G13" s="54">
        <f>G12</f>
        <v>2.5000000000000001E-2</v>
      </c>
      <c r="H13" s="178">
        <f>H12/(1+F13)</f>
        <v>0.97560975609756106</v>
      </c>
      <c r="I13" s="178">
        <f t="shared" ref="I13:I60" si="1">C13*H13</f>
        <v>101.46341463414635</v>
      </c>
      <c r="J13" s="182">
        <f t="shared" ref="J13:J60" si="2">D13*H13</f>
        <v>3.51219512195122</v>
      </c>
      <c r="K13" s="1"/>
      <c r="L13" s="61">
        <f t="shared" ref="L13:L16" si="3">$B13</f>
        <v>112.32000000000001</v>
      </c>
      <c r="M13" s="61">
        <f t="shared" ref="M13:M16" si="4">$C13</f>
        <v>104</v>
      </c>
      <c r="N13" s="61">
        <f t="shared" ref="N13:N16" si="5">$D13</f>
        <v>3.6</v>
      </c>
      <c r="O13" s="62">
        <f t="shared" ref="O13:O17" si="6">E13</f>
        <v>1</v>
      </c>
      <c r="P13" s="54">
        <v>2.5000000000000001E-2</v>
      </c>
      <c r="Q13" s="54">
        <f t="shared" ref="Q13:Q60" si="7">Q12</f>
        <v>2.5000000000000001E-2</v>
      </c>
      <c r="R13" s="91">
        <f>R12/(1+P13)</f>
        <v>0.97560975609756106</v>
      </c>
      <c r="S13" s="91">
        <f t="shared" ref="S13:S60" si="8">M13*R13</f>
        <v>101.46341463414635</v>
      </c>
      <c r="T13" s="6">
        <f t="shared" ref="T13:T60" si="9">N13*R13</f>
        <v>3.51219512195122</v>
      </c>
      <c r="U13" s="1"/>
      <c r="V13" s="61">
        <f t="shared" ref="V13:V16" si="10">$B13</f>
        <v>112.32000000000001</v>
      </c>
      <c r="W13" s="61">
        <f t="shared" ref="W13:W16" si="11">$C13</f>
        <v>104</v>
      </c>
      <c r="X13" s="61">
        <f t="shared" ref="X13:X16" si="12">$D13</f>
        <v>3.6</v>
      </c>
      <c r="Y13" s="62">
        <f t="shared" ref="Y13:Y60" si="13">O13</f>
        <v>1</v>
      </c>
      <c r="Z13" s="54">
        <v>2.5000000000000001E-2</v>
      </c>
      <c r="AA13" s="54">
        <f t="shared" ref="AA13:AA60" si="14">AA12</f>
        <v>2.5000000000000001E-2</v>
      </c>
      <c r="AB13" s="91">
        <f>AB12/(1+Z13)</f>
        <v>0.97560975609756106</v>
      </c>
      <c r="AC13" s="91">
        <f t="shared" ref="AC13:AC60" si="15">W13*AB13</f>
        <v>101.46341463414635</v>
      </c>
      <c r="AD13" s="6">
        <f t="shared" ref="AD13:AD60" si="16">X13*AB13</f>
        <v>3.51219512195122</v>
      </c>
      <c r="AE13" s="1"/>
      <c r="AF13" s="61">
        <f t="shared" ref="AF13:AF16" si="17">$B13</f>
        <v>112.32000000000001</v>
      </c>
      <c r="AG13" s="61">
        <f t="shared" ref="AG13:AG16" si="18">$C13</f>
        <v>104</v>
      </c>
      <c r="AH13" s="61">
        <f t="shared" ref="AH13:AH16" si="19">$D13</f>
        <v>3.6</v>
      </c>
      <c r="AI13" s="62">
        <f t="shared" ref="AI13:AI60" si="20">E13</f>
        <v>1</v>
      </c>
      <c r="AJ13" s="54">
        <v>2.5000000000000001E-2</v>
      </c>
      <c r="AK13" s="54">
        <f t="shared" ref="AK13:AK60" si="21">AK12</f>
        <v>2.5000000000000001E-2</v>
      </c>
      <c r="AL13" s="91">
        <f>AL12/(1+AJ13)</f>
        <v>0.97560975609756106</v>
      </c>
      <c r="AM13" s="91">
        <f t="shared" ref="AM13:AM60" si="22">AG13*AL13</f>
        <v>101.46341463414635</v>
      </c>
      <c r="AN13" s="6">
        <f t="shared" ref="AN13:AN60" si="23">AH13*AL13</f>
        <v>3.51219512195122</v>
      </c>
      <c r="AO13" s="1"/>
      <c r="AP13" s="61">
        <f t="shared" ref="AP13:AP15" si="24">$B13</f>
        <v>112.32000000000001</v>
      </c>
      <c r="AQ13" s="61">
        <f t="shared" ref="AQ13:AQ15" si="25">$C13</f>
        <v>104</v>
      </c>
      <c r="AR13" s="61">
        <f t="shared" ref="AR13:AR15" si="26">$D13</f>
        <v>3.6</v>
      </c>
      <c r="AS13" s="62">
        <f t="shared" ref="AS13:AS60" si="27">E13</f>
        <v>1</v>
      </c>
      <c r="AT13" s="54">
        <v>2.5000000000000001E-2</v>
      </c>
      <c r="AU13" s="54">
        <f t="shared" ref="AU13:AU60" si="28">AU12</f>
        <v>2.5000000000000001E-2</v>
      </c>
      <c r="AV13" s="91">
        <f>AV12/(1+AT13)</f>
        <v>0.97560975609756106</v>
      </c>
      <c r="AW13" s="91">
        <f t="shared" ref="AW13:AW60" si="29">AQ13*AV13</f>
        <v>101.46341463414635</v>
      </c>
      <c r="AX13" s="6">
        <f t="shared" ref="AX13:AX60" si="30">AR13*AV13</f>
        <v>3.51219512195122</v>
      </c>
      <c r="AY13" s="1"/>
      <c r="AZ13" s="1"/>
      <c r="BA13" s="1"/>
      <c r="BB13" s="1"/>
      <c r="BC13" s="1"/>
      <c r="BD13" s="1"/>
      <c r="BE13" s="1"/>
      <c r="BF13" s="1"/>
      <c r="BG13" s="1"/>
      <c r="BH13" s="1"/>
      <c r="BI13" s="1"/>
    </row>
    <row r="14" spans="1:61">
      <c r="A14" s="47">
        <f t="shared" ref="A14:A60" si="31">A13+1</f>
        <v>2014</v>
      </c>
      <c r="B14" s="62">
        <f t="shared" si="0"/>
        <v>105.84</v>
      </c>
      <c r="C14" s="61">
        <v>98</v>
      </c>
      <c r="D14" s="62">
        <v>3.9</v>
      </c>
      <c r="E14" s="62">
        <v>1</v>
      </c>
      <c r="F14" s="54">
        <v>2.5000000000000001E-2</v>
      </c>
      <c r="G14" s="54">
        <f t="shared" ref="G14:G29" si="32">G13</f>
        <v>2.5000000000000001E-2</v>
      </c>
      <c r="H14" s="178">
        <f t="shared" ref="H14:H60" si="33">H13/(1+F14)</f>
        <v>0.95181439619274255</v>
      </c>
      <c r="I14" s="178">
        <f t="shared" si="1"/>
        <v>93.277810826888768</v>
      </c>
      <c r="J14" s="182">
        <f t="shared" si="2"/>
        <v>3.7120761451516957</v>
      </c>
      <c r="K14" s="1"/>
      <c r="L14" s="61">
        <f t="shared" si="3"/>
        <v>105.84</v>
      </c>
      <c r="M14" s="61">
        <f t="shared" si="4"/>
        <v>98</v>
      </c>
      <c r="N14" s="61">
        <f t="shared" si="5"/>
        <v>3.9</v>
      </c>
      <c r="O14" s="62">
        <f t="shared" si="6"/>
        <v>1</v>
      </c>
      <c r="P14" s="54">
        <v>2.5000000000000001E-2</v>
      </c>
      <c r="Q14" s="54">
        <f t="shared" si="7"/>
        <v>2.5000000000000001E-2</v>
      </c>
      <c r="R14" s="91">
        <f t="shared" ref="R14:R60" si="34">R13/(1+P14)</f>
        <v>0.95181439619274255</v>
      </c>
      <c r="S14" s="91">
        <f t="shared" si="8"/>
        <v>93.277810826888768</v>
      </c>
      <c r="T14" s="6">
        <f t="shared" si="9"/>
        <v>3.7120761451516957</v>
      </c>
      <c r="U14" s="1"/>
      <c r="V14" s="61">
        <f t="shared" si="10"/>
        <v>105.84</v>
      </c>
      <c r="W14" s="61">
        <f t="shared" si="11"/>
        <v>98</v>
      </c>
      <c r="X14" s="61">
        <f t="shared" si="12"/>
        <v>3.9</v>
      </c>
      <c r="Y14" s="62">
        <f t="shared" si="13"/>
        <v>1</v>
      </c>
      <c r="Z14" s="54">
        <v>2.5000000000000001E-2</v>
      </c>
      <c r="AA14" s="54">
        <f t="shared" si="14"/>
        <v>2.5000000000000001E-2</v>
      </c>
      <c r="AB14" s="91">
        <f t="shared" ref="AB14:AB60" si="35">AB13/(1+Z14)</f>
        <v>0.95181439619274255</v>
      </c>
      <c r="AC14" s="91">
        <f t="shared" si="15"/>
        <v>93.277810826888768</v>
      </c>
      <c r="AD14" s="6">
        <f t="shared" si="16"/>
        <v>3.7120761451516957</v>
      </c>
      <c r="AE14" s="1"/>
      <c r="AF14" s="61">
        <f t="shared" si="17"/>
        <v>105.84</v>
      </c>
      <c r="AG14" s="61">
        <f t="shared" si="18"/>
        <v>98</v>
      </c>
      <c r="AH14" s="61">
        <f t="shared" si="19"/>
        <v>3.9</v>
      </c>
      <c r="AI14" s="62">
        <f t="shared" si="20"/>
        <v>1</v>
      </c>
      <c r="AJ14" s="54">
        <v>2.5000000000000001E-2</v>
      </c>
      <c r="AK14" s="54">
        <f t="shared" si="21"/>
        <v>2.5000000000000001E-2</v>
      </c>
      <c r="AL14" s="91">
        <f t="shared" ref="AL14:AL60" si="36">AL13/(1+AJ14)</f>
        <v>0.95181439619274255</v>
      </c>
      <c r="AM14" s="91">
        <f t="shared" si="22"/>
        <v>93.277810826888768</v>
      </c>
      <c r="AN14" s="6">
        <f t="shared" si="23"/>
        <v>3.7120761451516957</v>
      </c>
      <c r="AO14" s="1"/>
      <c r="AP14" s="61">
        <f t="shared" si="24"/>
        <v>105.84</v>
      </c>
      <c r="AQ14" s="61">
        <f t="shared" si="25"/>
        <v>98</v>
      </c>
      <c r="AR14" s="61">
        <f t="shared" si="26"/>
        <v>3.9</v>
      </c>
      <c r="AS14" s="62">
        <f t="shared" si="27"/>
        <v>1</v>
      </c>
      <c r="AT14" s="54">
        <v>2.5000000000000001E-2</v>
      </c>
      <c r="AU14" s="54">
        <f t="shared" si="28"/>
        <v>2.5000000000000001E-2</v>
      </c>
      <c r="AV14" s="91">
        <f t="shared" ref="AV14:AV60" si="37">AV13/(1+AT14)</f>
        <v>0.95181439619274255</v>
      </c>
      <c r="AW14" s="91">
        <f t="shared" si="29"/>
        <v>93.277810826888768</v>
      </c>
      <c r="AX14" s="6">
        <f t="shared" si="30"/>
        <v>3.7120761451516957</v>
      </c>
      <c r="AY14" s="1"/>
      <c r="AZ14" s="1"/>
      <c r="BA14" s="1"/>
      <c r="BB14" s="516"/>
      <c r="BC14" s="1"/>
      <c r="BD14" s="1"/>
      <c r="BE14" s="1"/>
      <c r="BF14" s="1"/>
      <c r="BG14" s="1"/>
      <c r="BH14" s="1"/>
      <c r="BI14" s="1"/>
    </row>
    <row r="15" spans="1:61">
      <c r="A15" s="47">
        <f t="shared" si="31"/>
        <v>2015</v>
      </c>
      <c r="B15" s="62">
        <v>36.800000000000004</v>
      </c>
      <c r="C15" s="61">
        <v>46</v>
      </c>
      <c r="D15" s="62">
        <v>2.75</v>
      </c>
      <c r="E15" s="62">
        <v>0.76</v>
      </c>
      <c r="F15" s="54">
        <v>2.5000000000000001E-2</v>
      </c>
      <c r="G15" s="54">
        <f t="shared" si="32"/>
        <v>2.5000000000000001E-2</v>
      </c>
      <c r="H15" s="178">
        <f t="shared" si="33"/>
        <v>0.92859941091974896</v>
      </c>
      <c r="I15" s="178">
        <f t="shared" si="1"/>
        <v>42.715572902308452</v>
      </c>
      <c r="J15" s="182">
        <f t="shared" si="2"/>
        <v>2.5536483800293097</v>
      </c>
      <c r="K15" s="1"/>
      <c r="L15" s="61">
        <f t="shared" si="3"/>
        <v>36.800000000000004</v>
      </c>
      <c r="M15" s="61">
        <f t="shared" si="4"/>
        <v>46</v>
      </c>
      <c r="N15" s="61">
        <f t="shared" si="5"/>
        <v>2.75</v>
      </c>
      <c r="O15" s="62">
        <f t="shared" si="6"/>
        <v>0.76</v>
      </c>
      <c r="P15" s="54">
        <v>2.5000000000000001E-2</v>
      </c>
      <c r="Q15" s="54">
        <f t="shared" si="7"/>
        <v>2.5000000000000001E-2</v>
      </c>
      <c r="R15" s="91">
        <f t="shared" si="34"/>
        <v>0.92859941091974896</v>
      </c>
      <c r="S15" s="91">
        <f t="shared" si="8"/>
        <v>42.715572902308452</v>
      </c>
      <c r="T15" s="6">
        <f t="shared" si="9"/>
        <v>2.5536483800293097</v>
      </c>
      <c r="U15" s="1"/>
      <c r="V15" s="61">
        <f t="shared" si="10"/>
        <v>36.800000000000004</v>
      </c>
      <c r="W15" s="61">
        <f t="shared" si="11"/>
        <v>46</v>
      </c>
      <c r="X15" s="61">
        <f t="shared" si="12"/>
        <v>2.75</v>
      </c>
      <c r="Y15" s="62">
        <f t="shared" si="13"/>
        <v>0.76</v>
      </c>
      <c r="Z15" s="54">
        <v>2.5000000000000001E-2</v>
      </c>
      <c r="AA15" s="54">
        <f t="shared" si="14"/>
        <v>2.5000000000000001E-2</v>
      </c>
      <c r="AB15" s="91">
        <f t="shared" si="35"/>
        <v>0.92859941091974896</v>
      </c>
      <c r="AC15" s="91">
        <f t="shared" si="15"/>
        <v>42.715572902308452</v>
      </c>
      <c r="AD15" s="6">
        <f t="shared" si="16"/>
        <v>2.5536483800293097</v>
      </c>
      <c r="AE15" s="1"/>
      <c r="AF15" s="61">
        <f t="shared" si="17"/>
        <v>36.800000000000004</v>
      </c>
      <c r="AG15" s="61">
        <f t="shared" si="18"/>
        <v>46</v>
      </c>
      <c r="AH15" s="61">
        <f t="shared" si="19"/>
        <v>2.75</v>
      </c>
      <c r="AI15" s="62">
        <f t="shared" si="20"/>
        <v>0.76</v>
      </c>
      <c r="AJ15" s="54">
        <v>2.5000000000000001E-2</v>
      </c>
      <c r="AK15" s="54">
        <f t="shared" si="21"/>
        <v>2.5000000000000001E-2</v>
      </c>
      <c r="AL15" s="91">
        <f t="shared" si="36"/>
        <v>0.92859941091974896</v>
      </c>
      <c r="AM15" s="91">
        <f t="shared" si="22"/>
        <v>42.715572902308452</v>
      </c>
      <c r="AN15" s="6">
        <f t="shared" si="23"/>
        <v>2.5536483800293097</v>
      </c>
      <c r="AO15" s="1"/>
      <c r="AP15" s="61">
        <f t="shared" si="24"/>
        <v>36.800000000000004</v>
      </c>
      <c r="AQ15" s="61">
        <f t="shared" si="25"/>
        <v>46</v>
      </c>
      <c r="AR15" s="61">
        <f t="shared" si="26"/>
        <v>2.75</v>
      </c>
      <c r="AS15" s="62">
        <f t="shared" si="27"/>
        <v>0.76</v>
      </c>
      <c r="AT15" s="54">
        <v>2.5000000000000001E-2</v>
      </c>
      <c r="AU15" s="54">
        <f t="shared" si="28"/>
        <v>2.5000000000000001E-2</v>
      </c>
      <c r="AV15" s="91">
        <f t="shared" si="37"/>
        <v>0.92859941091974896</v>
      </c>
      <c r="AW15" s="91">
        <f t="shared" si="29"/>
        <v>42.715572902308452</v>
      </c>
      <c r="AX15" s="6">
        <f t="shared" si="30"/>
        <v>2.5536483800293097</v>
      </c>
      <c r="AY15" s="1"/>
      <c r="AZ15" s="1"/>
      <c r="BA15" s="1"/>
      <c r="BB15" s="1"/>
      <c r="BC15" s="1"/>
      <c r="BD15" s="1"/>
      <c r="BE15" s="1"/>
      <c r="BF15" s="1"/>
      <c r="BG15" s="1"/>
      <c r="BH15" s="1"/>
      <c r="BI15" s="1"/>
    </row>
    <row r="16" spans="1:61">
      <c r="A16" s="47">
        <f t="shared" si="31"/>
        <v>2016</v>
      </c>
      <c r="B16" s="62">
        <v>44</v>
      </c>
      <c r="C16" s="61">
        <v>55</v>
      </c>
      <c r="D16" s="62">
        <v>3</v>
      </c>
      <c r="E16" s="62">
        <v>0.78</v>
      </c>
      <c r="F16" s="54">
        <v>2.5000000000000001E-2</v>
      </c>
      <c r="G16" s="54">
        <f t="shared" si="32"/>
        <v>2.5000000000000001E-2</v>
      </c>
      <c r="H16" s="178">
        <f t="shared" si="33"/>
        <v>0.90595064479975518</v>
      </c>
      <c r="I16" s="178">
        <f t="shared" si="1"/>
        <v>49.827285463986534</v>
      </c>
      <c r="J16" s="182">
        <f t="shared" si="2"/>
        <v>2.7178519343992655</v>
      </c>
      <c r="K16" s="1"/>
      <c r="L16" s="61">
        <f t="shared" si="3"/>
        <v>44</v>
      </c>
      <c r="M16" s="61">
        <f t="shared" si="4"/>
        <v>55</v>
      </c>
      <c r="N16" s="61">
        <f t="shared" si="5"/>
        <v>3</v>
      </c>
      <c r="O16" s="62">
        <f t="shared" si="6"/>
        <v>0.78</v>
      </c>
      <c r="P16" s="54">
        <v>2.5000000000000001E-2</v>
      </c>
      <c r="Q16" s="54">
        <f t="shared" si="7"/>
        <v>2.5000000000000001E-2</v>
      </c>
      <c r="R16" s="91">
        <f t="shared" si="34"/>
        <v>0.90595064479975518</v>
      </c>
      <c r="S16" s="91">
        <f t="shared" si="8"/>
        <v>49.827285463986534</v>
      </c>
      <c r="T16" s="6">
        <f t="shared" si="9"/>
        <v>2.7178519343992655</v>
      </c>
      <c r="U16" s="1"/>
      <c r="V16" s="61">
        <f t="shared" si="10"/>
        <v>44</v>
      </c>
      <c r="W16" s="61">
        <f t="shared" si="11"/>
        <v>55</v>
      </c>
      <c r="X16" s="61">
        <f t="shared" si="12"/>
        <v>3</v>
      </c>
      <c r="Y16" s="62">
        <f t="shared" si="13"/>
        <v>0.78</v>
      </c>
      <c r="Z16" s="54">
        <v>2.5000000000000001E-2</v>
      </c>
      <c r="AA16" s="54">
        <f t="shared" si="14"/>
        <v>2.5000000000000001E-2</v>
      </c>
      <c r="AB16" s="91">
        <f t="shared" si="35"/>
        <v>0.90595064479975518</v>
      </c>
      <c r="AC16" s="91">
        <f t="shared" si="15"/>
        <v>49.827285463986534</v>
      </c>
      <c r="AD16" s="6">
        <f t="shared" si="16"/>
        <v>2.7178519343992655</v>
      </c>
      <c r="AE16" s="1"/>
      <c r="AF16" s="61">
        <f t="shared" si="17"/>
        <v>44</v>
      </c>
      <c r="AG16" s="61">
        <f t="shared" si="18"/>
        <v>55</v>
      </c>
      <c r="AH16" s="61">
        <f t="shared" si="19"/>
        <v>3</v>
      </c>
      <c r="AI16" s="62">
        <f t="shared" si="20"/>
        <v>0.78</v>
      </c>
      <c r="AJ16" s="54">
        <v>2.5000000000000001E-2</v>
      </c>
      <c r="AK16" s="54">
        <f t="shared" si="21"/>
        <v>2.5000000000000001E-2</v>
      </c>
      <c r="AL16" s="91">
        <f t="shared" si="36"/>
        <v>0.90595064479975518</v>
      </c>
      <c r="AM16" s="91">
        <f t="shared" si="22"/>
        <v>49.827285463986534</v>
      </c>
      <c r="AN16" s="6">
        <f t="shared" si="23"/>
        <v>2.7178519343992655</v>
      </c>
      <c r="AO16" s="1"/>
      <c r="AP16" s="61">
        <f>AP15*(1+$AT16)</f>
        <v>37.72</v>
      </c>
      <c r="AQ16" s="61">
        <f t="shared" ref="AQ16:AQ60" si="38">AQ15*(1+$AT16)</f>
        <v>47.15</v>
      </c>
      <c r="AR16" s="61">
        <f t="shared" ref="AR16:AR60" si="39">AR15*(1+$AT16)</f>
        <v>2.8187499999999996</v>
      </c>
      <c r="AS16" s="62">
        <f t="shared" si="27"/>
        <v>0.78</v>
      </c>
      <c r="AT16" s="54">
        <v>2.5000000000000001E-2</v>
      </c>
      <c r="AU16" s="54">
        <f t="shared" si="28"/>
        <v>2.5000000000000001E-2</v>
      </c>
      <c r="AV16" s="91">
        <f t="shared" si="37"/>
        <v>0.90595064479975518</v>
      </c>
      <c r="AW16" s="91">
        <f t="shared" si="29"/>
        <v>42.715572902308452</v>
      </c>
      <c r="AX16" s="6">
        <f t="shared" si="30"/>
        <v>2.5536483800293097</v>
      </c>
      <c r="AY16" s="1"/>
      <c r="AZ16" s="1"/>
      <c r="BA16" s="1"/>
      <c r="BB16" s="1"/>
      <c r="BC16" s="1"/>
      <c r="BD16" s="1"/>
      <c r="BE16" s="1"/>
      <c r="BF16" s="1"/>
      <c r="BG16" s="1"/>
      <c r="BH16" s="1"/>
      <c r="BI16" s="1"/>
    </row>
    <row r="17" spans="1:61">
      <c r="A17" s="47">
        <f t="shared" si="31"/>
        <v>2017</v>
      </c>
      <c r="B17" s="62">
        <v>56</v>
      </c>
      <c r="C17" s="61">
        <v>70</v>
      </c>
      <c r="D17" s="62">
        <v>3.5</v>
      </c>
      <c r="E17" s="62">
        <v>0.85</v>
      </c>
      <c r="F17" s="54">
        <v>2.5000000000000001E-2</v>
      </c>
      <c r="G17" s="54">
        <f t="shared" si="32"/>
        <v>2.5000000000000001E-2</v>
      </c>
      <c r="H17" s="178">
        <f t="shared" si="33"/>
        <v>0.88385428760951734</v>
      </c>
      <c r="I17" s="178">
        <f t="shared" si="1"/>
        <v>61.869800132666214</v>
      </c>
      <c r="J17" s="182">
        <f t="shared" si="2"/>
        <v>3.0934900066333109</v>
      </c>
      <c r="K17" s="1"/>
      <c r="L17" s="61">
        <f>($B17-$B16)+($N$4+1)*L16</f>
        <v>56.66</v>
      </c>
      <c r="M17" s="61">
        <f>($C17-$C16)+($N$4+1)*M16</f>
        <v>70.824999999999989</v>
      </c>
      <c r="N17" s="61">
        <f>($D17-$D16)+($N$4+1)*N16</f>
        <v>3.5449999999999999</v>
      </c>
      <c r="O17" s="62">
        <f t="shared" si="6"/>
        <v>0.85</v>
      </c>
      <c r="P17" s="54">
        <v>2.5000000000000001E-2</v>
      </c>
      <c r="Q17" s="54">
        <f t="shared" si="7"/>
        <v>2.5000000000000001E-2</v>
      </c>
      <c r="R17" s="91">
        <f t="shared" si="34"/>
        <v>0.88385428760951734</v>
      </c>
      <c r="S17" s="91">
        <f t="shared" si="8"/>
        <v>62.598979919944057</v>
      </c>
      <c r="T17" s="6">
        <f t="shared" si="9"/>
        <v>3.1332634495757388</v>
      </c>
      <c r="U17" s="1"/>
      <c r="V17" s="61">
        <f>($B17-$B16)+($X$4+1)*V16</f>
        <v>57.32</v>
      </c>
      <c r="W17" s="61">
        <f>($C17-$C16)+($X$4+1)*W16</f>
        <v>71.650000000000006</v>
      </c>
      <c r="X17" s="61">
        <f>($D17-$D16)+($X$4+1)*X16</f>
        <v>3.59</v>
      </c>
      <c r="Y17" s="62">
        <f t="shared" si="13"/>
        <v>0.85</v>
      </c>
      <c r="Z17" s="54">
        <v>2.5000000000000001E-2</v>
      </c>
      <c r="AA17" s="54">
        <f t="shared" si="14"/>
        <v>2.5000000000000001E-2</v>
      </c>
      <c r="AB17" s="91">
        <f t="shared" si="35"/>
        <v>0.88385428760951734</v>
      </c>
      <c r="AC17" s="91">
        <f t="shared" si="15"/>
        <v>63.328159707221921</v>
      </c>
      <c r="AD17" s="6">
        <f t="shared" si="16"/>
        <v>3.1730368925181671</v>
      </c>
      <c r="AE17" s="1"/>
      <c r="AF17" s="61">
        <f>($B17-$B16)+($AH$4+1)*AF16</f>
        <v>55.339999999999996</v>
      </c>
      <c r="AG17" s="61">
        <f>($C17-$C16)+($AH$4+1)*AG16</f>
        <v>69.174999999999997</v>
      </c>
      <c r="AH17" s="61">
        <f>($D17-$D16)+($AH$4+1)*AH16</f>
        <v>3.4550000000000001</v>
      </c>
      <c r="AI17" s="62">
        <f t="shared" si="20"/>
        <v>0.85</v>
      </c>
      <c r="AJ17" s="54">
        <v>2.5000000000000001E-2</v>
      </c>
      <c r="AK17" s="54">
        <f t="shared" si="21"/>
        <v>2.5000000000000001E-2</v>
      </c>
      <c r="AL17" s="91">
        <f t="shared" si="36"/>
        <v>0.88385428760951734</v>
      </c>
      <c r="AM17" s="91">
        <f t="shared" si="22"/>
        <v>61.140620345388356</v>
      </c>
      <c r="AN17" s="6">
        <f t="shared" si="23"/>
        <v>3.0537165636908825</v>
      </c>
      <c r="AO17" s="1"/>
      <c r="AP17" s="61">
        <f t="shared" ref="AP17:AP60" si="40">AP16*(1+$AT17)</f>
        <v>38.662999999999997</v>
      </c>
      <c r="AQ17" s="61">
        <f t="shared" si="38"/>
        <v>48.328749999999992</v>
      </c>
      <c r="AR17" s="61">
        <f t="shared" si="39"/>
        <v>2.8892187499999995</v>
      </c>
      <c r="AS17" s="62">
        <f t="shared" si="27"/>
        <v>0.85</v>
      </c>
      <c r="AT17" s="54">
        <v>2.5000000000000001E-2</v>
      </c>
      <c r="AU17" s="54">
        <f t="shared" si="28"/>
        <v>2.5000000000000001E-2</v>
      </c>
      <c r="AV17" s="91">
        <f t="shared" si="37"/>
        <v>0.88385428760951734</v>
      </c>
      <c r="AW17" s="91">
        <f t="shared" si="29"/>
        <v>42.715572902308452</v>
      </c>
      <c r="AX17" s="6">
        <f t="shared" si="30"/>
        <v>2.5536483800293097</v>
      </c>
      <c r="AY17" s="1"/>
      <c r="AZ17" s="1"/>
      <c r="BA17" s="1"/>
      <c r="BB17" s="1"/>
      <c r="BC17" s="1"/>
      <c r="BD17" s="1"/>
      <c r="BE17" s="1"/>
      <c r="BF17" s="1"/>
      <c r="BG17" s="1"/>
      <c r="BH17" s="1"/>
      <c r="BI17" s="1"/>
    </row>
    <row r="18" spans="1:61">
      <c r="A18" s="47">
        <f t="shared" si="31"/>
        <v>2018</v>
      </c>
      <c r="B18" s="62">
        <v>60</v>
      </c>
      <c r="C18" s="61">
        <v>75</v>
      </c>
      <c r="D18" s="62">
        <v>4</v>
      </c>
      <c r="E18" s="62">
        <v>0.85</v>
      </c>
      <c r="F18" s="54">
        <v>2.5000000000000001E-2</v>
      </c>
      <c r="G18" s="54">
        <f t="shared" si="32"/>
        <v>2.5000000000000001E-2</v>
      </c>
      <c r="H18" s="178">
        <f t="shared" si="33"/>
        <v>0.86229686596050481</v>
      </c>
      <c r="I18" s="178">
        <f t="shared" si="1"/>
        <v>64.67226494703786</v>
      </c>
      <c r="J18" s="182">
        <f t="shared" si="2"/>
        <v>3.4491874638420192</v>
      </c>
      <c r="K18" s="1"/>
      <c r="L18" s="61">
        <f t="shared" ref="L18:L60" si="41">($B18-$B17)+($N$4+1)*L17</f>
        <v>61.509899999999988</v>
      </c>
      <c r="M18" s="61">
        <f t="shared" ref="M18:M60" si="42">($C18-$C17)+($N$4+1)*M17</f>
        <v>76.887374999999977</v>
      </c>
      <c r="N18" s="61">
        <f t="shared" ref="N18:N60" si="43">($D18-$D17)+($N$4+1)*N17</f>
        <v>4.0981749999999995</v>
      </c>
      <c r="O18" s="62">
        <f t="shared" ref="O18:O60" si="44">E18</f>
        <v>0.85</v>
      </c>
      <c r="P18" s="54">
        <v>2.5000000000000001E-2</v>
      </c>
      <c r="Q18" s="54">
        <f t="shared" si="7"/>
        <v>2.5000000000000001E-2</v>
      </c>
      <c r="R18" s="91">
        <f t="shared" si="34"/>
        <v>0.86229686596050481</v>
      </c>
      <c r="S18" s="91">
        <f t="shared" si="8"/>
        <v>66.299742494430049</v>
      </c>
      <c r="T18" s="6">
        <f t="shared" si="9"/>
        <v>3.5338434586576914</v>
      </c>
      <c r="U18" s="1"/>
      <c r="V18" s="61">
        <f t="shared" ref="V18:V60" si="45">($B18-$B17)+($X$4+1)*V17</f>
        <v>63.0396</v>
      </c>
      <c r="W18" s="61">
        <f t="shared" ref="W18:W60" si="46">($C18-$C17)+($X$4+1)*W17</f>
        <v>78.799500000000009</v>
      </c>
      <c r="X18" s="61">
        <f t="shared" ref="X18:X60" si="47">($D18-$D17)+($X$4+1)*X17</f>
        <v>4.1976999999999993</v>
      </c>
      <c r="Y18" s="62">
        <f t="shared" si="13"/>
        <v>0.85</v>
      </c>
      <c r="Z18" s="54">
        <v>2.5000000000000001E-2</v>
      </c>
      <c r="AA18" s="54">
        <f t="shared" si="14"/>
        <v>2.5000000000000001E-2</v>
      </c>
      <c r="AB18" s="91">
        <f t="shared" si="35"/>
        <v>0.86229686596050481</v>
      </c>
      <c r="AC18" s="91">
        <f t="shared" si="15"/>
        <v>67.948561889254805</v>
      </c>
      <c r="AD18" s="6">
        <f t="shared" si="16"/>
        <v>3.6196635542424103</v>
      </c>
      <c r="AE18" s="1"/>
      <c r="AF18" s="61">
        <f t="shared" ref="AF18:AF60" si="48">($B18-$B17)+($AH$4+1)*AF17</f>
        <v>58.509899999999995</v>
      </c>
      <c r="AG18" s="61">
        <f t="shared" ref="AG18:AG60" si="49">($C18-$C17)+($AH$4+1)*AG17</f>
        <v>73.137374999999992</v>
      </c>
      <c r="AH18" s="61">
        <f t="shared" ref="AH18:AH60" si="50">($D18-$D17)+($AH$4+1)*AH17</f>
        <v>3.9031750000000001</v>
      </c>
      <c r="AI18" s="62">
        <f t="shared" si="20"/>
        <v>0.85</v>
      </c>
      <c r="AJ18" s="54">
        <v>2.5000000000000001E-2</v>
      </c>
      <c r="AK18" s="54">
        <f t="shared" si="21"/>
        <v>2.5000000000000001E-2</v>
      </c>
      <c r="AL18" s="91">
        <f t="shared" si="36"/>
        <v>0.86229686596050481</v>
      </c>
      <c r="AM18" s="91">
        <f t="shared" si="22"/>
        <v>63.066129247078166</v>
      </c>
      <c r="AN18" s="6">
        <f t="shared" si="23"/>
        <v>3.3656955697953932</v>
      </c>
      <c r="AO18" s="1"/>
      <c r="AP18" s="61">
        <f t="shared" si="40"/>
        <v>39.629574999999996</v>
      </c>
      <c r="AQ18" s="61">
        <f t="shared" si="38"/>
        <v>49.536968749999986</v>
      </c>
      <c r="AR18" s="61">
        <f t="shared" si="39"/>
        <v>2.9614492187499994</v>
      </c>
      <c r="AS18" s="62">
        <f t="shared" si="27"/>
        <v>0.85</v>
      </c>
      <c r="AT18" s="54">
        <v>2.5000000000000001E-2</v>
      </c>
      <c r="AU18" s="54">
        <f t="shared" si="28"/>
        <v>2.5000000000000001E-2</v>
      </c>
      <c r="AV18" s="91">
        <f t="shared" si="37"/>
        <v>0.86229686596050481</v>
      </c>
      <c r="AW18" s="91">
        <f t="shared" si="29"/>
        <v>42.715572902308452</v>
      </c>
      <c r="AX18" s="6">
        <f t="shared" si="30"/>
        <v>2.5536483800293102</v>
      </c>
      <c r="AY18" s="1"/>
      <c r="AZ18" s="1"/>
      <c r="BA18" s="1"/>
      <c r="BB18" s="1"/>
      <c r="BC18" s="1"/>
      <c r="BD18" s="1"/>
      <c r="BE18" s="1"/>
      <c r="BF18" s="1"/>
      <c r="BG18" s="1"/>
      <c r="BH18" s="1"/>
      <c r="BI18" s="1"/>
    </row>
    <row r="19" spans="1:61">
      <c r="A19" s="47">
        <f t="shared" si="31"/>
        <v>2019</v>
      </c>
      <c r="B19" s="62">
        <v>64</v>
      </c>
      <c r="C19" s="61">
        <v>80</v>
      </c>
      <c r="D19" s="62">
        <v>4.5</v>
      </c>
      <c r="E19" s="62">
        <v>0.85</v>
      </c>
      <c r="F19" s="54">
        <v>2.5000000000000001E-2</v>
      </c>
      <c r="G19" s="54">
        <f t="shared" si="32"/>
        <v>2.5000000000000001E-2</v>
      </c>
      <c r="H19" s="178">
        <f t="shared" si="33"/>
        <v>0.84126523508341944</v>
      </c>
      <c r="I19" s="178">
        <f t="shared" si="1"/>
        <v>67.30121880667356</v>
      </c>
      <c r="J19" s="182">
        <f t="shared" si="2"/>
        <v>3.7856935578753874</v>
      </c>
      <c r="K19" s="1"/>
      <c r="L19" s="61">
        <f t="shared" si="41"/>
        <v>66.432548499999982</v>
      </c>
      <c r="M19" s="61">
        <f t="shared" si="42"/>
        <v>83.040685624999966</v>
      </c>
      <c r="N19" s="61">
        <f t="shared" si="43"/>
        <v>4.659647624999999</v>
      </c>
      <c r="O19" s="62">
        <f t="shared" si="44"/>
        <v>0.85</v>
      </c>
      <c r="P19" s="54">
        <v>2.5000000000000001E-2</v>
      </c>
      <c r="Q19" s="54">
        <f t="shared" si="7"/>
        <v>2.5000000000000001E-2</v>
      </c>
      <c r="R19" s="91">
        <f t="shared" si="34"/>
        <v>0.84126523508341944</v>
      </c>
      <c r="S19" s="91">
        <f t="shared" si="8"/>
        <v>69.859241913803928</v>
      </c>
      <c r="T19" s="6">
        <f t="shared" si="9"/>
        <v>3.9199995546515214</v>
      </c>
      <c r="U19" s="1"/>
      <c r="V19" s="61">
        <f t="shared" si="45"/>
        <v>68.930788000000007</v>
      </c>
      <c r="W19" s="61">
        <f t="shared" si="46"/>
        <v>86.163485000000009</v>
      </c>
      <c r="X19" s="61">
        <f t="shared" si="47"/>
        <v>4.8236309999999998</v>
      </c>
      <c r="Y19" s="62">
        <f t="shared" si="13"/>
        <v>0.85</v>
      </c>
      <c r="Z19" s="54">
        <v>2.5000000000000001E-2</v>
      </c>
      <c r="AA19" s="54">
        <f t="shared" si="14"/>
        <v>2.5000000000000001E-2</v>
      </c>
      <c r="AB19" s="91">
        <f t="shared" si="35"/>
        <v>0.84126523508341944</v>
      </c>
      <c r="AC19" s="91">
        <f t="shared" si="15"/>
        <v>72.48634446413169</v>
      </c>
      <c r="AD19" s="6">
        <f t="shared" si="16"/>
        <v>4.0579530671706694</v>
      </c>
      <c r="AE19" s="1"/>
      <c r="AF19" s="61">
        <f t="shared" si="48"/>
        <v>61.632251499999995</v>
      </c>
      <c r="AG19" s="61">
        <f t="shared" si="49"/>
        <v>77.040314374999994</v>
      </c>
      <c r="AH19" s="61">
        <f t="shared" si="50"/>
        <v>4.344627375</v>
      </c>
      <c r="AI19" s="62">
        <f t="shared" si="20"/>
        <v>0.85</v>
      </c>
      <c r="AJ19" s="54">
        <v>2.5000000000000001E-2</v>
      </c>
      <c r="AK19" s="54">
        <f t="shared" si="21"/>
        <v>2.5000000000000001E-2</v>
      </c>
      <c r="AL19" s="91">
        <f t="shared" si="36"/>
        <v>0.84126523508341944</v>
      </c>
      <c r="AM19" s="91">
        <f t="shared" si="22"/>
        <v>64.811338183584908</v>
      </c>
      <c r="AN19" s="6">
        <f t="shared" si="23"/>
        <v>3.6549839699792344</v>
      </c>
      <c r="AO19" s="1"/>
      <c r="AP19" s="61">
        <f t="shared" si="40"/>
        <v>40.620314374999992</v>
      </c>
      <c r="AQ19" s="61">
        <f t="shared" si="38"/>
        <v>50.775392968749983</v>
      </c>
      <c r="AR19" s="61">
        <f t="shared" si="39"/>
        <v>3.0354854492187493</v>
      </c>
      <c r="AS19" s="62">
        <f t="shared" si="27"/>
        <v>0.85</v>
      </c>
      <c r="AT19" s="54">
        <v>2.5000000000000001E-2</v>
      </c>
      <c r="AU19" s="54">
        <f t="shared" si="28"/>
        <v>2.5000000000000001E-2</v>
      </c>
      <c r="AV19" s="91">
        <f t="shared" si="37"/>
        <v>0.84126523508341944</v>
      </c>
      <c r="AW19" s="91">
        <f t="shared" si="29"/>
        <v>42.715572902308459</v>
      </c>
      <c r="AX19" s="6">
        <f t="shared" si="30"/>
        <v>2.5536483800293102</v>
      </c>
      <c r="AY19" s="1"/>
      <c r="AZ19" s="1"/>
      <c r="BA19" s="1"/>
      <c r="BB19" s="1"/>
      <c r="BC19" s="1"/>
      <c r="BD19" s="1"/>
      <c r="BE19" s="1"/>
      <c r="BF19" s="1"/>
      <c r="BG19" s="1"/>
      <c r="BH19" s="1"/>
      <c r="BI19" s="1"/>
    </row>
    <row r="20" spans="1:61">
      <c r="A20" s="47">
        <f t="shared" si="31"/>
        <v>2020</v>
      </c>
      <c r="B20" s="62">
        <v>64.959999999999994</v>
      </c>
      <c r="C20" s="61">
        <v>81.199999999999989</v>
      </c>
      <c r="D20" s="62">
        <v>4.75</v>
      </c>
      <c r="E20" s="62">
        <v>0.85</v>
      </c>
      <c r="F20" s="54">
        <v>2.5000000000000001E-2</v>
      </c>
      <c r="G20" s="54">
        <f t="shared" si="32"/>
        <v>2.5000000000000001E-2</v>
      </c>
      <c r="H20" s="178">
        <f t="shared" si="33"/>
        <v>0.82074657081309221</v>
      </c>
      <c r="I20" s="178">
        <f t="shared" si="1"/>
        <v>66.644621550023075</v>
      </c>
      <c r="J20" s="182">
        <f t="shared" si="2"/>
        <v>3.8985462113621878</v>
      </c>
      <c r="K20" s="1"/>
      <c r="L20" s="61">
        <f t="shared" si="41"/>
        <v>68.38903672749997</v>
      </c>
      <c r="M20" s="61">
        <f t="shared" si="42"/>
        <v>85.486295909374945</v>
      </c>
      <c r="N20" s="61">
        <f t="shared" si="43"/>
        <v>4.9795423393749987</v>
      </c>
      <c r="O20" s="62">
        <f t="shared" si="44"/>
        <v>0.85</v>
      </c>
      <c r="P20" s="54">
        <v>2.5000000000000001E-2</v>
      </c>
      <c r="Q20" s="54">
        <f t="shared" si="7"/>
        <v>2.5000000000000001E-2</v>
      </c>
      <c r="R20" s="91">
        <f t="shared" si="34"/>
        <v>0.82074657081309221</v>
      </c>
      <c r="S20" s="91">
        <f t="shared" si="8"/>
        <v>70.162584219132754</v>
      </c>
      <c r="T20" s="6">
        <f t="shared" si="9"/>
        <v>4.0869422992606328</v>
      </c>
      <c r="U20" s="1"/>
      <c r="V20" s="61">
        <f t="shared" si="45"/>
        <v>71.958711640000004</v>
      </c>
      <c r="W20" s="61">
        <f t="shared" si="46"/>
        <v>89.948389550000002</v>
      </c>
      <c r="X20" s="61">
        <f t="shared" si="47"/>
        <v>5.21833993</v>
      </c>
      <c r="Y20" s="62">
        <f t="shared" si="13"/>
        <v>0.85</v>
      </c>
      <c r="Z20" s="54">
        <v>2.5000000000000001E-2</v>
      </c>
      <c r="AA20" s="54">
        <f t="shared" si="14"/>
        <v>2.5000000000000001E-2</v>
      </c>
      <c r="AB20" s="91">
        <f t="shared" si="35"/>
        <v>0.82074657081309221</v>
      </c>
      <c r="AC20" s="91">
        <f t="shared" si="15"/>
        <v>73.824832273322684</v>
      </c>
      <c r="AD20" s="6">
        <f t="shared" si="16"/>
        <v>4.2829346028845316</v>
      </c>
      <c r="AE20" s="1"/>
      <c r="AF20" s="61">
        <f t="shared" si="48"/>
        <v>61.667767727499985</v>
      </c>
      <c r="AG20" s="61">
        <f t="shared" si="49"/>
        <v>77.08470965937498</v>
      </c>
      <c r="AH20" s="61">
        <f t="shared" si="50"/>
        <v>4.5294579643750001</v>
      </c>
      <c r="AI20" s="62">
        <f t="shared" si="20"/>
        <v>0.85</v>
      </c>
      <c r="AJ20" s="54">
        <v>2.5000000000000001E-2</v>
      </c>
      <c r="AK20" s="54">
        <f t="shared" si="21"/>
        <v>2.5000000000000001E-2</v>
      </c>
      <c r="AL20" s="91">
        <f t="shared" si="36"/>
        <v>0.82074657081309221</v>
      </c>
      <c r="AM20" s="91">
        <f t="shared" si="22"/>
        <v>63.267011115054864</v>
      </c>
      <c r="AN20" s="6">
        <f t="shared" si="23"/>
        <v>3.7175370919028308</v>
      </c>
      <c r="AO20" s="1"/>
      <c r="AP20" s="61">
        <f t="shared" si="40"/>
        <v>41.635822234374992</v>
      </c>
      <c r="AQ20" s="61">
        <f t="shared" si="38"/>
        <v>52.044777792968731</v>
      </c>
      <c r="AR20" s="61">
        <f t="shared" si="39"/>
        <v>3.1113725854492178</v>
      </c>
      <c r="AS20" s="62">
        <f t="shared" si="27"/>
        <v>0.85</v>
      </c>
      <c r="AT20" s="54">
        <v>2.5000000000000001E-2</v>
      </c>
      <c r="AU20" s="54">
        <f t="shared" si="28"/>
        <v>2.5000000000000001E-2</v>
      </c>
      <c r="AV20" s="91">
        <f t="shared" si="37"/>
        <v>0.82074657081309221</v>
      </c>
      <c r="AW20" s="91">
        <f t="shared" si="29"/>
        <v>42.715572902308459</v>
      </c>
      <c r="AX20" s="6">
        <f t="shared" si="30"/>
        <v>2.5536483800293102</v>
      </c>
      <c r="AY20" s="1"/>
      <c r="AZ20" s="1"/>
      <c r="BA20" s="1"/>
      <c r="BB20" s="1"/>
      <c r="BC20" s="1"/>
      <c r="BD20" s="1"/>
      <c r="BE20" s="1"/>
      <c r="BF20" s="1"/>
      <c r="BG20" s="1"/>
      <c r="BH20" s="1"/>
      <c r="BI20" s="1"/>
    </row>
    <row r="21" spans="1:61">
      <c r="A21" s="47">
        <f t="shared" si="31"/>
        <v>2021</v>
      </c>
      <c r="B21" s="62">
        <v>65.934399999999982</v>
      </c>
      <c r="C21" s="61">
        <v>82.417999999999978</v>
      </c>
      <c r="D21" s="62">
        <v>4.8212499999999991</v>
      </c>
      <c r="E21" s="62">
        <v>0.85</v>
      </c>
      <c r="F21" s="54">
        <v>2.5000000000000001E-2</v>
      </c>
      <c r="G21" s="54">
        <f t="shared" si="32"/>
        <v>2.5000000000000001E-2</v>
      </c>
      <c r="H21" s="178">
        <f t="shared" si="33"/>
        <v>0.80072836176887052</v>
      </c>
      <c r="I21" s="178">
        <f t="shared" si="1"/>
        <v>65.994430120266756</v>
      </c>
      <c r="J21" s="182">
        <f t="shared" si="2"/>
        <v>3.8605116141781664</v>
      </c>
      <c r="K21" s="1"/>
      <c r="L21" s="61">
        <f t="shared" si="41"/>
        <v>70.389272278412449</v>
      </c>
      <c r="M21" s="61">
        <f t="shared" si="42"/>
        <v>87.986590348015554</v>
      </c>
      <c r="N21" s="61">
        <f t="shared" si="43"/>
        <v>5.1254854744656226</v>
      </c>
      <c r="O21" s="62">
        <f t="shared" si="44"/>
        <v>0.85</v>
      </c>
      <c r="P21" s="54">
        <v>2.5000000000000001E-2</v>
      </c>
      <c r="Q21" s="54">
        <f t="shared" si="7"/>
        <v>2.5000000000000001E-2</v>
      </c>
      <c r="R21" s="91">
        <f t="shared" si="34"/>
        <v>0.80072836176887052</v>
      </c>
      <c r="S21" s="91">
        <f t="shared" si="8"/>
        <v>70.453358346995216</v>
      </c>
      <c r="T21" s="6">
        <f t="shared" si="9"/>
        <v>4.1041215872389998</v>
      </c>
      <c r="U21" s="1"/>
      <c r="V21" s="61">
        <f t="shared" si="45"/>
        <v>75.091872989199999</v>
      </c>
      <c r="W21" s="61">
        <f t="shared" si="46"/>
        <v>93.864841236499998</v>
      </c>
      <c r="X21" s="61">
        <f t="shared" si="47"/>
        <v>5.4461401278999997</v>
      </c>
      <c r="Y21" s="62">
        <f t="shared" si="13"/>
        <v>0.85</v>
      </c>
      <c r="Z21" s="54">
        <v>2.5000000000000001E-2</v>
      </c>
      <c r="AA21" s="54">
        <f t="shared" si="14"/>
        <v>2.5000000000000001E-2</v>
      </c>
      <c r="AB21" s="91">
        <f t="shared" si="35"/>
        <v>0.80072836176887052</v>
      </c>
      <c r="AC21" s="91">
        <f t="shared" si="15"/>
        <v>75.16024055099777</v>
      </c>
      <c r="AD21" s="6">
        <f t="shared" si="16"/>
        <v>4.3608788625770734</v>
      </c>
      <c r="AE21" s="1"/>
      <c r="AF21" s="61">
        <f t="shared" si="48"/>
        <v>61.717151211587471</v>
      </c>
      <c r="AG21" s="61">
        <f t="shared" si="49"/>
        <v>77.146439014484343</v>
      </c>
      <c r="AH21" s="61">
        <f t="shared" si="50"/>
        <v>4.5327660949093742</v>
      </c>
      <c r="AI21" s="62">
        <f t="shared" si="20"/>
        <v>0.85</v>
      </c>
      <c r="AJ21" s="54">
        <v>2.5000000000000001E-2</v>
      </c>
      <c r="AK21" s="54">
        <f t="shared" si="21"/>
        <v>2.5000000000000001E-2</v>
      </c>
      <c r="AL21" s="91">
        <f t="shared" si="36"/>
        <v>0.80072836176887052</v>
      </c>
      <c r="AM21" s="91">
        <f t="shared" si="22"/>
        <v>61.773341728370127</v>
      </c>
      <c r="AN21" s="6">
        <f t="shared" si="23"/>
        <v>3.6295143694582639</v>
      </c>
      <c r="AO21" s="1"/>
      <c r="AP21" s="61">
        <f t="shared" si="40"/>
        <v>42.676717790234363</v>
      </c>
      <c r="AQ21" s="61">
        <f t="shared" si="38"/>
        <v>53.345897237792947</v>
      </c>
      <c r="AR21" s="61">
        <f t="shared" si="39"/>
        <v>3.1891569000854481</v>
      </c>
      <c r="AS21" s="62">
        <f t="shared" si="27"/>
        <v>0.85</v>
      </c>
      <c r="AT21" s="54">
        <v>2.5000000000000001E-2</v>
      </c>
      <c r="AU21" s="54">
        <f t="shared" si="28"/>
        <v>2.5000000000000001E-2</v>
      </c>
      <c r="AV21" s="91">
        <f t="shared" si="37"/>
        <v>0.80072836176887052</v>
      </c>
      <c r="AW21" s="91">
        <f t="shared" si="29"/>
        <v>42.715572902308459</v>
      </c>
      <c r="AX21" s="6">
        <f t="shared" si="30"/>
        <v>2.5536483800293102</v>
      </c>
      <c r="AY21" s="1"/>
      <c r="AZ21" s="1"/>
      <c r="BA21" s="1"/>
      <c r="BB21" s="1"/>
      <c r="BC21" s="1"/>
      <c r="BD21" s="1"/>
      <c r="BE21" s="1"/>
      <c r="BF21" s="1"/>
      <c r="BG21" s="1"/>
      <c r="BH21" s="1"/>
      <c r="BI21" s="1"/>
    </row>
    <row r="22" spans="1:61">
      <c r="A22" s="47">
        <f t="shared" si="31"/>
        <v>2022</v>
      </c>
      <c r="B22" s="62">
        <v>66.923415999999975</v>
      </c>
      <c r="C22" s="61">
        <v>83.654269999999968</v>
      </c>
      <c r="D22" s="62">
        <v>4.8935687499999982</v>
      </c>
      <c r="E22" s="62">
        <v>0.85</v>
      </c>
      <c r="F22" s="54">
        <v>2.5000000000000001E-2</v>
      </c>
      <c r="G22" s="54">
        <f t="shared" si="32"/>
        <v>2.5000000000000001E-2</v>
      </c>
      <c r="H22" s="178">
        <f t="shared" si="33"/>
        <v>0.78119840172572741</v>
      </c>
      <c r="I22" s="178">
        <f t="shared" si="1"/>
        <v>65.350582021532446</v>
      </c>
      <c r="J22" s="182">
        <f t="shared" si="2"/>
        <v>3.8228480862349645</v>
      </c>
      <c r="K22" s="1"/>
      <c r="L22" s="61">
        <f t="shared" si="41"/>
        <v>72.434127362588626</v>
      </c>
      <c r="M22" s="61">
        <f t="shared" si="42"/>
        <v>90.542659203235772</v>
      </c>
      <c r="N22" s="61">
        <f t="shared" si="43"/>
        <v>5.2746865065826052</v>
      </c>
      <c r="O22" s="62">
        <f t="shared" si="44"/>
        <v>0.85</v>
      </c>
      <c r="P22" s="54">
        <v>2.5000000000000001E-2</v>
      </c>
      <c r="Q22" s="54">
        <f t="shared" si="7"/>
        <v>2.5000000000000001E-2</v>
      </c>
      <c r="R22" s="91">
        <f t="shared" si="34"/>
        <v>0.78119840172572741</v>
      </c>
      <c r="S22" s="91">
        <f t="shared" si="8"/>
        <v>70.731780657565011</v>
      </c>
      <c r="T22" s="6">
        <f t="shared" si="9"/>
        <v>4.1205766685465921</v>
      </c>
      <c r="U22" s="1"/>
      <c r="V22" s="61">
        <f t="shared" si="45"/>
        <v>78.333645178875997</v>
      </c>
      <c r="W22" s="61">
        <f t="shared" si="46"/>
        <v>97.917056473594997</v>
      </c>
      <c r="X22" s="61">
        <f t="shared" si="47"/>
        <v>5.6818430817369991</v>
      </c>
      <c r="Y22" s="62">
        <f t="shared" si="13"/>
        <v>0.85</v>
      </c>
      <c r="Z22" s="54">
        <v>2.5000000000000001E-2</v>
      </c>
      <c r="AA22" s="54">
        <f t="shared" si="14"/>
        <v>2.5000000000000001E-2</v>
      </c>
      <c r="AB22" s="91">
        <f t="shared" si="35"/>
        <v>0.78119840172572741</v>
      </c>
      <c r="AC22" s="91">
        <f t="shared" si="15"/>
        <v>76.492648018860208</v>
      </c>
      <c r="AD22" s="6">
        <f t="shared" si="16"/>
        <v>4.4386467343093257</v>
      </c>
      <c r="AE22" s="1"/>
      <c r="AF22" s="61">
        <f t="shared" si="48"/>
        <v>61.780409943413652</v>
      </c>
      <c r="AG22" s="61">
        <f t="shared" si="49"/>
        <v>77.22551242926707</v>
      </c>
      <c r="AH22" s="61">
        <f t="shared" si="50"/>
        <v>4.5370933534857327</v>
      </c>
      <c r="AI22" s="62">
        <f t="shared" si="20"/>
        <v>0.85</v>
      </c>
      <c r="AJ22" s="54">
        <v>2.5000000000000001E-2</v>
      </c>
      <c r="AK22" s="54">
        <f t="shared" si="21"/>
        <v>2.5000000000000001E-2</v>
      </c>
      <c r="AL22" s="91">
        <f t="shared" si="36"/>
        <v>0.78119840172572741</v>
      </c>
      <c r="AM22" s="91">
        <f t="shared" si="22"/>
        <v>60.328446882193731</v>
      </c>
      <c r="AN22" s="6">
        <f t="shared" si="23"/>
        <v>3.5443700762234753</v>
      </c>
      <c r="AO22" s="1"/>
      <c r="AP22" s="61">
        <f t="shared" si="40"/>
        <v>43.743635734990221</v>
      </c>
      <c r="AQ22" s="61">
        <f t="shared" si="38"/>
        <v>54.679544668737769</v>
      </c>
      <c r="AR22" s="61">
        <f t="shared" si="39"/>
        <v>3.2688858225875839</v>
      </c>
      <c r="AS22" s="62">
        <f t="shared" si="27"/>
        <v>0.85</v>
      </c>
      <c r="AT22" s="54">
        <v>2.5000000000000001E-2</v>
      </c>
      <c r="AU22" s="54">
        <f t="shared" si="28"/>
        <v>2.5000000000000001E-2</v>
      </c>
      <c r="AV22" s="91">
        <f t="shared" si="37"/>
        <v>0.78119840172572741</v>
      </c>
      <c r="AW22" s="91">
        <f t="shared" si="29"/>
        <v>42.715572902308466</v>
      </c>
      <c r="AX22" s="6">
        <f t="shared" si="30"/>
        <v>2.5536483800293102</v>
      </c>
      <c r="AY22" s="1"/>
      <c r="AZ22" s="1"/>
      <c r="BA22" s="1"/>
      <c r="BB22" s="1"/>
      <c r="BC22" s="1"/>
      <c r="BD22" s="1"/>
      <c r="BE22" s="1"/>
      <c r="BF22" s="1"/>
      <c r="BG22" s="1"/>
      <c r="BH22" s="1"/>
      <c r="BI22" s="1"/>
    </row>
    <row r="23" spans="1:61">
      <c r="A23" s="47">
        <f t="shared" si="31"/>
        <v>2023</v>
      </c>
      <c r="B23" s="62">
        <v>67.927267239999978</v>
      </c>
      <c r="C23" s="61">
        <v>84.909084049999962</v>
      </c>
      <c r="D23" s="62">
        <v>4.9669722812499977</v>
      </c>
      <c r="E23" s="62">
        <v>0.85</v>
      </c>
      <c r="F23" s="54">
        <v>2.5000000000000001E-2</v>
      </c>
      <c r="G23" s="54">
        <f t="shared" si="32"/>
        <v>2.5000000000000001E-2</v>
      </c>
      <c r="H23" s="178">
        <f t="shared" si="33"/>
        <v>0.76214478217144144</v>
      </c>
      <c r="I23" s="178">
        <f t="shared" si="1"/>
        <v>64.713015367663829</v>
      </c>
      <c r="J23" s="182">
        <f t="shared" si="2"/>
        <v>3.785552007344867</v>
      </c>
      <c r="K23" s="1"/>
      <c r="L23" s="61">
        <f t="shared" si="41"/>
        <v>74.524490513027445</v>
      </c>
      <c r="M23" s="61">
        <f t="shared" si="42"/>
        <v>93.155613141284292</v>
      </c>
      <c r="N23" s="61">
        <f t="shared" si="43"/>
        <v>5.4272103354313428</v>
      </c>
      <c r="O23" s="62">
        <f t="shared" si="44"/>
        <v>0.85</v>
      </c>
      <c r="P23" s="54">
        <v>2.5000000000000001E-2</v>
      </c>
      <c r="Q23" s="54">
        <f t="shared" si="7"/>
        <v>2.5000000000000001E-2</v>
      </c>
      <c r="R23" s="91">
        <f t="shared" si="34"/>
        <v>0.76214478217144144</v>
      </c>
      <c r="S23" s="91">
        <f t="shared" si="8"/>
        <v>70.998064485611181</v>
      </c>
      <c r="T23" s="6">
        <f t="shared" si="9"/>
        <v>4.1363200388959163</v>
      </c>
      <c r="U23" s="1"/>
      <c r="V23" s="61">
        <f t="shared" si="45"/>
        <v>81.687505774242283</v>
      </c>
      <c r="W23" s="61">
        <f t="shared" si="46"/>
        <v>102.10938221780285</v>
      </c>
      <c r="X23" s="61">
        <f t="shared" si="47"/>
        <v>5.9257019054391087</v>
      </c>
      <c r="Y23" s="62">
        <f t="shared" si="13"/>
        <v>0.85</v>
      </c>
      <c r="Z23" s="54">
        <v>2.5000000000000001E-2</v>
      </c>
      <c r="AA23" s="54">
        <f t="shared" si="14"/>
        <v>2.5000000000000001E-2</v>
      </c>
      <c r="AB23" s="91">
        <f t="shared" si="35"/>
        <v>0.76214478217144144</v>
      </c>
      <c r="AC23" s="91">
        <f t="shared" si="15"/>
        <v>77.822132868047802</v>
      </c>
      <c r="AD23" s="6">
        <f t="shared" si="16"/>
        <v>4.516242787933785</v>
      </c>
      <c r="AE23" s="1"/>
      <c r="AF23" s="61">
        <f t="shared" si="48"/>
        <v>61.857555034262447</v>
      </c>
      <c r="AG23" s="61">
        <f t="shared" si="49"/>
        <v>77.321943792828051</v>
      </c>
      <c r="AH23" s="61">
        <f t="shared" si="50"/>
        <v>4.5424404844334463</v>
      </c>
      <c r="AI23" s="62">
        <f t="shared" si="20"/>
        <v>0.85</v>
      </c>
      <c r="AJ23" s="54">
        <v>2.5000000000000001E-2</v>
      </c>
      <c r="AK23" s="54">
        <f t="shared" si="21"/>
        <v>2.5000000000000001E-2</v>
      </c>
      <c r="AL23" s="91">
        <f t="shared" si="36"/>
        <v>0.76214478217144144</v>
      </c>
      <c r="AM23" s="91">
        <f t="shared" si="22"/>
        <v>58.930516009057371</v>
      </c>
      <c r="AN23" s="6">
        <f t="shared" si="23"/>
        <v>3.461997313535266</v>
      </c>
      <c r="AO23" s="1"/>
      <c r="AP23" s="61">
        <f t="shared" si="40"/>
        <v>44.837226628364974</v>
      </c>
      <c r="AQ23" s="61">
        <f t="shared" si="38"/>
        <v>56.046533285456206</v>
      </c>
      <c r="AR23" s="61">
        <f t="shared" si="39"/>
        <v>3.3506079681522731</v>
      </c>
      <c r="AS23" s="62">
        <f t="shared" si="27"/>
        <v>0.85</v>
      </c>
      <c r="AT23" s="54">
        <v>2.5000000000000001E-2</v>
      </c>
      <c r="AU23" s="54">
        <f t="shared" si="28"/>
        <v>2.5000000000000001E-2</v>
      </c>
      <c r="AV23" s="91">
        <f t="shared" si="37"/>
        <v>0.76214478217144144</v>
      </c>
      <c r="AW23" s="91">
        <f t="shared" si="29"/>
        <v>42.715572902308459</v>
      </c>
      <c r="AX23" s="6">
        <f t="shared" si="30"/>
        <v>2.5536483800293102</v>
      </c>
      <c r="AY23" s="1"/>
      <c r="AZ23" s="1"/>
      <c r="BA23" s="1"/>
      <c r="BB23" s="1"/>
      <c r="BC23" s="1"/>
      <c r="BD23" s="1"/>
      <c r="BE23" s="1"/>
      <c r="BF23" s="1"/>
      <c r="BG23" s="1"/>
      <c r="BH23" s="1"/>
      <c r="BI23" s="1"/>
    </row>
    <row r="24" spans="1:61">
      <c r="A24" s="47">
        <f t="shared" si="31"/>
        <v>2024</v>
      </c>
      <c r="B24" s="62">
        <v>68.946176248599969</v>
      </c>
      <c r="C24" s="61">
        <v>86.182720310749957</v>
      </c>
      <c r="D24" s="62">
        <v>5.0414768654687467</v>
      </c>
      <c r="E24" s="62">
        <v>0.85</v>
      </c>
      <c r="F24" s="54">
        <v>2.5000000000000001E-2</v>
      </c>
      <c r="G24" s="54">
        <f t="shared" si="32"/>
        <v>2.5000000000000001E-2</v>
      </c>
      <c r="H24" s="178">
        <f t="shared" si="33"/>
        <v>0.74355588504530878</v>
      </c>
      <c r="I24" s="178">
        <f t="shared" si="1"/>
        <v>64.081668876271991</v>
      </c>
      <c r="J24" s="182">
        <f t="shared" si="2"/>
        <v>3.748619792639063</v>
      </c>
      <c r="K24" s="1"/>
      <c r="L24" s="61">
        <f t="shared" si="41"/>
        <v>76.661266879322838</v>
      </c>
      <c r="M24" s="61">
        <f t="shared" si="42"/>
        <v>95.826583599153537</v>
      </c>
      <c r="N24" s="61">
        <f t="shared" si="43"/>
        <v>5.5831230746815619</v>
      </c>
      <c r="O24" s="62">
        <f t="shared" si="44"/>
        <v>0.85</v>
      </c>
      <c r="P24" s="54">
        <v>2.5000000000000001E-2</v>
      </c>
      <c r="Q24" s="54">
        <f t="shared" si="7"/>
        <v>2.5000000000000001E-2</v>
      </c>
      <c r="R24" s="178">
        <f t="shared" si="34"/>
        <v>0.74355588504530878</v>
      </c>
      <c r="S24" s="178">
        <f t="shared" si="8"/>
        <v>71.252420178936873</v>
      </c>
      <c r="T24" s="182">
        <f t="shared" si="9"/>
        <v>4.1513640191117345</v>
      </c>
      <c r="U24" s="1"/>
      <c r="V24" s="61">
        <f t="shared" si="45"/>
        <v>85.157039956069539</v>
      </c>
      <c r="W24" s="61">
        <f t="shared" si="46"/>
        <v>106.44629994508693</v>
      </c>
      <c r="X24" s="61">
        <f t="shared" si="47"/>
        <v>6.1779775468210314</v>
      </c>
      <c r="Y24" s="62">
        <f t="shared" si="13"/>
        <v>0.85</v>
      </c>
      <c r="Z24" s="54">
        <v>2.5000000000000001E-2</v>
      </c>
      <c r="AA24" s="54">
        <f t="shared" si="14"/>
        <v>2.5000000000000001E-2</v>
      </c>
      <c r="AB24" s="178">
        <f t="shared" si="35"/>
        <v>0.74355588504530878</v>
      </c>
      <c r="AC24" s="178">
        <f t="shared" si="15"/>
        <v>79.148772765467513</v>
      </c>
      <c r="AD24" s="182">
        <f t="shared" si="16"/>
        <v>4.5936715626165574</v>
      </c>
      <c r="AE24" s="1"/>
      <c r="AF24" s="61">
        <f t="shared" si="48"/>
        <v>61.948600717348498</v>
      </c>
      <c r="AG24" s="61">
        <f t="shared" si="49"/>
        <v>77.435750896685619</v>
      </c>
      <c r="AH24" s="61">
        <f t="shared" si="50"/>
        <v>4.5488084613856934</v>
      </c>
      <c r="AI24" s="62">
        <f t="shared" si="20"/>
        <v>0.85</v>
      </c>
      <c r="AJ24" s="54">
        <v>2.5000000000000001E-2</v>
      </c>
      <c r="AK24" s="54">
        <f t="shared" si="21"/>
        <v>2.5000000000000001E-2</v>
      </c>
      <c r="AL24" s="178">
        <f t="shared" si="36"/>
        <v>0.74355588504530878</v>
      </c>
      <c r="AM24" s="178">
        <f t="shared" si="22"/>
        <v>57.577808292133142</v>
      </c>
      <c r="AN24" s="182">
        <f t="shared" si="23"/>
        <v>3.3822933014072287</v>
      </c>
      <c r="AO24" s="1"/>
      <c r="AP24" s="61">
        <f t="shared" si="40"/>
        <v>45.958157294074091</v>
      </c>
      <c r="AQ24" s="61">
        <f t="shared" si="38"/>
        <v>57.447696617592605</v>
      </c>
      <c r="AR24" s="61">
        <f t="shared" si="39"/>
        <v>3.4343731673560796</v>
      </c>
      <c r="AS24" s="62">
        <f t="shared" si="27"/>
        <v>0.85</v>
      </c>
      <c r="AT24" s="54">
        <v>2.5000000000000001E-2</v>
      </c>
      <c r="AU24" s="54">
        <f t="shared" si="28"/>
        <v>2.5000000000000001E-2</v>
      </c>
      <c r="AV24" s="178">
        <f t="shared" si="37"/>
        <v>0.74355588504530878</v>
      </c>
      <c r="AW24" s="178">
        <f t="shared" si="29"/>
        <v>42.715572902308459</v>
      </c>
      <c r="AX24" s="182">
        <f t="shared" si="30"/>
        <v>2.5536483800293102</v>
      </c>
      <c r="AY24" s="1"/>
      <c r="AZ24" s="1"/>
      <c r="BA24" s="1"/>
      <c r="BB24" s="1"/>
      <c r="BC24" s="1"/>
      <c r="BD24" s="1"/>
      <c r="BE24" s="1"/>
      <c r="BF24" s="1"/>
      <c r="BG24" s="1"/>
      <c r="BH24" s="1"/>
      <c r="BI24" s="1"/>
    </row>
    <row r="25" spans="1:61">
      <c r="A25" s="47">
        <f t="shared" si="31"/>
        <v>2025</v>
      </c>
      <c r="B25" s="62">
        <v>69.980368892328954</v>
      </c>
      <c r="C25" s="61">
        <v>87.475461115411193</v>
      </c>
      <c r="D25" s="62">
        <v>5.1170990184507774</v>
      </c>
      <c r="E25" s="62">
        <v>0.85</v>
      </c>
      <c r="F25" s="54">
        <v>2.5000000000000001E-2</v>
      </c>
      <c r="G25" s="54">
        <f t="shared" si="32"/>
        <v>2.5000000000000001E-2</v>
      </c>
      <c r="H25" s="178">
        <f t="shared" si="33"/>
        <v>0.72542037565395989</v>
      </c>
      <c r="I25" s="178">
        <f t="shared" si="1"/>
        <v>63.456481862844946</v>
      </c>
      <c r="J25" s="182">
        <f t="shared" si="2"/>
        <v>3.7120478922230724</v>
      </c>
      <c r="K25" s="1"/>
      <c r="L25" s="61">
        <f t="shared" si="41"/>
        <v>78.84537852624166</v>
      </c>
      <c r="M25" s="61">
        <f t="shared" si="42"/>
        <v>98.556723157802068</v>
      </c>
      <c r="N25" s="61">
        <f t="shared" si="43"/>
        <v>5.7424920737838159</v>
      </c>
      <c r="O25" s="62">
        <f t="shared" si="44"/>
        <v>0.85</v>
      </c>
      <c r="P25" s="54">
        <v>2.5000000000000001E-2</v>
      </c>
      <c r="Q25" s="54">
        <f t="shared" si="7"/>
        <v>2.5000000000000001E-2</v>
      </c>
      <c r="R25" s="178">
        <f t="shared" si="34"/>
        <v>0.72542037565395989</v>
      </c>
      <c r="S25" s="178">
        <f t="shared" si="8"/>
        <v>71.4950551363561</v>
      </c>
      <c r="T25" s="182">
        <f t="shared" si="9"/>
        <v>4.1657207573541433</v>
      </c>
      <c r="U25" s="1"/>
      <c r="V25" s="61">
        <f t="shared" si="45"/>
        <v>88.74594379848061</v>
      </c>
      <c r="W25" s="61">
        <f t="shared" si="46"/>
        <v>110.93242974810079</v>
      </c>
      <c r="X25" s="61">
        <f t="shared" si="47"/>
        <v>6.4389390262076933</v>
      </c>
      <c r="Y25" s="62">
        <f t="shared" si="13"/>
        <v>0.85</v>
      </c>
      <c r="Z25" s="54">
        <v>2.5000000000000001E-2</v>
      </c>
      <c r="AA25" s="54">
        <f t="shared" si="14"/>
        <v>2.5000000000000001E-2</v>
      </c>
      <c r="AB25" s="178">
        <f t="shared" si="35"/>
        <v>0.72542037565395989</v>
      </c>
      <c r="AC25" s="178">
        <f t="shared" si="15"/>
        <v>80.472644860073785</v>
      </c>
      <c r="AD25" s="182">
        <f t="shared" si="16"/>
        <v>4.6709375672045272</v>
      </c>
      <c r="AE25" s="1"/>
      <c r="AF25" s="61">
        <f t="shared" si="48"/>
        <v>62.053564350317252</v>
      </c>
      <c r="AG25" s="61">
        <f t="shared" si="49"/>
        <v>77.566955437896567</v>
      </c>
      <c r="AH25" s="61">
        <f t="shared" si="50"/>
        <v>4.556198487446939</v>
      </c>
      <c r="AI25" s="62">
        <f t="shared" si="20"/>
        <v>0.85</v>
      </c>
      <c r="AJ25" s="54">
        <v>2.5000000000000001E-2</v>
      </c>
      <c r="AK25" s="54">
        <f t="shared" si="21"/>
        <v>2.5000000000000001E-2</v>
      </c>
      <c r="AL25" s="178">
        <f t="shared" si="36"/>
        <v>0.72542037565395989</v>
      </c>
      <c r="AM25" s="178">
        <f t="shared" si="22"/>
        <v>56.268649952092893</v>
      </c>
      <c r="AN25" s="182">
        <f t="shared" si="23"/>
        <v>3.3051592183177623</v>
      </c>
      <c r="AO25" s="1"/>
      <c r="AP25" s="61">
        <f t="shared" si="40"/>
        <v>47.107111226425943</v>
      </c>
      <c r="AQ25" s="61">
        <f t="shared" si="38"/>
        <v>58.883889033032418</v>
      </c>
      <c r="AR25" s="61">
        <f t="shared" si="39"/>
        <v>3.5202324965399812</v>
      </c>
      <c r="AS25" s="62">
        <f t="shared" si="27"/>
        <v>0.85</v>
      </c>
      <c r="AT25" s="54">
        <v>2.5000000000000001E-2</v>
      </c>
      <c r="AU25" s="54">
        <f t="shared" si="28"/>
        <v>2.5000000000000001E-2</v>
      </c>
      <c r="AV25" s="178">
        <f t="shared" si="37"/>
        <v>0.72542037565395989</v>
      </c>
      <c r="AW25" s="178">
        <f t="shared" si="29"/>
        <v>42.715572902308466</v>
      </c>
      <c r="AX25" s="182">
        <f t="shared" si="30"/>
        <v>2.5536483800293102</v>
      </c>
      <c r="AY25" s="1"/>
      <c r="AZ25" s="1"/>
      <c r="BA25" s="1"/>
      <c r="BB25" s="1"/>
      <c r="BC25" s="1"/>
      <c r="BD25" s="1"/>
      <c r="BE25" s="1"/>
      <c r="BF25" s="1"/>
      <c r="BG25" s="1"/>
      <c r="BH25" s="1"/>
      <c r="BI25" s="1"/>
    </row>
    <row r="26" spans="1:61">
      <c r="A26" s="47">
        <f t="shared" si="31"/>
        <v>2026</v>
      </c>
      <c r="B26" s="62">
        <v>71.030074425713892</v>
      </c>
      <c r="C26" s="61">
        <v>88.787593032142354</v>
      </c>
      <c r="D26" s="62">
        <v>5.1810627561814115</v>
      </c>
      <c r="E26" s="62">
        <f>E25</f>
        <v>0.85</v>
      </c>
      <c r="F26" s="54">
        <v>2.5000000000000001E-2</v>
      </c>
      <c r="G26" s="54">
        <f t="shared" si="32"/>
        <v>2.5000000000000001E-2</v>
      </c>
      <c r="H26" s="178">
        <f t="shared" si="33"/>
        <v>0.7077271957599609</v>
      </c>
      <c r="I26" s="178">
        <f t="shared" si="1"/>
        <v>62.837394234914754</v>
      </c>
      <c r="J26" s="182">
        <f t="shared" si="2"/>
        <v>3.6667790154886446</v>
      </c>
      <c r="K26" s="1"/>
      <c r="L26" s="61">
        <f t="shared" si="41"/>
        <v>81.077764737520212</v>
      </c>
      <c r="M26" s="61">
        <f t="shared" si="42"/>
        <v>101.34720592190025</v>
      </c>
      <c r="N26" s="61">
        <f t="shared" si="43"/>
        <v>5.8925931926212067</v>
      </c>
      <c r="O26" s="62">
        <f t="shared" si="44"/>
        <v>0.85</v>
      </c>
      <c r="P26" s="54">
        <v>2.5000000000000001E-2</v>
      </c>
      <c r="Q26" s="54">
        <f t="shared" si="7"/>
        <v>2.5000000000000001E-2</v>
      </c>
      <c r="R26" s="178">
        <f t="shared" si="34"/>
        <v>0.7077271957599609</v>
      </c>
      <c r="S26" s="178">
        <f t="shared" si="8"/>
        <v>71.726173845213765</v>
      </c>
      <c r="T26" s="182">
        <f t="shared" si="9"/>
        <v>4.1703484559680417</v>
      </c>
      <c r="U26" s="1"/>
      <c r="V26" s="61">
        <f t="shared" si="45"/>
        <v>92.458027645819968</v>
      </c>
      <c r="W26" s="61">
        <f t="shared" si="46"/>
        <v>115.57253455727498</v>
      </c>
      <c r="X26" s="61">
        <f t="shared" si="47"/>
        <v>6.6960709347245588</v>
      </c>
      <c r="Y26" s="62">
        <f t="shared" si="13"/>
        <v>0.85</v>
      </c>
      <c r="Z26" s="54">
        <v>2.5000000000000001E-2</v>
      </c>
      <c r="AA26" s="54">
        <f t="shared" si="14"/>
        <v>2.5000000000000001E-2</v>
      </c>
      <c r="AB26" s="178">
        <f t="shared" si="35"/>
        <v>0.7077271957599609</v>
      </c>
      <c r="AC26" s="178">
        <f t="shared" si="15"/>
        <v>81.7938257890914</v>
      </c>
      <c r="AD26" s="182">
        <f t="shared" si="16"/>
        <v>4.7389915052423923</v>
      </c>
      <c r="AE26" s="1"/>
      <c r="AF26" s="61">
        <f t="shared" si="48"/>
        <v>62.172466418447428</v>
      </c>
      <c r="AG26" s="61">
        <f t="shared" si="49"/>
        <v>77.715583023059281</v>
      </c>
      <c r="AH26" s="61">
        <f t="shared" si="50"/>
        <v>4.5518192478658692</v>
      </c>
      <c r="AI26" s="62">
        <f t="shared" si="20"/>
        <v>0.85</v>
      </c>
      <c r="AJ26" s="54">
        <v>2.5000000000000001E-2</v>
      </c>
      <c r="AK26" s="54">
        <f t="shared" si="21"/>
        <v>2.5000000000000001E-2</v>
      </c>
      <c r="AL26" s="178">
        <f t="shared" si="36"/>
        <v>0.7077271957599609</v>
      </c>
      <c r="AM26" s="178">
        <f t="shared" si="22"/>
        <v>55.00143163976017</v>
      </c>
      <c r="AN26" s="182">
        <f t="shared" si="23"/>
        <v>3.2214462718983259</v>
      </c>
      <c r="AO26" s="1"/>
      <c r="AP26" s="61">
        <f t="shared" si="40"/>
        <v>48.284789007086587</v>
      </c>
      <c r="AQ26" s="61">
        <f t="shared" si="38"/>
        <v>60.355986258858223</v>
      </c>
      <c r="AR26" s="61">
        <f t="shared" si="39"/>
        <v>3.6082383089534802</v>
      </c>
      <c r="AS26" s="62">
        <f t="shared" si="27"/>
        <v>0.85</v>
      </c>
      <c r="AT26" s="54">
        <v>2.5000000000000001E-2</v>
      </c>
      <c r="AU26" s="54">
        <f t="shared" si="28"/>
        <v>2.5000000000000001E-2</v>
      </c>
      <c r="AV26" s="178">
        <f t="shared" si="37"/>
        <v>0.7077271957599609</v>
      </c>
      <c r="AW26" s="178">
        <f t="shared" si="29"/>
        <v>42.715572902308466</v>
      </c>
      <c r="AX26" s="182">
        <f t="shared" si="30"/>
        <v>2.5536483800293102</v>
      </c>
      <c r="AY26" s="1"/>
      <c r="AZ26" s="1"/>
      <c r="BA26" s="1"/>
      <c r="BB26" s="1"/>
      <c r="BC26" s="1"/>
      <c r="BD26" s="1"/>
      <c r="BE26" s="1"/>
      <c r="BF26" s="1"/>
      <c r="BG26" s="1"/>
      <c r="BH26" s="1"/>
      <c r="BI26" s="1"/>
    </row>
    <row r="27" spans="1:61">
      <c r="A27" s="47">
        <f t="shared" si="31"/>
        <v>2027</v>
      </c>
      <c r="B27" s="62">
        <v>72.095525542099594</v>
      </c>
      <c r="C27" s="61">
        <v>90.119406927624482</v>
      </c>
      <c r="D27" s="62">
        <v>5.2458260406336787</v>
      </c>
      <c r="E27" s="62">
        <f t="shared" ref="E27:E40" si="51">E26</f>
        <v>0.85</v>
      </c>
      <c r="F27" s="54">
        <v>2.5000000000000001E-2</v>
      </c>
      <c r="G27" s="54">
        <f t="shared" si="32"/>
        <v>2.5000000000000001E-2</v>
      </c>
      <c r="H27" s="178">
        <f t="shared" si="33"/>
        <v>0.69046555683898636</v>
      </c>
      <c r="I27" s="178">
        <f t="shared" si="1"/>
        <v>62.224346486281441</v>
      </c>
      <c r="J27" s="182">
        <f t="shared" si="2"/>
        <v>3.6220621982265881</v>
      </c>
      <c r="K27" s="1"/>
      <c r="L27" s="61">
        <f t="shared" si="41"/>
        <v>83.359382324968706</v>
      </c>
      <c r="M27" s="61">
        <f t="shared" si="42"/>
        <v>104.19922790621088</v>
      </c>
      <c r="N27" s="61">
        <f t="shared" si="43"/>
        <v>6.0457453749627916</v>
      </c>
      <c r="O27" s="62">
        <f t="shared" si="44"/>
        <v>0.85</v>
      </c>
      <c r="P27" s="54">
        <v>2.5000000000000001E-2</v>
      </c>
      <c r="Q27" s="54">
        <f t="shared" si="7"/>
        <v>2.5000000000000001E-2</v>
      </c>
      <c r="R27" s="178">
        <f t="shared" si="34"/>
        <v>0.69046555683898636</v>
      </c>
      <c r="S27" s="178">
        <f t="shared" si="8"/>
        <v>71.945977918454346</v>
      </c>
      <c r="T27" s="182">
        <f t="shared" si="9"/>
        <v>4.1743789468304104</v>
      </c>
      <c r="U27" s="1"/>
      <c r="V27" s="61">
        <f t="shared" si="45"/>
        <v>96.297219591580273</v>
      </c>
      <c r="W27" s="61">
        <f t="shared" si="46"/>
        <v>120.37152448947536</v>
      </c>
      <c r="X27" s="61">
        <f t="shared" si="47"/>
        <v>6.9617163472185633</v>
      </c>
      <c r="Y27" s="62">
        <f t="shared" si="13"/>
        <v>0.85</v>
      </c>
      <c r="Z27" s="54">
        <v>2.5000000000000001E-2</v>
      </c>
      <c r="AA27" s="54">
        <f t="shared" si="14"/>
        <v>2.5000000000000001E-2</v>
      </c>
      <c r="AB27" s="178">
        <f t="shared" si="35"/>
        <v>0.69046555683898636</v>
      </c>
      <c r="AC27" s="178">
        <f t="shared" si="15"/>
        <v>83.112391684183294</v>
      </c>
      <c r="AD27" s="182">
        <f t="shared" si="16"/>
        <v>4.8068253542373398</v>
      </c>
      <c r="AE27" s="1"/>
      <c r="AF27" s="61">
        <f t="shared" si="48"/>
        <v>62.305330538556419</v>
      </c>
      <c r="AG27" s="61">
        <f t="shared" si="49"/>
        <v>77.88166317319552</v>
      </c>
      <c r="AH27" s="61">
        <f t="shared" si="50"/>
        <v>4.5483052436001481</v>
      </c>
      <c r="AI27" s="62">
        <f t="shared" si="20"/>
        <v>0.85</v>
      </c>
      <c r="AJ27" s="54">
        <v>2.5000000000000001E-2</v>
      </c>
      <c r="AK27" s="54">
        <f t="shared" si="21"/>
        <v>2.5000000000000001E-2</v>
      </c>
      <c r="AL27" s="178">
        <f t="shared" si="36"/>
        <v>0.69046555683898636</v>
      </c>
      <c r="AM27" s="178">
        <f t="shared" si="22"/>
        <v>53.774605930426823</v>
      </c>
      <c r="AN27" s="182">
        <f t="shared" si="23"/>
        <v>3.1404481126960579</v>
      </c>
      <c r="AO27" s="1"/>
      <c r="AP27" s="61">
        <f t="shared" si="40"/>
        <v>49.491908732263745</v>
      </c>
      <c r="AQ27" s="61">
        <f t="shared" si="38"/>
        <v>61.864885915329673</v>
      </c>
      <c r="AR27" s="61">
        <f t="shared" si="39"/>
        <v>3.698444266677317</v>
      </c>
      <c r="AS27" s="62">
        <f t="shared" si="27"/>
        <v>0.85</v>
      </c>
      <c r="AT27" s="54">
        <v>2.5000000000000001E-2</v>
      </c>
      <c r="AU27" s="54">
        <f t="shared" si="28"/>
        <v>2.5000000000000001E-2</v>
      </c>
      <c r="AV27" s="178">
        <f t="shared" si="37"/>
        <v>0.69046555683898636</v>
      </c>
      <c r="AW27" s="178">
        <f t="shared" si="29"/>
        <v>42.715572902308466</v>
      </c>
      <c r="AX27" s="182">
        <f t="shared" si="30"/>
        <v>2.5536483800293102</v>
      </c>
      <c r="AY27" s="1"/>
      <c r="AZ27" s="1"/>
      <c r="BA27" s="1"/>
      <c r="BB27" s="1"/>
      <c r="BC27" s="1"/>
      <c r="BD27" s="1"/>
      <c r="BE27" s="1"/>
      <c r="BF27" s="1"/>
      <c r="BG27" s="1"/>
      <c r="BH27" s="1"/>
      <c r="BI27" s="1"/>
    </row>
    <row r="28" spans="1:61">
      <c r="A28" s="47">
        <f t="shared" si="31"/>
        <v>2028</v>
      </c>
      <c r="B28" s="62">
        <v>73.176958425231078</v>
      </c>
      <c r="C28" s="61">
        <v>91.471198031538847</v>
      </c>
      <c r="D28" s="62">
        <v>5.3113988661415998</v>
      </c>
      <c r="E28" s="62">
        <f t="shared" si="51"/>
        <v>0.85</v>
      </c>
      <c r="F28" s="54">
        <v>2.5000000000000001E-2</v>
      </c>
      <c r="G28" s="54">
        <f t="shared" si="32"/>
        <v>2.5000000000000001E-2</v>
      </c>
      <c r="H28" s="178">
        <f t="shared" si="33"/>
        <v>0.67362493350145014</v>
      </c>
      <c r="I28" s="178">
        <f t="shared" si="1"/>
        <v>61.617279691293334</v>
      </c>
      <c r="J28" s="182">
        <f t="shared" si="2"/>
        <v>3.577890708004313</v>
      </c>
      <c r="K28" s="1"/>
      <c r="L28" s="61">
        <f t="shared" si="41"/>
        <v>85.691205942974719</v>
      </c>
      <c r="M28" s="61">
        <f t="shared" si="42"/>
        <v>107.11400742871839</v>
      </c>
      <c r="N28" s="61">
        <f t="shared" si="43"/>
        <v>6.2020043810951542</v>
      </c>
      <c r="O28" s="62">
        <f t="shared" si="44"/>
        <v>0.85</v>
      </c>
      <c r="P28" s="54">
        <v>2.5000000000000001E-2</v>
      </c>
      <c r="Q28" s="54">
        <f t="shared" si="7"/>
        <v>2.5000000000000001E-2</v>
      </c>
      <c r="R28" s="178">
        <f t="shared" si="34"/>
        <v>0.67362493350145014</v>
      </c>
      <c r="S28" s="178">
        <f t="shared" si="8"/>
        <v>72.154666131244269</v>
      </c>
      <c r="T28" s="182">
        <f t="shared" si="9"/>
        <v>4.1778247887909252</v>
      </c>
      <c r="U28" s="1"/>
      <c r="V28" s="61">
        <f t="shared" si="45"/>
        <v>100.26756906245917</v>
      </c>
      <c r="W28" s="61">
        <f t="shared" si="46"/>
        <v>125.33446132807398</v>
      </c>
      <c r="X28" s="61">
        <f t="shared" si="47"/>
        <v>7.2361406631430416</v>
      </c>
      <c r="Y28" s="62">
        <f t="shared" si="13"/>
        <v>0.85</v>
      </c>
      <c r="Z28" s="54">
        <v>2.5000000000000001E-2</v>
      </c>
      <c r="AA28" s="54">
        <f t="shared" si="14"/>
        <v>2.5000000000000001E-2</v>
      </c>
      <c r="AB28" s="178">
        <f t="shared" si="35"/>
        <v>0.67362493350145014</v>
      </c>
      <c r="AC28" s="178">
        <f t="shared" si="15"/>
        <v>84.428418177563913</v>
      </c>
      <c r="AD28" s="182">
        <f t="shared" si="16"/>
        <v>4.8744447730168705</v>
      </c>
      <c r="AE28" s="1"/>
      <c r="AF28" s="61">
        <f t="shared" si="48"/>
        <v>62.452183463609558</v>
      </c>
      <c r="AG28" s="61">
        <f t="shared" si="49"/>
        <v>78.065229329511951</v>
      </c>
      <c r="AH28" s="61">
        <f t="shared" si="50"/>
        <v>4.5456534904540673</v>
      </c>
      <c r="AI28" s="62">
        <f t="shared" si="20"/>
        <v>0.85</v>
      </c>
      <c r="AJ28" s="54">
        <v>2.5000000000000001E-2</v>
      </c>
      <c r="AK28" s="54">
        <f t="shared" si="21"/>
        <v>2.5000000000000001E-2</v>
      </c>
      <c r="AL28" s="178">
        <f t="shared" si="36"/>
        <v>0.67362493350145014</v>
      </c>
      <c r="AM28" s="178">
        <f t="shared" si="22"/>
        <v>52.586684915867941</v>
      </c>
      <c r="AN28" s="182">
        <f t="shared" si="23"/>
        <v>3.062065530227756</v>
      </c>
      <c r="AO28" s="1"/>
      <c r="AP28" s="61">
        <f t="shared" si="40"/>
        <v>50.729206450570338</v>
      </c>
      <c r="AQ28" s="61">
        <f t="shared" si="38"/>
        <v>63.411508063212906</v>
      </c>
      <c r="AR28" s="61">
        <f t="shared" si="39"/>
        <v>3.7909053733442497</v>
      </c>
      <c r="AS28" s="62">
        <f t="shared" si="27"/>
        <v>0.85</v>
      </c>
      <c r="AT28" s="54">
        <v>2.5000000000000001E-2</v>
      </c>
      <c r="AU28" s="54">
        <f t="shared" si="28"/>
        <v>2.5000000000000001E-2</v>
      </c>
      <c r="AV28" s="178">
        <f t="shared" si="37"/>
        <v>0.67362493350145014</v>
      </c>
      <c r="AW28" s="178">
        <f t="shared" si="29"/>
        <v>42.715572902308466</v>
      </c>
      <c r="AX28" s="182">
        <f t="shared" si="30"/>
        <v>2.5536483800293102</v>
      </c>
      <c r="AY28" s="1"/>
      <c r="AZ28" s="1"/>
      <c r="BA28" s="1"/>
      <c r="BB28" s="1"/>
      <c r="BC28" s="1"/>
      <c r="BD28" s="1"/>
      <c r="BE28" s="1"/>
      <c r="BF28" s="1"/>
      <c r="BG28" s="1"/>
      <c r="BH28" s="1"/>
      <c r="BI28" s="1"/>
    </row>
    <row r="29" spans="1:61">
      <c r="A29" s="47">
        <f t="shared" si="31"/>
        <v>2029</v>
      </c>
      <c r="B29" s="62">
        <v>74.274612801609535</v>
      </c>
      <c r="C29" s="61">
        <v>92.843266002011916</v>
      </c>
      <c r="D29" s="62">
        <v>5.3777913519683693</v>
      </c>
      <c r="E29" s="62">
        <f t="shared" si="51"/>
        <v>0.85</v>
      </c>
      <c r="F29" s="54">
        <v>2.5000000000000001E-2</v>
      </c>
      <c r="G29" s="54">
        <f t="shared" si="32"/>
        <v>2.5000000000000001E-2</v>
      </c>
      <c r="H29" s="178">
        <f t="shared" si="33"/>
        <v>0.65719505707458559</v>
      </c>
      <c r="I29" s="178">
        <f t="shared" si="1"/>
        <v>61.01613549918315</v>
      </c>
      <c r="J29" s="182">
        <f t="shared" si="2"/>
        <v>3.5342578944920651</v>
      </c>
      <c r="K29" s="1"/>
      <c r="L29" s="61">
        <f t="shared" si="41"/>
        <v>88.074228408497788</v>
      </c>
      <c r="M29" s="61">
        <f t="shared" si="42"/>
        <v>110.09278551062224</v>
      </c>
      <c r="N29" s="61">
        <f t="shared" si="43"/>
        <v>6.3614269326383504</v>
      </c>
      <c r="O29" s="62">
        <f t="shared" si="44"/>
        <v>0.85</v>
      </c>
      <c r="P29" s="54">
        <v>2.5000000000000001E-2</v>
      </c>
      <c r="Q29" s="54">
        <f t="shared" si="7"/>
        <v>2.5000000000000001E-2</v>
      </c>
      <c r="R29" s="178">
        <f t="shared" si="34"/>
        <v>0.65719505707458559</v>
      </c>
      <c r="S29" s="178">
        <f t="shared" si="8"/>
        <v>72.352434457153493</v>
      </c>
      <c r="T29" s="182">
        <f t="shared" si="9"/>
        <v>4.1806983360710666</v>
      </c>
      <c r="U29" s="1"/>
      <c r="V29" s="61">
        <f t="shared" si="45"/>
        <v>104.37325051071142</v>
      </c>
      <c r="W29" s="61">
        <f t="shared" si="46"/>
        <v>130.46656313838929</v>
      </c>
      <c r="X29" s="61">
        <f t="shared" si="47"/>
        <v>7.5196173688641021</v>
      </c>
      <c r="Y29" s="62">
        <f t="shared" si="13"/>
        <v>0.85</v>
      </c>
      <c r="Z29" s="54">
        <v>2.5000000000000001E-2</v>
      </c>
      <c r="AA29" s="54">
        <f t="shared" si="14"/>
        <v>2.5000000000000001E-2</v>
      </c>
      <c r="AB29" s="178">
        <f t="shared" si="35"/>
        <v>0.65719505707458559</v>
      </c>
      <c r="AC29" s="178">
        <f t="shared" si="15"/>
        <v>85.74198040805878</v>
      </c>
      <c r="AD29" s="182">
        <f t="shared" si="16"/>
        <v>4.9418553659096887</v>
      </c>
      <c r="AE29" s="1"/>
      <c r="AF29" s="61">
        <f t="shared" si="48"/>
        <v>62.613055088033875</v>
      </c>
      <c r="AG29" s="61">
        <f t="shared" si="49"/>
        <v>78.266318860042333</v>
      </c>
      <c r="AH29" s="61">
        <f t="shared" si="50"/>
        <v>4.543861173924026</v>
      </c>
      <c r="AI29" s="62">
        <f t="shared" si="20"/>
        <v>0.85</v>
      </c>
      <c r="AJ29" s="54">
        <v>2.5000000000000001E-2</v>
      </c>
      <c r="AK29" s="54">
        <f t="shared" si="21"/>
        <v>2.5000000000000001E-2</v>
      </c>
      <c r="AL29" s="178">
        <f t="shared" si="36"/>
        <v>0.65719505707458559</v>
      </c>
      <c r="AM29" s="178">
        <f t="shared" si="22"/>
        <v>51.436237890243234</v>
      </c>
      <c r="AN29" s="182">
        <f t="shared" si="23"/>
        <v>2.9862031035359937</v>
      </c>
      <c r="AO29" s="1"/>
      <c r="AP29" s="61">
        <f t="shared" si="40"/>
        <v>51.997436611834594</v>
      </c>
      <c r="AQ29" s="61">
        <f t="shared" si="38"/>
        <v>64.99679576479322</v>
      </c>
      <c r="AR29" s="61">
        <f t="shared" si="39"/>
        <v>3.8856780076778556</v>
      </c>
      <c r="AS29" s="62">
        <f t="shared" si="27"/>
        <v>0.85</v>
      </c>
      <c r="AT29" s="54">
        <v>2.5000000000000001E-2</v>
      </c>
      <c r="AU29" s="54">
        <f t="shared" si="28"/>
        <v>2.5000000000000001E-2</v>
      </c>
      <c r="AV29" s="178">
        <f t="shared" si="37"/>
        <v>0.65719505707458559</v>
      </c>
      <c r="AW29" s="178">
        <f t="shared" si="29"/>
        <v>42.715572902308466</v>
      </c>
      <c r="AX29" s="182">
        <f t="shared" si="30"/>
        <v>2.5536483800293102</v>
      </c>
      <c r="AY29" s="1"/>
      <c r="AZ29" s="1"/>
      <c r="BA29" s="1"/>
      <c r="BB29" s="1"/>
      <c r="BC29" s="1"/>
      <c r="BD29" s="1"/>
      <c r="BE29" s="1"/>
      <c r="BF29" s="1"/>
      <c r="BG29" s="1"/>
      <c r="BH29" s="1"/>
      <c r="BI29" s="1"/>
    </row>
    <row r="30" spans="1:61">
      <c r="A30" s="47">
        <f t="shared" si="31"/>
        <v>2030</v>
      </c>
      <c r="B30" s="62">
        <v>75.38873199363367</v>
      </c>
      <c r="C30" s="61">
        <v>94.235914992042083</v>
      </c>
      <c r="D30" s="62">
        <v>5.4450137438679738</v>
      </c>
      <c r="E30" s="62">
        <f t="shared" si="51"/>
        <v>0.85</v>
      </c>
      <c r="F30" s="54">
        <v>2.5000000000000001E-2</v>
      </c>
      <c r="G30" s="54">
        <f t="shared" ref="G30:G45" si="52">G29</f>
        <v>2.5000000000000001E-2</v>
      </c>
      <c r="H30" s="178">
        <f t="shared" si="33"/>
        <v>0.64116590934105921</v>
      </c>
      <c r="I30" s="178">
        <f t="shared" si="1"/>
        <v>60.42085612845942</v>
      </c>
      <c r="J30" s="182">
        <f t="shared" si="2"/>
        <v>3.4911571884616746</v>
      </c>
      <c r="K30" s="1"/>
      <c r="L30" s="61">
        <f t="shared" si="41"/>
        <v>90.509461026649376</v>
      </c>
      <c r="M30" s="61">
        <f t="shared" si="42"/>
        <v>113.13682628331172</v>
      </c>
      <c r="N30" s="61">
        <f t="shared" si="43"/>
        <v>6.524070728527529</v>
      </c>
      <c r="O30" s="62">
        <f t="shared" si="44"/>
        <v>0.85</v>
      </c>
      <c r="P30" s="54">
        <v>2.5000000000000001E-2</v>
      </c>
      <c r="Q30" s="54">
        <f t="shared" si="7"/>
        <v>2.5000000000000001E-2</v>
      </c>
      <c r="R30" s="178">
        <f t="shared" si="34"/>
        <v>0.64116590934105921</v>
      </c>
      <c r="S30" s="178">
        <f t="shared" si="8"/>
        <v>72.539476103901009</v>
      </c>
      <c r="T30" s="182">
        <f t="shared" si="9"/>
        <v>4.1830117412617396</v>
      </c>
      <c r="U30" s="1"/>
      <c r="V30" s="61">
        <f t="shared" si="45"/>
        <v>108.6185672180569</v>
      </c>
      <c r="W30" s="61">
        <f t="shared" si="46"/>
        <v>135.77320902257117</v>
      </c>
      <c r="X30" s="61">
        <f t="shared" si="47"/>
        <v>7.8124282818296296</v>
      </c>
      <c r="Y30" s="62">
        <f t="shared" si="13"/>
        <v>0.85</v>
      </c>
      <c r="Z30" s="54">
        <v>2.5000000000000001E-2</v>
      </c>
      <c r="AA30" s="54">
        <f t="shared" si="14"/>
        <v>2.5000000000000001E-2</v>
      </c>
      <c r="AB30" s="178">
        <f t="shared" si="35"/>
        <v>0.64116590934105921</v>
      </c>
      <c r="AC30" s="178">
        <f t="shared" si="15"/>
        <v>87.053153027110554</v>
      </c>
      <c r="AD30" s="182">
        <f t="shared" si="16"/>
        <v>5.009062683481103</v>
      </c>
      <c r="AE30" s="1"/>
      <c r="AF30" s="61">
        <f t="shared" si="48"/>
        <v>62.787978453737502</v>
      </c>
      <c r="AG30" s="61">
        <f t="shared" si="49"/>
        <v>78.484973067171865</v>
      </c>
      <c r="AH30" s="61">
        <f t="shared" si="50"/>
        <v>4.5429256482147702</v>
      </c>
      <c r="AI30" s="62">
        <f t="shared" si="20"/>
        <v>0.85</v>
      </c>
      <c r="AJ30" s="54">
        <v>2.5000000000000001E-2</v>
      </c>
      <c r="AK30" s="54">
        <f t="shared" si="21"/>
        <v>2.5000000000000001E-2</v>
      </c>
      <c r="AL30" s="178">
        <f t="shared" si="36"/>
        <v>0.64116590934105921</v>
      </c>
      <c r="AM30" s="178">
        <f t="shared" si="22"/>
        <v>50.321889126221791</v>
      </c>
      <c r="AN30" s="182">
        <f t="shared" si="23"/>
        <v>2.9127690543064442</v>
      </c>
      <c r="AO30" s="1"/>
      <c r="AP30" s="61">
        <f t="shared" si="40"/>
        <v>53.297372527130456</v>
      </c>
      <c r="AQ30" s="61">
        <f t="shared" si="38"/>
        <v>66.621715658913047</v>
      </c>
      <c r="AR30" s="61">
        <f t="shared" si="39"/>
        <v>3.9828199578698018</v>
      </c>
      <c r="AS30" s="62">
        <f t="shared" si="27"/>
        <v>0.85</v>
      </c>
      <c r="AT30" s="54">
        <v>2.5000000000000001E-2</v>
      </c>
      <c r="AU30" s="54">
        <f t="shared" si="28"/>
        <v>2.5000000000000001E-2</v>
      </c>
      <c r="AV30" s="178">
        <f t="shared" si="37"/>
        <v>0.64116590934105921</v>
      </c>
      <c r="AW30" s="178">
        <f t="shared" si="29"/>
        <v>42.715572902308466</v>
      </c>
      <c r="AX30" s="182">
        <f t="shared" si="30"/>
        <v>2.5536483800293106</v>
      </c>
      <c r="AY30" s="1"/>
      <c r="AZ30" s="1"/>
      <c r="BA30" s="1"/>
      <c r="BB30" s="1"/>
      <c r="BC30" s="1"/>
      <c r="BD30" s="1"/>
      <c r="BE30" s="1"/>
      <c r="BF30" s="1"/>
      <c r="BG30" s="1"/>
      <c r="BH30" s="1"/>
      <c r="BI30" s="1"/>
    </row>
    <row r="31" spans="1:61">
      <c r="A31" s="47">
        <f t="shared" si="31"/>
        <v>2031</v>
      </c>
      <c r="B31" s="62">
        <v>76.519562973538171</v>
      </c>
      <c r="C31" s="61">
        <v>95.649453716922707</v>
      </c>
      <c r="D31" s="62">
        <v>5.5130764156663234</v>
      </c>
      <c r="E31" s="62">
        <f t="shared" si="51"/>
        <v>0.85</v>
      </c>
      <c r="F31" s="54">
        <v>2.5000000000000001E-2</v>
      </c>
      <c r="G31" s="54">
        <f t="shared" si="52"/>
        <v>2.5000000000000001E-2</v>
      </c>
      <c r="H31" s="178">
        <f t="shared" si="33"/>
        <v>0.62552771643030169</v>
      </c>
      <c r="I31" s="178">
        <f t="shared" si="1"/>
        <v>59.831384361352491</v>
      </c>
      <c r="J31" s="182">
        <f t="shared" si="2"/>
        <v>3.4485821007975082</v>
      </c>
      <c r="K31" s="1"/>
      <c r="L31" s="61">
        <f t="shared" si="41"/>
        <v>92.997933921953603</v>
      </c>
      <c r="M31" s="61">
        <f t="shared" si="42"/>
        <v>116.24741740244201</v>
      </c>
      <c r="N31" s="61">
        <f t="shared" si="43"/>
        <v>6.6899944612537912</v>
      </c>
      <c r="O31" s="62">
        <f t="shared" si="44"/>
        <v>0.85</v>
      </c>
      <c r="P31" s="54">
        <v>2.5000000000000001E-2</v>
      </c>
      <c r="Q31" s="54">
        <f t="shared" si="7"/>
        <v>2.5000000000000001E-2</v>
      </c>
      <c r="R31" s="178">
        <f t="shared" si="34"/>
        <v>0.62552771643030169</v>
      </c>
      <c r="S31" s="178">
        <f t="shared" si="8"/>
        <v>72.71598154866966</v>
      </c>
      <c r="T31" s="182">
        <f t="shared" si="9"/>
        <v>4.1847769582794507</v>
      </c>
      <c r="U31" s="1"/>
      <c r="V31" s="61">
        <f t="shared" si="45"/>
        <v>113.00795521450311</v>
      </c>
      <c r="W31" s="61">
        <f t="shared" si="46"/>
        <v>141.25994401812892</v>
      </c>
      <c r="X31" s="61">
        <f t="shared" si="47"/>
        <v>8.1148638020828692</v>
      </c>
      <c r="Y31" s="62">
        <f t="shared" si="13"/>
        <v>0.85</v>
      </c>
      <c r="Z31" s="54">
        <v>2.5000000000000001E-2</v>
      </c>
      <c r="AA31" s="54">
        <f t="shared" si="14"/>
        <v>2.5000000000000001E-2</v>
      </c>
      <c r="AB31" s="178">
        <f t="shared" si="35"/>
        <v>0.62552771643030169</v>
      </c>
      <c r="AC31" s="178">
        <f t="shared" si="15"/>
        <v>88.362010204732442</v>
      </c>
      <c r="AD31" s="182">
        <f t="shared" si="16"/>
        <v>5.0760722232598132</v>
      </c>
      <c r="AE31" s="1"/>
      <c r="AF31" s="61">
        <f t="shared" si="48"/>
        <v>62.976989756835941</v>
      </c>
      <c r="AG31" s="61">
        <f t="shared" si="49"/>
        <v>78.72123719604491</v>
      </c>
      <c r="AH31" s="61">
        <f t="shared" si="50"/>
        <v>4.542844435289898</v>
      </c>
      <c r="AI31" s="62">
        <f t="shared" si="20"/>
        <v>0.85</v>
      </c>
      <c r="AJ31" s="54">
        <v>2.5000000000000001E-2</v>
      </c>
      <c r="AK31" s="54">
        <f t="shared" si="21"/>
        <v>2.5000000000000001E-2</v>
      </c>
      <c r="AL31" s="178">
        <f t="shared" si="36"/>
        <v>0.62552771643030169</v>
      </c>
      <c r="AM31" s="178">
        <f t="shared" si="22"/>
        <v>49.242315737810095</v>
      </c>
      <c r="AN31" s="182">
        <f t="shared" si="23"/>
        <v>2.8416751057049932</v>
      </c>
      <c r="AO31" s="1"/>
      <c r="AP31" s="61">
        <f t="shared" si="40"/>
        <v>54.62980684030871</v>
      </c>
      <c r="AQ31" s="61">
        <f t="shared" si="38"/>
        <v>68.287258550385872</v>
      </c>
      <c r="AR31" s="61">
        <f t="shared" si="39"/>
        <v>4.0823904568165466</v>
      </c>
      <c r="AS31" s="62">
        <f t="shared" si="27"/>
        <v>0.85</v>
      </c>
      <c r="AT31" s="54">
        <v>2.5000000000000001E-2</v>
      </c>
      <c r="AU31" s="54">
        <f t="shared" si="28"/>
        <v>2.5000000000000001E-2</v>
      </c>
      <c r="AV31" s="178">
        <f t="shared" si="37"/>
        <v>0.62552771643030169</v>
      </c>
      <c r="AW31" s="178">
        <f t="shared" si="29"/>
        <v>42.715572902308466</v>
      </c>
      <c r="AX31" s="182">
        <f t="shared" si="30"/>
        <v>2.5536483800293106</v>
      </c>
      <c r="AY31" s="1"/>
      <c r="AZ31" s="1"/>
      <c r="BA31" s="1"/>
      <c r="BB31" s="1"/>
      <c r="BC31" s="1"/>
      <c r="BD31" s="1"/>
      <c r="BE31" s="1"/>
      <c r="BF31" s="1"/>
      <c r="BG31" s="1"/>
      <c r="BH31" s="1"/>
      <c r="BI31" s="1"/>
    </row>
    <row r="32" spans="1:61">
      <c r="A32" s="47">
        <f t="shared" si="31"/>
        <v>2032</v>
      </c>
      <c r="B32" s="62">
        <v>77.667356418141239</v>
      </c>
      <c r="C32" s="61">
        <v>97.084195522676538</v>
      </c>
      <c r="D32" s="62">
        <v>5.5819898708621523</v>
      </c>
      <c r="E32" s="62">
        <f t="shared" si="51"/>
        <v>0.85</v>
      </c>
      <c r="F32" s="54">
        <v>2.5000000000000001E-2</v>
      </c>
      <c r="G32" s="54">
        <f t="shared" si="52"/>
        <v>2.5000000000000001E-2</v>
      </c>
      <c r="H32" s="178">
        <f t="shared" si="33"/>
        <v>0.61027094285883099</v>
      </c>
      <c r="I32" s="178">
        <f t="shared" si="1"/>
        <v>59.24766353831491</v>
      </c>
      <c r="J32" s="182">
        <f t="shared" si="2"/>
        <v>3.4065262215194898</v>
      </c>
      <c r="K32" s="1"/>
      <c r="L32" s="61">
        <f t="shared" si="41"/>
        <v>95.540696375385963</v>
      </c>
      <c r="M32" s="61">
        <f t="shared" si="42"/>
        <v>119.42587046923246</v>
      </c>
      <c r="N32" s="61">
        <f t="shared" si="43"/>
        <v>6.8592578333684262</v>
      </c>
      <c r="O32" s="62">
        <f t="shared" si="44"/>
        <v>0.85</v>
      </c>
      <c r="P32" s="54">
        <v>2.5000000000000001E-2</v>
      </c>
      <c r="Q32" s="54">
        <f t="shared" si="7"/>
        <v>2.5000000000000001E-2</v>
      </c>
      <c r="R32" s="178">
        <f t="shared" si="34"/>
        <v>0.61027094285883099</v>
      </c>
      <c r="S32" s="178">
        <f t="shared" si="8"/>
        <v>72.882138572995117</v>
      </c>
      <c r="T32" s="182">
        <f t="shared" si="9"/>
        <v>4.1860057452815713</v>
      </c>
      <c r="U32" s="1"/>
      <c r="V32" s="61">
        <f t="shared" si="45"/>
        <v>117.54598731554128</v>
      </c>
      <c r="W32" s="61">
        <f t="shared" si="46"/>
        <v>146.93248414442661</v>
      </c>
      <c r="X32" s="61">
        <f t="shared" si="47"/>
        <v>8.4272231713411827</v>
      </c>
      <c r="Y32" s="62">
        <f t="shared" si="13"/>
        <v>0.85</v>
      </c>
      <c r="Z32" s="54">
        <v>2.5000000000000001E-2</v>
      </c>
      <c r="AA32" s="54">
        <f t="shared" si="14"/>
        <v>2.5000000000000001E-2</v>
      </c>
      <c r="AB32" s="178">
        <f t="shared" si="35"/>
        <v>0.61027094285883099</v>
      </c>
      <c r="AC32" s="178">
        <f t="shared" si="15"/>
        <v>89.668625635409455</v>
      </c>
      <c r="AD32" s="182">
        <f t="shared" si="16"/>
        <v>5.1428894304561714</v>
      </c>
      <c r="AE32" s="1"/>
      <c r="AF32" s="61">
        <f t="shared" si="48"/>
        <v>63.180128355086467</v>
      </c>
      <c r="AG32" s="61">
        <f t="shared" si="49"/>
        <v>78.975160443858073</v>
      </c>
      <c r="AH32" s="61">
        <f t="shared" si="50"/>
        <v>4.5436152239563778</v>
      </c>
      <c r="AI32" s="62">
        <f t="shared" si="20"/>
        <v>0.85</v>
      </c>
      <c r="AJ32" s="54">
        <v>2.5000000000000001E-2</v>
      </c>
      <c r="AK32" s="54">
        <f t="shared" si="21"/>
        <v>2.5000000000000001E-2</v>
      </c>
      <c r="AL32" s="178">
        <f t="shared" si="36"/>
        <v>0.61027094285883099</v>
      </c>
      <c r="AM32" s="178">
        <f t="shared" si="22"/>
        <v>48.196245626500719</v>
      </c>
      <c r="AN32" s="182">
        <f t="shared" si="23"/>
        <v>2.7728363467115971</v>
      </c>
      <c r="AO32" s="1"/>
      <c r="AP32" s="61">
        <f t="shared" si="40"/>
        <v>55.99555201131642</v>
      </c>
      <c r="AQ32" s="61">
        <f t="shared" si="38"/>
        <v>69.994440014145511</v>
      </c>
      <c r="AR32" s="61">
        <f t="shared" si="39"/>
        <v>4.1844502182369601</v>
      </c>
      <c r="AS32" s="62">
        <f t="shared" si="27"/>
        <v>0.85</v>
      </c>
      <c r="AT32" s="54">
        <v>2.5000000000000001E-2</v>
      </c>
      <c r="AU32" s="54">
        <f t="shared" si="28"/>
        <v>2.5000000000000001E-2</v>
      </c>
      <c r="AV32" s="178">
        <f t="shared" si="37"/>
        <v>0.61027094285883099</v>
      </c>
      <c r="AW32" s="178">
        <f t="shared" si="29"/>
        <v>42.715572902308466</v>
      </c>
      <c r="AX32" s="182">
        <f t="shared" si="30"/>
        <v>2.5536483800293106</v>
      </c>
      <c r="AY32" s="1"/>
      <c r="AZ32" s="1"/>
      <c r="BA32" s="1"/>
      <c r="BB32" s="1"/>
      <c r="BC32" s="1"/>
      <c r="BD32" s="1"/>
      <c r="BE32" s="1"/>
      <c r="BF32" s="1"/>
      <c r="BG32" s="1"/>
      <c r="BH32" s="1"/>
      <c r="BI32" s="1"/>
    </row>
    <row r="33" spans="1:61">
      <c r="A33" s="47">
        <f t="shared" si="31"/>
        <v>2033</v>
      </c>
      <c r="B33" s="62">
        <v>78.832366764413337</v>
      </c>
      <c r="C33" s="61">
        <v>98.540458455516671</v>
      </c>
      <c r="D33" s="62">
        <v>5.6517647442479291</v>
      </c>
      <c r="E33" s="62">
        <f t="shared" si="51"/>
        <v>0.85</v>
      </c>
      <c r="F33" s="54">
        <v>2.5000000000000001E-2</v>
      </c>
      <c r="G33" s="54">
        <f t="shared" si="52"/>
        <v>2.5000000000000001E-2</v>
      </c>
      <c r="H33" s="178">
        <f t="shared" si="33"/>
        <v>0.59538628571593277</v>
      </c>
      <c r="I33" s="178">
        <f t="shared" si="1"/>
        <v>58.669637552575253</v>
      </c>
      <c r="J33" s="182">
        <f t="shared" si="2"/>
        <v>3.3649832188180331</v>
      </c>
      <c r="K33" s="1"/>
      <c r="L33" s="61">
        <f t="shared" si="41"/>
        <v>98.138817167288835</v>
      </c>
      <c r="M33" s="61">
        <f t="shared" si="42"/>
        <v>122.67352145911107</v>
      </c>
      <c r="N33" s="61">
        <f t="shared" si="43"/>
        <v>7.0319215742547287</v>
      </c>
      <c r="O33" s="62">
        <f t="shared" si="44"/>
        <v>0.85</v>
      </c>
      <c r="P33" s="54">
        <v>2.5000000000000001E-2</v>
      </c>
      <c r="Q33" s="54">
        <f t="shared" si="7"/>
        <v>2.5000000000000001E-2</v>
      </c>
      <c r="R33" s="178">
        <f t="shared" si="34"/>
        <v>0.59538628571593277</v>
      </c>
      <c r="S33" s="178">
        <f t="shared" si="8"/>
        <v>73.038132297233915</v>
      </c>
      <c r="T33" s="182">
        <f t="shared" si="9"/>
        <v>4.1867096675412574</v>
      </c>
      <c r="U33" s="1"/>
      <c r="V33" s="61">
        <f t="shared" si="45"/>
        <v>122.23737728127962</v>
      </c>
      <c r="W33" s="61">
        <f t="shared" si="46"/>
        <v>152.79672160159956</v>
      </c>
      <c r="X33" s="61">
        <f t="shared" si="47"/>
        <v>8.7498147398671957</v>
      </c>
      <c r="Y33" s="62">
        <f t="shared" si="13"/>
        <v>0.85</v>
      </c>
      <c r="Z33" s="54">
        <v>2.5000000000000001E-2</v>
      </c>
      <c r="AA33" s="54">
        <f t="shared" si="14"/>
        <v>2.5000000000000001E-2</v>
      </c>
      <c r="AB33" s="178">
        <f t="shared" si="35"/>
        <v>0.59538628571593277</v>
      </c>
      <c r="AC33" s="178">
        <f t="shared" si="15"/>
        <v>90.973072543947794</v>
      </c>
      <c r="AD33" s="182">
        <f t="shared" si="16"/>
        <v>5.2095196986720502</v>
      </c>
      <c r="AE33" s="1"/>
      <c r="AF33" s="61">
        <f t="shared" si="48"/>
        <v>63.397436776032265</v>
      </c>
      <c r="AG33" s="61">
        <f t="shared" si="49"/>
        <v>79.246795970040338</v>
      </c>
      <c r="AH33" s="61">
        <f t="shared" si="50"/>
        <v>4.5452358689828092</v>
      </c>
      <c r="AI33" s="62">
        <f t="shared" si="20"/>
        <v>0.85</v>
      </c>
      <c r="AJ33" s="54">
        <v>2.5000000000000001E-2</v>
      </c>
      <c r="AK33" s="54">
        <f t="shared" si="21"/>
        <v>2.5000000000000001E-2</v>
      </c>
      <c r="AL33" s="178">
        <f t="shared" si="36"/>
        <v>0.59538628571593277</v>
      </c>
      <c r="AM33" s="178">
        <f t="shared" si="22"/>
        <v>47.182455507490666</v>
      </c>
      <c r="AN33" s="182">
        <f t="shared" si="23"/>
        <v>2.7061711017365049</v>
      </c>
      <c r="AO33" s="1"/>
      <c r="AP33" s="61">
        <f t="shared" si="40"/>
        <v>57.395440811599329</v>
      </c>
      <c r="AQ33" s="61">
        <f t="shared" si="38"/>
        <v>71.744301014499143</v>
      </c>
      <c r="AR33" s="61">
        <f t="shared" si="39"/>
        <v>4.2890614736928834</v>
      </c>
      <c r="AS33" s="62">
        <f t="shared" si="27"/>
        <v>0.85</v>
      </c>
      <c r="AT33" s="54">
        <v>2.5000000000000001E-2</v>
      </c>
      <c r="AU33" s="54">
        <f t="shared" si="28"/>
        <v>2.5000000000000001E-2</v>
      </c>
      <c r="AV33" s="178">
        <f t="shared" si="37"/>
        <v>0.59538628571593277</v>
      </c>
      <c r="AW33" s="178">
        <f t="shared" si="29"/>
        <v>42.715572902308473</v>
      </c>
      <c r="AX33" s="182">
        <f t="shared" si="30"/>
        <v>2.5536483800293106</v>
      </c>
      <c r="AY33" s="1"/>
      <c r="AZ33" s="1"/>
      <c r="BA33" s="1"/>
      <c r="BB33" s="1"/>
      <c r="BC33" s="1"/>
      <c r="BD33" s="1"/>
      <c r="BE33" s="1"/>
      <c r="BF33" s="1"/>
      <c r="BG33" s="1"/>
      <c r="BH33" s="1"/>
      <c r="BI33" s="1"/>
    </row>
    <row r="34" spans="1:61">
      <c r="A34" s="47">
        <f t="shared" si="31"/>
        <v>2034</v>
      </c>
      <c r="B34" s="62">
        <v>80.01485226587954</v>
      </c>
      <c r="C34" s="61">
        <v>100.01856533234941</v>
      </c>
      <c r="D34" s="62">
        <v>5.7224118035510276</v>
      </c>
      <c r="E34" s="62">
        <f t="shared" si="51"/>
        <v>0.85</v>
      </c>
      <c r="F34" s="54">
        <v>2.5000000000000001E-2</v>
      </c>
      <c r="G34" s="54">
        <f t="shared" si="52"/>
        <v>2.5000000000000001E-2</v>
      </c>
      <c r="H34" s="178">
        <f t="shared" si="33"/>
        <v>0.58086466899115397</v>
      </c>
      <c r="I34" s="178">
        <f t="shared" si="1"/>
        <v>58.097250844745247</v>
      </c>
      <c r="J34" s="182">
        <f t="shared" si="2"/>
        <v>3.3239468381007402</v>
      </c>
      <c r="K34" s="1"/>
      <c r="L34" s="61">
        <f t="shared" si="41"/>
        <v>100.79338492626437</v>
      </c>
      <c r="M34" s="61">
        <f t="shared" si="42"/>
        <v>125.99173115783047</v>
      </c>
      <c r="N34" s="61">
        <f t="shared" si="43"/>
        <v>7.2080474571716477</v>
      </c>
      <c r="O34" s="62">
        <f t="shared" si="44"/>
        <v>0.85</v>
      </c>
      <c r="P34" s="54">
        <v>2.5000000000000001E-2</v>
      </c>
      <c r="Q34" s="54">
        <f t="shared" si="7"/>
        <v>2.5000000000000001E-2</v>
      </c>
      <c r="R34" s="178">
        <f t="shared" si="34"/>
        <v>0.58086466899115397</v>
      </c>
      <c r="S34" s="178">
        <f t="shared" si="8"/>
        <v>73.184145214615654</v>
      </c>
      <c r="T34" s="182">
        <f t="shared" si="9"/>
        <v>4.1869001002825383</v>
      </c>
      <c r="U34" s="1"/>
      <c r="V34" s="61">
        <f t="shared" si="45"/>
        <v>127.08698410118421</v>
      </c>
      <c r="W34" s="61">
        <f t="shared" si="46"/>
        <v>158.85873012648028</v>
      </c>
      <c r="X34" s="61">
        <f t="shared" si="47"/>
        <v>9.0829562413663112</v>
      </c>
      <c r="Y34" s="62">
        <f t="shared" si="13"/>
        <v>0.85</v>
      </c>
      <c r="Z34" s="54">
        <v>2.5000000000000001E-2</v>
      </c>
      <c r="AA34" s="54">
        <f t="shared" si="14"/>
        <v>2.5000000000000001E-2</v>
      </c>
      <c r="AB34" s="178">
        <f t="shared" si="35"/>
        <v>0.58086466899115397</v>
      </c>
      <c r="AC34" s="178">
        <f t="shared" si="15"/>
        <v>92.275423691273033</v>
      </c>
      <c r="AD34" s="182">
        <f t="shared" si="16"/>
        <v>5.2759683706023779</v>
      </c>
      <c r="AE34" s="1"/>
      <c r="AF34" s="61">
        <f t="shared" si="48"/>
        <v>63.628960725857986</v>
      </c>
      <c r="AG34" s="61">
        <f t="shared" si="49"/>
        <v>79.536200907322467</v>
      </c>
      <c r="AH34" s="61">
        <f t="shared" si="50"/>
        <v>4.5477043902511651</v>
      </c>
      <c r="AI34" s="62">
        <f t="shared" si="20"/>
        <v>0.85</v>
      </c>
      <c r="AJ34" s="54">
        <v>2.5000000000000001E-2</v>
      </c>
      <c r="AK34" s="54">
        <f t="shared" si="21"/>
        <v>2.5000000000000001E-2</v>
      </c>
      <c r="AL34" s="178">
        <f t="shared" si="36"/>
        <v>0.58086466899115397</v>
      </c>
      <c r="AM34" s="178">
        <f t="shared" si="22"/>
        <v>46.199769012845785</v>
      </c>
      <c r="AN34" s="182">
        <f t="shared" si="23"/>
        <v>2.6416008053128608</v>
      </c>
      <c r="AO34" s="1"/>
      <c r="AP34" s="61">
        <f t="shared" si="40"/>
        <v>58.830326831889309</v>
      </c>
      <c r="AQ34" s="61">
        <f t="shared" si="38"/>
        <v>73.537908539861618</v>
      </c>
      <c r="AR34" s="61">
        <f t="shared" si="39"/>
        <v>4.3962880105352049</v>
      </c>
      <c r="AS34" s="62">
        <f t="shared" si="27"/>
        <v>0.85</v>
      </c>
      <c r="AT34" s="54">
        <v>2.5000000000000001E-2</v>
      </c>
      <c r="AU34" s="54">
        <f t="shared" si="28"/>
        <v>2.5000000000000001E-2</v>
      </c>
      <c r="AV34" s="178">
        <f t="shared" si="37"/>
        <v>0.58086466899115397</v>
      </c>
      <c r="AW34" s="178">
        <f t="shared" si="29"/>
        <v>42.715572902308473</v>
      </c>
      <c r="AX34" s="182">
        <f t="shared" si="30"/>
        <v>2.5536483800293106</v>
      </c>
      <c r="AY34" s="1"/>
      <c r="AZ34" s="1"/>
      <c r="BA34" s="1"/>
      <c r="BB34" s="1"/>
      <c r="BC34" s="1"/>
      <c r="BD34" s="1"/>
      <c r="BE34" s="1"/>
      <c r="BF34" s="1"/>
      <c r="BG34" s="1"/>
      <c r="BH34" s="1"/>
      <c r="BI34" s="1"/>
    </row>
    <row r="35" spans="1:61">
      <c r="A35" s="47">
        <f t="shared" si="31"/>
        <v>2035</v>
      </c>
      <c r="B35" s="62">
        <v>81.215075049867721</v>
      </c>
      <c r="C35" s="61">
        <v>101.51884381233464</v>
      </c>
      <c r="D35" s="62">
        <v>5.7939419510954151</v>
      </c>
      <c r="E35" s="62">
        <f t="shared" si="51"/>
        <v>0.85</v>
      </c>
      <c r="F35" s="54">
        <v>2.5000000000000001E-2</v>
      </c>
      <c r="G35" s="54">
        <f t="shared" si="52"/>
        <v>2.5000000000000001E-2</v>
      </c>
      <c r="H35" s="178">
        <f t="shared" si="33"/>
        <v>0.56669723804015026</v>
      </c>
      <c r="I35" s="178">
        <f t="shared" si="1"/>
        <v>57.530448397479439</v>
      </c>
      <c r="J35" s="182">
        <f t="shared" si="2"/>
        <v>3.2834109010507313</v>
      </c>
      <c r="K35" s="1"/>
      <c r="L35" s="61">
        <f t="shared" si="41"/>
        <v>103.5055084841465</v>
      </c>
      <c r="M35" s="61">
        <f t="shared" si="42"/>
        <v>129.38188560518313</v>
      </c>
      <c r="N35" s="61">
        <f t="shared" si="43"/>
        <v>7.3876983165736094</v>
      </c>
      <c r="O35" s="62">
        <f t="shared" si="44"/>
        <v>0.85</v>
      </c>
      <c r="P35" s="54">
        <v>2.5000000000000001E-2</v>
      </c>
      <c r="Q35" s="54">
        <f t="shared" si="7"/>
        <v>2.5000000000000001E-2</v>
      </c>
      <c r="R35" s="178">
        <f t="shared" si="34"/>
        <v>0.56669723804015026</v>
      </c>
      <c r="S35" s="178">
        <f t="shared" si="8"/>
        <v>73.320357224883949</v>
      </c>
      <c r="T35" s="182">
        <f t="shared" si="9"/>
        <v>4.186588231476132</v>
      </c>
      <c r="U35" s="1"/>
      <c r="V35" s="61">
        <f t="shared" si="45"/>
        <v>132.09981640820791</v>
      </c>
      <c r="W35" s="61">
        <f t="shared" si="46"/>
        <v>165.12477051025991</v>
      </c>
      <c r="X35" s="61">
        <f t="shared" si="47"/>
        <v>9.4269750761516882</v>
      </c>
      <c r="Y35" s="62">
        <f t="shared" si="13"/>
        <v>0.85</v>
      </c>
      <c r="Z35" s="54">
        <v>2.5000000000000001E-2</v>
      </c>
      <c r="AA35" s="54">
        <f t="shared" si="14"/>
        <v>2.5000000000000001E-2</v>
      </c>
      <c r="AB35" s="178">
        <f t="shared" si="35"/>
        <v>0.56669723804015026</v>
      </c>
      <c r="AC35" s="178">
        <f t="shared" si="15"/>
        <v>93.575751380177948</v>
      </c>
      <c r="AD35" s="182">
        <f t="shared" si="16"/>
        <v>5.3422407387284965</v>
      </c>
      <c r="AE35" s="1"/>
      <c r="AF35" s="61">
        <f t="shared" si="48"/>
        <v>63.874749098958297</v>
      </c>
      <c r="AG35" s="61">
        <f t="shared" si="49"/>
        <v>79.843436373697855</v>
      </c>
      <c r="AH35" s="61">
        <f t="shared" si="50"/>
        <v>4.5510189719417848</v>
      </c>
      <c r="AI35" s="62">
        <f t="shared" si="20"/>
        <v>0.85</v>
      </c>
      <c r="AJ35" s="54">
        <v>2.5000000000000001E-2</v>
      </c>
      <c r="AK35" s="54">
        <f t="shared" si="21"/>
        <v>2.5000000000000001E-2</v>
      </c>
      <c r="AL35" s="178">
        <f t="shared" si="36"/>
        <v>0.56669723804015026</v>
      </c>
      <c r="AM35" s="178">
        <f t="shared" si="22"/>
        <v>45.247054868609048</v>
      </c>
      <c r="AN35" s="182">
        <f t="shared" si="23"/>
        <v>2.5790498816677334</v>
      </c>
      <c r="AO35" s="1"/>
      <c r="AP35" s="61">
        <f t="shared" si="40"/>
        <v>60.301085002686534</v>
      </c>
      <c r="AQ35" s="61">
        <f t="shared" si="38"/>
        <v>75.376356253358153</v>
      </c>
      <c r="AR35" s="61">
        <f t="shared" si="39"/>
        <v>4.5061952107985848</v>
      </c>
      <c r="AS35" s="62">
        <f t="shared" si="27"/>
        <v>0.85</v>
      </c>
      <c r="AT35" s="54">
        <v>2.5000000000000001E-2</v>
      </c>
      <c r="AU35" s="54">
        <f t="shared" si="28"/>
        <v>2.5000000000000001E-2</v>
      </c>
      <c r="AV35" s="178">
        <f t="shared" si="37"/>
        <v>0.56669723804015026</v>
      </c>
      <c r="AW35" s="178">
        <f t="shared" si="29"/>
        <v>42.715572902308473</v>
      </c>
      <c r="AX35" s="182">
        <f t="shared" si="30"/>
        <v>2.5536483800293106</v>
      </c>
      <c r="AY35" s="1"/>
      <c r="AZ35" s="1"/>
      <c r="BA35" s="1"/>
      <c r="BB35" s="1"/>
      <c r="BC35" s="1"/>
      <c r="BD35" s="1"/>
      <c r="BE35" s="1"/>
      <c r="BF35" s="1"/>
      <c r="BG35" s="1"/>
      <c r="BH35" s="1"/>
      <c r="BI35" s="1"/>
    </row>
    <row r="36" spans="1:61">
      <c r="A36" s="47">
        <f t="shared" si="31"/>
        <v>2036</v>
      </c>
      <c r="B36" s="62">
        <v>82.433301175615725</v>
      </c>
      <c r="C36" s="61">
        <v>103.04162646951964</v>
      </c>
      <c r="D36" s="62">
        <v>5.8663662254841071</v>
      </c>
      <c r="E36" s="62">
        <f t="shared" si="51"/>
        <v>0.85</v>
      </c>
      <c r="F36" s="54">
        <v>2.5000000000000001E-2</v>
      </c>
      <c r="G36" s="54">
        <f t="shared" si="52"/>
        <v>2.5000000000000001E-2</v>
      </c>
      <c r="H36" s="178">
        <f t="shared" si="33"/>
        <v>0.55287535418551248</v>
      </c>
      <c r="I36" s="178">
        <f t="shared" si="1"/>
        <v>56.969175730186947</v>
      </c>
      <c r="J36" s="182">
        <f t="shared" si="2"/>
        <v>3.2433693046964538</v>
      </c>
      <c r="K36" s="1"/>
      <c r="L36" s="61">
        <f t="shared" si="41"/>
        <v>106.27631723715669</v>
      </c>
      <c r="M36" s="61">
        <f t="shared" si="42"/>
        <v>132.84539654644584</v>
      </c>
      <c r="N36" s="61">
        <f t="shared" si="43"/>
        <v>7.5709380657109051</v>
      </c>
      <c r="O36" s="62">
        <f t="shared" si="44"/>
        <v>0.85</v>
      </c>
      <c r="P36" s="54">
        <v>2.5000000000000001E-2</v>
      </c>
      <c r="Q36" s="54">
        <f t="shared" si="7"/>
        <v>2.5000000000000001E-2</v>
      </c>
      <c r="R36" s="178">
        <f t="shared" si="34"/>
        <v>0.55287535418551248</v>
      </c>
      <c r="S36" s="178">
        <f t="shared" si="8"/>
        <v>73.446945667531097</v>
      </c>
      <c r="T36" s="182">
        <f t="shared" si="9"/>
        <v>4.1857850645964954</v>
      </c>
      <c r="U36" s="1"/>
      <c r="V36" s="61">
        <f t="shared" si="45"/>
        <v>137.28103702620217</v>
      </c>
      <c r="W36" s="61">
        <f t="shared" si="46"/>
        <v>171.60129628275268</v>
      </c>
      <c r="X36" s="61">
        <f t="shared" si="47"/>
        <v>9.7822086028249302</v>
      </c>
      <c r="Y36" s="62">
        <f t="shared" si="13"/>
        <v>0.85</v>
      </c>
      <c r="Z36" s="54">
        <v>2.5000000000000001E-2</v>
      </c>
      <c r="AA36" s="54">
        <f t="shared" si="14"/>
        <v>2.5000000000000001E-2</v>
      </c>
      <c r="AB36" s="178">
        <f t="shared" si="35"/>
        <v>0.55287535418551248</v>
      </c>
      <c r="AC36" s="178">
        <f t="shared" si="15"/>
        <v>94.874127461019953</v>
      </c>
      <c r="AD36" s="182">
        <f t="shared" si="16"/>
        <v>5.4083420460034004</v>
      </c>
      <c r="AE36" s="1"/>
      <c r="AF36" s="61">
        <f t="shared" si="48"/>
        <v>64.13485398822192</v>
      </c>
      <c r="AG36" s="61">
        <f t="shared" si="49"/>
        <v>80.168567485277393</v>
      </c>
      <c r="AH36" s="61">
        <f t="shared" si="50"/>
        <v>4.5551779617513501</v>
      </c>
      <c r="AI36" s="62">
        <f t="shared" si="20"/>
        <v>0.85</v>
      </c>
      <c r="AJ36" s="54">
        <v>2.5000000000000001E-2</v>
      </c>
      <c r="AK36" s="54">
        <f t="shared" si="21"/>
        <v>2.5000000000000001E-2</v>
      </c>
      <c r="AL36" s="178">
        <f t="shared" si="36"/>
        <v>0.55287535418551248</v>
      </c>
      <c r="AM36" s="178">
        <f t="shared" si="22"/>
        <v>44.3232251429679</v>
      </c>
      <c r="AN36" s="182">
        <f t="shared" si="23"/>
        <v>2.5184456289813184</v>
      </c>
      <c r="AO36" s="1"/>
      <c r="AP36" s="61">
        <f t="shared" si="40"/>
        <v>61.80861212775369</v>
      </c>
      <c r="AQ36" s="61">
        <f t="shared" si="38"/>
        <v>77.260765159692099</v>
      </c>
      <c r="AR36" s="61">
        <f t="shared" si="39"/>
        <v>4.6188500910685493</v>
      </c>
      <c r="AS36" s="62">
        <f t="shared" si="27"/>
        <v>0.85</v>
      </c>
      <c r="AT36" s="54">
        <v>2.5000000000000001E-2</v>
      </c>
      <c r="AU36" s="54">
        <f t="shared" si="28"/>
        <v>2.5000000000000001E-2</v>
      </c>
      <c r="AV36" s="178">
        <f t="shared" si="37"/>
        <v>0.55287535418551248</v>
      </c>
      <c r="AW36" s="178">
        <f t="shared" si="29"/>
        <v>42.715572902308473</v>
      </c>
      <c r="AX36" s="182">
        <f t="shared" si="30"/>
        <v>2.5536483800293106</v>
      </c>
      <c r="AY36" s="1"/>
      <c r="AZ36" s="1"/>
      <c r="BA36" s="1"/>
      <c r="BB36" s="1"/>
      <c r="BC36" s="1"/>
      <c r="BD36" s="1"/>
      <c r="BE36" s="1"/>
      <c r="BF36" s="1"/>
      <c r="BG36" s="1"/>
      <c r="BH36" s="1"/>
      <c r="BI36" s="1"/>
    </row>
    <row r="37" spans="1:61">
      <c r="A37" s="47">
        <f t="shared" si="31"/>
        <v>2037</v>
      </c>
      <c r="B37" s="62">
        <v>83.669800693249954</v>
      </c>
      <c r="C37" s="61">
        <v>104.58725086656243</v>
      </c>
      <c r="D37" s="62">
        <v>5.9396958033026586</v>
      </c>
      <c r="E37" s="62">
        <f t="shared" si="51"/>
        <v>0.85</v>
      </c>
      <c r="F37" s="54">
        <v>2.5000000000000001E-2</v>
      </c>
      <c r="G37" s="54">
        <f t="shared" si="52"/>
        <v>2.5000000000000001E-2</v>
      </c>
      <c r="H37" s="178">
        <f t="shared" si="33"/>
        <v>0.53939058944928053</v>
      </c>
      <c r="I37" s="178">
        <f t="shared" si="1"/>
        <v>56.413378893794885</v>
      </c>
      <c r="J37" s="182">
        <f t="shared" si="2"/>
        <v>3.2038160204928388</v>
      </c>
      <c r="K37" s="1"/>
      <c r="L37" s="61">
        <f t="shared" si="41"/>
        <v>109.10696151334825</v>
      </c>
      <c r="M37" s="61">
        <f t="shared" si="42"/>
        <v>136.38370189168529</v>
      </c>
      <c r="N37" s="61">
        <f t="shared" si="43"/>
        <v>7.7578317145151194</v>
      </c>
      <c r="O37" s="62">
        <f t="shared" si="44"/>
        <v>0.85</v>
      </c>
      <c r="P37" s="54">
        <v>2.5000000000000001E-2</v>
      </c>
      <c r="Q37" s="54">
        <f t="shared" si="7"/>
        <v>2.5000000000000001E-2</v>
      </c>
      <c r="R37" s="178">
        <f t="shared" si="34"/>
        <v>0.53939058944928053</v>
      </c>
      <c r="S37" s="178">
        <f t="shared" si="8"/>
        <v>73.564085354631089</v>
      </c>
      <c r="T37" s="182">
        <f t="shared" si="9"/>
        <v>4.1845014213406326</v>
      </c>
      <c r="U37" s="1"/>
      <c r="V37" s="61">
        <f t="shared" si="45"/>
        <v>142.63596765462248</v>
      </c>
      <c r="W37" s="61">
        <f t="shared" si="46"/>
        <v>178.29495956827805</v>
      </c>
      <c r="X37" s="61">
        <f t="shared" si="47"/>
        <v>10.14900443872823</v>
      </c>
      <c r="Y37" s="62">
        <f t="shared" si="13"/>
        <v>0.85</v>
      </c>
      <c r="Z37" s="54">
        <v>2.5000000000000001E-2</v>
      </c>
      <c r="AA37" s="54">
        <f t="shared" si="14"/>
        <v>2.5000000000000001E-2</v>
      </c>
      <c r="AB37" s="178">
        <f t="shared" si="35"/>
        <v>0.53939058944928053</v>
      </c>
      <c r="AC37" s="178">
        <f t="shared" si="15"/>
        <v>96.170623337369136</v>
      </c>
      <c r="AD37" s="182">
        <f t="shared" si="16"/>
        <v>5.4742774865289849</v>
      </c>
      <c r="AE37" s="1"/>
      <c r="AF37" s="61">
        <f t="shared" si="48"/>
        <v>64.409330696032811</v>
      </c>
      <c r="AG37" s="61">
        <f t="shared" si="49"/>
        <v>80.51166337004102</v>
      </c>
      <c r="AH37" s="61">
        <f t="shared" si="50"/>
        <v>4.5601798701436316</v>
      </c>
      <c r="AI37" s="62">
        <f t="shared" si="20"/>
        <v>0.85</v>
      </c>
      <c r="AJ37" s="54">
        <v>2.5000000000000001E-2</v>
      </c>
      <c r="AK37" s="54">
        <f t="shared" si="21"/>
        <v>2.5000000000000001E-2</v>
      </c>
      <c r="AL37" s="178">
        <f t="shared" si="36"/>
        <v>0.53939058944928053</v>
      </c>
      <c r="AM37" s="178">
        <f t="shared" si="22"/>
        <v>43.427233562708473</v>
      </c>
      <c r="AN37" s="182">
        <f t="shared" si="23"/>
        <v>2.4597181081515171</v>
      </c>
      <c r="AO37" s="1"/>
      <c r="AP37" s="61">
        <f t="shared" si="40"/>
        <v>63.353827430947526</v>
      </c>
      <c r="AQ37" s="61">
        <f t="shared" si="38"/>
        <v>79.192284288684391</v>
      </c>
      <c r="AR37" s="61">
        <f t="shared" si="39"/>
        <v>4.7343213433452629</v>
      </c>
      <c r="AS37" s="62">
        <f t="shared" si="27"/>
        <v>0.85</v>
      </c>
      <c r="AT37" s="54">
        <v>2.5000000000000001E-2</v>
      </c>
      <c r="AU37" s="54">
        <f t="shared" si="28"/>
        <v>2.5000000000000001E-2</v>
      </c>
      <c r="AV37" s="178">
        <f t="shared" si="37"/>
        <v>0.53939058944928053</v>
      </c>
      <c r="AW37" s="178">
        <f t="shared" si="29"/>
        <v>42.715572902308473</v>
      </c>
      <c r="AX37" s="182">
        <f t="shared" si="30"/>
        <v>2.553648380029311</v>
      </c>
      <c r="AY37" s="1"/>
      <c r="AZ37" s="1"/>
      <c r="BA37" s="1"/>
      <c r="BB37" s="1"/>
      <c r="BC37" s="1"/>
      <c r="BD37" s="1"/>
      <c r="BE37" s="1"/>
      <c r="BF37" s="1"/>
      <c r="BG37" s="1"/>
      <c r="BH37" s="1"/>
      <c r="BI37" s="1"/>
    </row>
    <row r="38" spans="1:61">
      <c r="A38" s="47">
        <f t="shared" si="31"/>
        <v>2038</v>
      </c>
      <c r="B38" s="62">
        <v>84.924847703648695</v>
      </c>
      <c r="C38" s="61">
        <v>106.15605962956086</v>
      </c>
      <c r="D38" s="62">
        <v>6.0139420008439419</v>
      </c>
      <c r="E38" s="62">
        <f t="shared" si="51"/>
        <v>0.85</v>
      </c>
      <c r="F38" s="54">
        <v>2.5000000000000001E-2</v>
      </c>
      <c r="G38" s="54">
        <f t="shared" si="52"/>
        <v>2.5000000000000001E-2</v>
      </c>
      <c r="H38" s="178">
        <f t="shared" si="33"/>
        <v>0.52623472141393224</v>
      </c>
      <c r="I38" s="178">
        <f t="shared" si="1"/>
        <v>55.863004465562739</v>
      </c>
      <c r="J38" s="182">
        <f t="shared" si="2"/>
        <v>3.1647450934136581</v>
      </c>
      <c r="K38" s="1"/>
      <c r="L38" s="61">
        <f t="shared" si="41"/>
        <v>111.99861294644721</v>
      </c>
      <c r="M38" s="61">
        <f t="shared" si="42"/>
        <v>139.99826618305897</v>
      </c>
      <c r="N38" s="61">
        <f t="shared" si="43"/>
        <v>7.9484453877741288</v>
      </c>
      <c r="O38" s="62">
        <f t="shared" si="44"/>
        <v>0.85</v>
      </c>
      <c r="P38" s="54">
        <v>2.5000000000000001E-2</v>
      </c>
      <c r="Q38" s="54">
        <f t="shared" si="7"/>
        <v>2.5000000000000001E-2</v>
      </c>
      <c r="R38" s="178">
        <f t="shared" si="34"/>
        <v>0.52623472141393224</v>
      </c>
      <c r="S38" s="178">
        <f t="shared" si="8"/>
        <v>73.671948603275567</v>
      </c>
      <c r="T38" s="182">
        <f t="shared" si="9"/>
        <v>4.1827479443091731</v>
      </c>
      <c r="U38" s="1"/>
      <c r="V38" s="61">
        <f t="shared" si="45"/>
        <v>148.1700936946599</v>
      </c>
      <c r="W38" s="61">
        <f t="shared" si="46"/>
        <v>185.21261711832483</v>
      </c>
      <c r="X38" s="61">
        <f t="shared" si="47"/>
        <v>10.527720769431362</v>
      </c>
      <c r="Y38" s="62">
        <f t="shared" si="13"/>
        <v>0.85</v>
      </c>
      <c r="Z38" s="54">
        <v>2.5000000000000001E-2</v>
      </c>
      <c r="AA38" s="54">
        <f t="shared" si="14"/>
        <v>2.5000000000000001E-2</v>
      </c>
      <c r="AB38" s="178">
        <f t="shared" si="35"/>
        <v>0.52623472141393224</v>
      </c>
      <c r="AC38" s="178">
        <f t="shared" si="15"/>
        <v>97.46530997160697</v>
      </c>
      <c r="AD38" s="182">
        <f t="shared" si="16"/>
        <v>5.540052206225381</v>
      </c>
      <c r="AE38" s="1"/>
      <c r="AF38" s="61">
        <f t="shared" si="48"/>
        <v>64.698237745991065</v>
      </c>
      <c r="AG38" s="61">
        <f t="shared" si="49"/>
        <v>80.872797182488839</v>
      </c>
      <c r="AH38" s="61">
        <f t="shared" si="50"/>
        <v>4.5660233696327603</v>
      </c>
      <c r="AI38" s="62">
        <f t="shared" si="20"/>
        <v>0.85</v>
      </c>
      <c r="AJ38" s="54">
        <v>2.5000000000000001E-2</v>
      </c>
      <c r="AK38" s="54">
        <f t="shared" si="21"/>
        <v>2.5000000000000001E-2</v>
      </c>
      <c r="AL38" s="178">
        <f t="shared" si="36"/>
        <v>0.52623472141393224</v>
      </c>
      <c r="AM38" s="178">
        <f t="shared" si="22"/>
        <v>42.558073895292459</v>
      </c>
      <c r="AN38" s="182">
        <f t="shared" si="23"/>
        <v>2.4028000358881996</v>
      </c>
      <c r="AO38" s="1"/>
      <c r="AP38" s="61">
        <f t="shared" si="40"/>
        <v>64.937673116721214</v>
      </c>
      <c r="AQ38" s="61">
        <f t="shared" si="38"/>
        <v>81.172091395901489</v>
      </c>
      <c r="AR38" s="61">
        <f t="shared" si="39"/>
        <v>4.8526793769288936</v>
      </c>
      <c r="AS38" s="62">
        <f t="shared" si="27"/>
        <v>0.85</v>
      </c>
      <c r="AT38" s="54">
        <v>2.5000000000000001E-2</v>
      </c>
      <c r="AU38" s="54">
        <f t="shared" si="28"/>
        <v>2.5000000000000001E-2</v>
      </c>
      <c r="AV38" s="178">
        <f t="shared" si="37"/>
        <v>0.52623472141393224</v>
      </c>
      <c r="AW38" s="178">
        <f t="shared" si="29"/>
        <v>42.715572902308466</v>
      </c>
      <c r="AX38" s="182">
        <f t="shared" si="30"/>
        <v>2.5536483800293106</v>
      </c>
      <c r="AY38" s="1"/>
      <c r="AZ38" s="1"/>
      <c r="BA38" s="1"/>
      <c r="BB38" s="1"/>
      <c r="BC38" s="1"/>
      <c r="BD38" s="1"/>
      <c r="BE38" s="1"/>
      <c r="BF38" s="1"/>
      <c r="BG38" s="1"/>
      <c r="BH38" s="1"/>
      <c r="BI38" s="1"/>
    </row>
    <row r="39" spans="1:61">
      <c r="A39" s="47">
        <f t="shared" si="31"/>
        <v>2039</v>
      </c>
      <c r="B39" s="62">
        <v>86.198720419203411</v>
      </c>
      <c r="C39" s="61">
        <v>107.74840052400425</v>
      </c>
      <c r="D39" s="62">
        <v>6.089116275854491</v>
      </c>
      <c r="E39" s="62">
        <f t="shared" si="51"/>
        <v>0.85</v>
      </c>
      <c r="F39" s="54">
        <v>2.5000000000000001E-2</v>
      </c>
      <c r="G39" s="54">
        <f t="shared" si="52"/>
        <v>2.5000000000000001E-2</v>
      </c>
      <c r="H39" s="178">
        <f t="shared" si="33"/>
        <v>0.51339972820871438</v>
      </c>
      <c r="I39" s="178">
        <f t="shared" si="1"/>
        <v>55.317999543947479</v>
      </c>
      <c r="J39" s="182">
        <f t="shared" si="2"/>
        <v>3.1261506410549549</v>
      </c>
      <c r="K39" s="1"/>
      <c r="L39" s="61">
        <f t="shared" si="41"/>
        <v>114.95246485619862</v>
      </c>
      <c r="M39" s="61">
        <f t="shared" si="42"/>
        <v>143.69058107024824</v>
      </c>
      <c r="N39" s="61">
        <f t="shared" si="43"/>
        <v>8.1428463436012883</v>
      </c>
      <c r="O39" s="62">
        <f t="shared" si="44"/>
        <v>0.85</v>
      </c>
      <c r="P39" s="54">
        <v>2.5000000000000001E-2</v>
      </c>
      <c r="Q39" s="54">
        <f t="shared" si="7"/>
        <v>2.5000000000000001E-2</v>
      </c>
      <c r="R39" s="178">
        <f t="shared" si="34"/>
        <v>0.51339972820871438</v>
      </c>
      <c r="S39" s="178">
        <f t="shared" si="8"/>
        <v>73.770705267617686</v>
      </c>
      <c r="T39" s="182">
        <f t="shared" si="9"/>
        <v>4.1805350996502249</v>
      </c>
      <c r="U39" s="1"/>
      <c r="V39" s="61">
        <f t="shared" si="45"/>
        <v>153.88906922105443</v>
      </c>
      <c r="W39" s="61">
        <f t="shared" si="46"/>
        <v>192.36133652631798</v>
      </c>
      <c r="X39" s="61">
        <f t="shared" si="47"/>
        <v>10.918726667524851</v>
      </c>
      <c r="Y39" s="62">
        <f t="shared" si="13"/>
        <v>0.85</v>
      </c>
      <c r="Z39" s="54">
        <v>2.5000000000000001E-2</v>
      </c>
      <c r="AA39" s="54">
        <f t="shared" si="14"/>
        <v>2.5000000000000001E-2</v>
      </c>
      <c r="AB39" s="178">
        <f t="shared" si="35"/>
        <v>0.51339972820871438</v>
      </c>
      <c r="AC39" s="178">
        <f t="shared" si="15"/>
        <v>98.758257890476699</v>
      </c>
      <c r="AD39" s="182">
        <f t="shared" si="16"/>
        <v>5.6056713034925005</v>
      </c>
      <c r="AE39" s="1"/>
      <c r="AF39" s="61">
        <f t="shared" si="48"/>
        <v>65.001636895355915</v>
      </c>
      <c r="AG39" s="61">
        <f t="shared" si="49"/>
        <v>81.252046119194901</v>
      </c>
      <c r="AH39" s="61">
        <f t="shared" si="50"/>
        <v>4.5727072940988176</v>
      </c>
      <c r="AI39" s="62">
        <f t="shared" si="20"/>
        <v>0.85</v>
      </c>
      <c r="AJ39" s="54">
        <v>2.5000000000000001E-2</v>
      </c>
      <c r="AK39" s="54">
        <f t="shared" si="21"/>
        <v>2.5000000000000001E-2</v>
      </c>
      <c r="AL39" s="178">
        <f t="shared" si="36"/>
        <v>0.51339972820871438</v>
      </c>
      <c r="AM39" s="178">
        <f t="shared" si="22"/>
        <v>41.714778393996589</v>
      </c>
      <c r="AN39" s="182">
        <f t="shared" si="23"/>
        <v>2.3476266819683387</v>
      </c>
      <c r="AO39" s="1"/>
      <c r="AP39" s="61">
        <f t="shared" si="40"/>
        <v>66.561114944639243</v>
      </c>
      <c r="AQ39" s="61">
        <f t="shared" si="38"/>
        <v>83.201393680799015</v>
      </c>
      <c r="AR39" s="61">
        <f t="shared" si="39"/>
        <v>4.9739963613521159</v>
      </c>
      <c r="AS39" s="62">
        <f t="shared" si="27"/>
        <v>0.85</v>
      </c>
      <c r="AT39" s="54">
        <v>2.5000000000000001E-2</v>
      </c>
      <c r="AU39" s="54">
        <f t="shared" si="28"/>
        <v>2.5000000000000001E-2</v>
      </c>
      <c r="AV39" s="178">
        <f t="shared" si="37"/>
        <v>0.51339972820871438</v>
      </c>
      <c r="AW39" s="178">
        <f t="shared" si="29"/>
        <v>42.715572902308459</v>
      </c>
      <c r="AX39" s="182">
        <f t="shared" si="30"/>
        <v>2.5536483800293106</v>
      </c>
      <c r="AY39" s="1"/>
      <c r="AZ39" s="1"/>
      <c r="BA39" s="1"/>
      <c r="BB39" s="1"/>
      <c r="BC39" s="1"/>
      <c r="BD39" s="1"/>
      <c r="BE39" s="1"/>
      <c r="BF39" s="1"/>
      <c r="BG39" s="1"/>
      <c r="BH39" s="1"/>
      <c r="BI39" s="1"/>
    </row>
    <row r="40" spans="1:61">
      <c r="A40" s="47">
        <f t="shared" si="31"/>
        <v>2040</v>
      </c>
      <c r="B40" s="62">
        <v>87.491701225491454</v>
      </c>
      <c r="C40" s="61">
        <v>109.3646265318643</v>
      </c>
      <c r="D40" s="62">
        <v>6.1652302293026722</v>
      </c>
      <c r="E40" s="62">
        <f t="shared" si="51"/>
        <v>0.85</v>
      </c>
      <c r="F40" s="54">
        <v>2.5000000000000001E-2</v>
      </c>
      <c r="G40" s="54">
        <f t="shared" si="52"/>
        <v>2.5000000000000001E-2</v>
      </c>
      <c r="H40" s="178">
        <f t="shared" si="33"/>
        <v>0.50087778361825797</v>
      </c>
      <c r="I40" s="178">
        <f t="shared" si="1"/>
        <v>54.778311743518721</v>
      </c>
      <c r="J40" s="182">
        <f t="shared" si="2"/>
        <v>3.0880268527494068</v>
      </c>
      <c r="K40" s="1"/>
      <c r="L40" s="61">
        <f t="shared" si="41"/>
        <v>117.96973263532962</v>
      </c>
      <c r="M40" s="61">
        <f t="shared" si="42"/>
        <v>147.46216579416199</v>
      </c>
      <c r="N40" s="61">
        <f t="shared" si="43"/>
        <v>8.3411029922034885</v>
      </c>
      <c r="O40" s="62">
        <f t="shared" si="44"/>
        <v>0.85</v>
      </c>
      <c r="P40" s="54">
        <v>2.5000000000000001E-2</v>
      </c>
      <c r="Q40" s="54">
        <f t="shared" si="7"/>
        <v>2.5000000000000001E-2</v>
      </c>
      <c r="R40" s="178">
        <f t="shared" si="34"/>
        <v>0.50087778361825797</v>
      </c>
      <c r="S40" s="178">
        <f t="shared" si="8"/>
        <v>73.86052277052795</v>
      </c>
      <c r="T40" s="182">
        <f t="shared" si="9"/>
        <v>4.177873179666503</v>
      </c>
      <c r="U40" s="1"/>
      <c r="V40" s="61">
        <f t="shared" si="45"/>
        <v>159.79872210397411</v>
      </c>
      <c r="W40" s="61">
        <f t="shared" si="46"/>
        <v>199.74840262996759</v>
      </c>
      <c r="X40" s="61">
        <f t="shared" si="47"/>
        <v>11.322402420998777</v>
      </c>
      <c r="Y40" s="62">
        <f t="shared" si="13"/>
        <v>0.85</v>
      </c>
      <c r="Z40" s="54">
        <v>2.5000000000000001E-2</v>
      </c>
      <c r="AA40" s="54">
        <f t="shared" si="14"/>
        <v>2.5000000000000001E-2</v>
      </c>
      <c r="AB40" s="178">
        <f t="shared" si="35"/>
        <v>0.50087778361825797</v>
      </c>
      <c r="AC40" s="178">
        <f t="shared" si="15"/>
        <v>100.04953719058558</v>
      </c>
      <c r="AD40" s="182">
        <f t="shared" si="16"/>
        <v>5.6711398298638658</v>
      </c>
      <c r="AE40" s="1"/>
      <c r="AF40" s="61">
        <f t="shared" si="48"/>
        <v>65.319593148213613</v>
      </c>
      <c r="AG40" s="61">
        <f t="shared" si="49"/>
        <v>81.649491435267024</v>
      </c>
      <c r="AH40" s="61">
        <f t="shared" si="50"/>
        <v>4.5802306381355162</v>
      </c>
      <c r="AI40" s="62">
        <f t="shared" si="20"/>
        <v>0.85</v>
      </c>
      <c r="AJ40" s="54">
        <v>2.5000000000000001E-2</v>
      </c>
      <c r="AK40" s="54">
        <f t="shared" si="21"/>
        <v>2.5000000000000001E-2</v>
      </c>
      <c r="AL40" s="178">
        <f t="shared" si="36"/>
        <v>0.50087778361825797</v>
      </c>
      <c r="AM40" s="178">
        <f t="shared" si="22"/>
        <v>40.896416303654483</v>
      </c>
      <c r="AN40" s="182">
        <f t="shared" si="23"/>
        <v>2.2941357704897567</v>
      </c>
      <c r="AO40" s="1"/>
      <c r="AP40" s="61">
        <f t="shared" si="40"/>
        <v>68.225142818255222</v>
      </c>
      <c r="AQ40" s="61">
        <f t="shared" si="38"/>
        <v>85.281428522818985</v>
      </c>
      <c r="AR40" s="61">
        <f t="shared" si="39"/>
        <v>5.0983462703859184</v>
      </c>
      <c r="AS40" s="62">
        <f t="shared" si="27"/>
        <v>0.85</v>
      </c>
      <c r="AT40" s="54">
        <v>2.5000000000000001E-2</v>
      </c>
      <c r="AU40" s="54">
        <f t="shared" si="28"/>
        <v>2.5000000000000001E-2</v>
      </c>
      <c r="AV40" s="178">
        <f t="shared" si="37"/>
        <v>0.50087778361825797</v>
      </c>
      <c r="AW40" s="178">
        <f t="shared" si="29"/>
        <v>42.715572902308459</v>
      </c>
      <c r="AX40" s="182">
        <f t="shared" si="30"/>
        <v>2.5536483800293106</v>
      </c>
      <c r="AY40" s="1"/>
      <c r="AZ40" s="1"/>
      <c r="BA40" s="1"/>
      <c r="BB40" s="1"/>
      <c r="BC40" s="1"/>
      <c r="BD40" s="1"/>
      <c r="BE40" s="1"/>
      <c r="BF40" s="1"/>
      <c r="BG40" s="1"/>
      <c r="BH40" s="1"/>
      <c r="BI40" s="1"/>
    </row>
    <row r="41" spans="1:61">
      <c r="A41" s="47">
        <f t="shared" si="31"/>
        <v>2041</v>
      </c>
      <c r="B41" s="62">
        <f t="shared" ref="B41:C60" si="53">B40*1.025</f>
        <v>89.678993756128733</v>
      </c>
      <c r="C41" s="62">
        <f t="shared" si="53"/>
        <v>112.0987421951609</v>
      </c>
      <c r="D41" s="62">
        <f t="shared" ref="D41:D60" si="54">D40*1.025</f>
        <v>6.3193609850352388</v>
      </c>
      <c r="E41" s="62">
        <f>E40</f>
        <v>0.85</v>
      </c>
      <c r="F41" s="54">
        <v>2.5000000000000001E-2</v>
      </c>
      <c r="G41" s="54">
        <f t="shared" si="52"/>
        <v>2.5000000000000001E-2</v>
      </c>
      <c r="H41" s="178">
        <f t="shared" si="33"/>
        <v>0.48866125231049562</v>
      </c>
      <c r="I41" s="178">
        <f t="shared" si="1"/>
        <v>54.778311743518721</v>
      </c>
      <c r="J41" s="182">
        <f t="shared" si="2"/>
        <v>3.0880268527494068</v>
      </c>
      <c r="K41" s="1"/>
      <c r="L41" s="61">
        <f t="shared" si="41"/>
        <v>121.92657115549683</v>
      </c>
      <c r="M41" s="61">
        <f t="shared" si="42"/>
        <v>152.408213944371</v>
      </c>
      <c r="N41" s="61">
        <f t="shared" si="43"/>
        <v>8.620350292819106</v>
      </c>
      <c r="O41" s="62">
        <f t="shared" si="44"/>
        <v>0.85</v>
      </c>
      <c r="P41" s="54">
        <v>2.5000000000000001E-2</v>
      </c>
      <c r="Q41" s="54">
        <f t="shared" si="7"/>
        <v>2.5000000000000001E-2</v>
      </c>
      <c r="R41" s="178">
        <f t="shared" si="34"/>
        <v>0.48866125231049562</v>
      </c>
      <c r="S41" s="178">
        <f t="shared" si="8"/>
        <v>74.47598868846228</v>
      </c>
      <c r="T41" s="182">
        <f t="shared" si="9"/>
        <v>4.2124311694441321</v>
      </c>
      <c r="U41" s="1"/>
      <c r="V41" s="61">
        <f t="shared" si="45"/>
        <v>166.77997629773063</v>
      </c>
      <c r="W41" s="61">
        <f t="shared" si="46"/>
        <v>208.4749703721632</v>
      </c>
      <c r="X41" s="61">
        <f t="shared" si="47"/>
        <v>11.816205249361309</v>
      </c>
      <c r="Y41" s="62">
        <f t="shared" si="13"/>
        <v>0.85</v>
      </c>
      <c r="Z41" s="54">
        <v>2.5000000000000001E-2</v>
      </c>
      <c r="AA41" s="54">
        <f t="shared" si="14"/>
        <v>2.5000000000000001E-2</v>
      </c>
      <c r="AB41" s="178">
        <f t="shared" si="35"/>
        <v>0.48866125231049562</v>
      </c>
      <c r="AC41" s="178">
        <f t="shared" si="15"/>
        <v>101.87364009745474</v>
      </c>
      <c r="AD41" s="182">
        <f t="shared" si="16"/>
        <v>5.7741216547107488</v>
      </c>
      <c r="AE41" s="1"/>
      <c r="AF41" s="61">
        <f t="shared" si="48"/>
        <v>66.527091781627689</v>
      </c>
      <c r="AG41" s="61">
        <f t="shared" si="49"/>
        <v>83.158864727034612</v>
      </c>
      <c r="AH41" s="61">
        <f t="shared" si="50"/>
        <v>4.6656579342960498</v>
      </c>
      <c r="AI41" s="62">
        <f t="shared" si="20"/>
        <v>0.85</v>
      </c>
      <c r="AJ41" s="54">
        <v>2.5000000000000001E-2</v>
      </c>
      <c r="AK41" s="54">
        <f t="shared" si="21"/>
        <v>2.5000000000000001E-2</v>
      </c>
      <c r="AL41" s="178">
        <f t="shared" si="36"/>
        <v>0.48866125231049562</v>
      </c>
      <c r="AM41" s="178">
        <f t="shared" si="22"/>
        <v>40.636514978231837</v>
      </c>
      <c r="AN41" s="182">
        <f t="shared" si="23"/>
        <v>2.2799262490255079</v>
      </c>
      <c r="AO41" s="1"/>
      <c r="AP41" s="61">
        <f t="shared" si="40"/>
        <v>69.930771388711591</v>
      </c>
      <c r="AQ41" s="61">
        <f t="shared" si="38"/>
        <v>87.41346423588945</v>
      </c>
      <c r="AR41" s="61">
        <f t="shared" si="39"/>
        <v>5.2258049271455658</v>
      </c>
      <c r="AS41" s="62">
        <f t="shared" si="27"/>
        <v>0.85</v>
      </c>
      <c r="AT41" s="54">
        <v>2.5000000000000001E-2</v>
      </c>
      <c r="AU41" s="54">
        <f t="shared" si="28"/>
        <v>2.5000000000000001E-2</v>
      </c>
      <c r="AV41" s="178">
        <f t="shared" si="37"/>
        <v>0.48866125231049562</v>
      </c>
      <c r="AW41" s="178">
        <f t="shared" si="29"/>
        <v>42.715572902308459</v>
      </c>
      <c r="AX41" s="182">
        <f t="shared" si="30"/>
        <v>2.5536483800293106</v>
      </c>
      <c r="AY41" s="1"/>
      <c r="AZ41" s="1"/>
      <c r="BA41" s="1"/>
      <c r="BB41" s="1"/>
      <c r="BC41" s="1"/>
      <c r="BD41" s="1"/>
      <c r="BE41" s="1"/>
      <c r="BF41" s="1"/>
      <c r="BG41" s="1"/>
      <c r="BH41" s="1"/>
      <c r="BI41" s="1"/>
    </row>
    <row r="42" spans="1:61">
      <c r="A42" s="47">
        <f t="shared" si="31"/>
        <v>2042</v>
      </c>
      <c r="B42" s="62">
        <f t="shared" si="53"/>
        <v>91.920968600031941</v>
      </c>
      <c r="C42" s="62">
        <f t="shared" si="53"/>
        <v>114.90121075003991</v>
      </c>
      <c r="D42" s="62">
        <f t="shared" si="54"/>
        <v>6.4773450096611196</v>
      </c>
      <c r="E42" s="62">
        <f t="shared" ref="E42:E60" si="55">E41</f>
        <v>0.85</v>
      </c>
      <c r="F42" s="54">
        <v>2.5000000000000001E-2</v>
      </c>
      <c r="G42" s="54">
        <f t="shared" si="52"/>
        <v>2.5000000000000001E-2</v>
      </c>
      <c r="H42" s="178">
        <f t="shared" si="33"/>
        <v>0.4767426851809714</v>
      </c>
      <c r="I42" s="178">
        <f t="shared" si="1"/>
        <v>54.778311743518721</v>
      </c>
      <c r="J42" s="182">
        <f t="shared" si="2"/>
        <v>3.0880268527494072</v>
      </c>
      <c r="K42" s="1"/>
      <c r="L42" s="61">
        <f t="shared" si="41"/>
        <v>125.99744456673248</v>
      </c>
      <c r="M42" s="61">
        <f t="shared" si="42"/>
        <v>157.49680570841554</v>
      </c>
      <c r="N42" s="61">
        <f t="shared" si="43"/>
        <v>8.9076395718372723</v>
      </c>
      <c r="O42" s="62">
        <f t="shared" si="44"/>
        <v>0.85</v>
      </c>
      <c r="P42" s="54">
        <v>2.5000000000000001E-2</v>
      </c>
      <c r="Q42" s="54">
        <f t="shared" si="7"/>
        <v>2.5000000000000001E-2</v>
      </c>
      <c r="R42" s="178">
        <f t="shared" si="34"/>
        <v>0.4767426851809714</v>
      </c>
      <c r="S42" s="178">
        <f t="shared" si="8"/>
        <v>75.085450060855763</v>
      </c>
      <c r="T42" s="182">
        <f t="shared" si="9"/>
        <v>4.2466520081019796</v>
      </c>
      <c r="U42" s="1"/>
      <c r="V42" s="61">
        <f t="shared" si="45"/>
        <v>174.02535043056577</v>
      </c>
      <c r="W42" s="61">
        <f t="shared" si="46"/>
        <v>217.53168803820711</v>
      </c>
      <c r="X42" s="61">
        <f t="shared" si="47"/>
        <v>12.32867543146803</v>
      </c>
      <c r="Y42" s="62">
        <f t="shared" si="13"/>
        <v>0.85</v>
      </c>
      <c r="Z42" s="54">
        <v>2.5000000000000001E-2</v>
      </c>
      <c r="AA42" s="54">
        <f t="shared" si="14"/>
        <v>2.5000000000000001E-2</v>
      </c>
      <c r="AB42" s="178">
        <f t="shared" si="35"/>
        <v>0.4767426851809714</v>
      </c>
      <c r="AC42" s="178">
        <f t="shared" si="15"/>
        <v>103.70664106728425</v>
      </c>
      <c r="AD42" s="182">
        <f t="shared" si="16"/>
        <v>5.8776058299227394</v>
      </c>
      <c r="AE42" s="1"/>
      <c r="AF42" s="61">
        <f t="shared" si="48"/>
        <v>67.771160248806481</v>
      </c>
      <c r="AG42" s="61">
        <f t="shared" si="49"/>
        <v>84.713950311008105</v>
      </c>
      <c r="AH42" s="61">
        <f t="shared" si="50"/>
        <v>4.7536570899074899</v>
      </c>
      <c r="AI42" s="62">
        <f t="shared" si="20"/>
        <v>0.85</v>
      </c>
      <c r="AJ42" s="54">
        <v>2.5000000000000001E-2</v>
      </c>
      <c r="AK42" s="54">
        <f t="shared" si="21"/>
        <v>2.5000000000000001E-2</v>
      </c>
      <c r="AL42" s="178">
        <f t="shared" si="36"/>
        <v>0.4767426851809714</v>
      </c>
      <c r="AM42" s="178">
        <f t="shared" si="22"/>
        <v>40.386756143557392</v>
      </c>
      <c r="AN42" s="182">
        <f t="shared" si="23"/>
        <v>2.2662712454720593</v>
      </c>
      <c r="AO42" s="1"/>
      <c r="AP42" s="61">
        <f t="shared" si="40"/>
        <v>71.67904067342937</v>
      </c>
      <c r="AQ42" s="61">
        <f t="shared" si="38"/>
        <v>89.598800841786684</v>
      </c>
      <c r="AR42" s="61">
        <f t="shared" si="39"/>
        <v>5.3564500503242041</v>
      </c>
      <c r="AS42" s="62">
        <f t="shared" si="27"/>
        <v>0.85</v>
      </c>
      <c r="AT42" s="54">
        <v>2.5000000000000001E-2</v>
      </c>
      <c r="AU42" s="54">
        <f t="shared" si="28"/>
        <v>2.5000000000000001E-2</v>
      </c>
      <c r="AV42" s="178">
        <f t="shared" si="37"/>
        <v>0.4767426851809714</v>
      </c>
      <c r="AW42" s="178">
        <f t="shared" si="29"/>
        <v>42.715572902308466</v>
      </c>
      <c r="AX42" s="182">
        <f t="shared" si="30"/>
        <v>2.5536483800293106</v>
      </c>
      <c r="AY42" s="1"/>
      <c r="AZ42" s="1"/>
      <c r="BA42" s="1"/>
      <c r="BB42" s="1"/>
      <c r="BC42" s="1"/>
      <c r="BD42" s="1"/>
      <c r="BE42" s="1"/>
      <c r="BF42" s="1"/>
      <c r="BG42" s="1"/>
      <c r="BH42" s="1"/>
      <c r="BI42" s="1"/>
    </row>
    <row r="43" spans="1:61">
      <c r="A43" s="47">
        <f t="shared" si="31"/>
        <v>2043</v>
      </c>
      <c r="B43" s="62">
        <f t="shared" si="53"/>
        <v>94.218992815032735</v>
      </c>
      <c r="C43" s="62">
        <f t="shared" si="53"/>
        <v>117.7737410187909</v>
      </c>
      <c r="D43" s="62">
        <f t="shared" si="54"/>
        <v>6.6392786349026469</v>
      </c>
      <c r="E43" s="62">
        <f t="shared" si="55"/>
        <v>0.85</v>
      </c>
      <c r="F43" s="54">
        <v>2.5000000000000001E-2</v>
      </c>
      <c r="G43" s="54">
        <f t="shared" si="52"/>
        <v>2.5000000000000001E-2</v>
      </c>
      <c r="H43" s="178">
        <f t="shared" si="33"/>
        <v>0.46511481481070382</v>
      </c>
      <c r="I43" s="178">
        <f t="shared" si="1"/>
        <v>54.778311743518721</v>
      </c>
      <c r="J43" s="182">
        <f t="shared" si="2"/>
        <v>3.0880268527494072</v>
      </c>
      <c r="K43" s="1"/>
      <c r="L43" s="61">
        <f t="shared" si="41"/>
        <v>130.18543045023426</v>
      </c>
      <c r="M43" s="61">
        <f t="shared" si="42"/>
        <v>162.73178806279276</v>
      </c>
      <c r="N43" s="61">
        <f t="shared" si="43"/>
        <v>9.2031877906563579</v>
      </c>
      <c r="O43" s="62">
        <f t="shared" si="44"/>
        <v>0.85</v>
      </c>
      <c r="P43" s="54">
        <v>2.5000000000000001E-2</v>
      </c>
      <c r="Q43" s="54">
        <f t="shared" si="7"/>
        <v>2.5000000000000001E-2</v>
      </c>
      <c r="R43" s="178">
        <f t="shared" si="34"/>
        <v>0.46511481481070382</v>
      </c>
      <c r="S43" s="178">
        <f t="shared" si="8"/>
        <v>75.688965468640561</v>
      </c>
      <c r="T43" s="182">
        <f t="shared" si="9"/>
        <v>4.2805389849192625</v>
      </c>
      <c r="U43" s="1"/>
      <c r="V43" s="61">
        <f t="shared" si="45"/>
        <v>181.54413515848353</v>
      </c>
      <c r="W43" s="61">
        <f t="shared" si="46"/>
        <v>226.93016894810432</v>
      </c>
      <c r="X43" s="61">
        <f t="shared" si="47"/>
        <v>12.860469319653598</v>
      </c>
      <c r="Y43" s="62">
        <f t="shared" si="13"/>
        <v>0.85</v>
      </c>
      <c r="Z43" s="54">
        <v>2.5000000000000001E-2</v>
      </c>
      <c r="AA43" s="54">
        <f t="shared" si="14"/>
        <v>2.5000000000000001E-2</v>
      </c>
      <c r="AB43" s="178">
        <f t="shared" si="35"/>
        <v>0.46511481481070382</v>
      </c>
      <c r="AC43" s="178">
        <f t="shared" si="15"/>
        <v>105.54858350525927</v>
      </c>
      <c r="AD43" s="182">
        <f t="shared" si="16"/>
        <v>5.9815948059894213</v>
      </c>
      <c r="AE43" s="1"/>
      <c r="AF43" s="61">
        <f t="shared" si="48"/>
        <v>69.052617060075178</v>
      </c>
      <c r="AG43" s="61">
        <f t="shared" si="49"/>
        <v>86.315771325093976</v>
      </c>
      <c r="AH43" s="61">
        <f t="shared" si="50"/>
        <v>4.8442858588004052</v>
      </c>
      <c r="AI43" s="62">
        <f t="shared" si="20"/>
        <v>0.85</v>
      </c>
      <c r="AJ43" s="54">
        <v>2.5000000000000001E-2</v>
      </c>
      <c r="AK43" s="54">
        <f t="shared" si="21"/>
        <v>2.5000000000000001E-2</v>
      </c>
      <c r="AL43" s="178">
        <f t="shared" si="36"/>
        <v>0.46511481481070382</v>
      </c>
      <c r="AM43" s="178">
        <f t="shared" si="22"/>
        <v>40.146743995114143</v>
      </c>
      <c r="AN43" s="182">
        <f t="shared" si="23"/>
        <v>2.2531491201060616</v>
      </c>
      <c r="AO43" s="1"/>
      <c r="AP43" s="61">
        <f t="shared" si="40"/>
        <v>73.471016690265103</v>
      </c>
      <c r="AQ43" s="61">
        <f t="shared" si="38"/>
        <v>91.838770862831339</v>
      </c>
      <c r="AR43" s="61">
        <f t="shared" si="39"/>
        <v>5.4903613015823085</v>
      </c>
      <c r="AS43" s="62">
        <f t="shared" si="27"/>
        <v>0.85</v>
      </c>
      <c r="AT43" s="54">
        <v>2.5000000000000001E-2</v>
      </c>
      <c r="AU43" s="54">
        <f t="shared" si="28"/>
        <v>2.5000000000000001E-2</v>
      </c>
      <c r="AV43" s="178">
        <f t="shared" si="37"/>
        <v>0.46511481481070382</v>
      </c>
      <c r="AW43" s="178">
        <f t="shared" si="29"/>
        <v>42.715572902308459</v>
      </c>
      <c r="AX43" s="182">
        <f t="shared" si="30"/>
        <v>2.5536483800293102</v>
      </c>
      <c r="AY43" s="1"/>
      <c r="AZ43" s="1"/>
      <c r="BA43" s="1"/>
      <c r="BB43" s="1"/>
      <c r="BC43" s="1"/>
      <c r="BD43" s="1"/>
      <c r="BE43" s="1"/>
      <c r="BF43" s="1"/>
      <c r="BG43" s="1"/>
      <c r="BH43" s="1"/>
      <c r="BI43" s="1"/>
    </row>
    <row r="44" spans="1:61">
      <c r="A44" s="47">
        <f t="shared" si="31"/>
        <v>2044</v>
      </c>
      <c r="B44" s="62">
        <f t="shared" si="53"/>
        <v>96.574467635408539</v>
      </c>
      <c r="C44" s="62">
        <f t="shared" si="53"/>
        <v>120.71808454426066</v>
      </c>
      <c r="D44" s="62">
        <f t="shared" si="54"/>
        <v>6.8052606007752123</v>
      </c>
      <c r="E44" s="62">
        <f t="shared" si="55"/>
        <v>0.85</v>
      </c>
      <c r="F44" s="54">
        <v>2.5000000000000001E-2</v>
      </c>
      <c r="G44" s="54">
        <f t="shared" si="52"/>
        <v>2.5000000000000001E-2</v>
      </c>
      <c r="H44" s="178">
        <f t="shared" si="33"/>
        <v>0.45377055103483305</v>
      </c>
      <c r="I44" s="178">
        <f t="shared" si="1"/>
        <v>54.778311743518721</v>
      </c>
      <c r="J44" s="182">
        <f t="shared" si="2"/>
        <v>3.0880268527494072</v>
      </c>
      <c r="K44" s="1"/>
      <c r="L44" s="61">
        <f t="shared" si="41"/>
        <v>134.49368672736358</v>
      </c>
      <c r="M44" s="61">
        <f t="shared" si="42"/>
        <v>168.11710840920438</v>
      </c>
      <c r="N44" s="61">
        <f t="shared" si="43"/>
        <v>9.5072175733887683</v>
      </c>
      <c r="O44" s="62">
        <f t="shared" si="44"/>
        <v>0.85</v>
      </c>
      <c r="P44" s="54">
        <v>2.5000000000000001E-2</v>
      </c>
      <c r="Q44" s="54">
        <f t="shared" si="7"/>
        <v>2.5000000000000001E-2</v>
      </c>
      <c r="R44" s="178">
        <f t="shared" si="34"/>
        <v>0.45377055103483305</v>
      </c>
      <c r="S44" s="178">
        <f t="shared" si="8"/>
        <v>76.286592921227438</v>
      </c>
      <c r="T44" s="182">
        <f t="shared" si="9"/>
        <v>4.3140953570846694</v>
      </c>
      <c r="U44" s="1"/>
      <c r="V44" s="61">
        <f t="shared" si="45"/>
        <v>189.34593403361384</v>
      </c>
      <c r="W44" s="61">
        <f t="shared" si="46"/>
        <v>236.68241754201722</v>
      </c>
      <c r="X44" s="61">
        <f t="shared" si="47"/>
        <v>13.412265365115772</v>
      </c>
      <c r="Y44" s="62">
        <f t="shared" si="13"/>
        <v>0.85</v>
      </c>
      <c r="Z44" s="54">
        <v>2.5000000000000001E-2</v>
      </c>
      <c r="AA44" s="54">
        <f t="shared" si="14"/>
        <v>2.5000000000000001E-2</v>
      </c>
      <c r="AB44" s="178">
        <f t="shared" si="35"/>
        <v>0.45377055103483305</v>
      </c>
      <c r="AC44" s="178">
        <f t="shared" si="15"/>
        <v>107.3995110282976</v>
      </c>
      <c r="AD44" s="182">
        <f t="shared" si="16"/>
        <v>6.0860910453539905</v>
      </c>
      <c r="AE44" s="1"/>
      <c r="AF44" s="61">
        <f t="shared" si="48"/>
        <v>70.37230262454986</v>
      </c>
      <c r="AG44" s="61">
        <f t="shared" si="49"/>
        <v>87.965378280687332</v>
      </c>
      <c r="AH44" s="61">
        <f t="shared" si="50"/>
        <v>4.9376035367909648</v>
      </c>
      <c r="AI44" s="62">
        <f t="shared" si="20"/>
        <v>0.85</v>
      </c>
      <c r="AJ44" s="54">
        <v>2.5000000000000001E-2</v>
      </c>
      <c r="AK44" s="54">
        <f t="shared" si="21"/>
        <v>2.5000000000000001E-2</v>
      </c>
      <c r="AL44" s="178">
        <f t="shared" si="36"/>
        <v>0.45377055103483305</v>
      </c>
      <c r="AM44" s="178">
        <f t="shared" si="22"/>
        <v>39.916098174415026</v>
      </c>
      <c r="AN44" s="182">
        <f t="shared" si="23"/>
        <v>2.2405390776811767</v>
      </c>
      <c r="AO44" s="1"/>
      <c r="AP44" s="61">
        <f t="shared" si="40"/>
        <v>75.30779210752172</v>
      </c>
      <c r="AQ44" s="61">
        <f t="shared" si="38"/>
        <v>94.134740134402108</v>
      </c>
      <c r="AR44" s="61">
        <f t="shared" si="39"/>
        <v>5.6276203341218656</v>
      </c>
      <c r="AS44" s="62">
        <f t="shared" si="27"/>
        <v>0.85</v>
      </c>
      <c r="AT44" s="54">
        <v>2.5000000000000001E-2</v>
      </c>
      <c r="AU44" s="54">
        <f t="shared" si="28"/>
        <v>2.5000000000000001E-2</v>
      </c>
      <c r="AV44" s="178">
        <f t="shared" si="37"/>
        <v>0.45377055103483305</v>
      </c>
      <c r="AW44" s="178">
        <f t="shared" si="29"/>
        <v>42.715572902308459</v>
      </c>
      <c r="AX44" s="182">
        <f t="shared" si="30"/>
        <v>2.5536483800293102</v>
      </c>
      <c r="AY44" s="1"/>
      <c r="AZ44" s="1"/>
      <c r="BA44" s="1"/>
      <c r="BB44" s="1"/>
      <c r="BC44" s="1"/>
      <c r="BD44" s="1"/>
      <c r="BE44" s="1"/>
      <c r="BF44" s="1"/>
      <c r="BG44" s="1"/>
      <c r="BH44" s="1"/>
      <c r="BI44" s="1"/>
    </row>
    <row r="45" spans="1:61">
      <c r="A45" s="47">
        <f t="shared" si="31"/>
        <v>2045</v>
      </c>
      <c r="B45" s="62">
        <f t="shared" si="53"/>
        <v>98.98882932629374</v>
      </c>
      <c r="C45" s="62">
        <f t="shared" si="53"/>
        <v>123.73603665786717</v>
      </c>
      <c r="D45" s="62">
        <f t="shared" si="54"/>
        <v>6.975392115794592</v>
      </c>
      <c r="E45" s="62">
        <f t="shared" si="55"/>
        <v>0.85</v>
      </c>
      <c r="F45" s="54">
        <v>2.5000000000000001E-2</v>
      </c>
      <c r="G45" s="54">
        <f t="shared" si="52"/>
        <v>2.5000000000000001E-2</v>
      </c>
      <c r="H45" s="178">
        <f t="shared" si="33"/>
        <v>0.44270297661934938</v>
      </c>
      <c r="I45" s="178">
        <f t="shared" si="1"/>
        <v>54.778311743518728</v>
      </c>
      <c r="J45" s="182">
        <f t="shared" si="2"/>
        <v>3.0880268527494072</v>
      </c>
      <c r="K45" s="1"/>
      <c r="L45" s="61">
        <f t="shared" si="41"/>
        <v>138.92545371915924</v>
      </c>
      <c r="M45" s="61">
        <f t="shared" si="42"/>
        <v>173.65681714894896</v>
      </c>
      <c r="N45" s="61">
        <f t="shared" si="43"/>
        <v>9.8199573520089789</v>
      </c>
      <c r="O45" s="62">
        <f t="shared" si="44"/>
        <v>0.85</v>
      </c>
      <c r="P45" s="54">
        <v>2.5000000000000001E-2</v>
      </c>
      <c r="Q45" s="54">
        <f t="shared" si="7"/>
        <v>2.5000000000000001E-2</v>
      </c>
      <c r="R45" s="178">
        <f t="shared" si="34"/>
        <v>0.44270297661934938</v>
      </c>
      <c r="S45" s="178">
        <f t="shared" si="8"/>
        <v>76.878389862081775</v>
      </c>
      <c r="T45" s="182">
        <f t="shared" si="9"/>
        <v>4.3473243500094387</v>
      </c>
      <c r="U45" s="1"/>
      <c r="V45" s="61">
        <f t="shared" si="45"/>
        <v>197.44067374550747</v>
      </c>
      <c r="W45" s="61">
        <f t="shared" si="46"/>
        <v>246.80084218188426</v>
      </c>
      <c r="X45" s="61">
        <f t="shared" si="47"/>
        <v>13.984764841088625</v>
      </c>
      <c r="Y45" s="62">
        <f t="shared" si="13"/>
        <v>0.85</v>
      </c>
      <c r="Z45" s="54">
        <v>2.5000000000000001E-2</v>
      </c>
      <c r="AA45" s="54">
        <f t="shared" si="14"/>
        <v>2.5000000000000001E-2</v>
      </c>
      <c r="AB45" s="178">
        <f t="shared" si="35"/>
        <v>0.44270297661934938</v>
      </c>
      <c r="AC45" s="178">
        <f t="shared" si="15"/>
        <v>109.25946746608244</v>
      </c>
      <c r="AD45" s="182">
        <f t="shared" si="16"/>
        <v>6.1910970224715562</v>
      </c>
      <c r="AE45" s="1"/>
      <c r="AF45" s="61">
        <f t="shared" si="48"/>
        <v>71.731079776066807</v>
      </c>
      <c r="AG45" s="61">
        <f t="shared" si="49"/>
        <v>89.663849720083533</v>
      </c>
      <c r="AH45" s="61">
        <f t="shared" si="50"/>
        <v>5.0336709987584802</v>
      </c>
      <c r="AI45" s="62">
        <f t="shared" si="20"/>
        <v>0.85</v>
      </c>
      <c r="AJ45" s="54">
        <v>2.5000000000000001E-2</v>
      </c>
      <c r="AK45" s="54">
        <f t="shared" si="21"/>
        <v>2.5000000000000001E-2</v>
      </c>
      <c r="AL45" s="178">
        <f t="shared" si="36"/>
        <v>0.44270297661934938</v>
      </c>
      <c r="AM45" s="178">
        <f t="shared" si="22"/>
        <v>39.694453166231</v>
      </c>
      <c r="AN45" s="182">
        <f t="shared" si="23"/>
        <v>2.2284211344728724</v>
      </c>
      <c r="AO45" s="1"/>
      <c r="AP45" s="61">
        <f t="shared" si="40"/>
        <v>77.190486910209756</v>
      </c>
      <c r="AQ45" s="61">
        <f t="shared" si="38"/>
        <v>96.488108637762153</v>
      </c>
      <c r="AR45" s="61">
        <f t="shared" si="39"/>
        <v>5.7683108424749117</v>
      </c>
      <c r="AS45" s="62">
        <f t="shared" si="27"/>
        <v>0.85</v>
      </c>
      <c r="AT45" s="54">
        <v>2.5000000000000001E-2</v>
      </c>
      <c r="AU45" s="54">
        <f t="shared" si="28"/>
        <v>2.5000000000000001E-2</v>
      </c>
      <c r="AV45" s="178">
        <f t="shared" si="37"/>
        <v>0.44270297661934938</v>
      </c>
      <c r="AW45" s="178">
        <f t="shared" si="29"/>
        <v>42.715572902308459</v>
      </c>
      <c r="AX45" s="182">
        <f t="shared" si="30"/>
        <v>2.5536483800293102</v>
      </c>
      <c r="AY45" s="1"/>
      <c r="AZ45" s="1"/>
      <c r="BA45" s="1"/>
      <c r="BB45" s="1"/>
      <c r="BC45" s="1"/>
      <c r="BD45" s="1"/>
      <c r="BE45" s="1"/>
      <c r="BF45" s="1"/>
      <c r="BG45" s="1"/>
      <c r="BH45" s="1"/>
      <c r="BI45" s="1"/>
    </row>
    <row r="46" spans="1:61">
      <c r="A46" s="47">
        <f t="shared" si="31"/>
        <v>2046</v>
      </c>
      <c r="B46" s="62">
        <f t="shared" si="53"/>
        <v>101.46355005945108</v>
      </c>
      <c r="C46" s="62">
        <f t="shared" si="53"/>
        <v>126.82943757431384</v>
      </c>
      <c r="D46" s="62">
        <f t="shared" si="54"/>
        <v>7.1497769186894562</v>
      </c>
      <c r="E46" s="62">
        <f t="shared" si="55"/>
        <v>0.85</v>
      </c>
      <c r="F46" s="54">
        <v>2.5000000000000001E-2</v>
      </c>
      <c r="G46" s="54">
        <f t="shared" ref="G46:G60" si="56">G45</f>
        <v>2.5000000000000001E-2</v>
      </c>
      <c r="H46" s="178">
        <f t="shared" si="33"/>
        <v>0.43190534304326772</v>
      </c>
      <c r="I46" s="178">
        <f t="shared" si="1"/>
        <v>54.778311743518728</v>
      </c>
      <c r="J46" s="182">
        <f t="shared" si="2"/>
        <v>3.0880268527494072</v>
      </c>
      <c r="K46" s="1"/>
      <c r="L46" s="61">
        <f t="shared" si="41"/>
        <v>143.48405625810395</v>
      </c>
      <c r="M46" s="61">
        <f t="shared" si="42"/>
        <v>179.35507032262984</v>
      </c>
      <c r="N46" s="61">
        <f t="shared" si="43"/>
        <v>10.141641515183977</v>
      </c>
      <c r="O46" s="62">
        <f t="shared" si="44"/>
        <v>0.85</v>
      </c>
      <c r="P46" s="54">
        <v>2.5000000000000001E-2</v>
      </c>
      <c r="Q46" s="54">
        <f t="shared" si="7"/>
        <v>2.5000000000000001E-2</v>
      </c>
      <c r="R46" s="178">
        <f t="shared" si="34"/>
        <v>0.43190534304326772</v>
      </c>
      <c r="S46" s="178">
        <f t="shared" si="8"/>
        <v>77.464413174244854</v>
      </c>
      <c r="T46" s="182">
        <f t="shared" si="9"/>
        <v>4.3802291576373813</v>
      </c>
      <c r="U46" s="1"/>
      <c r="V46" s="61">
        <f t="shared" si="45"/>
        <v>205.83861469103005</v>
      </c>
      <c r="W46" s="61">
        <f t="shared" si="46"/>
        <v>257.29826836378749</v>
      </c>
      <c r="X46" s="61">
        <f t="shared" si="47"/>
        <v>14.578692589216146</v>
      </c>
      <c r="Y46" s="62">
        <f t="shared" si="13"/>
        <v>0.85</v>
      </c>
      <c r="Z46" s="54">
        <v>2.5000000000000001E-2</v>
      </c>
      <c r="AA46" s="54">
        <f t="shared" si="14"/>
        <v>2.5000000000000001E-2</v>
      </c>
      <c r="AB46" s="178">
        <f t="shared" si="35"/>
        <v>0.43190534304326772</v>
      </c>
      <c r="AC46" s="178">
        <f t="shared" si="15"/>
        <v>111.12849686210039</v>
      </c>
      <c r="AD46" s="182">
        <f t="shared" si="16"/>
        <v>6.2966152238677449</v>
      </c>
      <c r="AE46" s="1"/>
      <c r="AF46" s="61">
        <f t="shared" si="48"/>
        <v>73.129834312583142</v>
      </c>
      <c r="AG46" s="61">
        <f t="shared" si="49"/>
        <v>91.412292890728949</v>
      </c>
      <c r="AH46" s="61">
        <f t="shared" si="50"/>
        <v>5.1325507366719672</v>
      </c>
      <c r="AI46" s="62">
        <f t="shared" si="20"/>
        <v>0.85</v>
      </c>
      <c r="AJ46" s="54">
        <v>2.5000000000000001E-2</v>
      </c>
      <c r="AK46" s="54">
        <f t="shared" si="21"/>
        <v>2.5000000000000001E-2</v>
      </c>
      <c r="AL46" s="178">
        <f t="shared" si="36"/>
        <v>0.43190534304326772</v>
      </c>
      <c r="AM46" s="178">
        <f t="shared" si="22"/>
        <v>39.481457719341947</v>
      </c>
      <c r="AN46" s="182">
        <f t="shared" si="23"/>
        <v>2.2167760866092823</v>
      </c>
      <c r="AO46" s="1"/>
      <c r="AP46" s="61">
        <f t="shared" si="40"/>
        <v>79.120249082964989</v>
      </c>
      <c r="AQ46" s="61">
        <f t="shared" si="38"/>
        <v>98.900311353706201</v>
      </c>
      <c r="AR46" s="61">
        <f t="shared" si="39"/>
        <v>5.9125186135367835</v>
      </c>
      <c r="AS46" s="62">
        <f t="shared" si="27"/>
        <v>0.85</v>
      </c>
      <c r="AT46" s="54">
        <v>2.5000000000000001E-2</v>
      </c>
      <c r="AU46" s="54">
        <f t="shared" si="28"/>
        <v>2.5000000000000001E-2</v>
      </c>
      <c r="AV46" s="178">
        <f t="shared" si="37"/>
        <v>0.43190534304326772</v>
      </c>
      <c r="AW46" s="178">
        <f t="shared" si="29"/>
        <v>42.715572902308459</v>
      </c>
      <c r="AX46" s="182">
        <f t="shared" si="30"/>
        <v>2.5536483800293102</v>
      </c>
      <c r="AY46" s="1"/>
      <c r="AZ46" s="1"/>
      <c r="BA46" s="1"/>
      <c r="BB46" s="1"/>
      <c r="BC46" s="1"/>
      <c r="BD46" s="1"/>
      <c r="BE46" s="1"/>
      <c r="BF46" s="1"/>
      <c r="BG46" s="1"/>
      <c r="BH46" s="1"/>
      <c r="BI46" s="1"/>
    </row>
    <row r="47" spans="1:61">
      <c r="A47" s="47">
        <f t="shared" si="31"/>
        <v>2047</v>
      </c>
      <c r="B47" s="62">
        <f t="shared" si="53"/>
        <v>104.00013881093734</v>
      </c>
      <c r="C47" s="62">
        <f t="shared" si="53"/>
        <v>130.00017351367168</v>
      </c>
      <c r="D47" s="62">
        <f t="shared" si="54"/>
        <v>7.3285213416566917</v>
      </c>
      <c r="E47" s="62">
        <f t="shared" si="55"/>
        <v>0.85</v>
      </c>
      <c r="F47" s="54">
        <v>2.5000000000000001E-2</v>
      </c>
      <c r="G47" s="54">
        <f t="shared" si="56"/>
        <v>2.5000000000000001E-2</v>
      </c>
      <c r="H47" s="178">
        <f t="shared" si="33"/>
        <v>0.42137106638367589</v>
      </c>
      <c r="I47" s="178">
        <f t="shared" si="1"/>
        <v>54.778311743518735</v>
      </c>
      <c r="J47" s="182">
        <f t="shared" si="2"/>
        <v>3.0880268527494072</v>
      </c>
      <c r="K47" s="1"/>
      <c r="L47" s="61">
        <f t="shared" si="41"/>
        <v>148.17290585346177</v>
      </c>
      <c r="M47" s="61">
        <f t="shared" si="42"/>
        <v>185.2161323168271</v>
      </c>
      <c r="N47" s="61">
        <f t="shared" si="43"/>
        <v>10.47251056087897</v>
      </c>
      <c r="O47" s="62">
        <f t="shared" si="44"/>
        <v>0.85</v>
      </c>
      <c r="P47" s="54">
        <v>2.5000000000000001E-2</v>
      </c>
      <c r="Q47" s="54">
        <f t="shared" si="7"/>
        <v>2.5000000000000001E-2</v>
      </c>
      <c r="R47" s="178">
        <f t="shared" si="34"/>
        <v>0.42137106638367589</v>
      </c>
      <c r="S47" s="178">
        <f t="shared" si="8"/>
        <v>78.044719185801455</v>
      </c>
      <c r="T47" s="182">
        <f t="shared" si="9"/>
        <v>4.412812942751879</v>
      </c>
      <c r="U47" s="1"/>
      <c r="V47" s="61">
        <f t="shared" si="45"/>
        <v>214.55036188324721</v>
      </c>
      <c r="W47" s="61">
        <f t="shared" si="46"/>
        <v>268.18795235405895</v>
      </c>
      <c r="X47" s="61">
        <f t="shared" si="47"/>
        <v>15.194797789859866</v>
      </c>
      <c r="Y47" s="62">
        <f t="shared" si="13"/>
        <v>0.85</v>
      </c>
      <c r="Z47" s="54">
        <v>2.5000000000000001E-2</v>
      </c>
      <c r="AA47" s="54">
        <f t="shared" si="14"/>
        <v>2.5000000000000001E-2</v>
      </c>
      <c r="AB47" s="178">
        <f t="shared" si="35"/>
        <v>0.42137106638367589</v>
      </c>
      <c r="AC47" s="178">
        <f t="shared" si="15"/>
        <v>113.00664347468428</v>
      </c>
      <c r="AD47" s="182">
        <f t="shared" si="16"/>
        <v>6.4026481481975734</v>
      </c>
      <c r="AE47" s="1"/>
      <c r="AF47" s="61">
        <f t="shared" si="48"/>
        <v>74.569475549380655</v>
      </c>
      <c r="AG47" s="61">
        <f t="shared" si="49"/>
        <v>93.211844436725855</v>
      </c>
      <c r="AH47" s="61">
        <f t="shared" si="50"/>
        <v>5.2343068985891232</v>
      </c>
      <c r="AI47" s="62">
        <f t="shared" si="20"/>
        <v>0.85</v>
      </c>
      <c r="AJ47" s="54">
        <v>2.5000000000000001E-2</v>
      </c>
      <c r="AK47" s="54">
        <f t="shared" si="21"/>
        <v>2.5000000000000001E-2</v>
      </c>
      <c r="AL47" s="178">
        <f t="shared" si="36"/>
        <v>0.42137106638367589</v>
      </c>
      <c r="AM47" s="178">
        <f t="shared" si="22"/>
        <v>39.276774289892479</v>
      </c>
      <c r="AN47" s="182">
        <f t="shared" si="23"/>
        <v>2.2055854796379299</v>
      </c>
      <c r="AO47" s="1"/>
      <c r="AP47" s="61">
        <f t="shared" si="40"/>
        <v>81.098255310039107</v>
      </c>
      <c r="AQ47" s="61">
        <f t="shared" si="38"/>
        <v>101.37281913754884</v>
      </c>
      <c r="AR47" s="61">
        <f t="shared" si="39"/>
        <v>6.0603315788752026</v>
      </c>
      <c r="AS47" s="62">
        <f t="shared" si="27"/>
        <v>0.85</v>
      </c>
      <c r="AT47" s="54">
        <v>2.5000000000000001E-2</v>
      </c>
      <c r="AU47" s="54">
        <f t="shared" si="28"/>
        <v>2.5000000000000001E-2</v>
      </c>
      <c r="AV47" s="178">
        <f t="shared" si="37"/>
        <v>0.42137106638367589</v>
      </c>
      <c r="AW47" s="178">
        <f t="shared" si="29"/>
        <v>42.715572902308466</v>
      </c>
      <c r="AX47" s="182">
        <f t="shared" si="30"/>
        <v>2.5536483800293102</v>
      </c>
      <c r="AY47" s="1"/>
      <c r="AZ47" s="1"/>
      <c r="BA47" s="1"/>
      <c r="BB47" s="1"/>
      <c r="BC47" s="1"/>
      <c r="BD47" s="1"/>
      <c r="BE47" s="1"/>
      <c r="BF47" s="1"/>
      <c r="BG47" s="1"/>
      <c r="BH47" s="1"/>
      <c r="BI47" s="1"/>
    </row>
    <row r="48" spans="1:61">
      <c r="A48" s="47">
        <f t="shared" si="31"/>
        <v>2048</v>
      </c>
      <c r="B48" s="62">
        <f t="shared" si="53"/>
        <v>106.60014228121076</v>
      </c>
      <c r="C48" s="62">
        <f t="shared" si="53"/>
        <v>133.25017785151346</v>
      </c>
      <c r="D48" s="62">
        <f t="shared" si="54"/>
        <v>7.5117343751981087</v>
      </c>
      <c r="E48" s="62">
        <f t="shared" si="55"/>
        <v>0.85</v>
      </c>
      <c r="F48" s="54">
        <v>2.5000000000000001E-2</v>
      </c>
      <c r="G48" s="54">
        <f t="shared" si="56"/>
        <v>2.5000000000000001E-2</v>
      </c>
      <c r="H48" s="178">
        <f t="shared" si="33"/>
        <v>0.41109372330114724</v>
      </c>
      <c r="I48" s="178">
        <f t="shared" si="1"/>
        <v>54.778311743518728</v>
      </c>
      <c r="J48" s="182">
        <f t="shared" si="2"/>
        <v>3.0880268527494072</v>
      </c>
      <c r="K48" s="1"/>
      <c r="L48" s="61">
        <f t="shared" si="41"/>
        <v>152.99550291153713</v>
      </c>
      <c r="M48" s="61">
        <f t="shared" si="42"/>
        <v>191.24437863942126</v>
      </c>
      <c r="N48" s="61">
        <f t="shared" si="43"/>
        <v>10.812811252833571</v>
      </c>
      <c r="O48" s="62">
        <f t="shared" si="44"/>
        <v>0.85</v>
      </c>
      <c r="P48" s="54">
        <v>2.5000000000000001E-2</v>
      </c>
      <c r="Q48" s="54">
        <f t="shared" si="7"/>
        <v>2.5000000000000001E-2</v>
      </c>
      <c r="R48" s="178">
        <f t="shared" si="34"/>
        <v>0.41109372330114724</v>
      </c>
      <c r="S48" s="178">
        <f t="shared" si="8"/>
        <v>78.619363675294082</v>
      </c>
      <c r="T48" s="182">
        <f t="shared" si="9"/>
        <v>4.4450788372798948</v>
      </c>
      <c r="U48" s="1"/>
      <c r="V48" s="61">
        <f t="shared" si="45"/>
        <v>223.58687621001803</v>
      </c>
      <c r="W48" s="61">
        <f t="shared" si="46"/>
        <v>279.4835952625225</v>
      </c>
      <c r="X48" s="61">
        <f t="shared" si="47"/>
        <v>15.833854757097079</v>
      </c>
      <c r="Y48" s="62">
        <f t="shared" si="13"/>
        <v>0.85</v>
      </c>
      <c r="Z48" s="54">
        <v>2.5000000000000001E-2</v>
      </c>
      <c r="AA48" s="54">
        <f t="shared" si="14"/>
        <v>2.5000000000000001E-2</v>
      </c>
      <c r="AB48" s="178">
        <f t="shared" si="35"/>
        <v>0.41109372330114724</v>
      </c>
      <c r="AC48" s="178">
        <f t="shared" si="15"/>
        <v>114.89395177806125</v>
      </c>
      <c r="AD48" s="182">
        <f t="shared" si="16"/>
        <v>6.5091983063046204</v>
      </c>
      <c r="AE48" s="1"/>
      <c r="AF48" s="61">
        <f t="shared" si="48"/>
        <v>76.050936886413368</v>
      </c>
      <c r="AG48" s="61">
        <f t="shared" si="49"/>
        <v>95.063671108016734</v>
      </c>
      <c r="AH48" s="61">
        <f t="shared" si="50"/>
        <v>5.3390053286517034</v>
      </c>
      <c r="AI48" s="62">
        <f t="shared" si="20"/>
        <v>0.85</v>
      </c>
      <c r="AJ48" s="54">
        <v>2.5000000000000001E-2</v>
      </c>
      <c r="AK48" s="54">
        <f t="shared" si="21"/>
        <v>2.5000000000000001E-2</v>
      </c>
      <c r="AL48" s="178">
        <f t="shared" si="36"/>
        <v>0.41109372330114724</v>
      </c>
      <c r="AM48" s="178">
        <f t="shared" si="22"/>
        <v>39.080078506470294</v>
      </c>
      <c r="AN48" s="182">
        <f t="shared" si="23"/>
        <v>2.1948315792800939</v>
      </c>
      <c r="AO48" s="1"/>
      <c r="AP48" s="61">
        <f t="shared" si="40"/>
        <v>83.125711692790077</v>
      </c>
      <c r="AQ48" s="61">
        <f t="shared" si="38"/>
        <v>103.90713961598756</v>
      </c>
      <c r="AR48" s="61">
        <f t="shared" si="39"/>
        <v>6.2118398683470817</v>
      </c>
      <c r="AS48" s="62">
        <f t="shared" si="27"/>
        <v>0.85</v>
      </c>
      <c r="AT48" s="54">
        <v>2.5000000000000001E-2</v>
      </c>
      <c r="AU48" s="54">
        <f t="shared" si="28"/>
        <v>2.5000000000000001E-2</v>
      </c>
      <c r="AV48" s="178">
        <f t="shared" si="37"/>
        <v>0.41109372330114724</v>
      </c>
      <c r="AW48" s="178">
        <f t="shared" si="29"/>
        <v>42.715572902308466</v>
      </c>
      <c r="AX48" s="182">
        <f t="shared" si="30"/>
        <v>2.5536483800293102</v>
      </c>
      <c r="AY48" s="1"/>
      <c r="AZ48" s="1"/>
      <c r="BA48" s="1"/>
      <c r="BB48" s="1"/>
      <c r="BC48" s="1"/>
      <c r="BD48" s="1"/>
      <c r="BE48" s="1"/>
      <c r="BF48" s="1"/>
      <c r="BG48" s="1"/>
      <c r="BH48" s="1"/>
      <c r="BI48" s="1"/>
    </row>
    <row r="49" spans="1:61">
      <c r="A49" s="47">
        <f t="shared" si="31"/>
        <v>2049</v>
      </c>
      <c r="B49" s="62">
        <f t="shared" si="53"/>
        <v>109.26514583824103</v>
      </c>
      <c r="C49" s="62">
        <f t="shared" si="53"/>
        <v>136.58143229780129</v>
      </c>
      <c r="D49" s="62">
        <f t="shared" si="54"/>
        <v>7.6995277345780604</v>
      </c>
      <c r="E49" s="62">
        <f t="shared" si="55"/>
        <v>0.85</v>
      </c>
      <c r="F49" s="54">
        <v>2.5000000000000001E-2</v>
      </c>
      <c r="G49" s="54">
        <f t="shared" si="56"/>
        <v>2.5000000000000001E-2</v>
      </c>
      <c r="H49" s="178">
        <f t="shared" si="33"/>
        <v>0.40106704712307051</v>
      </c>
      <c r="I49" s="178">
        <f t="shared" si="1"/>
        <v>54.778311743518735</v>
      </c>
      <c r="J49" s="182">
        <f t="shared" si="2"/>
        <v>3.0880268527494072</v>
      </c>
      <c r="K49" s="1"/>
      <c r="L49" s="61">
        <f t="shared" si="41"/>
        <v>157.95543901224045</v>
      </c>
      <c r="M49" s="61">
        <f t="shared" si="42"/>
        <v>197.44429876530037</v>
      </c>
      <c r="N49" s="61">
        <f t="shared" si="43"/>
        <v>11.162796781006026</v>
      </c>
      <c r="O49" s="62">
        <f t="shared" si="44"/>
        <v>0.85</v>
      </c>
      <c r="P49" s="54">
        <v>2.5000000000000001E-2</v>
      </c>
      <c r="Q49" s="54">
        <f t="shared" si="7"/>
        <v>2.5000000000000001E-2</v>
      </c>
      <c r="R49" s="178">
        <f t="shared" si="34"/>
        <v>0.40106704712307051</v>
      </c>
      <c r="S49" s="178">
        <f t="shared" si="8"/>
        <v>79.188401877084331</v>
      </c>
      <c r="T49" s="182">
        <f t="shared" si="9"/>
        <v>4.4770299425930036</v>
      </c>
      <c r="U49" s="1"/>
      <c r="V49" s="61">
        <f t="shared" si="45"/>
        <v>232.95948605334883</v>
      </c>
      <c r="W49" s="61">
        <f t="shared" si="46"/>
        <v>291.19935756668599</v>
      </c>
      <c r="X49" s="61">
        <f t="shared" si="47"/>
        <v>16.496663759189943</v>
      </c>
      <c r="Y49" s="62">
        <f t="shared" si="13"/>
        <v>0.85</v>
      </c>
      <c r="Z49" s="54">
        <v>2.5000000000000001E-2</v>
      </c>
      <c r="AA49" s="54">
        <f t="shared" si="14"/>
        <v>2.5000000000000001E-2</v>
      </c>
      <c r="AB49" s="178">
        <f t="shared" si="35"/>
        <v>0.40106704712307051</v>
      </c>
      <c r="AC49" s="178">
        <f t="shared" si="15"/>
        <v>116.79046646340591</v>
      </c>
      <c r="AD49" s="182">
        <f t="shared" si="16"/>
        <v>6.6162682212804826</v>
      </c>
      <c r="AE49" s="1"/>
      <c r="AF49" s="61">
        <f t="shared" si="48"/>
        <v>77.575176390147433</v>
      </c>
      <c r="AG49" s="61">
        <f t="shared" si="49"/>
        <v>96.968970487684317</v>
      </c>
      <c r="AH49" s="61">
        <f t="shared" si="50"/>
        <v>5.4467136081018799</v>
      </c>
      <c r="AI49" s="62">
        <f t="shared" si="20"/>
        <v>0.85</v>
      </c>
      <c r="AJ49" s="54">
        <v>2.5000000000000001E-2</v>
      </c>
      <c r="AK49" s="54">
        <f t="shared" si="21"/>
        <v>2.5000000000000001E-2</v>
      </c>
      <c r="AL49" s="178">
        <f t="shared" si="36"/>
        <v>0.40106704712307051</v>
      </c>
      <c r="AM49" s="178">
        <f t="shared" si="22"/>
        <v>38.89105865605972</v>
      </c>
      <c r="AN49" s="182">
        <f t="shared" si="23"/>
        <v>2.1844973433264658</v>
      </c>
      <c r="AO49" s="1"/>
      <c r="AP49" s="61">
        <f t="shared" si="40"/>
        <v>85.203854485109815</v>
      </c>
      <c r="AQ49" s="61">
        <f t="shared" si="38"/>
        <v>106.50481810638723</v>
      </c>
      <c r="AR49" s="61">
        <f t="shared" si="39"/>
        <v>6.3671358650557579</v>
      </c>
      <c r="AS49" s="62">
        <f t="shared" si="27"/>
        <v>0.85</v>
      </c>
      <c r="AT49" s="54">
        <v>2.5000000000000001E-2</v>
      </c>
      <c r="AU49" s="54">
        <f t="shared" si="28"/>
        <v>2.5000000000000001E-2</v>
      </c>
      <c r="AV49" s="178">
        <f t="shared" si="37"/>
        <v>0.40106704712307051</v>
      </c>
      <c r="AW49" s="178">
        <f t="shared" si="29"/>
        <v>42.715572902308459</v>
      </c>
      <c r="AX49" s="182">
        <f t="shared" si="30"/>
        <v>2.5536483800293102</v>
      </c>
      <c r="AY49" s="1"/>
      <c r="AZ49" s="1"/>
      <c r="BA49" s="1"/>
      <c r="BB49" s="1"/>
      <c r="BC49" s="1"/>
      <c r="BD49" s="1"/>
      <c r="BE49" s="1"/>
      <c r="BF49" s="1"/>
      <c r="BG49" s="1"/>
      <c r="BH49" s="1"/>
      <c r="BI49" s="1"/>
    </row>
    <row r="50" spans="1:61">
      <c r="A50" s="47">
        <f t="shared" si="31"/>
        <v>2050</v>
      </c>
      <c r="B50" s="62">
        <f t="shared" si="53"/>
        <v>111.99677448419705</v>
      </c>
      <c r="C50" s="62">
        <f t="shared" si="53"/>
        <v>139.99596810524631</v>
      </c>
      <c r="D50" s="62">
        <f t="shared" si="54"/>
        <v>7.8920159279425111</v>
      </c>
      <c r="E50" s="62">
        <f t="shared" si="55"/>
        <v>0.85</v>
      </c>
      <c r="F50" s="54">
        <v>2.5000000000000001E-2</v>
      </c>
      <c r="G50" s="54">
        <f t="shared" si="56"/>
        <v>2.5000000000000001E-2</v>
      </c>
      <c r="H50" s="178">
        <f t="shared" si="33"/>
        <v>0.39128492402250786</v>
      </c>
      <c r="I50" s="178">
        <f t="shared" si="1"/>
        <v>54.778311743518735</v>
      </c>
      <c r="J50" s="182">
        <f t="shared" si="2"/>
        <v>3.0880268527494072</v>
      </c>
      <c r="K50" s="1"/>
      <c r="L50" s="61">
        <f t="shared" si="41"/>
        <v>163.05639924338007</v>
      </c>
      <c r="M50" s="61">
        <f t="shared" si="42"/>
        <v>203.82049905422488</v>
      </c>
      <c r="N50" s="61">
        <f t="shared" si="43"/>
        <v>11.522726926085566</v>
      </c>
      <c r="O50" s="62">
        <f t="shared" si="44"/>
        <v>0.85</v>
      </c>
      <c r="P50" s="54">
        <v>2.5000000000000001E-2</v>
      </c>
      <c r="Q50" s="54">
        <f t="shared" si="7"/>
        <v>2.5000000000000001E-2</v>
      </c>
      <c r="R50" s="178">
        <f t="shared" si="34"/>
        <v>0.39128492402250786</v>
      </c>
      <c r="S50" s="178">
        <f t="shared" si="8"/>
        <v>79.751888486662025</v>
      </c>
      <c r="T50" s="182">
        <f t="shared" si="9"/>
        <v>4.5086693298054961</v>
      </c>
      <c r="U50" s="1"/>
      <c r="V50" s="61">
        <f t="shared" si="45"/>
        <v>242.67989928090532</v>
      </c>
      <c r="W50" s="61">
        <f t="shared" si="46"/>
        <v>303.3498741011316</v>
      </c>
      <c r="X50" s="61">
        <f t="shared" si="47"/>
        <v>17.18405186533009</v>
      </c>
      <c r="Y50" s="62">
        <f t="shared" si="13"/>
        <v>0.85</v>
      </c>
      <c r="Z50" s="54">
        <v>2.5000000000000001E-2</v>
      </c>
      <c r="AA50" s="54">
        <f t="shared" si="14"/>
        <v>2.5000000000000001E-2</v>
      </c>
      <c r="AB50" s="178">
        <f t="shared" si="35"/>
        <v>0.39128492402250786</v>
      </c>
      <c r="AC50" s="178">
        <f t="shared" si="15"/>
        <v>118.69623243989861</v>
      </c>
      <c r="AD50" s="182">
        <f t="shared" si="16"/>
        <v>6.7238604285245192</v>
      </c>
      <c r="AE50" s="1"/>
      <c r="AF50" s="61">
        <f t="shared" si="48"/>
        <v>79.143177390251239</v>
      </c>
      <c r="AG50" s="61">
        <f t="shared" si="49"/>
        <v>98.928971737814067</v>
      </c>
      <c r="AH50" s="61">
        <f t="shared" si="50"/>
        <v>5.5575010973448027</v>
      </c>
      <c r="AI50" s="62">
        <f t="shared" si="20"/>
        <v>0.85</v>
      </c>
      <c r="AJ50" s="54">
        <v>2.5000000000000001E-2</v>
      </c>
      <c r="AK50" s="54">
        <f t="shared" si="21"/>
        <v>2.5000000000000001E-2</v>
      </c>
      <c r="AL50" s="178">
        <f t="shared" si="36"/>
        <v>0.39128492402250786</v>
      </c>
      <c r="AM50" s="178">
        <f t="shared" si="22"/>
        <v>38.709415190055402</v>
      </c>
      <c r="AN50" s="182">
        <f t="shared" si="23"/>
        <v>2.174566394629565</v>
      </c>
      <c r="AO50" s="1"/>
      <c r="AP50" s="61">
        <f t="shared" si="40"/>
        <v>87.33395084723756</v>
      </c>
      <c r="AQ50" s="61">
        <f t="shared" si="38"/>
        <v>109.1674385590469</v>
      </c>
      <c r="AR50" s="61">
        <f t="shared" si="39"/>
        <v>6.5263142616821517</v>
      </c>
      <c r="AS50" s="62">
        <f t="shared" si="27"/>
        <v>0.85</v>
      </c>
      <c r="AT50" s="54">
        <v>2.5000000000000001E-2</v>
      </c>
      <c r="AU50" s="54">
        <f t="shared" si="28"/>
        <v>2.5000000000000001E-2</v>
      </c>
      <c r="AV50" s="178">
        <f t="shared" si="37"/>
        <v>0.39128492402250786</v>
      </c>
      <c r="AW50" s="178">
        <f t="shared" si="29"/>
        <v>42.715572902308459</v>
      </c>
      <c r="AX50" s="182">
        <f t="shared" si="30"/>
        <v>2.5536483800293102</v>
      </c>
      <c r="AY50" s="1"/>
      <c r="AZ50" s="1"/>
      <c r="BA50" s="1"/>
      <c r="BB50" s="1"/>
      <c r="BC50" s="1"/>
      <c r="BD50" s="1"/>
      <c r="BE50" s="1"/>
      <c r="BF50" s="1"/>
      <c r="BG50" s="1"/>
      <c r="BH50" s="1"/>
      <c r="BI50" s="1"/>
    </row>
    <row r="51" spans="1:61">
      <c r="A51" s="47">
        <f t="shared" si="31"/>
        <v>2051</v>
      </c>
      <c r="B51" s="62">
        <f t="shared" si="53"/>
        <v>114.79669384630196</v>
      </c>
      <c r="C51" s="62">
        <f t="shared" si="53"/>
        <v>143.49586730787746</v>
      </c>
      <c r="D51" s="62">
        <f t="shared" si="54"/>
        <v>8.0893163261410734</v>
      </c>
      <c r="E51" s="62">
        <f t="shared" si="55"/>
        <v>0.85</v>
      </c>
      <c r="F51" s="54">
        <v>2.5000000000000001E-2</v>
      </c>
      <c r="G51" s="54">
        <f t="shared" si="56"/>
        <v>2.5000000000000001E-2</v>
      </c>
      <c r="H51" s="178">
        <f t="shared" si="33"/>
        <v>0.38174138929025159</v>
      </c>
      <c r="I51" s="178">
        <f t="shared" si="1"/>
        <v>54.778311743518735</v>
      </c>
      <c r="J51" s="182">
        <f t="shared" si="2"/>
        <v>3.0880268527494072</v>
      </c>
      <c r="K51" s="1"/>
      <c r="L51" s="61">
        <f t="shared" si="41"/>
        <v>168.30216459413566</v>
      </c>
      <c r="M51" s="61">
        <f t="shared" si="42"/>
        <v>210.37770574266938</v>
      </c>
      <c r="N51" s="61">
        <f t="shared" si="43"/>
        <v>11.892868228175411</v>
      </c>
      <c r="O51" s="62">
        <f t="shared" si="44"/>
        <v>0.85</v>
      </c>
      <c r="P51" s="54">
        <v>2.5000000000000001E-2</v>
      </c>
      <c r="Q51" s="54">
        <f t="shared" si="7"/>
        <v>2.5000000000000001E-2</v>
      </c>
      <c r="R51" s="178">
        <f t="shared" si="34"/>
        <v>0.38174138929025159</v>
      </c>
      <c r="S51" s="178">
        <f t="shared" si="8"/>
        <v>80.309877665902349</v>
      </c>
      <c r="T51" s="182">
        <f t="shared" si="9"/>
        <v>4.5400000400695744</v>
      </c>
      <c r="U51" s="1"/>
      <c r="V51" s="61">
        <f t="shared" si="45"/>
        <v>252.7602156214374</v>
      </c>
      <c r="W51" s="61">
        <f t="shared" si="46"/>
        <v>315.95026952679666</v>
      </c>
      <c r="X51" s="61">
        <f t="shared" si="47"/>
        <v>17.896873819488555</v>
      </c>
      <c r="Y51" s="62">
        <f t="shared" si="13"/>
        <v>0.85</v>
      </c>
      <c r="Z51" s="54">
        <v>2.5000000000000001E-2</v>
      </c>
      <c r="AA51" s="54">
        <f t="shared" si="14"/>
        <v>2.5000000000000001E-2</v>
      </c>
      <c r="AB51" s="178">
        <f t="shared" si="35"/>
        <v>0.38174138929025159</v>
      </c>
      <c r="AC51" s="178">
        <f t="shared" si="15"/>
        <v>120.6112948357888</v>
      </c>
      <c r="AD51" s="182">
        <f t="shared" si="16"/>
        <v>6.8319774758038925</v>
      </c>
      <c r="AE51" s="1"/>
      <c r="AF51" s="61">
        <f t="shared" si="48"/>
        <v>80.755949091502387</v>
      </c>
      <c r="AG51" s="61">
        <f t="shared" si="49"/>
        <v>100.94493636437801</v>
      </c>
      <c r="AH51" s="61">
        <f t="shared" si="50"/>
        <v>5.6714389790831934</v>
      </c>
      <c r="AI51" s="62">
        <f t="shared" si="20"/>
        <v>0.85</v>
      </c>
      <c r="AJ51" s="54">
        <v>2.5000000000000001E-2</v>
      </c>
      <c r="AK51" s="54">
        <f t="shared" si="21"/>
        <v>2.5000000000000001E-2</v>
      </c>
      <c r="AL51" s="178">
        <f t="shared" si="36"/>
        <v>0.38174138929025159</v>
      </c>
      <c r="AM51" s="178">
        <f t="shared" si="22"/>
        <v>38.534860249553702</v>
      </c>
      <c r="AN51" s="182">
        <f t="shared" si="23"/>
        <v>2.1650229951501045</v>
      </c>
      <c r="AO51" s="1"/>
      <c r="AP51" s="61">
        <f t="shared" si="40"/>
        <v>89.517299618418491</v>
      </c>
      <c r="AQ51" s="61">
        <f t="shared" si="38"/>
        <v>111.89662452302306</v>
      </c>
      <c r="AR51" s="61">
        <f t="shared" si="39"/>
        <v>6.689472118224205</v>
      </c>
      <c r="AS51" s="62">
        <f t="shared" si="27"/>
        <v>0.85</v>
      </c>
      <c r="AT51" s="54">
        <v>2.5000000000000001E-2</v>
      </c>
      <c r="AU51" s="54">
        <f t="shared" si="28"/>
        <v>2.5000000000000001E-2</v>
      </c>
      <c r="AV51" s="178">
        <f t="shared" si="37"/>
        <v>0.38174138929025159</v>
      </c>
      <c r="AW51" s="178">
        <f t="shared" si="29"/>
        <v>42.715572902308459</v>
      </c>
      <c r="AX51" s="182">
        <f t="shared" si="30"/>
        <v>2.5536483800293102</v>
      </c>
      <c r="AY51" s="1"/>
      <c r="AZ51" s="1"/>
      <c r="BA51" s="1"/>
      <c r="BB51" s="1"/>
      <c r="BC51" s="1"/>
      <c r="BD51" s="1"/>
      <c r="BE51" s="1"/>
      <c r="BF51" s="1"/>
      <c r="BG51" s="1"/>
      <c r="BH51" s="1"/>
      <c r="BI51" s="1"/>
    </row>
    <row r="52" spans="1:61">
      <c r="A52" s="47">
        <f t="shared" si="31"/>
        <v>2052</v>
      </c>
      <c r="B52" s="62">
        <f t="shared" si="53"/>
        <v>117.6666111924595</v>
      </c>
      <c r="C52" s="62">
        <f t="shared" si="53"/>
        <v>147.08326399057438</v>
      </c>
      <c r="D52" s="62">
        <f t="shared" si="54"/>
        <v>8.2915492342945996</v>
      </c>
      <c r="E52" s="62">
        <f t="shared" si="55"/>
        <v>0.85</v>
      </c>
      <c r="F52" s="54">
        <v>2.5000000000000001E-2</v>
      </c>
      <c r="G52" s="54">
        <f t="shared" si="56"/>
        <v>2.5000000000000001E-2</v>
      </c>
      <c r="H52" s="178">
        <f t="shared" si="33"/>
        <v>0.37243062369780644</v>
      </c>
      <c r="I52" s="178">
        <f t="shared" si="1"/>
        <v>54.778311743518728</v>
      </c>
      <c r="J52" s="182">
        <f t="shared" si="2"/>
        <v>3.0880268527494072</v>
      </c>
      <c r="K52" s="1"/>
      <c r="L52" s="61">
        <f t="shared" si="41"/>
        <v>173.69661440920521</v>
      </c>
      <c r="M52" s="61">
        <f t="shared" si="42"/>
        <v>217.12076801150633</v>
      </c>
      <c r="N52" s="61">
        <f t="shared" si="43"/>
        <v>12.273494159751568</v>
      </c>
      <c r="O52" s="62">
        <f t="shared" si="44"/>
        <v>0.85</v>
      </c>
      <c r="P52" s="54">
        <v>2.5000000000000001E-2</v>
      </c>
      <c r="Q52" s="54">
        <f t="shared" si="7"/>
        <v>2.5000000000000001E-2</v>
      </c>
      <c r="R52" s="178">
        <f t="shared" si="34"/>
        <v>0.37243062369780644</v>
      </c>
      <c r="S52" s="178">
        <f t="shared" si="8"/>
        <v>80.862423048272049</v>
      </c>
      <c r="T52" s="182">
        <f t="shared" si="9"/>
        <v>4.571025084867661</v>
      </c>
      <c r="U52" s="1"/>
      <c r="V52" s="61">
        <f t="shared" si="45"/>
        <v>263.21293943623806</v>
      </c>
      <c r="W52" s="61">
        <f t="shared" si="46"/>
        <v>329.0161742952975</v>
      </c>
      <c r="X52" s="61">
        <f t="shared" si="47"/>
        <v>18.636012942226738</v>
      </c>
      <c r="Y52" s="62">
        <f t="shared" si="13"/>
        <v>0.85</v>
      </c>
      <c r="Z52" s="54">
        <v>2.5000000000000001E-2</v>
      </c>
      <c r="AA52" s="54">
        <f t="shared" si="14"/>
        <v>2.5000000000000001E-2</v>
      </c>
      <c r="AB52" s="178">
        <f t="shared" si="35"/>
        <v>0.37243062369780644</v>
      </c>
      <c r="AC52" s="178">
        <f t="shared" si="15"/>
        <v>122.53569899946385</v>
      </c>
      <c r="AD52" s="182">
        <f t="shared" si="16"/>
        <v>6.9406219233138975</v>
      </c>
      <c r="AE52" s="1"/>
      <c r="AF52" s="61">
        <f t="shared" si="48"/>
        <v>82.414527201287385</v>
      </c>
      <c r="AG52" s="61">
        <f t="shared" si="49"/>
        <v>103.01815900160926</v>
      </c>
      <c r="AH52" s="61">
        <f t="shared" si="50"/>
        <v>5.7886003025504715</v>
      </c>
      <c r="AI52" s="62">
        <f t="shared" si="20"/>
        <v>0.85</v>
      </c>
      <c r="AJ52" s="54">
        <v>2.5000000000000001E-2</v>
      </c>
      <c r="AK52" s="54">
        <f t="shared" si="21"/>
        <v>2.5000000000000001E-2</v>
      </c>
      <c r="AL52" s="178">
        <f t="shared" si="36"/>
        <v>0.37243062369780644</v>
      </c>
      <c r="AM52" s="178">
        <f t="shared" si="22"/>
        <v>38.36711720916913</v>
      </c>
      <c r="AN52" s="182">
        <f t="shared" si="23"/>
        <v>2.1558520210161833</v>
      </c>
      <c r="AO52" s="1"/>
      <c r="AP52" s="61">
        <f t="shared" si="40"/>
        <v>91.755232108878943</v>
      </c>
      <c r="AQ52" s="61">
        <f t="shared" si="38"/>
        <v>114.69404013609864</v>
      </c>
      <c r="AR52" s="61">
        <f t="shared" si="39"/>
        <v>6.8567089211798091</v>
      </c>
      <c r="AS52" s="62">
        <f t="shared" si="27"/>
        <v>0.85</v>
      </c>
      <c r="AT52" s="54">
        <v>2.5000000000000001E-2</v>
      </c>
      <c r="AU52" s="54">
        <f t="shared" si="28"/>
        <v>2.5000000000000001E-2</v>
      </c>
      <c r="AV52" s="178">
        <f t="shared" si="37"/>
        <v>0.37243062369780644</v>
      </c>
      <c r="AW52" s="178">
        <f t="shared" si="29"/>
        <v>42.715572902308459</v>
      </c>
      <c r="AX52" s="182">
        <f t="shared" si="30"/>
        <v>2.5536483800293097</v>
      </c>
      <c r="AY52" s="1"/>
      <c r="AZ52" s="1"/>
      <c r="BA52" s="1"/>
      <c r="BB52" s="1"/>
      <c r="BC52" s="1"/>
      <c r="BD52" s="1"/>
      <c r="BE52" s="1"/>
      <c r="BF52" s="1"/>
      <c r="BG52" s="1"/>
      <c r="BH52" s="1"/>
      <c r="BI52" s="1"/>
    </row>
    <row r="53" spans="1:61">
      <c r="A53" s="47">
        <f t="shared" si="31"/>
        <v>2053</v>
      </c>
      <c r="B53" s="62">
        <f t="shared" si="53"/>
        <v>120.60827647227097</v>
      </c>
      <c r="C53" s="62">
        <f t="shared" si="53"/>
        <v>150.76034559033872</v>
      </c>
      <c r="D53" s="62">
        <f t="shared" si="54"/>
        <v>8.4988379651519637</v>
      </c>
      <c r="E53" s="62">
        <f t="shared" si="55"/>
        <v>0.85</v>
      </c>
      <c r="F53" s="54">
        <v>2.5000000000000001E-2</v>
      </c>
      <c r="G53" s="54">
        <f t="shared" si="56"/>
        <v>2.5000000000000001E-2</v>
      </c>
      <c r="H53" s="178">
        <f t="shared" si="33"/>
        <v>0.36334694994907951</v>
      </c>
      <c r="I53" s="178">
        <f t="shared" si="1"/>
        <v>54.778311743518728</v>
      </c>
      <c r="J53" s="182">
        <f t="shared" si="2"/>
        <v>3.0880268527494072</v>
      </c>
      <c r="K53" s="1"/>
      <c r="L53" s="61">
        <f t="shared" si="41"/>
        <v>179.24372890515474</v>
      </c>
      <c r="M53" s="61">
        <f t="shared" si="42"/>
        <v>224.05466113144323</v>
      </c>
      <c r="N53" s="61">
        <f t="shared" si="43"/>
        <v>12.664885303005205</v>
      </c>
      <c r="O53" s="62">
        <f t="shared" si="44"/>
        <v>0.85</v>
      </c>
      <c r="P53" s="54">
        <v>2.5000000000000001E-2</v>
      </c>
      <c r="Q53" s="54">
        <f t="shared" si="7"/>
        <v>2.5000000000000001E-2</v>
      </c>
      <c r="R53" s="178">
        <f t="shared" si="34"/>
        <v>0.36334694994907951</v>
      </c>
      <c r="S53" s="178">
        <f t="shared" si="8"/>
        <v>81.409577743984471</v>
      </c>
      <c r="T53" s="182">
        <f t="shared" si="9"/>
        <v>4.6017474463018653</v>
      </c>
      <c r="U53" s="1"/>
      <c r="V53" s="61">
        <f t="shared" si="45"/>
        <v>274.05099289913665</v>
      </c>
      <c r="W53" s="61">
        <f t="shared" si="46"/>
        <v>342.56374112392075</v>
      </c>
      <c r="X53" s="61">
        <f t="shared" si="47"/>
        <v>19.402382061350906</v>
      </c>
      <c r="Y53" s="62">
        <f t="shared" si="13"/>
        <v>0.85</v>
      </c>
      <c r="Z53" s="54">
        <v>2.5000000000000001E-2</v>
      </c>
      <c r="AA53" s="54">
        <f t="shared" si="14"/>
        <v>2.5000000000000001E-2</v>
      </c>
      <c r="AB53" s="178">
        <f t="shared" si="35"/>
        <v>0.36334694994907951</v>
      </c>
      <c r="AC53" s="178">
        <f t="shared" si="15"/>
        <v>124.46949050052267</v>
      </c>
      <c r="AD53" s="182">
        <f t="shared" si="16"/>
        <v>7.0497963437385858</v>
      </c>
      <c r="AE53" s="1"/>
      <c r="AF53" s="61">
        <f t="shared" si="48"/>
        <v>84.119974573079546</v>
      </c>
      <c r="AG53" s="61">
        <f t="shared" si="49"/>
        <v>105.14996821634946</v>
      </c>
      <c r="AH53" s="61">
        <f t="shared" si="50"/>
        <v>5.909060028869578</v>
      </c>
      <c r="AI53" s="62">
        <f t="shared" si="20"/>
        <v>0.85</v>
      </c>
      <c r="AJ53" s="54">
        <v>2.5000000000000001E-2</v>
      </c>
      <c r="AK53" s="54">
        <f t="shared" si="21"/>
        <v>2.5000000000000001E-2</v>
      </c>
      <c r="AL53" s="178">
        <f t="shared" si="36"/>
        <v>0.36334694994907951</v>
      </c>
      <c r="AM53" s="178">
        <f t="shared" si="22"/>
        <v>38.205920238653228</v>
      </c>
      <c r="AN53" s="182">
        <f t="shared" si="23"/>
        <v>2.1470389385557809</v>
      </c>
      <c r="AO53" s="1"/>
      <c r="AP53" s="61">
        <f t="shared" si="40"/>
        <v>94.049112911600915</v>
      </c>
      <c r="AQ53" s="61">
        <f t="shared" si="38"/>
        <v>117.5613911395011</v>
      </c>
      <c r="AR53" s="61">
        <f t="shared" si="39"/>
        <v>7.028126644209304</v>
      </c>
      <c r="AS53" s="62">
        <f t="shared" si="27"/>
        <v>0.85</v>
      </c>
      <c r="AT53" s="54">
        <v>2.5000000000000001E-2</v>
      </c>
      <c r="AU53" s="54">
        <f t="shared" si="28"/>
        <v>2.5000000000000001E-2</v>
      </c>
      <c r="AV53" s="178">
        <f t="shared" si="37"/>
        <v>0.36334694994907951</v>
      </c>
      <c r="AW53" s="178">
        <f t="shared" si="29"/>
        <v>42.715572902308466</v>
      </c>
      <c r="AX53" s="182">
        <f t="shared" si="30"/>
        <v>2.5536483800293102</v>
      </c>
      <c r="AY53" s="1"/>
      <c r="AZ53" s="1"/>
      <c r="BA53" s="1"/>
      <c r="BB53" s="1"/>
      <c r="BC53" s="1"/>
      <c r="BD53" s="1"/>
      <c r="BE53" s="1"/>
      <c r="BF53" s="1"/>
      <c r="BG53" s="1"/>
      <c r="BH53" s="1"/>
      <c r="BI53" s="1"/>
    </row>
    <row r="54" spans="1:61">
      <c r="A54" s="47">
        <f t="shared" si="31"/>
        <v>2054</v>
      </c>
      <c r="B54" s="62">
        <f t="shared" si="53"/>
        <v>123.62348338407773</v>
      </c>
      <c r="C54" s="62">
        <f t="shared" si="53"/>
        <v>154.52935423009717</v>
      </c>
      <c r="D54" s="62">
        <f t="shared" si="54"/>
        <v>8.711308914280762</v>
      </c>
      <c r="E54" s="62">
        <f t="shared" si="55"/>
        <v>0.85</v>
      </c>
      <c r="F54" s="54">
        <v>2.5000000000000001E-2</v>
      </c>
      <c r="G54" s="54">
        <f t="shared" si="56"/>
        <v>2.5000000000000001E-2</v>
      </c>
      <c r="H54" s="178">
        <f t="shared" si="33"/>
        <v>0.35448482921861418</v>
      </c>
      <c r="I54" s="178">
        <f t="shared" si="1"/>
        <v>54.778311743518728</v>
      </c>
      <c r="J54" s="182">
        <f t="shared" si="2"/>
        <v>3.0880268527494072</v>
      </c>
      <c r="K54" s="1"/>
      <c r="L54" s="61">
        <f t="shared" si="41"/>
        <v>184.94759175053881</v>
      </c>
      <c r="M54" s="61">
        <f t="shared" si="42"/>
        <v>231.1844896881733</v>
      </c>
      <c r="N54" s="61">
        <f t="shared" si="43"/>
        <v>13.06732953167908</v>
      </c>
      <c r="O54" s="62">
        <f t="shared" si="44"/>
        <v>0.85</v>
      </c>
      <c r="P54" s="54">
        <v>2.5000000000000001E-2</v>
      </c>
      <c r="Q54" s="54">
        <f t="shared" si="7"/>
        <v>2.5000000000000001E-2</v>
      </c>
      <c r="R54" s="178">
        <f t="shared" si="34"/>
        <v>0.35448482921861418</v>
      </c>
      <c r="S54" s="178">
        <f t="shared" si="8"/>
        <v>81.951394345104589</v>
      </c>
      <c r="T54" s="182">
        <f t="shared" si="9"/>
        <v>4.6321700773806125</v>
      </c>
      <c r="U54" s="1"/>
      <c r="V54" s="61">
        <f t="shared" si="45"/>
        <v>285.28772959791752</v>
      </c>
      <c r="W54" s="61">
        <f t="shared" si="46"/>
        <v>356.60966199739681</v>
      </c>
      <c r="X54" s="61">
        <f t="shared" si="47"/>
        <v>20.196924472320234</v>
      </c>
      <c r="Y54" s="62">
        <f t="shared" si="13"/>
        <v>0.85</v>
      </c>
      <c r="Z54" s="54">
        <v>2.5000000000000001E-2</v>
      </c>
      <c r="AA54" s="54">
        <f t="shared" si="14"/>
        <v>2.5000000000000001E-2</v>
      </c>
      <c r="AB54" s="178">
        <f t="shared" si="35"/>
        <v>0.35448482921861418</v>
      </c>
      <c r="AC54" s="178">
        <f t="shared" si="15"/>
        <v>126.41271513085493</v>
      </c>
      <c r="AD54" s="182">
        <f t="shared" si="16"/>
        <v>7.1595033223116875</v>
      </c>
      <c r="AE54" s="1"/>
      <c r="AF54" s="61">
        <f t="shared" si="48"/>
        <v>85.873381866290103</v>
      </c>
      <c r="AG54" s="61">
        <f t="shared" si="49"/>
        <v>107.34172733286267</v>
      </c>
      <c r="AH54" s="61">
        <f t="shared" si="50"/>
        <v>6.0328950775653327</v>
      </c>
      <c r="AI54" s="62">
        <f t="shared" si="20"/>
        <v>0.85</v>
      </c>
      <c r="AJ54" s="54">
        <v>2.5000000000000001E-2</v>
      </c>
      <c r="AK54" s="54">
        <f t="shared" si="21"/>
        <v>2.5000000000000001E-2</v>
      </c>
      <c r="AL54" s="178">
        <f t="shared" si="36"/>
        <v>0.35448482921861418</v>
      </c>
      <c r="AM54" s="178">
        <f t="shared" si="22"/>
        <v>38.051013881620875</v>
      </c>
      <c r="AN54" s="182">
        <f t="shared" si="23"/>
        <v>2.138569781264565</v>
      </c>
      <c r="AO54" s="1"/>
      <c r="AP54" s="61">
        <f t="shared" si="40"/>
        <v>96.400340734390923</v>
      </c>
      <c r="AQ54" s="61">
        <f t="shared" si="38"/>
        <v>120.50042591798861</v>
      </c>
      <c r="AR54" s="61">
        <f t="shared" si="39"/>
        <v>7.2038298103145362</v>
      </c>
      <c r="AS54" s="62">
        <f t="shared" si="27"/>
        <v>0.85</v>
      </c>
      <c r="AT54" s="54">
        <v>2.5000000000000001E-2</v>
      </c>
      <c r="AU54" s="54">
        <f t="shared" si="28"/>
        <v>2.5000000000000001E-2</v>
      </c>
      <c r="AV54" s="178">
        <f t="shared" si="37"/>
        <v>0.35448482921861418</v>
      </c>
      <c r="AW54" s="178">
        <f t="shared" si="29"/>
        <v>42.715572902308459</v>
      </c>
      <c r="AX54" s="182">
        <f t="shared" si="30"/>
        <v>2.5536483800293102</v>
      </c>
      <c r="AY54" s="1"/>
      <c r="AZ54" s="1"/>
      <c r="BA54" s="1"/>
      <c r="BB54" s="1"/>
      <c r="BC54" s="1"/>
      <c r="BD54" s="1"/>
      <c r="BE54" s="1"/>
      <c r="BF54" s="1"/>
      <c r="BG54" s="1"/>
      <c r="BH54" s="1"/>
      <c r="BI54" s="1"/>
    </row>
    <row r="55" spans="1:61">
      <c r="A55" s="47">
        <f t="shared" si="31"/>
        <v>2055</v>
      </c>
      <c r="B55" s="62">
        <f t="shared" si="53"/>
        <v>126.71407046867967</v>
      </c>
      <c r="C55" s="62">
        <f t="shared" si="53"/>
        <v>158.39258808584958</v>
      </c>
      <c r="D55" s="62">
        <f t="shared" si="54"/>
        <v>8.9290916371377804</v>
      </c>
      <c r="E55" s="62">
        <f t="shared" si="55"/>
        <v>0.85</v>
      </c>
      <c r="F55" s="54">
        <v>2.5000000000000001E-2</v>
      </c>
      <c r="G55" s="54">
        <f t="shared" si="56"/>
        <v>2.5000000000000001E-2</v>
      </c>
      <c r="H55" s="178">
        <f t="shared" si="33"/>
        <v>0.34583885777425777</v>
      </c>
      <c r="I55" s="178">
        <f t="shared" si="1"/>
        <v>54.778311743518728</v>
      </c>
      <c r="J55" s="182">
        <f t="shared" si="2"/>
        <v>3.0880268527494072</v>
      </c>
      <c r="K55" s="1"/>
      <c r="L55" s="61">
        <f t="shared" si="41"/>
        <v>190.81239271139881</v>
      </c>
      <c r="M55" s="61">
        <f t="shared" si="42"/>
        <v>238.5154908892483</v>
      </c>
      <c r="N55" s="61">
        <f t="shared" si="43"/>
        <v>13.481122197511283</v>
      </c>
      <c r="O55" s="62">
        <f t="shared" si="44"/>
        <v>0.85</v>
      </c>
      <c r="P55" s="54">
        <v>2.5000000000000001E-2</v>
      </c>
      <c r="Q55" s="54">
        <f t="shared" si="7"/>
        <v>2.5000000000000001E-2</v>
      </c>
      <c r="R55" s="178">
        <f t="shared" si="34"/>
        <v>0.34583885777425777</v>
      </c>
      <c r="S55" s="178">
        <f t="shared" si="8"/>
        <v>82.487924930604024</v>
      </c>
      <c r="T55" s="182">
        <f t="shared" si="9"/>
        <v>4.6622959023024944</v>
      </c>
      <c r="U55" s="1"/>
      <c r="V55" s="61">
        <f t="shared" si="45"/>
        <v>296.93694857045693</v>
      </c>
      <c r="W55" s="61">
        <f t="shared" si="46"/>
        <v>371.17118571307111</v>
      </c>
      <c r="X55" s="61">
        <f t="shared" si="47"/>
        <v>21.020614929346863</v>
      </c>
      <c r="Y55" s="62">
        <f t="shared" si="13"/>
        <v>0.85</v>
      </c>
      <c r="Z55" s="54">
        <v>2.5000000000000001E-2</v>
      </c>
      <c r="AA55" s="54">
        <f t="shared" si="14"/>
        <v>2.5000000000000001E-2</v>
      </c>
      <c r="AB55" s="178">
        <f t="shared" si="35"/>
        <v>0.34583885777425777</v>
      </c>
      <c r="AC55" s="178">
        <f t="shared" si="15"/>
        <v>128.36541890572542</v>
      </c>
      <c r="AD55" s="182">
        <f t="shared" si="16"/>
        <v>7.2697454568778292</v>
      </c>
      <c r="AE55" s="1"/>
      <c r="AF55" s="61">
        <f t="shared" si="48"/>
        <v>87.675868222897691</v>
      </c>
      <c r="AG55" s="61">
        <f t="shared" si="49"/>
        <v>109.59483527862214</v>
      </c>
      <c r="AH55" s="61">
        <f t="shared" si="50"/>
        <v>6.1601843742588711</v>
      </c>
      <c r="AI55" s="62">
        <f t="shared" si="20"/>
        <v>0.85</v>
      </c>
      <c r="AJ55" s="54">
        <v>2.5000000000000001E-2</v>
      </c>
      <c r="AK55" s="54">
        <f t="shared" si="21"/>
        <v>2.5000000000000001E-2</v>
      </c>
      <c r="AL55" s="178">
        <f t="shared" si="36"/>
        <v>0.34583885777425777</v>
      </c>
      <c r="AM55" s="178">
        <f t="shared" si="22"/>
        <v>37.902152650716609</v>
      </c>
      <c r="AN55" s="182">
        <f t="shared" si="23"/>
        <v>2.130431127672519</v>
      </c>
      <c r="AO55" s="1"/>
      <c r="AP55" s="61">
        <f t="shared" si="40"/>
        <v>98.810349252750683</v>
      </c>
      <c r="AQ55" s="61">
        <f t="shared" si="38"/>
        <v>123.51293656593832</v>
      </c>
      <c r="AR55" s="61">
        <f t="shared" si="39"/>
        <v>7.3839255555723993</v>
      </c>
      <c r="AS55" s="62">
        <f t="shared" si="27"/>
        <v>0.85</v>
      </c>
      <c r="AT55" s="54">
        <v>2.5000000000000001E-2</v>
      </c>
      <c r="AU55" s="54">
        <f t="shared" si="28"/>
        <v>2.5000000000000001E-2</v>
      </c>
      <c r="AV55" s="178">
        <f t="shared" si="37"/>
        <v>0.34583885777425777</v>
      </c>
      <c r="AW55" s="178">
        <f t="shared" si="29"/>
        <v>42.715572902308466</v>
      </c>
      <c r="AX55" s="182">
        <f t="shared" si="30"/>
        <v>2.5536483800293102</v>
      </c>
      <c r="AY55" s="1"/>
      <c r="AZ55" s="1"/>
      <c r="BA55" s="1"/>
      <c r="BB55" s="1"/>
      <c r="BC55" s="1"/>
      <c r="BD55" s="1"/>
      <c r="BE55" s="1"/>
      <c r="BF55" s="1"/>
      <c r="BG55" s="1"/>
      <c r="BH55" s="1"/>
      <c r="BI55" s="1"/>
    </row>
    <row r="56" spans="1:61">
      <c r="A56" s="47">
        <f t="shared" si="31"/>
        <v>2056</v>
      </c>
      <c r="B56" s="62">
        <f t="shared" si="53"/>
        <v>129.88192223039664</v>
      </c>
      <c r="C56" s="62">
        <f t="shared" si="53"/>
        <v>162.3524027879958</v>
      </c>
      <c r="D56" s="62">
        <f t="shared" si="54"/>
        <v>9.152318928066224</v>
      </c>
      <c r="E56" s="62">
        <f t="shared" si="55"/>
        <v>0.85</v>
      </c>
      <c r="F56" s="54">
        <v>2.5000000000000001E-2</v>
      </c>
      <c r="G56" s="54">
        <f t="shared" si="56"/>
        <v>2.5000000000000001E-2</v>
      </c>
      <c r="H56" s="178">
        <f t="shared" si="33"/>
        <v>0.33740376368220271</v>
      </c>
      <c r="I56" s="178">
        <f t="shared" si="1"/>
        <v>54.778311743518721</v>
      </c>
      <c r="J56" s="182">
        <f t="shared" si="2"/>
        <v>3.0880268527494072</v>
      </c>
      <c r="K56" s="1"/>
      <c r="L56" s="61">
        <f t="shared" si="41"/>
        <v>196.84243036378675</v>
      </c>
      <c r="M56" s="61">
        <f t="shared" si="42"/>
        <v>246.05303795473321</v>
      </c>
      <c r="N56" s="61">
        <f t="shared" si="43"/>
        <v>13.906566321402394</v>
      </c>
      <c r="O56" s="62">
        <f t="shared" si="44"/>
        <v>0.85</v>
      </c>
      <c r="P56" s="54">
        <v>2.5000000000000001E-2</v>
      </c>
      <c r="Q56" s="54">
        <f t="shared" si="7"/>
        <v>2.5000000000000001E-2</v>
      </c>
      <c r="R56" s="178">
        <f t="shared" si="34"/>
        <v>0.33740376368220271</v>
      </c>
      <c r="S56" s="178">
        <f t="shared" si="8"/>
        <v>83.019221071366857</v>
      </c>
      <c r="T56" s="182">
        <f t="shared" si="9"/>
        <v>4.6921278167373321</v>
      </c>
      <c r="U56" s="1"/>
      <c r="V56" s="61">
        <f t="shared" si="45"/>
        <v>309.01290878928762</v>
      </c>
      <c r="W56" s="61">
        <f t="shared" si="46"/>
        <v>386.26613598660947</v>
      </c>
      <c r="X56" s="61">
        <f t="shared" si="47"/>
        <v>21.874460668155713</v>
      </c>
      <c r="Y56" s="62">
        <f t="shared" si="13"/>
        <v>0.85</v>
      </c>
      <c r="Z56" s="54">
        <v>2.5000000000000001E-2</v>
      </c>
      <c r="AA56" s="54">
        <f t="shared" si="14"/>
        <v>2.5000000000000001E-2</v>
      </c>
      <c r="AB56" s="178">
        <f t="shared" si="35"/>
        <v>0.33740376368220271</v>
      </c>
      <c r="AC56" s="178">
        <f t="shared" si="15"/>
        <v>130.32764806486355</v>
      </c>
      <c r="AD56" s="182">
        <f t="shared" si="16"/>
        <v>7.3805253579540482</v>
      </c>
      <c r="AE56" s="1"/>
      <c r="AF56" s="61">
        <f t="shared" si="48"/>
        <v>89.5285819612712</v>
      </c>
      <c r="AG56" s="61">
        <f t="shared" si="49"/>
        <v>111.91072745158903</v>
      </c>
      <c r="AH56" s="61">
        <f t="shared" si="50"/>
        <v>6.2910088995734315</v>
      </c>
      <c r="AI56" s="62">
        <f t="shared" si="20"/>
        <v>0.85</v>
      </c>
      <c r="AJ56" s="54">
        <v>2.5000000000000001E-2</v>
      </c>
      <c r="AK56" s="54">
        <f t="shared" si="21"/>
        <v>2.5000000000000001E-2</v>
      </c>
      <c r="AL56" s="178">
        <f t="shared" si="36"/>
        <v>0.33740376368220271</v>
      </c>
      <c r="AM56" s="178">
        <f t="shared" si="22"/>
        <v>37.759100638579341</v>
      </c>
      <c r="AN56" s="182">
        <f t="shared" si="23"/>
        <v>2.122610080074308</v>
      </c>
      <c r="AO56" s="1"/>
      <c r="AP56" s="61">
        <f t="shared" si="40"/>
        <v>101.28060798406945</v>
      </c>
      <c r="AQ56" s="61">
        <f t="shared" si="38"/>
        <v>126.60075998008676</v>
      </c>
      <c r="AR56" s="61">
        <f t="shared" si="39"/>
        <v>7.5685236944617085</v>
      </c>
      <c r="AS56" s="62">
        <f t="shared" si="27"/>
        <v>0.85</v>
      </c>
      <c r="AT56" s="54">
        <v>2.5000000000000001E-2</v>
      </c>
      <c r="AU56" s="54">
        <f t="shared" si="28"/>
        <v>2.5000000000000001E-2</v>
      </c>
      <c r="AV56" s="178">
        <f t="shared" si="37"/>
        <v>0.33740376368220271</v>
      </c>
      <c r="AW56" s="178">
        <f t="shared" si="29"/>
        <v>42.715572902308459</v>
      </c>
      <c r="AX56" s="182">
        <f t="shared" si="30"/>
        <v>2.5536483800293102</v>
      </c>
      <c r="AY56" s="1"/>
      <c r="AZ56" s="1"/>
      <c r="BA56" s="1"/>
      <c r="BB56" s="1"/>
      <c r="BC56" s="1"/>
      <c r="BD56" s="1"/>
      <c r="BE56" s="1"/>
      <c r="BF56" s="1"/>
      <c r="BG56" s="1"/>
      <c r="BH56" s="1"/>
      <c r="BI56" s="1"/>
    </row>
    <row r="57" spans="1:61">
      <c r="A57" s="47">
        <f t="shared" si="31"/>
        <v>2057</v>
      </c>
      <c r="B57" s="62">
        <f t="shared" si="53"/>
        <v>133.12897028615654</v>
      </c>
      <c r="C57" s="62">
        <f t="shared" si="53"/>
        <v>166.41121285769569</v>
      </c>
      <c r="D57" s="62">
        <f t="shared" si="54"/>
        <v>9.3811269012678782</v>
      </c>
      <c r="E57" s="62">
        <f t="shared" si="55"/>
        <v>0.85</v>
      </c>
      <c r="F57" s="54">
        <v>2.5000000000000001E-2</v>
      </c>
      <c r="G57" s="54">
        <f t="shared" si="56"/>
        <v>2.5000000000000001E-2</v>
      </c>
      <c r="H57" s="178">
        <f t="shared" si="33"/>
        <v>0.32917440359239292</v>
      </c>
      <c r="I57" s="178">
        <f t="shared" si="1"/>
        <v>54.778311743518728</v>
      </c>
      <c r="J57" s="182">
        <f t="shared" si="2"/>
        <v>3.0880268527494068</v>
      </c>
      <c r="K57" s="1"/>
      <c r="L57" s="61">
        <f t="shared" si="41"/>
        <v>203.04211487500342</v>
      </c>
      <c r="M57" s="61">
        <f t="shared" si="42"/>
        <v>253.80264359375408</v>
      </c>
      <c r="N57" s="61">
        <f t="shared" si="43"/>
        <v>14.343972789425083</v>
      </c>
      <c r="O57" s="62">
        <f t="shared" si="44"/>
        <v>0.85</v>
      </c>
      <c r="P57" s="54">
        <v>2.5000000000000001E-2</v>
      </c>
      <c r="Q57" s="54">
        <f t="shared" si="7"/>
        <v>2.5000000000000001E-2</v>
      </c>
      <c r="R57" s="178">
        <f t="shared" si="34"/>
        <v>0.32917440359239292</v>
      </c>
      <c r="S57" s="178">
        <f t="shared" si="8"/>
        <v>83.545333835146664</v>
      </c>
      <c r="T57" s="182">
        <f t="shared" si="9"/>
        <v>4.721668688104514</v>
      </c>
      <c r="U57" s="1"/>
      <c r="V57" s="61">
        <f t="shared" si="45"/>
        <v>321.53034410872613</v>
      </c>
      <c r="W57" s="61">
        <f t="shared" si="46"/>
        <v>401.91293013590769</v>
      </c>
      <c r="X57" s="61">
        <f t="shared" si="47"/>
        <v>22.75950246140204</v>
      </c>
      <c r="Y57" s="62">
        <f t="shared" si="13"/>
        <v>0.85</v>
      </c>
      <c r="Z57" s="54">
        <v>2.5000000000000001E-2</v>
      </c>
      <c r="AA57" s="54">
        <f t="shared" si="14"/>
        <v>2.5000000000000001E-2</v>
      </c>
      <c r="AB57" s="178">
        <f t="shared" si="35"/>
        <v>0.32917440359239292</v>
      </c>
      <c r="AC57" s="178">
        <f t="shared" si="15"/>
        <v>132.29944907355849</v>
      </c>
      <c r="AD57" s="182">
        <f t="shared" si="16"/>
        <v>7.4918456487916147</v>
      </c>
      <c r="AE57" s="1"/>
      <c r="AF57" s="61">
        <f t="shared" si="48"/>
        <v>91.432701287612034</v>
      </c>
      <c r="AG57" s="61">
        <f t="shared" si="49"/>
        <v>114.29087660951508</v>
      </c>
      <c r="AH57" s="61">
        <f t="shared" si="50"/>
        <v>6.4254517392814838</v>
      </c>
      <c r="AI57" s="62">
        <f t="shared" si="20"/>
        <v>0.85</v>
      </c>
      <c r="AJ57" s="54">
        <v>2.5000000000000001E-2</v>
      </c>
      <c r="AK57" s="54">
        <f t="shared" si="21"/>
        <v>2.5000000000000001E-2</v>
      </c>
      <c r="AL57" s="178">
        <f t="shared" si="36"/>
        <v>0.32917440359239292</v>
      </c>
      <c r="AM57" s="178">
        <f t="shared" si="22"/>
        <v>37.6216311439889</v>
      </c>
      <c r="AN57" s="182">
        <f t="shared" si="23"/>
        <v>2.1150942440896863</v>
      </c>
      <c r="AO57" s="1"/>
      <c r="AP57" s="61">
        <f t="shared" si="40"/>
        <v>103.81262318367118</v>
      </c>
      <c r="AQ57" s="61">
        <f t="shared" si="38"/>
        <v>129.76577897958893</v>
      </c>
      <c r="AR57" s="61">
        <f t="shared" si="39"/>
        <v>7.7577367868232505</v>
      </c>
      <c r="AS57" s="62">
        <f t="shared" si="27"/>
        <v>0.85</v>
      </c>
      <c r="AT57" s="54">
        <v>2.5000000000000001E-2</v>
      </c>
      <c r="AU57" s="54">
        <f t="shared" si="28"/>
        <v>2.5000000000000001E-2</v>
      </c>
      <c r="AV57" s="178">
        <f t="shared" si="37"/>
        <v>0.32917440359239292</v>
      </c>
      <c r="AW57" s="178">
        <f t="shared" si="29"/>
        <v>42.715572902308466</v>
      </c>
      <c r="AX57" s="182">
        <f t="shared" si="30"/>
        <v>2.5536483800293102</v>
      </c>
      <c r="AY57" s="1"/>
      <c r="AZ57" s="1"/>
      <c r="BA57" s="1"/>
      <c r="BB57" s="1"/>
      <c r="BC57" s="1"/>
      <c r="BD57" s="1"/>
      <c r="BE57" s="1"/>
      <c r="BF57" s="1"/>
      <c r="BG57" s="1"/>
      <c r="BH57" s="1"/>
      <c r="BI57" s="1"/>
    </row>
    <row r="58" spans="1:61">
      <c r="A58" s="47">
        <f t="shared" si="31"/>
        <v>2058</v>
      </c>
      <c r="B58" s="62">
        <f t="shared" si="53"/>
        <v>136.45719454331044</v>
      </c>
      <c r="C58" s="62">
        <f t="shared" si="53"/>
        <v>170.57149317913806</v>
      </c>
      <c r="D58" s="62">
        <f t="shared" si="54"/>
        <v>9.6156550737995747</v>
      </c>
      <c r="E58" s="62">
        <f t="shared" si="55"/>
        <v>0.85</v>
      </c>
      <c r="F58" s="54">
        <v>2.5000000000000001E-2</v>
      </c>
      <c r="G58" s="54">
        <f t="shared" si="56"/>
        <v>2.5000000000000001E-2</v>
      </c>
      <c r="H58" s="178">
        <f t="shared" si="33"/>
        <v>0.3211457596023346</v>
      </c>
      <c r="I58" s="178">
        <f t="shared" si="1"/>
        <v>54.778311743518728</v>
      </c>
      <c r="J58" s="182">
        <f t="shared" si="2"/>
        <v>3.0880268527494072</v>
      </c>
      <c r="K58" s="1"/>
      <c r="L58" s="61">
        <f t="shared" si="41"/>
        <v>209.41597085528235</v>
      </c>
      <c r="M58" s="61">
        <f t="shared" si="42"/>
        <v>261.76996356910274</v>
      </c>
      <c r="N58" s="61">
        <f t="shared" si="43"/>
        <v>14.793660553798153</v>
      </c>
      <c r="O58" s="62">
        <f t="shared" si="44"/>
        <v>0.85</v>
      </c>
      <c r="P58" s="54">
        <v>2.5000000000000001E-2</v>
      </c>
      <c r="Q58" s="54">
        <f t="shared" si="7"/>
        <v>2.5000000000000001E-2</v>
      </c>
      <c r="R58" s="178">
        <f t="shared" si="34"/>
        <v>0.3211457596023346</v>
      </c>
      <c r="S58" s="178">
        <f t="shared" si="8"/>
        <v>84.066313791474954</v>
      </c>
      <c r="T58" s="182">
        <f t="shared" si="9"/>
        <v>4.7509213558486021</v>
      </c>
      <c r="U58" s="1"/>
      <c r="V58" s="61">
        <f t="shared" si="45"/>
        <v>334.50447868914182</v>
      </c>
      <c r="W58" s="61">
        <f t="shared" si="46"/>
        <v>418.1305983614273</v>
      </c>
      <c r="X58" s="61">
        <f t="shared" si="47"/>
        <v>23.676815707775798</v>
      </c>
      <c r="Y58" s="62">
        <f t="shared" si="13"/>
        <v>0.85</v>
      </c>
      <c r="Z58" s="54">
        <v>2.5000000000000001E-2</v>
      </c>
      <c r="AA58" s="54">
        <f t="shared" si="14"/>
        <v>2.5000000000000001E-2</v>
      </c>
      <c r="AB58" s="178">
        <f t="shared" si="35"/>
        <v>0.3211457596023346</v>
      </c>
      <c r="AC58" s="178">
        <f t="shared" si="15"/>
        <v>134.28086862375926</v>
      </c>
      <c r="AD58" s="182">
        <f t="shared" si="16"/>
        <v>7.6037089654381464</v>
      </c>
      <c r="AE58" s="1"/>
      <c r="AF58" s="61">
        <f t="shared" si="48"/>
        <v>93.389435025451746</v>
      </c>
      <c r="AG58" s="61">
        <f t="shared" si="49"/>
        <v>116.73679378181473</v>
      </c>
      <c r="AH58" s="61">
        <f t="shared" si="50"/>
        <v>6.5635981357239581</v>
      </c>
      <c r="AI58" s="62">
        <f t="shared" si="20"/>
        <v>0.85</v>
      </c>
      <c r="AJ58" s="54">
        <v>2.5000000000000001E-2</v>
      </c>
      <c r="AK58" s="54">
        <f t="shared" si="21"/>
        <v>2.5000000000000001E-2</v>
      </c>
      <c r="AL58" s="178">
        <f t="shared" si="36"/>
        <v>0.3211457596023346</v>
      </c>
      <c r="AM58" s="178">
        <f t="shared" si="22"/>
        <v>37.489526312601981</v>
      </c>
      <c r="AN58" s="182">
        <f t="shared" si="23"/>
        <v>2.1078717090215378</v>
      </c>
      <c r="AO58" s="1"/>
      <c r="AP58" s="61">
        <f t="shared" si="40"/>
        <v>106.40793876326295</v>
      </c>
      <c r="AQ58" s="61">
        <f t="shared" si="38"/>
        <v>133.00992345407863</v>
      </c>
      <c r="AR58" s="61">
        <f t="shared" si="39"/>
        <v>7.9516802064938314</v>
      </c>
      <c r="AS58" s="62">
        <f t="shared" si="27"/>
        <v>0.85</v>
      </c>
      <c r="AT58" s="54">
        <v>2.5000000000000001E-2</v>
      </c>
      <c r="AU58" s="54">
        <f t="shared" si="28"/>
        <v>2.5000000000000001E-2</v>
      </c>
      <c r="AV58" s="178">
        <f t="shared" si="37"/>
        <v>0.3211457596023346</v>
      </c>
      <c r="AW58" s="178">
        <f t="shared" si="29"/>
        <v>42.715572902308466</v>
      </c>
      <c r="AX58" s="182">
        <f t="shared" si="30"/>
        <v>2.5536483800293102</v>
      </c>
      <c r="AY58" s="1"/>
      <c r="AZ58" s="1"/>
      <c r="BA58" s="1"/>
      <c r="BB58" s="1"/>
      <c r="BC58" s="1"/>
      <c r="BD58" s="1"/>
      <c r="BE58" s="1"/>
      <c r="BF58" s="1"/>
      <c r="BG58" s="1"/>
      <c r="BH58" s="1"/>
      <c r="BI58" s="1"/>
    </row>
    <row r="59" spans="1:61">
      <c r="A59" s="47">
        <f t="shared" si="31"/>
        <v>2059</v>
      </c>
      <c r="B59" s="62">
        <f t="shared" si="53"/>
        <v>139.86862440689319</v>
      </c>
      <c r="C59" s="62">
        <f t="shared" si="53"/>
        <v>174.83578050861649</v>
      </c>
      <c r="D59" s="62">
        <f t="shared" si="54"/>
        <v>9.8560464506445626</v>
      </c>
      <c r="E59" s="62">
        <f t="shared" si="55"/>
        <v>0.85</v>
      </c>
      <c r="F59" s="54">
        <v>2.5000000000000001E-2</v>
      </c>
      <c r="G59" s="54">
        <f t="shared" si="56"/>
        <v>2.5000000000000001E-2</v>
      </c>
      <c r="H59" s="178">
        <f t="shared" si="33"/>
        <v>0.31331293619739964</v>
      </c>
      <c r="I59" s="178">
        <f t="shared" si="1"/>
        <v>54.778311743518728</v>
      </c>
      <c r="J59" s="182">
        <f t="shared" si="2"/>
        <v>3.0880268527494068</v>
      </c>
      <c r="K59" s="1"/>
      <c r="L59" s="61">
        <f t="shared" si="41"/>
        <v>215.96864028169432</v>
      </c>
      <c r="M59" s="61">
        <f t="shared" si="42"/>
        <v>269.96080035211764</v>
      </c>
      <c r="N59" s="61">
        <f t="shared" si="43"/>
        <v>15.255956838950112</v>
      </c>
      <c r="O59" s="62">
        <f t="shared" si="44"/>
        <v>0.85</v>
      </c>
      <c r="P59" s="54">
        <v>2.5000000000000001E-2</v>
      </c>
      <c r="Q59" s="54">
        <f t="shared" si="7"/>
        <v>2.5000000000000001E-2</v>
      </c>
      <c r="R59" s="178">
        <f t="shared" si="34"/>
        <v>0.31331293619739964</v>
      </c>
      <c r="S59" s="178">
        <f t="shared" si="8"/>
        <v>84.582211016521981</v>
      </c>
      <c r="T59" s="182">
        <f t="shared" si="9"/>
        <v>4.7798886317122591</v>
      </c>
      <c r="U59" s="1"/>
      <c r="V59" s="61">
        <f t="shared" si="45"/>
        <v>347.95104291339885</v>
      </c>
      <c r="W59" s="61">
        <f t="shared" si="46"/>
        <v>434.93880364174856</v>
      </c>
      <c r="X59" s="61">
        <f t="shared" si="47"/>
        <v>24.627511555854063</v>
      </c>
      <c r="Y59" s="62">
        <f t="shared" si="13"/>
        <v>0.85</v>
      </c>
      <c r="Z59" s="54">
        <v>2.5000000000000001E-2</v>
      </c>
      <c r="AA59" s="54">
        <f t="shared" si="14"/>
        <v>2.5000000000000001E-2</v>
      </c>
      <c r="AB59" s="178">
        <f t="shared" si="35"/>
        <v>0.31331293619739964</v>
      </c>
      <c r="AC59" s="178">
        <f t="shared" si="15"/>
        <v>136.27195363518049</v>
      </c>
      <c r="AD59" s="182">
        <f t="shared" si="16"/>
        <v>7.7161179568000264</v>
      </c>
      <c r="AE59" s="1"/>
      <c r="AF59" s="61">
        <f t="shared" si="48"/>
        <v>95.400023363652721</v>
      </c>
      <c r="AG59" s="61">
        <f t="shared" si="49"/>
        <v>119.25002920456593</v>
      </c>
      <c r="AH59" s="61">
        <f t="shared" si="50"/>
        <v>6.705535540533087</v>
      </c>
      <c r="AI59" s="62">
        <f t="shared" si="20"/>
        <v>0.85</v>
      </c>
      <c r="AJ59" s="54">
        <v>2.5000000000000001E-2</v>
      </c>
      <c r="AK59" s="54">
        <f t="shared" si="21"/>
        <v>2.5000000000000001E-2</v>
      </c>
      <c r="AL59" s="178">
        <f t="shared" si="36"/>
        <v>0.31331293619739964</v>
      </c>
      <c r="AM59" s="178">
        <f t="shared" si="22"/>
        <v>37.362576791708207</v>
      </c>
      <c r="AN59" s="182">
        <f t="shared" si="23"/>
        <v>2.1009310289804386</v>
      </c>
      <c r="AO59" s="1"/>
      <c r="AP59" s="61">
        <f t="shared" si="40"/>
        <v>109.06813723234451</v>
      </c>
      <c r="AQ59" s="61">
        <f t="shared" si="38"/>
        <v>136.33517154043059</v>
      </c>
      <c r="AR59" s="61">
        <f t="shared" si="39"/>
        <v>8.1504722116561759</v>
      </c>
      <c r="AS59" s="62">
        <f t="shared" si="27"/>
        <v>0.85</v>
      </c>
      <c r="AT59" s="54">
        <v>2.5000000000000001E-2</v>
      </c>
      <c r="AU59" s="54">
        <f t="shared" si="28"/>
        <v>2.5000000000000001E-2</v>
      </c>
      <c r="AV59" s="178">
        <f t="shared" si="37"/>
        <v>0.31331293619739964</v>
      </c>
      <c r="AW59" s="178">
        <f t="shared" si="29"/>
        <v>42.715572902308466</v>
      </c>
      <c r="AX59" s="182">
        <f t="shared" si="30"/>
        <v>2.5536483800293102</v>
      </c>
      <c r="AY59" s="1"/>
      <c r="AZ59" s="1"/>
      <c r="BA59" s="1"/>
      <c r="BB59" s="1"/>
      <c r="BC59" s="1"/>
      <c r="BD59" s="1"/>
      <c r="BE59" s="1"/>
      <c r="BF59" s="1"/>
      <c r="BG59" s="1"/>
      <c r="BH59" s="1"/>
      <c r="BI59" s="1"/>
    </row>
    <row r="60" spans="1:61">
      <c r="A60" s="48">
        <f t="shared" si="31"/>
        <v>2060</v>
      </c>
      <c r="B60" s="62">
        <f t="shared" si="53"/>
        <v>143.36534001706551</v>
      </c>
      <c r="C60" s="62">
        <f t="shared" si="53"/>
        <v>179.2066750213319</v>
      </c>
      <c r="D60" s="62">
        <f t="shared" si="54"/>
        <v>10.102447611910677</v>
      </c>
      <c r="E60" s="62">
        <f t="shared" si="55"/>
        <v>0.85</v>
      </c>
      <c r="F60" s="54">
        <v>2.5000000000000001E-2</v>
      </c>
      <c r="G60" s="54">
        <f t="shared" si="56"/>
        <v>2.5000000000000001E-2</v>
      </c>
      <c r="H60" s="178">
        <f t="shared" si="33"/>
        <v>0.30567115726575578</v>
      </c>
      <c r="I60" s="178">
        <f t="shared" si="1"/>
        <v>54.778311743518735</v>
      </c>
      <c r="J60" s="182">
        <f t="shared" si="2"/>
        <v>3.0880268527494072</v>
      </c>
      <c r="K60" s="1"/>
      <c r="L60" s="61">
        <f t="shared" si="41"/>
        <v>222.70488549609203</v>
      </c>
      <c r="M60" s="61">
        <f t="shared" si="42"/>
        <v>278.38110687011476</v>
      </c>
      <c r="N60" s="61">
        <f t="shared" si="43"/>
        <v>15.731197352800477</v>
      </c>
      <c r="O60" s="62">
        <f t="shared" si="44"/>
        <v>0.85</v>
      </c>
      <c r="P60" s="54">
        <v>2.5000000000000001E-2</v>
      </c>
      <c r="Q60" s="54">
        <f t="shared" si="7"/>
        <v>2.5000000000000001E-2</v>
      </c>
      <c r="R60" s="178">
        <f t="shared" si="34"/>
        <v>0.30567115726575578</v>
      </c>
      <c r="S60" s="178">
        <f t="shared" si="8"/>
        <v>85.093075097910017</v>
      </c>
      <c r="T60" s="182">
        <f t="shared" si="9"/>
        <v>4.8085733000065156</v>
      </c>
      <c r="U60" s="1"/>
      <c r="V60" s="61">
        <f t="shared" si="45"/>
        <v>361.88628981097315</v>
      </c>
      <c r="W60" s="61">
        <f t="shared" si="46"/>
        <v>452.35786226371647</v>
      </c>
      <c r="X60" s="61">
        <f t="shared" si="47"/>
        <v>25.612738063795799</v>
      </c>
      <c r="Y60" s="62">
        <f t="shared" si="13"/>
        <v>0.85</v>
      </c>
      <c r="Z60" s="54">
        <v>2.5000000000000001E-2</v>
      </c>
      <c r="AA60" s="54">
        <f t="shared" si="14"/>
        <v>2.5000000000000001E-2</v>
      </c>
      <c r="AB60" s="178">
        <f t="shared" si="35"/>
        <v>0.30567115726575578</v>
      </c>
      <c r="AC60" s="178">
        <f t="shared" si="15"/>
        <v>138.27275125641356</v>
      </c>
      <c r="AD60" s="182">
        <f t="shared" si="16"/>
        <v>7.8290752847051346</v>
      </c>
      <c r="AE60" s="1"/>
      <c r="AF60" s="61">
        <f t="shared" si="48"/>
        <v>97.465738623370243</v>
      </c>
      <c r="AG60" s="61">
        <f t="shared" si="49"/>
        <v>121.83217327921285</v>
      </c>
      <c r="AH60" s="61">
        <f t="shared" si="50"/>
        <v>6.8513536686912042</v>
      </c>
      <c r="AI60" s="62">
        <f t="shared" si="20"/>
        <v>0.85</v>
      </c>
      <c r="AJ60" s="54">
        <v>2.5000000000000001E-2</v>
      </c>
      <c r="AK60" s="54">
        <f t="shared" si="21"/>
        <v>2.5000000000000001E-2</v>
      </c>
      <c r="AL60" s="178">
        <f t="shared" si="36"/>
        <v>0.30567115726575578</v>
      </c>
      <c r="AM60" s="178">
        <f t="shared" si="22"/>
        <v>37.240581398459078</v>
      </c>
      <c r="AN60" s="182">
        <f t="shared" si="23"/>
        <v>2.094261204745822</v>
      </c>
      <c r="AO60" s="1"/>
      <c r="AP60" s="61">
        <f t="shared" si="40"/>
        <v>111.79484066315311</v>
      </c>
      <c r="AQ60" s="61">
        <f t="shared" si="38"/>
        <v>139.74355082894135</v>
      </c>
      <c r="AR60" s="61">
        <f t="shared" si="39"/>
        <v>8.3542340169475793</v>
      </c>
      <c r="AS60" s="62">
        <f t="shared" si="27"/>
        <v>0.85</v>
      </c>
      <c r="AT60" s="54">
        <v>2.5000000000000001E-2</v>
      </c>
      <c r="AU60" s="54">
        <f t="shared" si="28"/>
        <v>2.5000000000000001E-2</v>
      </c>
      <c r="AV60" s="178">
        <f t="shared" si="37"/>
        <v>0.30567115726575578</v>
      </c>
      <c r="AW60" s="178">
        <f t="shared" si="29"/>
        <v>42.715572902308466</v>
      </c>
      <c r="AX60" s="182">
        <f t="shared" si="30"/>
        <v>2.5536483800293102</v>
      </c>
      <c r="AY60" s="1"/>
      <c r="AZ60" s="1"/>
      <c r="BA60" s="1"/>
      <c r="BB60" s="1"/>
      <c r="BC60" s="1"/>
      <c r="BD60" s="1"/>
      <c r="BE60" s="1"/>
      <c r="BF60" s="1"/>
      <c r="BG60" s="1"/>
      <c r="BH60" s="1"/>
      <c r="BI60" s="1"/>
    </row>
    <row r="61" spans="1:6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row>
    <row r="62" spans="1:6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row>
    <row r="63" spans="1:6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row>
    <row r="64" spans="1:6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row>
    <row r="65" spans="1:6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row>
    <row r="66" spans="1:6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row>
    <row r="67" spans="1:6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row>
    <row r="68" spans="1:6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row>
    <row r="69" spans="1:6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row>
    <row r="70" spans="1:6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row>
    <row r="71" spans="1:6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row>
    <row r="72" spans="1:6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row>
    <row r="73" spans="1:6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row>
    <row r="74" spans="1:6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row>
    <row r="75" spans="1:6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row>
    <row r="76" spans="1:6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row>
    <row r="77" spans="1:6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row>
    <row r="78" spans="1:6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row>
    <row r="79" spans="1:6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row>
    <row r="80" spans="1:6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row>
    <row r="81" spans="1:6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row>
    <row r="82" spans="1:6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row>
    <row r="83" spans="1:6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row>
    <row r="84" spans="1:6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row>
    <row r="85" spans="1:6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row>
    <row r="86" spans="1:6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row>
    <row r="87" spans="1:6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row>
    <row r="88" spans="1:6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row>
    <row r="89" spans="1:6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row>
    <row r="90" spans="1:6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row>
    <row r="91" spans="1:6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row>
    <row r="92" spans="1:6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row>
    <row r="93" spans="1:6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row>
    <row r="94" spans="1:6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row>
    <row r="95" spans="1:6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row>
    <row r="96" spans="1:6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row>
    <row r="97" spans="1:6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row>
    <row r="98" spans="1:6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row>
    <row r="99" spans="1:6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row>
    <row r="100" spans="1:6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row>
    <row r="101" spans="1:6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row>
    <row r="102" spans="1:6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row>
    <row r="103" spans="1:6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row>
    <row r="104" spans="1:6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row>
    <row r="105" spans="1:6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row>
    <row r="106" spans="1:6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row>
    <row r="107" spans="1:6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row>
  </sheetData>
  <sheetProtection algorithmName="SHA-512" hashValue="qMbk4P6Ft5QuXor6bRN09U9iu/N/0zw3/rfM0GH4PWVhJrmYAuflxZgl+65F5B/+SW+UV/MyegLc3DU/XuOqWA==" saltValue="2+kFzeNUWql9xOctRVz4Mw==" spinCount="100000" sheet="1" objects="1" scenarios="1"/>
  <mergeCells count="5">
    <mergeCell ref="J5:J7"/>
    <mergeCell ref="T5:T7"/>
    <mergeCell ref="AD5:AD7"/>
    <mergeCell ref="AN5:AN7"/>
    <mergeCell ref="AX5:AX7"/>
  </mergeCells>
  <dataValidations count="6">
    <dataValidation allowBlank="1" showInputMessage="1" showErrorMessage="1" promptTitle="Netback Differential" prompt="The netback differential is the cost of getting the product from the field to the market as referenced for the particular field, together with any quality differentials.  It is automatically inflated by the cost inflator. " sqref="A9"/>
    <dataValidation allowBlank="1" showInputMessage="1" showErrorMessage="1" promptTitle="Long Term Bond Rate" prompt="The Long Term Bond Rate is used to calculate the Return Allowance for Royalty" sqref="G5:G7"/>
    <dataValidation allowBlank="1" showInputMessage="1" showErrorMessage="1" prompt="Enter the netback differential to the market price for Gas Liquids, Oil and Gas Price.  Note the differential applies to all Economic Scenarios" sqref="B9:D9"/>
    <dataValidation allowBlank="1" showInputMessage="1" showErrorMessage="1" prompt="Enter the scenario name" sqref="AP4"/>
    <dataValidation allowBlank="1" showInputMessage="1" showErrorMessage="1" prompt="Enter the date of the projection" sqref="C4 M4 W4 AG4 AQ4"/>
    <dataValidation allowBlank="1" showInputMessage="1" showErrorMessage="1" prompt="Enter the scenario name" sqref="B4 L4 V4 AF4"/>
  </dataValidations>
  <hyperlinks>
    <hyperlink ref="A1" location="Guide" display="Guide"/>
    <hyperlink ref="A2" location="Input" display="Input"/>
  </hyperlinks>
  <pageMargins left="0.7" right="0.7" top="0.75" bottom="0.75" header="0.3" footer="0.3"/>
  <pageSetup paperSize="9" scale="71" orientation="portrait" r:id="rId1"/>
  <headerFooter>
    <oddFooter>&amp;LNova Scotia Exploration Economics Model&amp;Rwww.indeva.com</oddFooter>
  </headerFooter>
  <colBreaks count="1" manualBreakCount="1">
    <brk id="10"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9" tint="-0.249977111117893"/>
    <pageSetUpPr fitToPage="1"/>
  </sheetPr>
  <dimension ref="A1:AC211"/>
  <sheetViews>
    <sheetView showGridLines="0" zoomScale="75" zoomScaleNormal="75" workbookViewId="0">
      <pane xSplit="2" ySplit="3" topLeftCell="C4" activePane="bottomRight" state="frozen"/>
      <selection activeCell="D43" sqref="D43"/>
      <selection pane="topRight" activeCell="D43" sqref="D43"/>
      <selection pane="bottomLeft" activeCell="D43" sqref="D43"/>
      <selection pane="bottomRight" activeCell="G6" sqref="G6:H6"/>
    </sheetView>
  </sheetViews>
  <sheetFormatPr defaultRowHeight="14.5"/>
  <cols>
    <col min="1" max="1" width="39.7265625" customWidth="1"/>
    <col min="2" max="3" width="14.7265625" customWidth="1"/>
    <col min="4" max="4" width="12.54296875" customWidth="1"/>
    <col min="5" max="5" width="14.26953125" customWidth="1"/>
    <col min="6" max="7" width="14" customWidth="1"/>
    <col min="8" max="8" width="14.1796875" customWidth="1"/>
    <col min="9" max="9" width="14.26953125" customWidth="1"/>
    <col min="10" max="10" width="15" customWidth="1"/>
    <col min="11" max="11" width="14.81640625" customWidth="1"/>
    <col min="12" max="12" width="13.26953125" customWidth="1"/>
    <col min="15" max="15" width="17.26953125" customWidth="1"/>
    <col min="16" max="16" width="12.7265625" customWidth="1"/>
    <col min="18" max="18" width="9.453125" bestFit="1" customWidth="1"/>
    <col min="19" max="25" width="9.81640625" bestFit="1" customWidth="1"/>
  </cols>
  <sheetData>
    <row r="1" spans="1:29" ht="18.5">
      <c r="A1" s="387" t="s">
        <v>469</v>
      </c>
      <c r="B1" s="143" t="s">
        <v>768</v>
      </c>
      <c r="C1" s="22"/>
      <c r="D1" s="22"/>
      <c r="E1" s="22"/>
      <c r="F1" s="22"/>
      <c r="G1" s="22"/>
      <c r="H1" s="22"/>
      <c r="I1" s="22"/>
      <c r="J1" s="22"/>
      <c r="K1" s="22"/>
      <c r="L1" s="22"/>
      <c r="M1" s="22"/>
      <c r="N1" s="22"/>
      <c r="O1" s="388" t="s">
        <v>470</v>
      </c>
      <c r="P1" s="22"/>
      <c r="Q1" s="22"/>
      <c r="R1" s="22"/>
      <c r="S1" s="22"/>
      <c r="T1" s="22"/>
      <c r="U1" s="22"/>
      <c r="V1" s="22"/>
      <c r="W1" s="22"/>
      <c r="X1" s="22"/>
      <c r="Y1" s="22"/>
      <c r="Z1" s="22"/>
      <c r="AA1" s="22"/>
      <c r="AB1" s="22"/>
      <c r="AC1" s="22"/>
    </row>
    <row r="2" spans="1:29" ht="18.5">
      <c r="A2" s="387"/>
      <c r="B2" s="143" t="s">
        <v>143</v>
      </c>
      <c r="C2" s="22"/>
      <c r="D2" s="22"/>
      <c r="E2" s="22"/>
      <c r="F2" s="22"/>
      <c r="G2" s="22"/>
      <c r="H2" s="22"/>
      <c r="I2" s="22"/>
      <c r="J2" s="22"/>
      <c r="K2" s="22"/>
      <c r="L2" s="22"/>
      <c r="M2" s="22"/>
      <c r="N2" s="22"/>
      <c r="O2" s="388"/>
      <c r="P2" s="22"/>
      <c r="Q2" s="22"/>
      <c r="R2" s="22"/>
      <c r="S2" s="22"/>
      <c r="T2" s="22"/>
      <c r="U2" s="22"/>
      <c r="V2" s="22"/>
      <c r="W2" s="22"/>
      <c r="X2" s="22"/>
      <c r="Y2" s="22"/>
      <c r="Z2" s="22"/>
      <c r="AA2" s="22"/>
      <c r="AB2" s="22"/>
      <c r="AC2" s="22"/>
    </row>
    <row r="3" spans="1:29">
      <c r="A3" s="22"/>
      <c r="B3" s="22"/>
      <c r="C3" s="593" t="s">
        <v>782</v>
      </c>
      <c r="D3" s="593"/>
      <c r="E3" s="593" t="s">
        <v>471</v>
      </c>
      <c r="F3" s="593"/>
      <c r="G3" s="593" t="s">
        <v>472</v>
      </c>
      <c r="H3" s="593"/>
      <c r="I3" s="593" t="s">
        <v>473</v>
      </c>
      <c r="J3" s="593"/>
      <c r="K3" s="593" t="s">
        <v>474</v>
      </c>
      <c r="L3" s="593"/>
      <c r="M3" s="22"/>
      <c r="N3" s="22"/>
      <c r="O3" s="281">
        <f>INDEX(C3:L3,1,O7)</f>
        <v>0</v>
      </c>
      <c r="P3" s="22"/>
      <c r="Q3" s="22"/>
      <c r="R3" s="22"/>
      <c r="S3" s="22"/>
      <c r="T3" s="22"/>
      <c r="U3" s="22"/>
      <c r="V3" s="22"/>
      <c r="W3" s="22"/>
      <c r="X3" s="22"/>
      <c r="Y3" s="22"/>
      <c r="Z3" s="22"/>
      <c r="AA3" s="22"/>
      <c r="AB3" s="22"/>
      <c r="AC3" s="22"/>
    </row>
    <row r="4" spans="1:29">
      <c r="A4" s="284" t="s">
        <v>475</v>
      </c>
      <c r="B4" s="284"/>
      <c r="C4" s="590" t="s">
        <v>1091</v>
      </c>
      <c r="D4" s="591"/>
      <c r="E4" s="592" t="s">
        <v>1092</v>
      </c>
      <c r="F4" s="592"/>
      <c r="G4" s="592"/>
      <c r="H4" s="592"/>
      <c r="I4" s="592"/>
      <c r="J4" s="592"/>
      <c r="K4" s="592"/>
      <c r="L4" s="592"/>
      <c r="M4" s="22"/>
      <c r="N4" s="22"/>
      <c r="O4" s="281" t="str">
        <f>INDEX(C4:L4,1,(O7-1)*2+1)</f>
        <v>NS DOE Petrofac DW Update 2015</v>
      </c>
      <c r="P4" s="22"/>
      <c r="Q4" s="22"/>
      <c r="R4" s="22"/>
      <c r="S4" s="22"/>
      <c r="T4" s="22"/>
      <c r="U4" s="22"/>
      <c r="V4" s="22"/>
      <c r="W4" s="22"/>
      <c r="X4" s="22"/>
      <c r="Y4" s="22"/>
      <c r="Z4" s="22"/>
      <c r="AA4" s="22"/>
      <c r="AB4" s="22"/>
      <c r="AC4" s="22"/>
    </row>
    <row r="5" spans="1:29">
      <c r="A5" s="284" t="s">
        <v>476</v>
      </c>
      <c r="B5" s="284"/>
      <c r="C5" s="587">
        <v>41000</v>
      </c>
      <c r="D5" s="588"/>
      <c r="E5" s="589">
        <v>42005</v>
      </c>
      <c r="F5" s="589"/>
      <c r="G5" s="589"/>
      <c r="H5" s="589"/>
      <c r="I5" s="589"/>
      <c r="J5" s="589"/>
      <c r="K5" s="589"/>
      <c r="L5" s="589"/>
      <c r="M5" s="22"/>
      <c r="N5" s="22"/>
      <c r="O5" s="282">
        <f>INDEX(C5:L5,1,(O7-1)*2+1)</f>
        <v>42005</v>
      </c>
      <c r="P5" s="389"/>
      <c r="Q5" s="22"/>
      <c r="R5" s="22"/>
      <c r="S5" s="22"/>
      <c r="T5" s="22"/>
      <c r="U5" s="22"/>
      <c r="V5" s="22"/>
      <c r="W5" s="22"/>
      <c r="X5" s="22"/>
      <c r="Y5" s="22"/>
      <c r="Z5" s="22"/>
      <c r="AA5" s="22"/>
      <c r="AB5" s="22"/>
      <c r="AC5" s="22"/>
    </row>
    <row r="6" spans="1:29">
      <c r="A6" s="284" t="s">
        <v>783</v>
      </c>
      <c r="B6" s="284" t="s">
        <v>248</v>
      </c>
      <c r="C6" s="590">
        <v>200</v>
      </c>
      <c r="D6" s="591"/>
      <c r="E6" s="592">
        <v>200</v>
      </c>
      <c r="F6" s="592"/>
      <c r="G6" s="592"/>
      <c r="H6" s="592"/>
      <c r="I6" s="592"/>
      <c r="J6" s="592"/>
      <c r="K6" s="592"/>
      <c r="L6" s="592"/>
      <c r="M6" s="22"/>
      <c r="N6" s="22"/>
      <c r="O6" s="283" t="str">
        <f>IF(Input!B13&gt;INDEX(C6:L6,1,(O7-1)*2+1),"Deepwater","Shallow Water")</f>
        <v>Deepwater</v>
      </c>
      <c r="P6" s="22"/>
      <c r="Q6" s="22"/>
      <c r="R6" s="22"/>
      <c r="S6" s="22"/>
      <c r="T6" s="22"/>
      <c r="U6" s="22"/>
      <c r="V6" s="22"/>
      <c r="W6" s="22"/>
      <c r="X6" s="22"/>
      <c r="Y6" s="22"/>
      <c r="Z6" s="22"/>
      <c r="AA6" s="22"/>
      <c r="AB6" s="22"/>
      <c r="AC6" s="22"/>
    </row>
    <row r="7" spans="1:29">
      <c r="A7" s="22"/>
      <c r="B7" s="22"/>
      <c r="C7" s="284" t="s">
        <v>477</v>
      </c>
      <c r="D7" s="284" t="s">
        <v>478</v>
      </c>
      <c r="E7" s="403" t="s">
        <v>477</v>
      </c>
      <c r="F7" s="403" t="s">
        <v>478</v>
      </c>
      <c r="G7" s="403" t="s">
        <v>477</v>
      </c>
      <c r="H7" s="403" t="s">
        <v>478</v>
      </c>
      <c r="I7" s="403" t="s">
        <v>477</v>
      </c>
      <c r="J7" s="403" t="s">
        <v>478</v>
      </c>
      <c r="K7" s="403" t="s">
        <v>477</v>
      </c>
      <c r="L7" s="403" t="s">
        <v>478</v>
      </c>
      <c r="M7" s="22"/>
      <c r="N7" s="284" t="s">
        <v>479</v>
      </c>
      <c r="O7" s="281">
        <f>MATCH(Input!B6,capcostset,0)</f>
        <v>2</v>
      </c>
      <c r="P7" s="22"/>
      <c r="Q7" s="22"/>
      <c r="R7" s="22"/>
      <c r="S7" s="22"/>
      <c r="T7" s="22"/>
      <c r="U7" s="22"/>
      <c r="V7" s="22"/>
      <c r="W7" s="22"/>
      <c r="X7" s="22"/>
      <c r="Y7" s="22"/>
      <c r="Z7" s="22"/>
      <c r="AA7" s="22"/>
      <c r="AB7" s="22"/>
      <c r="AC7" s="22"/>
    </row>
    <row r="8" spans="1:29">
      <c r="A8" s="22"/>
      <c r="B8" s="22"/>
      <c r="C8" s="22"/>
      <c r="D8" s="22"/>
      <c r="E8" s="404"/>
      <c r="F8" s="404"/>
      <c r="G8" s="404"/>
      <c r="H8" s="404"/>
      <c r="I8" s="404"/>
      <c r="J8" s="404"/>
      <c r="K8" s="404"/>
      <c r="L8" s="404"/>
      <c r="M8" s="22"/>
      <c r="N8" s="284" t="s">
        <v>57</v>
      </c>
      <c r="O8" s="281">
        <f>(O7-1)*2+1+IF(O6="Shallow Water",0,1)</f>
        <v>4</v>
      </c>
      <c r="P8" s="284">
        <f>IF(O6="Deepwater",O8-1,0)</f>
        <v>3</v>
      </c>
      <c r="Q8" s="22"/>
      <c r="R8" s="22"/>
      <c r="S8" s="22"/>
      <c r="T8" s="22"/>
      <c r="U8" s="22"/>
      <c r="V8" s="22"/>
      <c r="W8" s="22"/>
      <c r="X8" s="22"/>
      <c r="Y8" s="22"/>
      <c r="Z8" s="22"/>
      <c r="AA8" s="22"/>
      <c r="AB8" s="22"/>
      <c r="AC8" s="22"/>
    </row>
    <row r="9" spans="1:29">
      <c r="A9" s="390" t="s">
        <v>480</v>
      </c>
      <c r="B9" s="22"/>
      <c r="C9" s="22"/>
      <c r="D9" s="22"/>
      <c r="E9" s="404"/>
      <c r="F9" s="404"/>
      <c r="G9" s="404"/>
      <c r="H9" s="404"/>
      <c r="I9" s="404"/>
      <c r="J9" s="404"/>
      <c r="K9" s="404"/>
      <c r="L9" s="404"/>
      <c r="M9" s="22"/>
      <c r="N9" s="22"/>
      <c r="O9" s="22"/>
      <c r="P9" s="22"/>
      <c r="Q9" s="22"/>
      <c r="R9" s="22"/>
      <c r="S9" s="22"/>
      <c r="T9" s="22"/>
      <c r="U9" s="22"/>
      <c r="V9" s="22"/>
      <c r="W9" s="22"/>
      <c r="X9" s="22"/>
      <c r="Y9" s="22"/>
      <c r="Z9" s="22"/>
      <c r="AA9" s="22"/>
      <c r="AB9" s="22"/>
      <c r="AC9" s="22"/>
    </row>
    <row r="10" spans="1:29">
      <c r="A10" s="391" t="s">
        <v>481</v>
      </c>
      <c r="B10" s="391" t="s">
        <v>159</v>
      </c>
      <c r="C10" s="293">
        <v>90</v>
      </c>
      <c r="D10" s="293">
        <v>90</v>
      </c>
      <c r="E10" s="99">
        <f>C10*1.06</f>
        <v>95.4</v>
      </c>
      <c r="F10" s="99">
        <f t="shared" ref="F10:F23" si="0">D10*1.06</f>
        <v>95.4</v>
      </c>
      <c r="G10" s="99"/>
      <c r="H10" s="99"/>
      <c r="I10" s="99"/>
      <c r="J10" s="99"/>
      <c r="K10" s="99"/>
      <c r="L10" s="99"/>
      <c r="M10" s="22"/>
      <c r="N10" s="22"/>
      <c r="O10" s="285">
        <f t="shared" ref="O10:O23" si="1">INDEX(C10:L10,1,$O$8)</f>
        <v>95.4</v>
      </c>
      <c r="P10" s="22"/>
      <c r="Q10" s="22"/>
      <c r="R10" s="22"/>
      <c r="S10" s="22"/>
      <c r="T10" s="22"/>
      <c r="U10" s="22"/>
      <c r="V10" s="22"/>
      <c r="W10" s="22"/>
      <c r="X10" s="22"/>
      <c r="Y10" s="22"/>
      <c r="Z10" s="22"/>
      <c r="AA10" s="22"/>
      <c r="AB10" s="22"/>
      <c r="AC10" s="22"/>
    </row>
    <row r="11" spans="1:29">
      <c r="A11" s="392" t="s">
        <v>482</v>
      </c>
      <c r="B11" s="392" t="s">
        <v>2</v>
      </c>
      <c r="C11" s="293">
        <v>7500</v>
      </c>
      <c r="D11" s="293">
        <v>7500</v>
      </c>
      <c r="E11" s="99">
        <f t="shared" ref="E11:E23" si="2">C11*1.06</f>
        <v>7950</v>
      </c>
      <c r="F11" s="99">
        <f t="shared" si="0"/>
        <v>7950</v>
      </c>
      <c r="G11" s="99"/>
      <c r="H11" s="99"/>
      <c r="I11" s="99"/>
      <c r="J11" s="99"/>
      <c r="K11" s="99"/>
      <c r="L11" s="99"/>
      <c r="M11" s="22"/>
      <c r="N11" s="22"/>
      <c r="O11" s="286">
        <f t="shared" si="1"/>
        <v>7950</v>
      </c>
      <c r="P11" s="22"/>
      <c r="Q11" s="22"/>
      <c r="R11" s="22"/>
      <c r="S11" s="22"/>
      <c r="T11" s="22"/>
      <c r="U11" s="22"/>
      <c r="V11" s="22"/>
      <c r="W11" s="22"/>
      <c r="X11" s="22"/>
      <c r="Y11" s="22"/>
      <c r="Z11" s="22"/>
      <c r="AA11" s="22"/>
      <c r="AB11" s="22"/>
      <c r="AC11" s="22"/>
    </row>
    <row r="12" spans="1:29">
      <c r="A12" s="392" t="s">
        <v>483</v>
      </c>
      <c r="B12" s="392" t="s">
        <v>159</v>
      </c>
      <c r="C12" s="293">
        <v>180</v>
      </c>
      <c r="D12" s="293">
        <v>180</v>
      </c>
      <c r="E12" s="99">
        <f t="shared" si="2"/>
        <v>190.8</v>
      </c>
      <c r="F12" s="99">
        <f t="shared" si="0"/>
        <v>190.8</v>
      </c>
      <c r="G12" s="99"/>
      <c r="H12" s="99"/>
      <c r="I12" s="99"/>
      <c r="J12" s="99"/>
      <c r="K12" s="99"/>
      <c r="L12" s="99"/>
      <c r="M12" s="22"/>
      <c r="N12" s="22"/>
      <c r="O12" s="286">
        <f t="shared" si="1"/>
        <v>190.8</v>
      </c>
      <c r="P12" s="22"/>
      <c r="Q12" s="22"/>
      <c r="R12" s="22"/>
      <c r="S12" s="22"/>
      <c r="T12" s="22"/>
      <c r="U12" s="22"/>
      <c r="V12" s="22"/>
      <c r="W12" s="22"/>
      <c r="X12" s="22"/>
      <c r="Y12" s="22"/>
      <c r="Z12" s="22"/>
      <c r="AA12" s="22"/>
      <c r="AB12" s="22"/>
      <c r="AC12" s="22"/>
    </row>
    <row r="13" spans="1:29">
      <c r="A13" s="392" t="s">
        <v>484</v>
      </c>
      <c r="B13" s="392" t="s">
        <v>2</v>
      </c>
      <c r="C13" s="293">
        <v>3500</v>
      </c>
      <c r="D13" s="293">
        <v>3500</v>
      </c>
      <c r="E13" s="99">
        <f t="shared" si="2"/>
        <v>3710</v>
      </c>
      <c r="F13" s="99">
        <f t="shared" si="0"/>
        <v>3710</v>
      </c>
      <c r="G13" s="99"/>
      <c r="H13" s="99"/>
      <c r="I13" s="99"/>
      <c r="J13" s="99"/>
      <c r="K13" s="99"/>
      <c r="L13" s="99"/>
      <c r="M13" s="22"/>
      <c r="N13" s="22"/>
      <c r="O13" s="286">
        <f t="shared" si="1"/>
        <v>3710</v>
      </c>
      <c r="P13" s="22"/>
      <c r="Q13" s="22"/>
      <c r="R13" s="22"/>
      <c r="S13" s="22"/>
      <c r="T13" s="22"/>
      <c r="U13" s="22"/>
      <c r="V13" s="22"/>
      <c r="W13" s="22"/>
      <c r="X13" s="22"/>
      <c r="Y13" s="22"/>
      <c r="Z13" s="22"/>
      <c r="AA13" s="22"/>
      <c r="AB13" s="22"/>
      <c r="AC13" s="22"/>
    </row>
    <row r="14" spans="1:29">
      <c r="A14" s="392" t="s">
        <v>485</v>
      </c>
      <c r="B14" s="392" t="s">
        <v>159</v>
      </c>
      <c r="C14" s="293">
        <v>120</v>
      </c>
      <c r="D14" s="293">
        <v>120</v>
      </c>
      <c r="E14" s="99">
        <f t="shared" si="2"/>
        <v>127.2</v>
      </c>
      <c r="F14" s="99">
        <f t="shared" si="0"/>
        <v>127.2</v>
      </c>
      <c r="G14" s="99"/>
      <c r="H14" s="99"/>
      <c r="I14" s="99"/>
      <c r="J14" s="99"/>
      <c r="K14" s="99"/>
      <c r="L14" s="99"/>
      <c r="M14" s="22"/>
      <c r="N14" s="22"/>
      <c r="O14" s="286">
        <f t="shared" si="1"/>
        <v>127.2</v>
      </c>
      <c r="P14" s="22"/>
      <c r="Q14" s="22"/>
      <c r="R14" s="22"/>
      <c r="S14" s="22"/>
      <c r="T14" s="22"/>
      <c r="U14" s="22"/>
      <c r="V14" s="22"/>
      <c r="W14" s="22"/>
      <c r="X14" s="22"/>
      <c r="Y14" s="22"/>
      <c r="Z14" s="22"/>
      <c r="AA14" s="22"/>
      <c r="AB14" s="22"/>
      <c r="AC14" s="22"/>
    </row>
    <row r="15" spans="1:29">
      <c r="A15" s="392" t="s">
        <v>486</v>
      </c>
      <c r="B15" s="392" t="s">
        <v>159</v>
      </c>
      <c r="C15" s="293">
        <v>90</v>
      </c>
      <c r="D15" s="293">
        <v>90</v>
      </c>
      <c r="E15" s="99">
        <f t="shared" si="2"/>
        <v>95.4</v>
      </c>
      <c r="F15" s="99">
        <f t="shared" si="0"/>
        <v>95.4</v>
      </c>
      <c r="G15" s="99"/>
      <c r="H15" s="99"/>
      <c r="I15" s="99"/>
      <c r="J15" s="99"/>
      <c r="K15" s="99"/>
      <c r="L15" s="99"/>
      <c r="M15" s="22"/>
      <c r="N15" s="22"/>
      <c r="O15" s="286">
        <f t="shared" si="1"/>
        <v>95.4</v>
      </c>
      <c r="P15" s="22"/>
      <c r="Q15" s="22"/>
      <c r="R15" s="22"/>
      <c r="S15" s="22"/>
      <c r="T15" s="22"/>
      <c r="U15" s="22"/>
      <c r="V15" s="22"/>
      <c r="W15" s="22"/>
      <c r="X15" s="22"/>
      <c r="Y15" s="22"/>
      <c r="Z15" s="22"/>
      <c r="AA15" s="22"/>
      <c r="AB15" s="22"/>
      <c r="AC15" s="22"/>
    </row>
    <row r="16" spans="1:29">
      <c r="A16" s="392" t="s">
        <v>487</v>
      </c>
      <c r="B16" s="392" t="s">
        <v>2</v>
      </c>
      <c r="C16" s="293">
        <v>500</v>
      </c>
      <c r="D16" s="293">
        <v>500</v>
      </c>
      <c r="E16" s="99">
        <f t="shared" si="2"/>
        <v>530</v>
      </c>
      <c r="F16" s="99">
        <f t="shared" si="0"/>
        <v>530</v>
      </c>
      <c r="G16" s="99"/>
      <c r="H16" s="99"/>
      <c r="I16" s="99"/>
      <c r="J16" s="99"/>
      <c r="K16" s="99"/>
      <c r="L16" s="99"/>
      <c r="M16" s="22"/>
      <c r="N16" s="22"/>
      <c r="O16" s="286">
        <f t="shared" si="1"/>
        <v>530</v>
      </c>
      <c r="P16" s="22"/>
      <c r="Q16" s="22"/>
      <c r="R16" s="22"/>
      <c r="S16" s="22"/>
      <c r="T16" s="22"/>
      <c r="U16" s="22"/>
      <c r="V16" s="22"/>
      <c r="W16" s="22"/>
      <c r="X16" s="22"/>
      <c r="Y16" s="22"/>
      <c r="Z16" s="22"/>
      <c r="AA16" s="22"/>
      <c r="AB16" s="22"/>
      <c r="AC16" s="22"/>
    </row>
    <row r="17" spans="1:29">
      <c r="A17" s="392" t="s">
        <v>488</v>
      </c>
      <c r="B17" s="392" t="s">
        <v>159</v>
      </c>
      <c r="C17" s="293">
        <v>120</v>
      </c>
      <c r="D17" s="293">
        <v>120</v>
      </c>
      <c r="E17" s="99">
        <f t="shared" si="2"/>
        <v>127.2</v>
      </c>
      <c r="F17" s="99">
        <f t="shared" si="0"/>
        <v>127.2</v>
      </c>
      <c r="G17" s="99"/>
      <c r="H17" s="99"/>
      <c r="I17" s="99"/>
      <c r="J17" s="99"/>
      <c r="K17" s="99"/>
      <c r="L17" s="99"/>
      <c r="M17" s="22"/>
      <c r="N17" s="22"/>
      <c r="O17" s="286">
        <f t="shared" si="1"/>
        <v>127.2</v>
      </c>
      <c r="P17" s="22"/>
      <c r="Q17" s="22"/>
      <c r="R17" s="22"/>
      <c r="S17" s="22"/>
      <c r="T17" s="22"/>
      <c r="U17" s="22"/>
      <c r="V17" s="22"/>
      <c r="W17" s="22"/>
      <c r="X17" s="22"/>
      <c r="Y17" s="22"/>
      <c r="Z17" s="22"/>
      <c r="AA17" s="22"/>
      <c r="AB17" s="22"/>
      <c r="AC17" s="22"/>
    </row>
    <row r="18" spans="1:29">
      <c r="A18" s="392" t="s">
        <v>489</v>
      </c>
      <c r="B18" s="392" t="s">
        <v>159</v>
      </c>
      <c r="C18" s="293">
        <v>30</v>
      </c>
      <c r="D18" s="293">
        <v>30</v>
      </c>
      <c r="E18" s="99">
        <f t="shared" si="2"/>
        <v>31.8</v>
      </c>
      <c r="F18" s="99">
        <f t="shared" si="0"/>
        <v>31.8</v>
      </c>
      <c r="G18" s="99"/>
      <c r="H18" s="99"/>
      <c r="I18" s="99"/>
      <c r="J18" s="99"/>
      <c r="K18" s="99"/>
      <c r="L18" s="99"/>
      <c r="M18" s="22"/>
      <c r="N18" s="22"/>
      <c r="O18" s="286">
        <f t="shared" si="1"/>
        <v>31.8</v>
      </c>
      <c r="P18" s="22"/>
      <c r="Q18" s="22"/>
      <c r="R18" s="22"/>
      <c r="S18" s="22"/>
      <c r="T18" s="22"/>
      <c r="U18" s="22"/>
      <c r="V18" s="22"/>
      <c r="W18" s="22"/>
      <c r="X18" s="22"/>
      <c r="Y18" s="22"/>
      <c r="Z18" s="22"/>
      <c r="AA18" s="22"/>
      <c r="AB18" s="22"/>
      <c r="AC18" s="22"/>
    </row>
    <row r="19" spans="1:29">
      <c r="A19" s="392" t="s">
        <v>490</v>
      </c>
      <c r="B19" s="392" t="s">
        <v>2</v>
      </c>
      <c r="C19" s="293">
        <v>350</v>
      </c>
      <c r="D19" s="293">
        <v>350</v>
      </c>
      <c r="E19" s="99">
        <f t="shared" si="2"/>
        <v>371</v>
      </c>
      <c r="F19" s="99">
        <f t="shared" si="0"/>
        <v>371</v>
      </c>
      <c r="G19" s="99"/>
      <c r="H19" s="99"/>
      <c r="I19" s="99"/>
      <c r="J19" s="99"/>
      <c r="K19" s="99"/>
      <c r="L19" s="99"/>
      <c r="M19" s="22"/>
      <c r="N19" s="22"/>
      <c r="O19" s="286">
        <f t="shared" si="1"/>
        <v>371</v>
      </c>
      <c r="P19" s="22"/>
      <c r="Q19" s="22"/>
      <c r="R19" s="22"/>
      <c r="S19" s="22"/>
      <c r="T19" s="22"/>
      <c r="U19" s="22"/>
      <c r="V19" s="22"/>
      <c r="W19" s="22"/>
      <c r="X19" s="22"/>
      <c r="Y19" s="22"/>
      <c r="Z19" s="22"/>
      <c r="AA19" s="22"/>
      <c r="AB19" s="22"/>
      <c r="AC19" s="22"/>
    </row>
    <row r="20" spans="1:29">
      <c r="A20" s="392" t="s">
        <v>491</v>
      </c>
      <c r="B20" s="392" t="s">
        <v>159</v>
      </c>
      <c r="C20" s="293">
        <v>90</v>
      </c>
      <c r="D20" s="293">
        <v>90</v>
      </c>
      <c r="E20" s="99">
        <f t="shared" si="2"/>
        <v>95.4</v>
      </c>
      <c r="F20" s="99">
        <f t="shared" si="0"/>
        <v>95.4</v>
      </c>
      <c r="G20" s="99"/>
      <c r="H20" s="99"/>
      <c r="I20" s="99"/>
      <c r="J20" s="99"/>
      <c r="K20" s="99"/>
      <c r="L20" s="99"/>
      <c r="M20" s="22"/>
      <c r="N20" s="22"/>
      <c r="O20" s="286">
        <f t="shared" si="1"/>
        <v>95.4</v>
      </c>
      <c r="P20" s="22"/>
      <c r="Q20" s="22"/>
      <c r="R20" s="22"/>
      <c r="S20" s="22"/>
      <c r="T20" s="22"/>
      <c r="U20" s="22"/>
      <c r="V20" s="22"/>
      <c r="W20" s="22"/>
      <c r="X20" s="22"/>
      <c r="Y20" s="22"/>
      <c r="Z20" s="22"/>
      <c r="AA20" s="22"/>
      <c r="AB20" s="22"/>
      <c r="AC20" s="22"/>
    </row>
    <row r="21" spans="1:29">
      <c r="A21" s="392" t="s">
        <v>492</v>
      </c>
      <c r="B21" s="392" t="s">
        <v>159</v>
      </c>
      <c r="C21" s="293">
        <v>180</v>
      </c>
      <c r="D21" s="293">
        <v>180</v>
      </c>
      <c r="E21" s="99">
        <f t="shared" si="2"/>
        <v>190.8</v>
      </c>
      <c r="F21" s="99">
        <f t="shared" si="0"/>
        <v>190.8</v>
      </c>
      <c r="G21" s="99"/>
      <c r="H21" s="99"/>
      <c r="I21" s="99"/>
      <c r="J21" s="99"/>
      <c r="K21" s="99"/>
      <c r="L21" s="99"/>
      <c r="M21" s="22"/>
      <c r="N21" s="22"/>
      <c r="O21" s="286">
        <f t="shared" si="1"/>
        <v>190.8</v>
      </c>
      <c r="P21" s="22"/>
      <c r="Q21" s="22"/>
      <c r="R21" s="22"/>
      <c r="S21" s="22"/>
      <c r="T21" s="22"/>
      <c r="U21" s="22"/>
      <c r="V21" s="22"/>
      <c r="W21" s="22"/>
      <c r="X21" s="22"/>
      <c r="Y21" s="22"/>
      <c r="Z21" s="22"/>
      <c r="AA21" s="22"/>
      <c r="AB21" s="22"/>
      <c r="AC21" s="22"/>
    </row>
    <row r="22" spans="1:29">
      <c r="A22" s="392" t="s">
        <v>493</v>
      </c>
      <c r="B22" s="392" t="s">
        <v>159</v>
      </c>
      <c r="C22" s="293">
        <v>300</v>
      </c>
      <c r="D22" s="293">
        <v>300</v>
      </c>
      <c r="E22" s="99">
        <f t="shared" si="2"/>
        <v>318</v>
      </c>
      <c r="F22" s="99">
        <f t="shared" si="0"/>
        <v>318</v>
      </c>
      <c r="G22" s="99"/>
      <c r="H22" s="99"/>
      <c r="I22" s="99"/>
      <c r="J22" s="99"/>
      <c r="K22" s="99"/>
      <c r="L22" s="99"/>
      <c r="M22" s="22"/>
      <c r="N22" s="22"/>
      <c r="O22" s="286">
        <f t="shared" si="1"/>
        <v>318</v>
      </c>
      <c r="P22" s="22"/>
      <c r="Q22" s="22"/>
      <c r="R22" s="22"/>
      <c r="S22" s="22"/>
      <c r="T22" s="22"/>
      <c r="U22" s="22"/>
      <c r="V22" s="22"/>
      <c r="W22" s="22"/>
      <c r="X22" s="22"/>
      <c r="Y22" s="22"/>
      <c r="Z22" s="22"/>
      <c r="AA22" s="22"/>
      <c r="AB22" s="22"/>
      <c r="AC22" s="22"/>
    </row>
    <row r="23" spans="1:29">
      <c r="A23" s="392" t="s">
        <v>494</v>
      </c>
      <c r="B23" s="392" t="s">
        <v>159</v>
      </c>
      <c r="C23" s="293">
        <v>180</v>
      </c>
      <c r="D23" s="293">
        <v>180</v>
      </c>
      <c r="E23" s="99">
        <f t="shared" si="2"/>
        <v>190.8</v>
      </c>
      <c r="F23" s="99">
        <f t="shared" si="0"/>
        <v>190.8</v>
      </c>
      <c r="G23" s="99"/>
      <c r="H23" s="99"/>
      <c r="I23" s="99"/>
      <c r="J23" s="99"/>
      <c r="K23" s="99"/>
      <c r="L23" s="99"/>
      <c r="M23" s="22"/>
      <c r="N23" s="22"/>
      <c r="O23" s="286">
        <f t="shared" si="1"/>
        <v>190.8</v>
      </c>
      <c r="P23" s="22"/>
      <c r="Q23" s="22"/>
      <c r="R23" s="22"/>
      <c r="S23" s="22"/>
      <c r="T23" s="22"/>
      <c r="U23" s="22"/>
      <c r="V23" s="22"/>
      <c r="W23" s="22"/>
      <c r="X23" s="22"/>
      <c r="Y23" s="22"/>
      <c r="Z23" s="22"/>
      <c r="AA23" s="22"/>
      <c r="AB23" s="22"/>
      <c r="AC23" s="22"/>
    </row>
    <row r="24" spans="1:29">
      <c r="A24" s="393" t="s">
        <v>495</v>
      </c>
      <c r="B24" s="393" t="s">
        <v>496</v>
      </c>
      <c r="C24" s="293">
        <v>250000</v>
      </c>
      <c r="D24" s="293">
        <v>450000</v>
      </c>
      <c r="E24" s="99">
        <v>140000</v>
      </c>
      <c r="F24" s="99">
        <v>350000</v>
      </c>
      <c r="G24" s="99"/>
      <c r="H24" s="99"/>
      <c r="I24" s="99"/>
      <c r="J24" s="99"/>
      <c r="K24" s="99"/>
      <c r="L24" s="99"/>
      <c r="M24" s="22"/>
      <c r="N24" s="22"/>
      <c r="O24" s="287">
        <f>INDEX(C24:L24,1,$O$8)</f>
        <v>350000</v>
      </c>
      <c r="P24" s="22"/>
      <c r="Q24" s="22"/>
      <c r="R24" s="22"/>
      <c r="S24" s="22"/>
      <c r="T24" s="22"/>
      <c r="U24" s="22"/>
      <c r="V24" s="22"/>
      <c r="W24" s="22"/>
      <c r="X24" s="22"/>
      <c r="Y24" s="22"/>
      <c r="Z24" s="22"/>
      <c r="AA24" s="22"/>
      <c r="AB24" s="22"/>
      <c r="AC24" s="22"/>
    </row>
    <row r="25" spans="1:29">
      <c r="A25" s="22"/>
      <c r="B25" s="22"/>
      <c r="C25" s="288"/>
      <c r="D25" s="288"/>
      <c r="E25" s="405"/>
      <c r="F25" s="405"/>
      <c r="G25" s="405"/>
      <c r="H25" s="405"/>
      <c r="I25" s="405"/>
      <c r="J25" s="405"/>
      <c r="K25" s="405"/>
      <c r="L25" s="405"/>
      <c r="M25" s="22"/>
      <c r="N25" s="22"/>
      <c r="O25" s="22"/>
      <c r="P25" s="22"/>
      <c r="Q25" s="22"/>
      <c r="R25" s="22"/>
      <c r="S25" s="22"/>
      <c r="T25" s="22"/>
      <c r="U25" s="22"/>
      <c r="V25" s="22"/>
      <c r="W25" s="22"/>
      <c r="X25" s="22"/>
      <c r="Y25" s="22"/>
      <c r="Z25" s="22"/>
      <c r="AA25" s="22"/>
      <c r="AB25" s="22"/>
      <c r="AC25" s="22"/>
    </row>
    <row r="26" spans="1:29">
      <c r="A26" s="390" t="s">
        <v>497</v>
      </c>
      <c r="B26" s="22"/>
      <c r="C26" s="288"/>
      <c r="D26" s="288"/>
      <c r="E26" s="405"/>
      <c r="F26" s="405"/>
      <c r="G26" s="405"/>
      <c r="H26" s="405"/>
      <c r="I26" s="405"/>
      <c r="J26" s="405"/>
      <c r="K26" s="405"/>
      <c r="L26" s="405"/>
      <c r="M26" s="22"/>
      <c r="N26" s="22"/>
      <c r="O26" s="22"/>
      <c r="P26" s="22"/>
      <c r="Q26" s="22"/>
      <c r="R26" s="22"/>
      <c r="S26" s="22"/>
      <c r="T26" s="22"/>
      <c r="U26" s="22"/>
      <c r="V26" s="22"/>
      <c r="W26" s="22"/>
      <c r="X26" s="22"/>
      <c r="Y26" s="22"/>
      <c r="Z26" s="22"/>
      <c r="AA26" s="22"/>
      <c r="AB26" s="22"/>
      <c r="AC26" s="22"/>
    </row>
    <row r="27" spans="1:29">
      <c r="A27" s="391" t="s">
        <v>498</v>
      </c>
      <c r="B27" s="391" t="s">
        <v>2</v>
      </c>
      <c r="C27" s="481">
        <v>4000</v>
      </c>
      <c r="D27" s="481">
        <v>12000</v>
      </c>
      <c r="E27" s="99">
        <f t="shared" ref="E27:E31" si="3">C27*1.06</f>
        <v>4240</v>
      </c>
      <c r="F27" s="99">
        <f t="shared" ref="F27:F31" si="4">D27*1.06</f>
        <v>12720</v>
      </c>
      <c r="G27" s="99"/>
      <c r="H27" s="99"/>
      <c r="I27" s="99"/>
      <c r="J27" s="99"/>
      <c r="K27" s="99"/>
      <c r="L27" s="99"/>
      <c r="M27" s="22"/>
      <c r="N27" s="22"/>
      <c r="O27" s="285">
        <f>INDEX(C27:L27,1,$O$8)</f>
        <v>12720</v>
      </c>
      <c r="P27" s="22"/>
      <c r="Q27" s="22"/>
      <c r="R27" s="78"/>
      <c r="S27" s="78"/>
      <c r="T27" s="78"/>
      <c r="U27" s="78"/>
      <c r="V27" s="78"/>
      <c r="W27" s="78"/>
      <c r="X27" s="78"/>
      <c r="Y27" s="78"/>
      <c r="Z27" s="22"/>
      <c r="AA27" s="22"/>
      <c r="AB27" s="22"/>
      <c r="AC27" s="22"/>
    </row>
    <row r="28" spans="1:29">
      <c r="A28" s="392" t="s">
        <v>507</v>
      </c>
      <c r="B28" s="392" t="s">
        <v>499</v>
      </c>
      <c r="C28" s="481">
        <v>2300</v>
      </c>
      <c r="D28" s="481">
        <v>3400</v>
      </c>
      <c r="E28" s="99">
        <f t="shared" si="3"/>
        <v>2438</v>
      </c>
      <c r="F28" s="99">
        <f t="shared" si="4"/>
        <v>3604</v>
      </c>
      <c r="G28" s="99"/>
      <c r="H28" s="99"/>
      <c r="I28" s="99"/>
      <c r="J28" s="99"/>
      <c r="K28" s="99"/>
      <c r="L28" s="99"/>
      <c r="M28" s="22"/>
      <c r="N28" s="22"/>
      <c r="O28" s="286">
        <f>INDEX(C28:L28,1,$O$8)</f>
        <v>3604</v>
      </c>
      <c r="P28" s="22"/>
      <c r="Q28" s="22"/>
      <c r="R28" s="78"/>
      <c r="S28" s="78"/>
      <c r="T28" s="78"/>
      <c r="U28" s="78"/>
      <c r="V28" s="78"/>
      <c r="W28" s="78"/>
      <c r="X28" s="78"/>
      <c r="Y28" s="78"/>
      <c r="Z28" s="22"/>
      <c r="AA28" s="22"/>
      <c r="AB28" s="22"/>
      <c r="AC28" s="22"/>
    </row>
    <row r="29" spans="1:29">
      <c r="A29" s="392" t="s">
        <v>500</v>
      </c>
      <c r="B29" s="392" t="s">
        <v>496</v>
      </c>
      <c r="C29" s="481">
        <v>180000</v>
      </c>
      <c r="D29" s="481">
        <v>230000</v>
      </c>
      <c r="E29" s="99">
        <f t="shared" si="3"/>
        <v>190800</v>
      </c>
      <c r="F29" s="99">
        <f t="shared" si="4"/>
        <v>243800</v>
      </c>
      <c r="G29" s="99"/>
      <c r="H29" s="99"/>
      <c r="I29" s="99"/>
      <c r="J29" s="99"/>
      <c r="K29" s="99"/>
      <c r="L29" s="99"/>
      <c r="M29" s="22"/>
      <c r="N29" s="22"/>
      <c r="O29" s="286">
        <f>INDEX(C29:L29,1,$O$8)</f>
        <v>243800</v>
      </c>
      <c r="P29" s="22"/>
      <c r="Q29" s="22"/>
      <c r="R29" s="78"/>
      <c r="S29" s="78"/>
      <c r="T29" s="78"/>
      <c r="U29" s="78"/>
      <c r="V29" s="78"/>
      <c r="W29" s="78"/>
      <c r="X29" s="78"/>
      <c r="Y29" s="78"/>
      <c r="Z29" s="22"/>
      <c r="AA29" s="22"/>
      <c r="AB29" s="22"/>
      <c r="AC29" s="22"/>
    </row>
    <row r="30" spans="1:29">
      <c r="A30" s="392" t="s">
        <v>501</v>
      </c>
      <c r="B30" s="392" t="s">
        <v>159</v>
      </c>
      <c r="C30" s="481">
        <v>21</v>
      </c>
      <c r="D30" s="481">
        <v>24</v>
      </c>
      <c r="E30" s="99">
        <f t="shared" si="3"/>
        <v>22.26</v>
      </c>
      <c r="F30" s="99">
        <f t="shared" si="4"/>
        <v>25.44</v>
      </c>
      <c r="G30" s="99"/>
      <c r="H30" s="99"/>
      <c r="I30" s="99"/>
      <c r="J30" s="99"/>
      <c r="K30" s="99"/>
      <c r="L30" s="99"/>
      <c r="M30" s="22"/>
      <c r="N30" s="22"/>
      <c r="O30" s="286">
        <f>INDEX(C30:L30,1,$O$8)</f>
        <v>25.44</v>
      </c>
      <c r="P30" s="22"/>
      <c r="Q30" s="22"/>
      <c r="R30" s="78"/>
      <c r="S30" s="78"/>
      <c r="T30" s="78"/>
      <c r="U30" s="78"/>
      <c r="V30" s="78"/>
      <c r="W30" s="78"/>
      <c r="X30" s="78"/>
      <c r="Y30" s="78"/>
      <c r="Z30" s="22"/>
      <c r="AA30" s="22"/>
      <c r="AB30" s="22"/>
      <c r="AC30" s="22"/>
    </row>
    <row r="31" spans="1:29">
      <c r="A31" s="393" t="s">
        <v>502</v>
      </c>
      <c r="B31" s="393" t="s">
        <v>503</v>
      </c>
      <c r="C31" s="481">
        <v>78</v>
      </c>
      <c r="D31" s="481">
        <v>55</v>
      </c>
      <c r="E31" s="99">
        <f t="shared" si="3"/>
        <v>82.68</v>
      </c>
      <c r="F31" s="99">
        <f t="shared" si="4"/>
        <v>58.300000000000004</v>
      </c>
      <c r="G31" s="99"/>
      <c r="H31" s="99"/>
      <c r="I31" s="99"/>
      <c r="J31" s="99"/>
      <c r="K31" s="99"/>
      <c r="L31" s="99"/>
      <c r="M31" s="22"/>
      <c r="N31" s="22"/>
      <c r="O31" s="287">
        <f>INDEX(C31:L31,1,$O$8)</f>
        <v>58.300000000000004</v>
      </c>
      <c r="P31" s="22"/>
      <c r="Q31" s="22"/>
      <c r="R31" s="22"/>
      <c r="S31" s="22"/>
      <c r="T31" s="22"/>
      <c r="U31" s="22"/>
      <c r="V31" s="22"/>
      <c r="W31" s="22"/>
      <c r="X31" s="22"/>
      <c r="Y31" s="22"/>
      <c r="Z31" s="22"/>
      <c r="AA31" s="22"/>
      <c r="AB31" s="22"/>
      <c r="AC31" s="22"/>
    </row>
    <row r="32" spans="1:29">
      <c r="A32" s="22"/>
      <c r="B32" s="22"/>
      <c r="C32" s="288"/>
      <c r="D32" s="288"/>
      <c r="E32" s="405"/>
      <c r="F32" s="405"/>
      <c r="G32" s="405"/>
      <c r="H32" s="405"/>
      <c r="I32" s="405"/>
      <c r="J32" s="405"/>
      <c r="K32" s="405"/>
      <c r="L32" s="405"/>
      <c r="M32" s="22"/>
      <c r="N32" s="22"/>
      <c r="O32" s="22"/>
      <c r="P32" s="22"/>
      <c r="Q32" s="22"/>
      <c r="R32" s="22"/>
      <c r="S32" s="22"/>
      <c r="T32" s="22"/>
      <c r="U32" s="22"/>
      <c r="V32" s="22"/>
      <c r="W32" s="22"/>
      <c r="X32" s="22"/>
      <c r="Y32" s="22"/>
      <c r="Z32" s="22"/>
      <c r="AA32" s="22"/>
      <c r="AB32" s="22"/>
      <c r="AC32" s="22"/>
    </row>
    <row r="33" spans="1:29">
      <c r="A33" s="390" t="s">
        <v>504</v>
      </c>
      <c r="B33" s="22"/>
      <c r="C33" s="288"/>
      <c r="D33" s="288"/>
      <c r="E33" s="405"/>
      <c r="F33" s="405"/>
      <c r="G33" s="405"/>
      <c r="H33" s="405"/>
      <c r="I33" s="405"/>
      <c r="J33" s="405"/>
      <c r="K33" s="405"/>
      <c r="L33" s="405"/>
      <c r="M33" s="22"/>
      <c r="N33" s="22"/>
      <c r="O33" s="22"/>
      <c r="P33" s="22"/>
      <c r="Q33" s="22"/>
      <c r="R33" s="22"/>
      <c r="S33" s="333"/>
      <c r="T33" s="333"/>
      <c r="U33" s="333"/>
      <c r="V33" s="333"/>
      <c r="W33" s="333"/>
      <c r="X33" s="333"/>
      <c r="Y33" s="333"/>
      <c r="Z33" s="22"/>
      <c r="AA33" s="22"/>
      <c r="AB33" s="22"/>
      <c r="AC33" s="22"/>
    </row>
    <row r="34" spans="1:29">
      <c r="A34" s="391" t="s">
        <v>498</v>
      </c>
      <c r="B34" s="391" t="s">
        <v>2</v>
      </c>
      <c r="C34" s="482">
        <v>3000</v>
      </c>
      <c r="D34" s="482">
        <v>6000</v>
      </c>
      <c r="E34" s="99">
        <f t="shared" ref="E34:E36" si="5">C34*1.06</f>
        <v>3180</v>
      </c>
      <c r="F34" s="99">
        <f t="shared" ref="F34:F36" si="6">D34*1.06</f>
        <v>6360</v>
      </c>
      <c r="G34" s="99"/>
      <c r="H34" s="99"/>
      <c r="I34" s="99"/>
      <c r="J34" s="99"/>
      <c r="K34" s="99"/>
      <c r="L34" s="99"/>
      <c r="M34" s="22"/>
      <c r="N34" s="22"/>
      <c r="O34" s="285">
        <f>INDEX(C34:L34,1,$O$8)</f>
        <v>6360</v>
      </c>
      <c r="P34" s="22"/>
      <c r="Q34" s="22"/>
      <c r="R34" s="22"/>
      <c r="S34" s="22"/>
      <c r="T34" s="22"/>
      <c r="U34" s="22"/>
      <c r="V34" s="22"/>
      <c r="W34" s="22"/>
      <c r="X34" s="22"/>
      <c r="Y34" s="22"/>
      <c r="Z34" s="22"/>
      <c r="AA34" s="22"/>
      <c r="AB34" s="22"/>
      <c r="AC34" s="22"/>
    </row>
    <row r="35" spans="1:29">
      <c r="A35" s="392" t="s">
        <v>507</v>
      </c>
      <c r="B35" s="392" t="s">
        <v>499</v>
      </c>
      <c r="C35" s="482">
        <v>2300</v>
      </c>
      <c r="D35" s="482">
        <v>3200</v>
      </c>
      <c r="E35" s="99">
        <f t="shared" si="5"/>
        <v>2438</v>
      </c>
      <c r="F35" s="99">
        <f t="shared" si="6"/>
        <v>3392</v>
      </c>
      <c r="G35" s="99"/>
      <c r="H35" s="99"/>
      <c r="I35" s="99"/>
      <c r="J35" s="99"/>
      <c r="K35" s="99"/>
      <c r="L35" s="99"/>
      <c r="M35" s="22"/>
      <c r="N35" s="22"/>
      <c r="O35" s="286">
        <f>INDEX(C35:L35,1,$O$8)</f>
        <v>3392</v>
      </c>
      <c r="P35" s="22"/>
      <c r="Q35" s="22"/>
      <c r="R35" s="81"/>
      <c r="S35" s="81"/>
      <c r="T35" s="81"/>
      <c r="U35" s="81"/>
      <c r="V35" s="81"/>
      <c r="W35" s="81"/>
      <c r="X35" s="81"/>
      <c r="Y35" s="81"/>
      <c r="Z35" s="22"/>
      <c r="AA35" s="22"/>
      <c r="AB35" s="22"/>
      <c r="AC35" s="22"/>
    </row>
    <row r="36" spans="1:29">
      <c r="A36" s="392" t="s">
        <v>500</v>
      </c>
      <c r="B36" s="392" t="s">
        <v>496</v>
      </c>
      <c r="C36" s="482">
        <f>C29</f>
        <v>180000</v>
      </c>
      <c r="D36" s="482">
        <v>230000</v>
      </c>
      <c r="E36" s="99">
        <f t="shared" si="5"/>
        <v>190800</v>
      </c>
      <c r="F36" s="99">
        <f t="shared" si="6"/>
        <v>243800</v>
      </c>
      <c r="G36" s="99"/>
      <c r="H36" s="99"/>
      <c r="I36" s="99"/>
      <c r="J36" s="99"/>
      <c r="K36" s="99"/>
      <c r="L36" s="99"/>
      <c r="M36" s="22"/>
      <c r="N36" s="22"/>
      <c r="O36" s="286">
        <f>INDEX(C36:L36,1,$O$8)</f>
        <v>243800</v>
      </c>
      <c r="P36" s="22"/>
      <c r="Q36" s="22"/>
      <c r="R36" s="22"/>
      <c r="S36" s="22"/>
      <c r="T36" s="22"/>
      <c r="U36" s="22"/>
      <c r="V36" s="22"/>
      <c r="W36" s="22"/>
      <c r="X36" s="22"/>
      <c r="Y36" s="22"/>
      <c r="Z36" s="22"/>
      <c r="AA36" s="22"/>
      <c r="AB36" s="22"/>
      <c r="AC36" s="22"/>
    </row>
    <row r="37" spans="1:29">
      <c r="A37" s="392" t="s">
        <v>501</v>
      </c>
      <c r="B37" s="392" t="s">
        <v>159</v>
      </c>
      <c r="C37" s="482">
        <v>2</v>
      </c>
      <c r="D37" s="482">
        <v>3</v>
      </c>
      <c r="E37" s="99">
        <f t="shared" ref="E37:E38" si="7">C37</f>
        <v>2</v>
      </c>
      <c r="F37" s="99">
        <f t="shared" ref="F37:F38" si="8">D37</f>
        <v>3</v>
      </c>
      <c r="G37" s="99"/>
      <c r="H37" s="99"/>
      <c r="I37" s="99"/>
      <c r="J37" s="99"/>
      <c r="K37" s="99"/>
      <c r="L37" s="99"/>
      <c r="M37" s="22"/>
      <c r="N37" s="22"/>
      <c r="O37" s="286">
        <f>INDEX(C37:L37,1,$O$8)</f>
        <v>3</v>
      </c>
      <c r="P37" s="22"/>
      <c r="Q37" s="22"/>
      <c r="R37" s="22"/>
      <c r="S37" s="22"/>
      <c r="T37" s="22"/>
      <c r="U37" s="22"/>
      <c r="V37" s="22"/>
      <c r="W37" s="22"/>
      <c r="X37" s="22"/>
      <c r="Y37" s="22"/>
      <c r="Z37" s="22"/>
      <c r="AA37" s="22"/>
      <c r="AB37" s="22"/>
      <c r="AC37" s="22"/>
    </row>
    <row r="38" spans="1:29">
      <c r="A38" s="393" t="s">
        <v>502</v>
      </c>
      <c r="B38" s="393" t="s">
        <v>503</v>
      </c>
      <c r="C38" s="482">
        <v>90</v>
      </c>
      <c r="D38" s="482">
        <v>65</v>
      </c>
      <c r="E38" s="99">
        <f t="shared" si="7"/>
        <v>90</v>
      </c>
      <c r="F38" s="99">
        <f t="shared" si="8"/>
        <v>65</v>
      </c>
      <c r="G38" s="99"/>
      <c r="H38" s="99"/>
      <c r="I38" s="99"/>
      <c r="J38" s="99"/>
      <c r="K38" s="99"/>
      <c r="L38" s="99"/>
      <c r="M38" s="22"/>
      <c r="N38" s="22"/>
      <c r="O38" s="287">
        <f>INDEX(C38:L38,1,$O$8)</f>
        <v>65</v>
      </c>
      <c r="P38" s="22"/>
      <c r="Q38" s="22"/>
      <c r="R38" s="22"/>
      <c r="S38" s="22"/>
      <c r="T38" s="22"/>
      <c r="U38" s="22"/>
      <c r="V38" s="22"/>
      <c r="W38" s="22"/>
      <c r="X38" s="22"/>
      <c r="Y38" s="22"/>
      <c r="Z38" s="22"/>
      <c r="AA38" s="22"/>
      <c r="AB38" s="22"/>
      <c r="AC38" s="22"/>
    </row>
    <row r="39" spans="1:29">
      <c r="A39" s="22"/>
      <c r="B39" s="22"/>
      <c r="C39" s="288"/>
      <c r="D39" s="288"/>
      <c r="E39" s="405"/>
      <c r="F39" s="405"/>
      <c r="G39" s="405"/>
      <c r="H39" s="405"/>
      <c r="I39" s="405"/>
      <c r="J39" s="405"/>
      <c r="K39" s="405"/>
      <c r="L39" s="405"/>
      <c r="M39" s="22"/>
      <c r="N39" s="22"/>
      <c r="O39" s="22"/>
      <c r="P39" s="22"/>
      <c r="Q39" s="22"/>
      <c r="R39" s="22"/>
      <c r="S39" s="22"/>
      <c r="T39" s="22"/>
      <c r="U39" s="22"/>
      <c r="V39" s="22"/>
      <c r="W39" s="22"/>
      <c r="X39" s="22"/>
      <c r="Y39" s="22"/>
      <c r="Z39" s="22"/>
      <c r="AA39" s="22"/>
      <c r="AB39" s="22"/>
      <c r="AC39" s="22"/>
    </row>
    <row r="40" spans="1:29">
      <c r="A40" s="390" t="s">
        <v>505</v>
      </c>
      <c r="B40" s="22"/>
      <c r="C40" s="288"/>
      <c r="D40" s="288"/>
      <c r="E40" s="405"/>
      <c r="F40" s="405"/>
      <c r="G40" s="405"/>
      <c r="H40" s="405"/>
      <c r="I40" s="405"/>
      <c r="J40" s="405"/>
      <c r="K40" s="405"/>
      <c r="L40" s="405"/>
      <c r="M40" s="22"/>
      <c r="N40" s="22"/>
      <c r="O40" s="22"/>
      <c r="P40" s="22"/>
      <c r="Q40" s="22"/>
      <c r="R40" s="22">
        <f>R26</f>
        <v>0</v>
      </c>
      <c r="S40" s="22">
        <f>R40+300</f>
        <v>300</v>
      </c>
      <c r="T40" s="22">
        <f t="shared" ref="T40:Y40" si="9">S40+300</f>
        <v>600</v>
      </c>
      <c r="U40" s="22">
        <f t="shared" si="9"/>
        <v>900</v>
      </c>
      <c r="V40" s="22">
        <f t="shared" si="9"/>
        <v>1200</v>
      </c>
      <c r="W40" s="22">
        <f t="shared" si="9"/>
        <v>1500</v>
      </c>
      <c r="X40" s="22">
        <f t="shared" si="9"/>
        <v>1800</v>
      </c>
      <c r="Y40" s="22">
        <f t="shared" si="9"/>
        <v>2100</v>
      </c>
      <c r="Z40" s="22"/>
      <c r="AA40" s="22"/>
      <c r="AB40" s="22"/>
      <c r="AC40" s="22"/>
    </row>
    <row r="41" spans="1:29">
      <c r="A41" s="391" t="s">
        <v>498</v>
      </c>
      <c r="B41" s="391" t="s">
        <v>2</v>
      </c>
      <c r="C41" s="482">
        <v>700</v>
      </c>
      <c r="D41" s="482">
        <v>700</v>
      </c>
      <c r="E41" s="99">
        <f t="shared" ref="E41:E43" si="10">C41*1.06</f>
        <v>742</v>
      </c>
      <c r="F41" s="99">
        <f t="shared" ref="F41:F43" si="11">D41*1.06</f>
        <v>742</v>
      </c>
      <c r="G41" s="99"/>
      <c r="H41" s="99"/>
      <c r="I41" s="99"/>
      <c r="J41" s="99"/>
      <c r="K41" s="99"/>
      <c r="L41" s="99"/>
      <c r="M41" s="22"/>
      <c r="N41" s="22"/>
      <c r="O41" s="285">
        <f>INDEX(C41:L41,1,$O$8)</f>
        <v>742</v>
      </c>
      <c r="P41" s="22"/>
      <c r="Q41" s="22" t="s">
        <v>506</v>
      </c>
      <c r="R41" s="22">
        <f>$O41+$O42*R40/1000</f>
        <v>742</v>
      </c>
      <c r="S41" s="22">
        <f t="shared" ref="S41:Y41" si="12">$O41+$O42*S40/1000</f>
        <v>1028.2</v>
      </c>
      <c r="T41" s="22">
        <f t="shared" si="12"/>
        <v>1314.4</v>
      </c>
      <c r="U41" s="22">
        <f t="shared" si="12"/>
        <v>1600.6</v>
      </c>
      <c r="V41" s="22">
        <f t="shared" si="12"/>
        <v>1886.8</v>
      </c>
      <c r="W41" s="22">
        <f t="shared" si="12"/>
        <v>2173</v>
      </c>
      <c r="X41" s="22">
        <f t="shared" si="12"/>
        <v>2459.1999999999998</v>
      </c>
      <c r="Y41" s="22">
        <f t="shared" si="12"/>
        <v>2745.4</v>
      </c>
      <c r="Z41" s="22"/>
      <c r="AA41" s="22"/>
      <c r="AB41" s="22"/>
      <c r="AC41" s="22"/>
    </row>
    <row r="42" spans="1:29">
      <c r="A42" s="392" t="s">
        <v>507</v>
      </c>
      <c r="B42" s="392" t="s">
        <v>499</v>
      </c>
      <c r="C42" s="482">
        <v>900</v>
      </c>
      <c r="D42" s="482">
        <v>900</v>
      </c>
      <c r="E42" s="99">
        <f t="shared" si="10"/>
        <v>954</v>
      </c>
      <c r="F42" s="99">
        <f t="shared" si="11"/>
        <v>954</v>
      </c>
      <c r="G42" s="99"/>
      <c r="H42" s="99"/>
      <c r="I42" s="99"/>
      <c r="J42" s="99"/>
      <c r="K42" s="99"/>
      <c r="L42" s="99"/>
      <c r="M42" s="22"/>
      <c r="N42" s="22"/>
      <c r="O42" s="286">
        <f t="shared" ref="O42:O47" si="13">INDEX(C42:L42,1,$O$8)</f>
        <v>954</v>
      </c>
      <c r="P42" s="22"/>
      <c r="Q42" s="22" t="s">
        <v>159</v>
      </c>
      <c r="R42" s="81">
        <f>R40/$O45+$O44</f>
        <v>3</v>
      </c>
      <c r="S42" s="81">
        <f t="shared" ref="S42:Y42" si="14">S40/$O45+$O44</f>
        <v>3.5</v>
      </c>
      <c r="T42" s="81">
        <f t="shared" si="14"/>
        <v>4</v>
      </c>
      <c r="U42" s="81">
        <f t="shared" si="14"/>
        <v>4.5</v>
      </c>
      <c r="V42" s="81">
        <f t="shared" si="14"/>
        <v>5</v>
      </c>
      <c r="W42" s="81">
        <f t="shared" si="14"/>
        <v>5.5</v>
      </c>
      <c r="X42" s="81">
        <f t="shared" si="14"/>
        <v>6</v>
      </c>
      <c r="Y42" s="81">
        <f t="shared" si="14"/>
        <v>6.5</v>
      </c>
      <c r="Z42" s="22"/>
      <c r="AA42" s="22"/>
      <c r="AB42" s="22"/>
      <c r="AC42" s="22"/>
    </row>
    <row r="43" spans="1:29">
      <c r="A43" s="392" t="s">
        <v>500</v>
      </c>
      <c r="B43" s="392" t="s">
        <v>496</v>
      </c>
      <c r="C43" s="482">
        <v>50000</v>
      </c>
      <c r="D43" s="482">
        <v>80000</v>
      </c>
      <c r="E43" s="99">
        <f t="shared" si="10"/>
        <v>53000</v>
      </c>
      <c r="F43" s="99">
        <f t="shared" si="11"/>
        <v>84800</v>
      </c>
      <c r="G43" s="99"/>
      <c r="H43" s="99"/>
      <c r="I43" s="99"/>
      <c r="J43" s="99"/>
      <c r="K43" s="99"/>
      <c r="L43" s="99"/>
      <c r="M43" s="22"/>
      <c r="N43" s="22"/>
      <c r="O43" s="286">
        <f t="shared" si="13"/>
        <v>84800</v>
      </c>
      <c r="P43" s="22"/>
      <c r="Q43" s="22" t="s">
        <v>508</v>
      </c>
      <c r="R43" s="22">
        <f t="shared" ref="R43:Y43" si="15">($O43+$O$24)*R42/1000</f>
        <v>1304.4000000000001</v>
      </c>
      <c r="S43" s="22">
        <f t="shared" si="15"/>
        <v>1521.8</v>
      </c>
      <c r="T43" s="22">
        <f t="shared" si="15"/>
        <v>1739.2</v>
      </c>
      <c r="U43" s="22">
        <f t="shared" si="15"/>
        <v>1956.6</v>
      </c>
      <c r="V43" s="22">
        <f t="shared" si="15"/>
        <v>2174</v>
      </c>
      <c r="W43" s="22">
        <f t="shared" si="15"/>
        <v>2391.4</v>
      </c>
      <c r="X43" s="22">
        <f t="shared" si="15"/>
        <v>2608.8000000000002</v>
      </c>
      <c r="Y43" s="22">
        <f t="shared" si="15"/>
        <v>2826.2</v>
      </c>
      <c r="Z43" s="22"/>
      <c r="AA43" s="22"/>
      <c r="AB43" s="22"/>
      <c r="AC43" s="22"/>
    </row>
    <row r="44" spans="1:29">
      <c r="A44" s="392" t="s">
        <v>501</v>
      </c>
      <c r="B44" s="392" t="s">
        <v>159</v>
      </c>
      <c r="C44" s="482">
        <v>2</v>
      </c>
      <c r="D44" s="482">
        <v>3</v>
      </c>
      <c r="E44" s="99">
        <f t="shared" ref="E44:E47" si="16">C44</f>
        <v>2</v>
      </c>
      <c r="F44" s="99">
        <f t="shared" ref="F44:F47" si="17">D44</f>
        <v>3</v>
      </c>
      <c r="G44" s="99"/>
      <c r="H44" s="99"/>
      <c r="I44" s="99"/>
      <c r="J44" s="99"/>
      <c r="K44" s="99"/>
      <c r="L44" s="99"/>
      <c r="M44" s="22"/>
      <c r="N44" s="22"/>
      <c r="O44" s="286">
        <f t="shared" si="13"/>
        <v>3</v>
      </c>
      <c r="P44" s="22"/>
      <c r="Q44" s="22" t="s">
        <v>210</v>
      </c>
      <c r="R44" s="22">
        <f>R43+R41</f>
        <v>2046.4</v>
      </c>
      <c r="S44" s="22">
        <f t="shared" ref="S44:Y44" si="18">S43+S41</f>
        <v>2550</v>
      </c>
      <c r="T44" s="22">
        <f t="shared" si="18"/>
        <v>3053.6000000000004</v>
      </c>
      <c r="U44" s="22">
        <f t="shared" si="18"/>
        <v>3557.2</v>
      </c>
      <c r="V44" s="22">
        <f t="shared" si="18"/>
        <v>4060.8</v>
      </c>
      <c r="W44" s="22">
        <f t="shared" si="18"/>
        <v>4564.3999999999996</v>
      </c>
      <c r="X44" s="22">
        <f t="shared" si="18"/>
        <v>5068</v>
      </c>
      <c r="Y44" s="22">
        <f t="shared" si="18"/>
        <v>5571.6</v>
      </c>
      <c r="Z44" s="22"/>
      <c r="AA44" s="22"/>
      <c r="AB44" s="22"/>
      <c r="AC44" s="22"/>
    </row>
    <row r="45" spans="1:29">
      <c r="A45" s="392" t="s">
        <v>502</v>
      </c>
      <c r="B45" s="392" t="s">
        <v>503</v>
      </c>
      <c r="C45" s="482">
        <v>600</v>
      </c>
      <c r="D45" s="482">
        <v>600</v>
      </c>
      <c r="E45" s="99">
        <f t="shared" si="16"/>
        <v>600</v>
      </c>
      <c r="F45" s="99">
        <f t="shared" si="17"/>
        <v>600</v>
      </c>
      <c r="G45" s="99"/>
      <c r="H45" s="99"/>
      <c r="I45" s="99"/>
      <c r="J45" s="99"/>
      <c r="K45" s="99"/>
      <c r="L45" s="99"/>
      <c r="M45" s="22"/>
      <c r="N45" s="22"/>
      <c r="O45" s="286">
        <f t="shared" si="13"/>
        <v>600</v>
      </c>
      <c r="P45" s="22"/>
      <c r="Q45" s="22"/>
      <c r="R45" s="22"/>
      <c r="S45" s="22"/>
      <c r="T45" s="22"/>
      <c r="U45" s="22"/>
      <c r="V45" s="22"/>
      <c r="W45" s="22"/>
      <c r="X45" s="22"/>
      <c r="Y45" s="22"/>
      <c r="Z45" s="22"/>
      <c r="AA45" s="22"/>
      <c r="AB45" s="22"/>
      <c r="AC45" s="22"/>
    </row>
    <row r="46" spans="1:29">
      <c r="A46" s="392" t="s">
        <v>509</v>
      </c>
      <c r="B46" s="392" t="s">
        <v>159</v>
      </c>
      <c r="C46" s="482">
        <v>4</v>
      </c>
      <c r="D46" s="482">
        <v>4</v>
      </c>
      <c r="E46" s="99">
        <f t="shared" si="16"/>
        <v>4</v>
      </c>
      <c r="F46" s="99">
        <f t="shared" si="17"/>
        <v>4</v>
      </c>
      <c r="G46" s="99"/>
      <c r="H46" s="99"/>
      <c r="I46" s="99"/>
      <c r="J46" s="99"/>
      <c r="K46" s="99"/>
      <c r="L46" s="99"/>
      <c r="M46" s="22"/>
      <c r="N46" s="22"/>
      <c r="O46" s="286">
        <f t="shared" si="13"/>
        <v>4</v>
      </c>
      <c r="P46" s="22"/>
      <c r="Q46" s="22"/>
      <c r="R46" s="22"/>
      <c r="S46" s="22"/>
      <c r="T46" s="22"/>
      <c r="U46" s="22"/>
      <c r="V46" s="22"/>
      <c r="W46" s="22"/>
      <c r="X46" s="22"/>
      <c r="Y46" s="22"/>
      <c r="Z46" s="22"/>
      <c r="AA46" s="22"/>
      <c r="AB46" s="22"/>
      <c r="AC46" s="22"/>
    </row>
    <row r="47" spans="1:29">
      <c r="A47" s="393" t="s">
        <v>510</v>
      </c>
      <c r="B47" s="393" t="s">
        <v>159</v>
      </c>
      <c r="C47" s="482">
        <v>2</v>
      </c>
      <c r="D47" s="482">
        <v>2</v>
      </c>
      <c r="E47" s="99">
        <f t="shared" si="16"/>
        <v>2</v>
      </c>
      <c r="F47" s="99">
        <f t="shared" si="17"/>
        <v>2</v>
      </c>
      <c r="G47" s="99"/>
      <c r="H47" s="99"/>
      <c r="I47" s="99"/>
      <c r="J47" s="99"/>
      <c r="K47" s="99"/>
      <c r="L47" s="99"/>
      <c r="M47" s="22"/>
      <c r="N47" s="22"/>
      <c r="O47" s="287">
        <f t="shared" si="13"/>
        <v>2</v>
      </c>
      <c r="P47" s="22"/>
      <c r="Q47" s="22"/>
      <c r="R47" s="22"/>
      <c r="S47" s="22"/>
      <c r="T47" s="22"/>
      <c r="U47" s="22"/>
      <c r="V47" s="22"/>
      <c r="W47" s="22"/>
      <c r="X47" s="22"/>
      <c r="Y47" s="22"/>
      <c r="Z47" s="22"/>
      <c r="AA47" s="22"/>
      <c r="AB47" s="22"/>
      <c r="AC47" s="22"/>
    </row>
    <row r="48" spans="1:29">
      <c r="A48" s="22"/>
      <c r="B48" s="22"/>
      <c r="C48" s="288"/>
      <c r="D48" s="288"/>
      <c r="E48" s="405"/>
      <c r="F48" s="405"/>
      <c r="G48" s="405"/>
      <c r="H48" s="405"/>
      <c r="I48" s="405"/>
      <c r="J48" s="405"/>
      <c r="K48" s="405"/>
      <c r="L48" s="405"/>
      <c r="M48" s="22"/>
      <c r="N48" s="22"/>
      <c r="O48" s="22"/>
      <c r="P48" s="22"/>
      <c r="Q48" s="22"/>
      <c r="R48" s="22"/>
      <c r="S48" s="22"/>
      <c r="T48" s="22"/>
      <c r="U48" s="22"/>
      <c r="V48" s="22"/>
      <c r="W48" s="22"/>
      <c r="X48" s="22"/>
      <c r="Y48" s="22"/>
      <c r="Z48" s="22"/>
      <c r="AA48" s="22"/>
      <c r="AB48" s="22"/>
      <c r="AC48" s="22"/>
    </row>
    <row r="49" spans="1:29">
      <c r="A49" s="390" t="s">
        <v>229</v>
      </c>
      <c r="B49" s="22"/>
      <c r="C49" s="288"/>
      <c r="D49" s="288"/>
      <c r="E49" s="405"/>
      <c r="F49" s="405"/>
      <c r="G49" s="405"/>
      <c r="H49" s="405"/>
      <c r="I49" s="405"/>
      <c r="J49" s="405"/>
      <c r="K49" s="405"/>
      <c r="L49" s="405"/>
      <c r="M49" s="22"/>
      <c r="N49" s="22"/>
      <c r="O49" s="22"/>
      <c r="P49" s="22"/>
      <c r="Q49" s="22"/>
      <c r="R49" s="22"/>
      <c r="S49" s="22"/>
      <c r="T49" s="22"/>
      <c r="U49" s="22"/>
      <c r="V49" s="22"/>
      <c r="W49" s="22"/>
      <c r="X49" s="22"/>
      <c r="Y49" s="22"/>
      <c r="Z49" s="22"/>
      <c r="AA49" s="22"/>
      <c r="AB49" s="22"/>
      <c r="AC49" s="22"/>
    </row>
    <row r="50" spans="1:29">
      <c r="A50" s="391" t="s">
        <v>511</v>
      </c>
      <c r="B50" s="391" t="s">
        <v>2</v>
      </c>
      <c r="C50" s="482">
        <v>5000</v>
      </c>
      <c r="D50" s="482">
        <v>10000</v>
      </c>
      <c r="E50" s="99">
        <f t="shared" ref="E50:E51" si="19">C50*1.06</f>
        <v>5300</v>
      </c>
      <c r="F50" s="99">
        <f t="shared" ref="F50:F51" si="20">D50*1.06</f>
        <v>10600</v>
      </c>
      <c r="G50" s="99"/>
      <c r="H50" s="99"/>
      <c r="I50" s="99"/>
      <c r="J50" s="99"/>
      <c r="K50" s="99"/>
      <c r="L50" s="99"/>
      <c r="M50" s="22"/>
      <c r="N50" s="22"/>
      <c r="O50" s="285">
        <f>INDEX(C50:L50,1,$O$8)</f>
        <v>10600</v>
      </c>
      <c r="P50" s="22"/>
      <c r="Q50" s="22"/>
      <c r="R50" s="22"/>
      <c r="S50" s="22"/>
      <c r="T50" s="22"/>
      <c r="U50" s="22"/>
      <c r="V50" s="22"/>
      <c r="W50" s="22"/>
      <c r="X50" s="22"/>
      <c r="Y50" s="22"/>
      <c r="Z50" s="22"/>
      <c r="AA50" s="22"/>
      <c r="AB50" s="22"/>
      <c r="AC50" s="22"/>
    </row>
    <row r="51" spans="1:29">
      <c r="A51" s="393" t="s">
        <v>512</v>
      </c>
      <c r="B51" s="393" t="s">
        <v>513</v>
      </c>
      <c r="C51" s="482">
        <v>3</v>
      </c>
      <c r="D51" s="482">
        <v>3</v>
      </c>
      <c r="E51" s="99">
        <f t="shared" si="19"/>
        <v>3.18</v>
      </c>
      <c r="F51" s="99">
        <f t="shared" si="20"/>
        <v>3.18</v>
      </c>
      <c r="G51" s="99"/>
      <c r="H51" s="99"/>
      <c r="I51" s="99"/>
      <c r="J51" s="99"/>
      <c r="K51" s="99"/>
      <c r="L51" s="99"/>
      <c r="M51" s="22"/>
      <c r="N51" s="22"/>
      <c r="O51" s="287">
        <f>INDEX(C51:L51,1,$O$8)</f>
        <v>3.18</v>
      </c>
      <c r="P51" s="22"/>
      <c r="Q51" s="22"/>
      <c r="R51" s="22"/>
      <c r="S51" s="22"/>
      <c r="T51" s="22"/>
      <c r="U51" s="22"/>
      <c r="V51" s="22"/>
      <c r="W51" s="22"/>
      <c r="X51" s="22"/>
      <c r="Y51" s="22"/>
      <c r="Z51" s="22"/>
      <c r="AA51" s="22"/>
      <c r="AB51" s="22"/>
      <c r="AC51" s="22"/>
    </row>
    <row r="52" spans="1:29">
      <c r="A52" s="22"/>
      <c r="B52" s="22"/>
      <c r="C52" s="288"/>
      <c r="D52" s="288"/>
      <c r="E52" s="405"/>
      <c r="F52" s="405"/>
      <c r="G52" s="405"/>
      <c r="H52" s="405"/>
      <c r="I52" s="405"/>
      <c r="J52" s="405"/>
      <c r="K52" s="405"/>
      <c r="L52" s="405"/>
      <c r="M52" s="22"/>
      <c r="N52" s="22"/>
      <c r="O52" s="22"/>
      <c r="P52" s="22"/>
      <c r="Q52" s="22"/>
      <c r="R52" s="22"/>
      <c r="S52" s="22"/>
      <c r="T52" s="22"/>
      <c r="U52" s="22"/>
      <c r="V52" s="22"/>
      <c r="W52" s="22"/>
      <c r="X52" s="22"/>
      <c r="Y52" s="22"/>
      <c r="Z52" s="22"/>
      <c r="AA52" s="22"/>
      <c r="AB52" s="22"/>
      <c r="AC52" s="22"/>
    </row>
    <row r="53" spans="1:29">
      <c r="A53" s="390" t="s">
        <v>700</v>
      </c>
      <c r="B53" s="22"/>
      <c r="C53" s="288"/>
      <c r="D53" s="288"/>
      <c r="E53" s="405"/>
      <c r="F53" s="405"/>
      <c r="G53" s="405"/>
      <c r="H53" s="405"/>
      <c r="I53" s="405"/>
      <c r="J53" s="405"/>
      <c r="K53" s="405"/>
      <c r="L53" s="405"/>
      <c r="M53" s="22"/>
      <c r="N53" s="22"/>
      <c r="O53" s="22"/>
      <c r="P53" s="22"/>
      <c r="Q53" s="22"/>
      <c r="R53" s="22"/>
      <c r="S53" s="22"/>
      <c r="T53" s="22"/>
      <c r="U53" s="22"/>
      <c r="V53" s="22"/>
      <c r="W53" s="22"/>
      <c r="X53" s="22"/>
      <c r="Y53" s="22"/>
      <c r="Z53" s="22"/>
      <c r="AA53" s="22"/>
      <c r="AB53" s="22"/>
      <c r="AC53" s="22"/>
    </row>
    <row r="54" spans="1:29">
      <c r="A54" s="391" t="s">
        <v>514</v>
      </c>
      <c r="B54" s="391" t="s">
        <v>2</v>
      </c>
      <c r="C54" s="482">
        <v>7000</v>
      </c>
      <c r="D54" s="482"/>
      <c r="E54" s="99">
        <f t="shared" ref="E54:E74" si="21">C54*1.06</f>
        <v>7420</v>
      </c>
      <c r="F54" s="99">
        <f t="shared" ref="F54:F74" si="22">D54*1.06</f>
        <v>0</v>
      </c>
      <c r="G54" s="99"/>
      <c r="H54" s="99"/>
      <c r="I54" s="99"/>
      <c r="J54" s="99"/>
      <c r="K54" s="99"/>
      <c r="L54" s="99"/>
      <c r="M54" s="22"/>
      <c r="N54" s="22"/>
      <c r="O54" s="285">
        <f t="shared" ref="O54:O74" si="23">INDEX(C54:L54,1,$O$8)</f>
        <v>0</v>
      </c>
      <c r="P54" s="22"/>
      <c r="Q54" s="22"/>
      <c r="R54" s="22"/>
      <c r="S54" s="22"/>
      <c r="T54" s="22"/>
      <c r="U54" s="22"/>
      <c r="V54" s="22"/>
      <c r="W54" s="22"/>
      <c r="X54" s="22"/>
      <c r="Y54" s="22"/>
      <c r="Z54" s="22"/>
      <c r="AA54" s="22"/>
      <c r="AB54" s="22"/>
      <c r="AC54" s="22"/>
    </row>
    <row r="55" spans="1:29">
      <c r="A55" s="392" t="s">
        <v>748</v>
      </c>
      <c r="B55" s="392" t="s">
        <v>515</v>
      </c>
      <c r="C55" s="482">
        <v>450</v>
      </c>
      <c r="D55" s="482"/>
      <c r="E55" s="99">
        <f t="shared" si="21"/>
        <v>477</v>
      </c>
      <c r="F55" s="99">
        <f t="shared" si="22"/>
        <v>0</v>
      </c>
      <c r="G55" s="99"/>
      <c r="H55" s="99"/>
      <c r="I55" s="99"/>
      <c r="J55" s="99"/>
      <c r="K55" s="99"/>
      <c r="L55" s="99"/>
      <c r="M55" s="22"/>
      <c r="N55" s="22"/>
      <c r="O55" s="286">
        <f t="shared" si="23"/>
        <v>0</v>
      </c>
      <c r="P55" s="22"/>
      <c r="Q55" s="22"/>
      <c r="R55" s="22"/>
      <c r="S55" s="22"/>
      <c r="T55" s="22"/>
      <c r="U55" s="22"/>
      <c r="V55" s="22"/>
      <c r="W55" s="22"/>
      <c r="X55" s="22"/>
      <c r="Y55" s="22"/>
      <c r="Z55" s="22"/>
      <c r="AA55" s="22"/>
      <c r="AB55" s="22"/>
      <c r="AC55" s="22"/>
    </row>
    <row r="56" spans="1:29">
      <c r="A56" s="392" t="s">
        <v>516</v>
      </c>
      <c r="B56" s="392" t="s">
        <v>2</v>
      </c>
      <c r="C56" s="482">
        <v>25000</v>
      </c>
      <c r="D56" s="482"/>
      <c r="E56" s="99">
        <f t="shared" si="21"/>
        <v>26500</v>
      </c>
      <c r="F56" s="99">
        <f t="shared" si="22"/>
        <v>0</v>
      </c>
      <c r="G56" s="99"/>
      <c r="H56" s="99"/>
      <c r="I56" s="99"/>
      <c r="J56" s="99"/>
      <c r="K56" s="99"/>
      <c r="L56" s="99"/>
      <c r="M56" s="22"/>
      <c r="N56" s="22"/>
      <c r="O56" s="286">
        <f t="shared" si="23"/>
        <v>0</v>
      </c>
      <c r="P56" s="22"/>
      <c r="Q56" s="22"/>
      <c r="R56" s="22"/>
      <c r="S56" s="22"/>
      <c r="T56" s="22"/>
      <c r="U56" s="22"/>
      <c r="V56" s="22"/>
      <c r="W56" s="22"/>
      <c r="X56" s="22"/>
      <c r="Y56" s="22"/>
      <c r="Z56" s="22"/>
      <c r="AA56" s="22"/>
      <c r="AB56" s="22"/>
      <c r="AC56" s="22"/>
    </row>
    <row r="57" spans="1:29">
      <c r="A57" s="392" t="s">
        <v>517</v>
      </c>
      <c r="B57" s="392" t="s">
        <v>518</v>
      </c>
      <c r="C57" s="482">
        <v>850</v>
      </c>
      <c r="D57" s="482"/>
      <c r="E57" s="99">
        <f t="shared" si="21"/>
        <v>901</v>
      </c>
      <c r="F57" s="99">
        <f t="shared" si="22"/>
        <v>0</v>
      </c>
      <c r="G57" s="99"/>
      <c r="H57" s="99"/>
      <c r="I57" s="99"/>
      <c r="J57" s="99"/>
      <c r="K57" s="99"/>
      <c r="L57" s="99"/>
      <c r="M57" s="288"/>
      <c r="N57" s="288"/>
      <c r="O57" s="289">
        <f t="shared" si="23"/>
        <v>0</v>
      </c>
      <c r="P57" s="22"/>
      <c r="Q57" s="22"/>
      <c r="R57" s="22"/>
      <c r="S57" s="22"/>
      <c r="T57" s="22"/>
      <c r="U57" s="22"/>
      <c r="V57" s="22"/>
      <c r="W57" s="22"/>
      <c r="X57" s="22"/>
      <c r="Y57" s="22"/>
      <c r="Z57" s="22"/>
      <c r="AA57" s="22"/>
      <c r="AB57" s="22"/>
      <c r="AC57" s="22"/>
    </row>
    <row r="58" spans="1:29">
      <c r="A58" s="392" t="s">
        <v>519</v>
      </c>
      <c r="B58" s="392" t="s">
        <v>2</v>
      </c>
      <c r="C58" s="482">
        <v>320000</v>
      </c>
      <c r="D58" s="482"/>
      <c r="E58" s="99">
        <f t="shared" si="21"/>
        <v>339200</v>
      </c>
      <c r="F58" s="99">
        <f t="shared" si="22"/>
        <v>0</v>
      </c>
      <c r="G58" s="99"/>
      <c r="H58" s="99"/>
      <c r="I58" s="99"/>
      <c r="J58" s="99"/>
      <c r="K58" s="99"/>
      <c r="L58" s="99"/>
      <c r="M58" s="288"/>
      <c r="N58" s="288"/>
      <c r="O58" s="289">
        <f t="shared" si="23"/>
        <v>0</v>
      </c>
      <c r="P58" s="22"/>
      <c r="Q58" s="22"/>
      <c r="R58" s="22"/>
      <c r="S58" s="22"/>
      <c r="T58" s="22"/>
      <c r="U58" s="22"/>
      <c r="V58" s="22"/>
      <c r="W58" s="22"/>
      <c r="X58" s="22"/>
      <c r="Y58" s="22"/>
      <c r="Z58" s="22"/>
      <c r="AA58" s="22"/>
      <c r="AB58" s="22"/>
      <c r="AC58" s="22"/>
    </row>
    <row r="59" spans="1:29">
      <c r="A59" s="392" t="s">
        <v>520</v>
      </c>
      <c r="B59" s="392" t="s">
        <v>2</v>
      </c>
      <c r="C59" s="482">
        <f>C56</f>
        <v>25000</v>
      </c>
      <c r="D59" s="482"/>
      <c r="E59" s="99">
        <f t="shared" si="21"/>
        <v>26500</v>
      </c>
      <c r="F59" s="99">
        <f t="shared" si="22"/>
        <v>0</v>
      </c>
      <c r="G59" s="99"/>
      <c r="H59" s="99"/>
      <c r="I59" s="99"/>
      <c r="J59" s="99"/>
      <c r="K59" s="99"/>
      <c r="L59" s="99"/>
      <c r="M59" s="288"/>
      <c r="N59" s="288"/>
      <c r="O59" s="289">
        <f t="shared" si="23"/>
        <v>0</v>
      </c>
      <c r="P59" s="22"/>
      <c r="Q59" s="22"/>
      <c r="R59" s="22"/>
      <c r="S59" s="22"/>
      <c r="T59" s="22"/>
      <c r="U59" s="22"/>
      <c r="V59" s="22"/>
      <c r="W59" s="22"/>
      <c r="X59" s="22"/>
      <c r="Y59" s="22"/>
      <c r="Z59" s="22"/>
      <c r="AA59" s="22"/>
      <c r="AB59" s="22"/>
      <c r="AC59" s="22"/>
    </row>
    <row r="60" spans="1:29">
      <c r="A60" s="392" t="s">
        <v>521</v>
      </c>
      <c r="B60" s="392" t="s">
        <v>518</v>
      </c>
      <c r="C60" s="482">
        <v>600</v>
      </c>
      <c r="D60" s="482"/>
      <c r="E60" s="99">
        <f t="shared" si="21"/>
        <v>636</v>
      </c>
      <c r="F60" s="99">
        <f t="shared" si="22"/>
        <v>0</v>
      </c>
      <c r="G60" s="99"/>
      <c r="H60" s="99"/>
      <c r="I60" s="99"/>
      <c r="J60" s="99"/>
      <c r="K60" s="99"/>
      <c r="L60" s="99"/>
      <c r="M60" s="288"/>
      <c r="N60" s="288"/>
      <c r="O60" s="289">
        <f t="shared" si="23"/>
        <v>0</v>
      </c>
      <c r="P60" s="22"/>
      <c r="Q60" s="22"/>
      <c r="R60" s="22"/>
      <c r="S60" s="22"/>
      <c r="T60" s="22"/>
      <c r="U60" s="22"/>
      <c r="V60" s="22"/>
      <c r="W60" s="22"/>
      <c r="X60" s="22"/>
      <c r="Y60" s="22"/>
      <c r="Z60" s="22"/>
      <c r="AA60" s="22"/>
      <c r="AB60" s="22"/>
      <c r="AC60" s="22"/>
    </row>
    <row r="61" spans="1:29">
      <c r="A61" s="392" t="s">
        <v>883</v>
      </c>
      <c r="B61" s="392" t="s">
        <v>2</v>
      </c>
      <c r="C61" s="482">
        <v>3000</v>
      </c>
      <c r="D61" s="482"/>
      <c r="E61" s="99">
        <f t="shared" si="21"/>
        <v>3180</v>
      </c>
      <c r="F61" s="99">
        <f t="shared" si="22"/>
        <v>0</v>
      </c>
      <c r="G61" s="99"/>
      <c r="H61" s="99"/>
      <c r="I61" s="99"/>
      <c r="J61" s="99"/>
      <c r="K61" s="99"/>
      <c r="L61" s="99"/>
      <c r="M61" s="288"/>
      <c r="N61" s="288"/>
      <c r="O61" s="289">
        <f t="shared" si="23"/>
        <v>0</v>
      </c>
      <c r="P61" s="22"/>
      <c r="Q61" s="22"/>
      <c r="R61" s="22"/>
      <c r="S61" s="22"/>
      <c r="T61" s="22"/>
      <c r="U61" s="22"/>
      <c r="V61" s="22"/>
      <c r="W61" s="22"/>
      <c r="X61" s="22"/>
      <c r="Y61" s="22"/>
      <c r="Z61" s="22"/>
      <c r="AA61" s="22"/>
      <c r="AB61" s="22"/>
      <c r="AC61" s="22"/>
    </row>
    <row r="62" spans="1:29">
      <c r="A62" s="392" t="s">
        <v>884</v>
      </c>
      <c r="B62" s="392" t="s">
        <v>515</v>
      </c>
      <c r="C62" s="482">
        <v>150</v>
      </c>
      <c r="D62" s="482"/>
      <c r="E62" s="99">
        <f t="shared" si="21"/>
        <v>159</v>
      </c>
      <c r="F62" s="99">
        <f t="shared" si="22"/>
        <v>0</v>
      </c>
      <c r="G62" s="99"/>
      <c r="H62" s="99"/>
      <c r="I62" s="99"/>
      <c r="J62" s="99"/>
      <c r="K62" s="99"/>
      <c r="L62" s="99"/>
      <c r="M62" s="288"/>
      <c r="N62" s="288"/>
      <c r="O62" s="289">
        <f t="shared" si="23"/>
        <v>0</v>
      </c>
      <c r="P62" s="22"/>
      <c r="Q62" s="22"/>
      <c r="R62" s="22"/>
      <c r="S62" s="22"/>
      <c r="T62" s="22"/>
      <c r="U62" s="22"/>
      <c r="V62" s="22"/>
      <c r="W62" s="22"/>
      <c r="X62" s="22"/>
      <c r="Y62" s="22"/>
      <c r="Z62" s="22"/>
      <c r="AA62" s="22"/>
      <c r="AB62" s="22"/>
      <c r="AC62" s="22"/>
    </row>
    <row r="63" spans="1:29">
      <c r="A63" s="392" t="s">
        <v>885</v>
      </c>
      <c r="B63" s="392" t="s">
        <v>518</v>
      </c>
      <c r="C63" s="482">
        <v>140</v>
      </c>
      <c r="D63" s="482"/>
      <c r="E63" s="99">
        <f t="shared" si="21"/>
        <v>148.4</v>
      </c>
      <c r="F63" s="99">
        <f t="shared" si="22"/>
        <v>0</v>
      </c>
      <c r="G63" s="99"/>
      <c r="H63" s="99"/>
      <c r="I63" s="99"/>
      <c r="J63" s="99"/>
      <c r="K63" s="99"/>
      <c r="L63" s="99"/>
      <c r="M63" s="288"/>
      <c r="N63" s="288"/>
      <c r="O63" s="289">
        <f t="shared" si="23"/>
        <v>0</v>
      </c>
      <c r="P63" s="22"/>
      <c r="Q63" s="22"/>
      <c r="R63" s="22"/>
      <c r="S63" s="22"/>
      <c r="T63" s="22"/>
      <c r="U63" s="22"/>
      <c r="V63" s="22"/>
      <c r="W63" s="22"/>
      <c r="X63" s="22"/>
      <c r="Y63" s="22"/>
      <c r="Z63" s="22"/>
      <c r="AA63" s="22"/>
      <c r="AB63" s="22"/>
      <c r="AC63" s="22"/>
    </row>
    <row r="64" spans="1:29">
      <c r="A64" s="392" t="s">
        <v>747</v>
      </c>
      <c r="B64" s="392" t="s">
        <v>2</v>
      </c>
      <c r="C64" s="482"/>
      <c r="D64" s="482">
        <v>334000</v>
      </c>
      <c r="E64" s="99">
        <f t="shared" si="21"/>
        <v>0</v>
      </c>
      <c r="F64" s="99">
        <f t="shared" si="22"/>
        <v>354040</v>
      </c>
      <c r="G64" s="99"/>
      <c r="H64" s="99"/>
      <c r="I64" s="99"/>
      <c r="J64" s="99"/>
      <c r="K64" s="99"/>
      <c r="L64" s="99"/>
      <c r="M64" s="288"/>
      <c r="N64" s="288"/>
      <c r="O64" s="289">
        <f t="shared" si="23"/>
        <v>354040</v>
      </c>
      <c r="P64" s="22"/>
      <c r="Q64" s="22"/>
      <c r="R64" s="22"/>
      <c r="S64" s="22"/>
      <c r="T64" s="22"/>
      <c r="U64" s="22"/>
      <c r="V64" s="22"/>
      <c r="W64" s="22"/>
      <c r="X64" s="22"/>
      <c r="Y64" s="22"/>
      <c r="Z64" s="22"/>
      <c r="AA64" s="22"/>
      <c r="AB64" s="22"/>
      <c r="AC64" s="22"/>
    </row>
    <row r="65" spans="1:29">
      <c r="A65" s="392" t="s">
        <v>747</v>
      </c>
      <c r="B65" s="392" t="s">
        <v>518</v>
      </c>
      <c r="C65" s="482"/>
      <c r="D65" s="482">
        <v>170</v>
      </c>
      <c r="E65" s="99">
        <f t="shared" si="21"/>
        <v>0</v>
      </c>
      <c r="F65" s="99">
        <f t="shared" si="22"/>
        <v>180.20000000000002</v>
      </c>
      <c r="G65" s="99"/>
      <c r="H65" s="99"/>
      <c r="I65" s="99"/>
      <c r="J65" s="99"/>
      <c r="K65" s="99"/>
      <c r="L65" s="99"/>
      <c r="M65" s="288"/>
      <c r="N65" s="288"/>
      <c r="O65" s="289">
        <f t="shared" si="23"/>
        <v>180.20000000000002</v>
      </c>
      <c r="P65" s="22"/>
      <c r="Q65" s="22"/>
      <c r="R65" s="22"/>
      <c r="S65" s="22"/>
      <c r="T65" s="22"/>
      <c r="U65" s="22"/>
      <c r="V65" s="22"/>
      <c r="W65" s="22"/>
      <c r="X65" s="22"/>
      <c r="Y65" s="22"/>
      <c r="Z65" s="22"/>
      <c r="AA65" s="22"/>
      <c r="AB65" s="22"/>
      <c r="AC65" s="22"/>
    </row>
    <row r="66" spans="1:29">
      <c r="A66" s="392" t="s">
        <v>749</v>
      </c>
      <c r="B66" s="392" t="s">
        <v>515</v>
      </c>
      <c r="C66" s="482"/>
      <c r="D66" s="482">
        <v>95</v>
      </c>
      <c r="E66" s="99">
        <f t="shared" si="21"/>
        <v>0</v>
      </c>
      <c r="F66" s="99">
        <f t="shared" si="22"/>
        <v>100.7</v>
      </c>
      <c r="G66" s="99"/>
      <c r="H66" s="99"/>
      <c r="I66" s="99"/>
      <c r="J66" s="99"/>
      <c r="K66" s="99"/>
      <c r="L66" s="99"/>
      <c r="M66" s="288"/>
      <c r="N66" s="288"/>
      <c r="O66" s="289">
        <f t="shared" si="23"/>
        <v>100.7</v>
      </c>
      <c r="P66" s="22"/>
      <c r="Q66" s="22"/>
      <c r="R66" s="22"/>
      <c r="S66" s="22"/>
      <c r="T66" s="22"/>
      <c r="U66" s="22"/>
      <c r="V66" s="22"/>
      <c r="W66" s="22"/>
      <c r="X66" s="22"/>
      <c r="Y66" s="22"/>
      <c r="Z66" s="22"/>
      <c r="AA66" s="22"/>
      <c r="AB66" s="22"/>
      <c r="AC66" s="22"/>
    </row>
    <row r="67" spans="1:29">
      <c r="A67" s="392" t="s">
        <v>702</v>
      </c>
      <c r="B67" s="392" t="s">
        <v>2</v>
      </c>
      <c r="C67" s="482"/>
      <c r="D67" s="482">
        <v>30000</v>
      </c>
      <c r="E67" s="99">
        <f t="shared" si="21"/>
        <v>0</v>
      </c>
      <c r="F67" s="99">
        <f t="shared" si="22"/>
        <v>31800</v>
      </c>
      <c r="G67" s="99"/>
      <c r="H67" s="99"/>
      <c r="I67" s="99"/>
      <c r="J67" s="99"/>
      <c r="K67" s="99"/>
      <c r="L67" s="99"/>
      <c r="M67" s="288"/>
      <c r="N67" s="288"/>
      <c r="O67" s="289">
        <f t="shared" si="23"/>
        <v>31800</v>
      </c>
      <c r="P67" s="22"/>
      <c r="Q67" s="22"/>
      <c r="R67" s="22"/>
      <c r="S67" s="22"/>
      <c r="T67" s="22"/>
      <c r="U67" s="22"/>
      <c r="V67" s="22"/>
      <c r="W67" s="22"/>
      <c r="X67" s="22"/>
      <c r="Y67" s="22"/>
      <c r="Z67" s="22"/>
      <c r="AA67" s="22"/>
      <c r="AB67" s="22"/>
      <c r="AC67" s="22"/>
    </row>
    <row r="68" spans="1:29">
      <c r="A68" s="392" t="s">
        <v>701</v>
      </c>
      <c r="B68" s="392" t="s">
        <v>518</v>
      </c>
      <c r="C68" s="482"/>
      <c r="D68" s="482">
        <v>660</v>
      </c>
      <c r="E68" s="99">
        <f t="shared" si="21"/>
        <v>0</v>
      </c>
      <c r="F68" s="99">
        <f t="shared" si="22"/>
        <v>699.6</v>
      </c>
      <c r="G68" s="99"/>
      <c r="H68" s="99"/>
      <c r="I68" s="99"/>
      <c r="J68" s="99"/>
      <c r="K68" s="99"/>
      <c r="L68" s="99"/>
      <c r="M68" s="288"/>
      <c r="N68" s="288"/>
      <c r="O68" s="289">
        <f t="shared" si="23"/>
        <v>699.6</v>
      </c>
      <c r="P68" s="22"/>
      <c r="Q68" s="22"/>
      <c r="R68" s="22"/>
      <c r="S68" s="22"/>
      <c r="T68" s="22"/>
      <c r="U68" s="22"/>
      <c r="V68" s="22"/>
      <c r="W68" s="22"/>
      <c r="X68" s="22"/>
      <c r="Y68" s="22"/>
      <c r="Z68" s="22"/>
      <c r="AA68" s="22"/>
      <c r="AB68" s="22"/>
      <c r="AC68" s="22"/>
    </row>
    <row r="69" spans="1:29">
      <c r="A69" s="392" t="s">
        <v>522</v>
      </c>
      <c r="B69" s="392" t="s">
        <v>2</v>
      </c>
      <c r="C69" s="482">
        <v>20000</v>
      </c>
      <c r="D69" s="482">
        <v>20000</v>
      </c>
      <c r="E69" s="99">
        <f t="shared" si="21"/>
        <v>21200</v>
      </c>
      <c r="F69" s="99">
        <f t="shared" si="22"/>
        <v>21200</v>
      </c>
      <c r="G69" s="99"/>
      <c r="H69" s="99"/>
      <c r="I69" s="99"/>
      <c r="J69" s="99"/>
      <c r="K69" s="99"/>
      <c r="L69" s="99"/>
      <c r="M69" s="288"/>
      <c r="N69" s="288"/>
      <c r="O69" s="289">
        <f t="shared" si="23"/>
        <v>21200</v>
      </c>
      <c r="P69" s="22"/>
      <c r="Q69" s="22"/>
      <c r="R69" s="22"/>
      <c r="S69" s="22"/>
      <c r="T69" s="22"/>
      <c r="U69" s="22"/>
      <c r="V69" s="22"/>
      <c r="W69" s="22"/>
      <c r="X69" s="22"/>
      <c r="Y69" s="22"/>
      <c r="Z69" s="22"/>
      <c r="AA69" s="22"/>
      <c r="AB69" s="22"/>
      <c r="AC69" s="22"/>
    </row>
    <row r="70" spans="1:29">
      <c r="A70" s="392" t="s">
        <v>523</v>
      </c>
      <c r="B70" s="392" t="s">
        <v>518</v>
      </c>
      <c r="C70" s="482">
        <v>300</v>
      </c>
      <c r="D70" s="482">
        <v>300</v>
      </c>
      <c r="E70" s="99">
        <f t="shared" si="21"/>
        <v>318</v>
      </c>
      <c r="F70" s="99">
        <f t="shared" si="22"/>
        <v>318</v>
      </c>
      <c r="G70" s="99"/>
      <c r="H70" s="99"/>
      <c r="I70" s="99"/>
      <c r="J70" s="99"/>
      <c r="K70" s="99"/>
      <c r="L70" s="99"/>
      <c r="M70" s="288"/>
      <c r="N70" s="288"/>
      <c r="O70" s="289">
        <f t="shared" si="23"/>
        <v>318</v>
      </c>
      <c r="P70" s="22"/>
      <c r="Q70" s="22"/>
      <c r="R70" s="22"/>
      <c r="S70" s="22"/>
      <c r="T70" s="22"/>
      <c r="U70" s="22"/>
      <c r="V70" s="22"/>
      <c r="W70" s="22"/>
      <c r="X70" s="22"/>
      <c r="Y70" s="22"/>
      <c r="Z70" s="22"/>
      <c r="AA70" s="22"/>
      <c r="AB70" s="22"/>
      <c r="AC70" s="22"/>
    </row>
    <row r="71" spans="1:29">
      <c r="A71" s="392" t="s">
        <v>841</v>
      </c>
      <c r="B71" s="392" t="s">
        <v>840</v>
      </c>
      <c r="C71" s="482">
        <v>6000</v>
      </c>
      <c r="D71" s="482">
        <v>9000</v>
      </c>
      <c r="E71" s="99">
        <f t="shared" si="21"/>
        <v>6360</v>
      </c>
      <c r="F71" s="99">
        <f t="shared" si="22"/>
        <v>9540</v>
      </c>
      <c r="G71" s="99"/>
      <c r="H71" s="99"/>
      <c r="I71" s="99"/>
      <c r="J71" s="99"/>
      <c r="K71" s="99"/>
      <c r="L71" s="99"/>
      <c r="M71" s="288"/>
      <c r="N71" s="288"/>
      <c r="O71" s="289">
        <f t="shared" si="23"/>
        <v>9540</v>
      </c>
      <c r="P71" s="22"/>
      <c r="Q71" s="22"/>
      <c r="R71" s="22"/>
      <c r="S71" s="22"/>
      <c r="T71" s="22"/>
      <c r="U71" s="22"/>
      <c r="V71" s="22"/>
      <c r="W71" s="22"/>
      <c r="X71" s="22"/>
      <c r="Y71" s="22"/>
      <c r="Z71" s="22"/>
      <c r="AA71" s="22"/>
      <c r="AB71" s="22"/>
      <c r="AC71" s="22"/>
    </row>
    <row r="72" spans="1:29">
      <c r="A72" s="392" t="s">
        <v>524</v>
      </c>
      <c r="B72" s="392" t="s">
        <v>525</v>
      </c>
      <c r="C72" s="482">
        <v>1500</v>
      </c>
      <c r="D72" s="482">
        <v>3000</v>
      </c>
      <c r="E72" s="99">
        <f t="shared" si="21"/>
        <v>1590</v>
      </c>
      <c r="F72" s="99">
        <f t="shared" si="22"/>
        <v>3180</v>
      </c>
      <c r="G72" s="99"/>
      <c r="H72" s="99"/>
      <c r="I72" s="99"/>
      <c r="J72" s="99"/>
      <c r="K72" s="99"/>
      <c r="L72" s="99"/>
      <c r="M72" s="288"/>
      <c r="N72" s="288"/>
      <c r="O72" s="289">
        <f t="shared" si="23"/>
        <v>3180</v>
      </c>
      <c r="P72" s="22"/>
      <c r="Q72" s="22"/>
      <c r="R72" s="22"/>
      <c r="S72" s="22"/>
      <c r="T72" s="22"/>
      <c r="U72" s="22"/>
      <c r="V72" s="22"/>
      <c r="W72" s="22"/>
      <c r="X72" s="22"/>
      <c r="Y72" s="22"/>
      <c r="Z72" s="22"/>
      <c r="AA72" s="22"/>
      <c r="AB72" s="22"/>
      <c r="AC72" s="22"/>
    </row>
    <row r="73" spans="1:29">
      <c r="A73" s="392" t="s">
        <v>526</v>
      </c>
      <c r="B73" s="392" t="s">
        <v>2</v>
      </c>
      <c r="C73" s="482">
        <v>9000</v>
      </c>
      <c r="D73" s="482">
        <v>13000</v>
      </c>
      <c r="E73" s="99">
        <f t="shared" si="21"/>
        <v>9540</v>
      </c>
      <c r="F73" s="99">
        <f t="shared" si="22"/>
        <v>13780</v>
      </c>
      <c r="G73" s="99"/>
      <c r="H73" s="99"/>
      <c r="I73" s="99"/>
      <c r="J73" s="99"/>
      <c r="K73" s="99"/>
      <c r="L73" s="99"/>
      <c r="M73" s="288"/>
      <c r="N73" s="288"/>
      <c r="O73" s="289">
        <f t="shared" si="23"/>
        <v>13780</v>
      </c>
      <c r="P73" s="22"/>
      <c r="Q73" s="22"/>
      <c r="R73" s="22"/>
      <c r="S73" s="22"/>
      <c r="T73" s="22"/>
      <c r="U73" s="22"/>
      <c r="V73" s="22"/>
      <c r="W73" s="22"/>
      <c r="X73" s="22"/>
      <c r="Y73" s="22"/>
      <c r="Z73" s="22"/>
      <c r="AA73" s="22"/>
      <c r="AB73" s="22"/>
      <c r="AC73" s="22"/>
    </row>
    <row r="74" spans="1:29">
      <c r="A74" s="393" t="s">
        <v>527</v>
      </c>
      <c r="B74" s="393" t="s">
        <v>528</v>
      </c>
      <c r="C74" s="482">
        <v>550</v>
      </c>
      <c r="D74" s="482">
        <v>900</v>
      </c>
      <c r="E74" s="99">
        <f t="shared" si="21"/>
        <v>583</v>
      </c>
      <c r="F74" s="99">
        <f t="shared" si="22"/>
        <v>954</v>
      </c>
      <c r="G74" s="99"/>
      <c r="H74" s="99"/>
      <c r="I74" s="99"/>
      <c r="J74" s="99"/>
      <c r="K74" s="99"/>
      <c r="L74" s="99"/>
      <c r="M74" s="288"/>
      <c r="N74" s="288"/>
      <c r="O74" s="290">
        <f t="shared" si="23"/>
        <v>954</v>
      </c>
      <c r="P74" s="22"/>
      <c r="Q74" s="22"/>
      <c r="R74" s="22"/>
      <c r="S74" s="22"/>
      <c r="T74" s="22"/>
      <c r="U74" s="22"/>
      <c r="V74" s="22"/>
      <c r="W74" s="22"/>
      <c r="X74" s="22"/>
      <c r="Y74" s="22"/>
      <c r="Z74" s="22"/>
      <c r="AA74" s="22"/>
      <c r="AB74" s="22"/>
      <c r="AC74" s="22"/>
    </row>
    <row r="75" spans="1:29">
      <c r="A75" s="21"/>
      <c r="B75" s="21"/>
      <c r="C75" s="291"/>
      <c r="D75" s="291"/>
      <c r="E75" s="406"/>
      <c r="F75" s="406"/>
      <c r="G75" s="406"/>
      <c r="H75" s="406"/>
      <c r="I75" s="406"/>
      <c r="J75" s="406"/>
      <c r="K75" s="406"/>
      <c r="L75" s="406"/>
      <c r="M75" s="288"/>
      <c r="N75" s="288"/>
      <c r="O75" s="291"/>
      <c r="P75" s="22"/>
      <c r="Q75" s="22"/>
      <c r="R75" s="22"/>
      <c r="S75" s="22"/>
      <c r="T75" s="22"/>
      <c r="U75" s="22"/>
      <c r="V75" s="22"/>
      <c r="W75" s="22"/>
      <c r="X75" s="22"/>
      <c r="Y75" s="22"/>
      <c r="Z75" s="22"/>
      <c r="AA75" s="22"/>
      <c r="AB75" s="22"/>
      <c r="AC75" s="22"/>
    </row>
    <row r="76" spans="1:29">
      <c r="A76" s="390" t="s">
        <v>703</v>
      </c>
      <c r="B76" s="22"/>
      <c r="C76" s="291"/>
      <c r="D76" s="291"/>
      <c r="E76" s="406"/>
      <c r="F76" s="406"/>
      <c r="G76" s="406"/>
      <c r="H76" s="406"/>
      <c r="I76" s="406"/>
      <c r="J76" s="406"/>
      <c r="K76" s="406"/>
      <c r="L76" s="406"/>
      <c r="M76" s="291"/>
      <c r="N76" s="288"/>
      <c r="O76" s="291"/>
      <c r="P76" s="22"/>
      <c r="Q76" s="22"/>
      <c r="R76" s="22"/>
      <c r="S76" s="22"/>
      <c r="T76" s="22"/>
      <c r="U76" s="22"/>
      <c r="V76" s="22"/>
      <c r="W76" s="22"/>
      <c r="X76" s="22"/>
      <c r="Y76" s="22"/>
      <c r="Z76" s="22"/>
      <c r="AA76" s="22"/>
      <c r="AB76" s="22"/>
      <c r="AC76" s="22"/>
    </row>
    <row r="77" spans="1:29">
      <c r="A77" s="391" t="s">
        <v>1055</v>
      </c>
      <c r="B77" s="391" t="s">
        <v>2</v>
      </c>
      <c r="C77" s="482">
        <v>250000</v>
      </c>
      <c r="D77" s="482">
        <v>490000</v>
      </c>
      <c r="E77" s="99">
        <f t="shared" ref="E77:E84" si="24">C77*1.06</f>
        <v>265000</v>
      </c>
      <c r="F77" s="99">
        <v>590000</v>
      </c>
      <c r="G77" s="99"/>
      <c r="H77" s="99"/>
      <c r="I77" s="99"/>
      <c r="J77" s="99"/>
      <c r="K77" s="99"/>
      <c r="L77" s="99"/>
      <c r="M77" s="288"/>
      <c r="N77" s="288"/>
      <c r="O77" s="292">
        <f t="shared" ref="O77:O84" si="25">INDEX(C77:L77,1,$O$8)</f>
        <v>590000</v>
      </c>
      <c r="P77" s="22"/>
      <c r="Q77" s="22"/>
      <c r="R77" s="22"/>
      <c r="S77" s="22"/>
      <c r="T77" s="22"/>
      <c r="U77" s="22"/>
      <c r="V77" s="22"/>
      <c r="W77" s="22"/>
      <c r="X77" s="22"/>
      <c r="Y77" s="22"/>
      <c r="Z77" s="22"/>
      <c r="AA77" s="22"/>
      <c r="AB77" s="22"/>
      <c r="AC77" s="22"/>
    </row>
    <row r="78" spans="1:29">
      <c r="A78" s="392" t="s">
        <v>1056</v>
      </c>
      <c r="B78" s="392" t="s">
        <v>515</v>
      </c>
      <c r="C78" s="482">
        <v>5</v>
      </c>
      <c r="D78" s="482">
        <v>22</v>
      </c>
      <c r="E78" s="99">
        <f t="shared" si="24"/>
        <v>5.3000000000000007</v>
      </c>
      <c r="F78" s="99">
        <v>100</v>
      </c>
      <c r="G78" s="99"/>
      <c r="H78" s="99"/>
      <c r="I78" s="99"/>
      <c r="J78" s="99"/>
      <c r="K78" s="99"/>
      <c r="L78" s="99"/>
      <c r="M78" s="288"/>
      <c r="N78" s="288"/>
      <c r="O78" s="289">
        <f t="shared" si="25"/>
        <v>100</v>
      </c>
      <c r="P78" s="22"/>
      <c r="Q78" s="22"/>
      <c r="R78" s="22"/>
      <c r="S78" s="22"/>
      <c r="T78" s="22"/>
      <c r="U78" s="22"/>
      <c r="V78" s="22"/>
      <c r="W78" s="22"/>
      <c r="X78" s="22"/>
      <c r="Y78" s="22"/>
      <c r="Z78" s="22"/>
      <c r="AA78" s="22"/>
      <c r="AB78" s="22"/>
      <c r="AC78" s="22"/>
    </row>
    <row r="79" spans="1:29">
      <c r="A79" s="392" t="s">
        <v>1057</v>
      </c>
      <c r="B79" s="392" t="s">
        <v>2</v>
      </c>
      <c r="C79" s="482">
        <v>200000</v>
      </c>
      <c r="D79" s="482">
        <v>330000</v>
      </c>
      <c r="E79" s="99">
        <f t="shared" si="24"/>
        <v>212000</v>
      </c>
      <c r="F79" s="99">
        <v>375000</v>
      </c>
      <c r="G79" s="99"/>
      <c r="H79" s="99"/>
      <c r="I79" s="99"/>
      <c r="J79" s="99"/>
      <c r="K79" s="99"/>
      <c r="L79" s="99"/>
      <c r="M79" s="288"/>
      <c r="N79" s="288"/>
      <c r="O79" s="289">
        <f t="shared" si="25"/>
        <v>375000</v>
      </c>
      <c r="P79" s="22"/>
      <c r="Q79" s="22"/>
      <c r="R79" s="22"/>
      <c r="S79" s="22"/>
      <c r="T79" s="22"/>
      <c r="U79" s="22"/>
      <c r="V79" s="22"/>
      <c r="W79" s="22"/>
      <c r="X79" s="22"/>
      <c r="Y79" s="22"/>
      <c r="Z79" s="22"/>
      <c r="AA79" s="22"/>
      <c r="AB79" s="22"/>
      <c r="AC79" s="22"/>
    </row>
    <row r="80" spans="1:29">
      <c r="A80" s="392" t="s">
        <v>1058</v>
      </c>
      <c r="B80" s="392" t="s">
        <v>1087</v>
      </c>
      <c r="C80" s="482">
        <v>1500</v>
      </c>
      <c r="D80" s="482">
        <v>1800</v>
      </c>
      <c r="E80" s="99">
        <f t="shared" si="24"/>
        <v>1590</v>
      </c>
      <c r="F80" s="99">
        <v>1400</v>
      </c>
      <c r="G80" s="99"/>
      <c r="H80" s="99"/>
      <c r="I80" s="99"/>
      <c r="J80" s="99"/>
      <c r="K80" s="99"/>
      <c r="L80" s="99"/>
      <c r="M80" s="288"/>
      <c r="N80" s="288"/>
      <c r="O80" s="289">
        <f t="shared" si="25"/>
        <v>1400</v>
      </c>
      <c r="P80" s="22"/>
      <c r="Q80" s="22"/>
      <c r="R80" s="22"/>
      <c r="S80" s="22"/>
      <c r="T80" s="22"/>
      <c r="U80" s="22"/>
      <c r="V80" s="22"/>
      <c r="W80" s="22"/>
      <c r="X80" s="22"/>
      <c r="Y80" s="22"/>
      <c r="Z80" s="22"/>
      <c r="AA80" s="22"/>
      <c r="AB80" s="22"/>
      <c r="AC80" s="22"/>
    </row>
    <row r="81" spans="1:29">
      <c r="A81" s="392" t="s">
        <v>873</v>
      </c>
      <c r="B81" s="392" t="s">
        <v>843</v>
      </c>
      <c r="C81" s="482">
        <v>160</v>
      </c>
      <c r="D81" s="482">
        <v>270</v>
      </c>
      <c r="E81" s="99">
        <f t="shared" si="24"/>
        <v>169.60000000000002</v>
      </c>
      <c r="F81" s="99">
        <f t="shared" ref="F81:F84" si="26">D81*1.06</f>
        <v>286.2</v>
      </c>
      <c r="G81" s="99"/>
      <c r="H81" s="99"/>
      <c r="I81" s="99"/>
      <c r="J81" s="99"/>
      <c r="K81" s="99"/>
      <c r="L81" s="99"/>
      <c r="M81" s="288"/>
      <c r="N81" s="288"/>
      <c r="O81" s="289">
        <f t="shared" si="25"/>
        <v>286.2</v>
      </c>
      <c r="P81" s="22"/>
      <c r="Q81" s="22"/>
      <c r="R81" s="22"/>
      <c r="S81" s="22"/>
      <c r="T81" s="22"/>
      <c r="U81" s="22"/>
      <c r="V81" s="22"/>
      <c r="W81" s="22"/>
      <c r="X81" s="22"/>
      <c r="Y81" s="22"/>
      <c r="Z81" s="22"/>
      <c r="AA81" s="22"/>
      <c r="AB81" s="22"/>
      <c r="AC81" s="22"/>
    </row>
    <row r="82" spans="1:29">
      <c r="A82" s="392" t="s">
        <v>872</v>
      </c>
      <c r="B82" s="392" t="s">
        <v>2</v>
      </c>
      <c r="C82" s="482">
        <v>80000</v>
      </c>
      <c r="D82" s="482">
        <v>100000</v>
      </c>
      <c r="E82" s="99">
        <f t="shared" si="24"/>
        <v>84800</v>
      </c>
      <c r="F82" s="99">
        <f t="shared" si="26"/>
        <v>106000</v>
      </c>
      <c r="G82" s="99"/>
      <c r="H82" s="99"/>
      <c r="I82" s="99"/>
      <c r="J82" s="99"/>
      <c r="K82" s="99"/>
      <c r="L82" s="99"/>
      <c r="M82" s="288"/>
      <c r="N82" s="288"/>
      <c r="O82" s="289">
        <f t="shared" si="25"/>
        <v>106000</v>
      </c>
      <c r="P82" s="22"/>
      <c r="Q82" s="22"/>
      <c r="R82" s="22"/>
      <c r="S82" s="22"/>
      <c r="T82" s="22"/>
      <c r="U82" s="22"/>
      <c r="V82" s="22"/>
      <c r="W82" s="22"/>
      <c r="X82" s="22"/>
      <c r="Y82" s="22"/>
      <c r="Z82" s="22"/>
      <c r="AA82" s="22"/>
      <c r="AB82" s="22"/>
      <c r="AC82" s="22"/>
    </row>
    <row r="83" spans="1:29">
      <c r="A83" s="392" t="s">
        <v>1059</v>
      </c>
      <c r="B83" s="392" t="s">
        <v>744</v>
      </c>
      <c r="C83" s="482">
        <v>240</v>
      </c>
      <c r="D83" s="482">
        <v>400</v>
      </c>
      <c r="E83" s="99">
        <f t="shared" si="24"/>
        <v>254.4</v>
      </c>
      <c r="F83" s="99">
        <f t="shared" si="26"/>
        <v>424</v>
      </c>
      <c r="G83" s="99"/>
      <c r="H83" s="99"/>
      <c r="I83" s="99"/>
      <c r="J83" s="99"/>
      <c r="K83" s="99"/>
      <c r="L83" s="99"/>
      <c r="M83" s="288"/>
      <c r="N83" s="288"/>
      <c r="O83" s="289">
        <f t="shared" si="25"/>
        <v>424</v>
      </c>
      <c r="P83" s="22"/>
      <c r="Q83" s="22"/>
      <c r="R83" s="22"/>
      <c r="S83" s="22"/>
      <c r="T83" s="22"/>
      <c r="U83" s="22"/>
      <c r="V83" s="22"/>
      <c r="W83" s="22"/>
      <c r="X83" s="22"/>
      <c r="Y83" s="22"/>
      <c r="Z83" s="22"/>
      <c r="AA83" s="22"/>
      <c r="AB83" s="22"/>
      <c r="AC83" s="22"/>
    </row>
    <row r="84" spans="1:29">
      <c r="A84" s="393" t="s">
        <v>1060</v>
      </c>
      <c r="B84" s="393" t="s">
        <v>745</v>
      </c>
      <c r="C84" s="482">
        <v>2.5</v>
      </c>
      <c r="D84" s="482">
        <v>2.5</v>
      </c>
      <c r="E84" s="99">
        <f t="shared" si="24"/>
        <v>2.6500000000000004</v>
      </c>
      <c r="F84" s="99">
        <f t="shared" si="26"/>
        <v>2.6500000000000004</v>
      </c>
      <c r="G84" s="99"/>
      <c r="H84" s="99"/>
      <c r="I84" s="99"/>
      <c r="J84" s="99"/>
      <c r="K84" s="99"/>
      <c r="L84" s="99"/>
      <c r="M84" s="288"/>
      <c r="N84" s="288"/>
      <c r="O84" s="290">
        <f t="shared" si="25"/>
        <v>2.6500000000000004</v>
      </c>
      <c r="P84" s="22"/>
      <c r="Q84" s="22"/>
      <c r="R84" s="22"/>
      <c r="S84" s="22"/>
      <c r="T84" s="22"/>
      <c r="U84" s="22"/>
      <c r="V84" s="22"/>
      <c r="W84" s="22"/>
      <c r="X84" s="22"/>
      <c r="Y84" s="22"/>
      <c r="Z84" s="22"/>
      <c r="AA84" s="22"/>
      <c r="AB84" s="22"/>
      <c r="AC84" s="22"/>
    </row>
    <row r="85" spans="1:29">
      <c r="A85" s="22"/>
      <c r="B85" s="22"/>
      <c r="C85" s="288"/>
      <c r="D85" s="288"/>
      <c r="E85" s="405"/>
      <c r="F85" s="405"/>
      <c r="G85" s="405"/>
      <c r="H85" s="405"/>
      <c r="I85" s="405"/>
      <c r="J85" s="405"/>
      <c r="K85" s="405"/>
      <c r="L85" s="405"/>
      <c r="M85" s="288"/>
      <c r="N85" s="288"/>
      <c r="O85" s="288"/>
      <c r="P85" s="22"/>
      <c r="Q85" s="22"/>
      <c r="R85" s="22"/>
      <c r="S85" s="22"/>
      <c r="T85" s="22"/>
      <c r="U85" s="22"/>
      <c r="V85" s="22"/>
      <c r="W85" s="22"/>
      <c r="X85" s="22"/>
      <c r="Y85" s="22"/>
      <c r="Z85" s="22"/>
      <c r="AA85" s="22"/>
      <c r="AB85" s="22"/>
      <c r="AC85" s="22"/>
    </row>
    <row r="86" spans="1:29">
      <c r="A86" s="390" t="s">
        <v>165</v>
      </c>
      <c r="B86" s="22"/>
      <c r="C86" s="288"/>
      <c r="D86" s="288"/>
      <c r="E86" s="405"/>
      <c r="F86" s="405"/>
      <c r="G86" s="405"/>
      <c r="H86" s="405"/>
      <c r="I86" s="405"/>
      <c r="J86" s="405"/>
      <c r="K86" s="405"/>
      <c r="L86" s="405"/>
      <c r="M86" s="288"/>
      <c r="N86" s="288"/>
      <c r="O86" s="288"/>
      <c r="P86" s="155" t="s">
        <v>845</v>
      </c>
      <c r="Q86" s="22"/>
      <c r="R86" s="22"/>
      <c r="S86" s="22"/>
      <c r="T86" s="22"/>
      <c r="U86" s="22"/>
      <c r="V86" s="22"/>
      <c r="W86" s="22"/>
      <c r="X86" s="22"/>
      <c r="Y86" s="22"/>
      <c r="Z86" s="22"/>
      <c r="AA86" s="22"/>
      <c r="AB86" s="22"/>
      <c r="AC86" s="22"/>
    </row>
    <row r="87" spans="1:29">
      <c r="A87" s="391" t="s">
        <v>529</v>
      </c>
      <c r="B87" s="391" t="s">
        <v>2</v>
      </c>
      <c r="C87" s="482">
        <v>75000</v>
      </c>
      <c r="D87" s="482">
        <v>95000</v>
      </c>
      <c r="E87" s="99">
        <f t="shared" ref="E87:E97" si="27">C87*1.06</f>
        <v>79500</v>
      </c>
      <c r="F87" s="99">
        <f t="shared" ref="F87:F97" si="28">D87*1.06</f>
        <v>100700</v>
      </c>
      <c r="G87" s="99"/>
      <c r="H87" s="99"/>
      <c r="I87" s="99"/>
      <c r="J87" s="99"/>
      <c r="K87" s="99"/>
      <c r="L87" s="99"/>
      <c r="M87" s="288"/>
      <c r="N87" s="288"/>
      <c r="O87" s="292">
        <f t="shared" ref="O87:O100" si="29">INDEX(C87:L87,1,$O$8)</f>
        <v>100700</v>
      </c>
      <c r="P87" s="292">
        <f>IF($P$8=0,O87,INDEX(C87:L87,1,$P$8))</f>
        <v>79500</v>
      </c>
      <c r="Q87" s="22"/>
      <c r="R87" s="22"/>
      <c r="S87" s="22"/>
      <c r="T87" s="22"/>
      <c r="U87" s="22"/>
      <c r="V87" s="22"/>
      <c r="W87" s="22"/>
      <c r="X87" s="22"/>
      <c r="Y87" s="22"/>
      <c r="Z87" s="22"/>
      <c r="AA87" s="22"/>
      <c r="AB87" s="22"/>
      <c r="AC87" s="22"/>
    </row>
    <row r="88" spans="1:29">
      <c r="A88" s="392" t="s">
        <v>530</v>
      </c>
      <c r="B88" s="392" t="s">
        <v>879</v>
      </c>
      <c r="C88" s="482">
        <v>92</v>
      </c>
      <c r="D88" s="482">
        <v>135</v>
      </c>
      <c r="E88" s="99">
        <f t="shared" si="27"/>
        <v>97.52000000000001</v>
      </c>
      <c r="F88" s="99">
        <f t="shared" si="28"/>
        <v>143.1</v>
      </c>
      <c r="G88" s="99"/>
      <c r="H88" s="99"/>
      <c r="I88" s="99"/>
      <c r="J88" s="99"/>
      <c r="K88" s="99"/>
      <c r="L88" s="99"/>
      <c r="M88" s="288"/>
      <c r="N88" s="288"/>
      <c r="O88" s="289">
        <f t="shared" si="29"/>
        <v>143.1</v>
      </c>
      <c r="P88" s="289">
        <f t="shared" ref="P88:P97" si="30">IF($P$8=0,O88,INDEX(C88:L88,1,$P$8))</f>
        <v>97.52000000000001</v>
      </c>
      <c r="Q88" s="22"/>
      <c r="R88" s="22"/>
      <c r="S88" s="22"/>
      <c r="T88" s="22"/>
      <c r="U88" s="22"/>
      <c r="V88" s="22"/>
      <c r="W88" s="22"/>
      <c r="X88" s="22"/>
      <c r="Y88" s="22"/>
      <c r="Z88" s="22"/>
      <c r="AA88" s="22"/>
      <c r="AB88" s="22"/>
      <c r="AC88" s="22"/>
    </row>
    <row r="89" spans="1:29">
      <c r="A89" s="392" t="s">
        <v>878</v>
      </c>
      <c r="B89" s="392" t="s">
        <v>877</v>
      </c>
      <c r="C89" s="482">
        <v>0</v>
      </c>
      <c r="D89" s="482"/>
      <c r="E89" s="99">
        <f t="shared" si="27"/>
        <v>0</v>
      </c>
      <c r="F89" s="99">
        <f t="shared" si="28"/>
        <v>0</v>
      </c>
      <c r="G89" s="99"/>
      <c r="H89" s="99"/>
      <c r="I89" s="99"/>
      <c r="J89" s="99"/>
      <c r="K89" s="99"/>
      <c r="L89" s="99"/>
      <c r="M89" s="288"/>
      <c r="N89" s="288"/>
      <c r="O89" s="289">
        <f>INDEX(C89:L89,1,$O$8)</f>
        <v>0</v>
      </c>
      <c r="P89" s="289">
        <f>IF($P$8=0,O89,INDEX(C89:L89,1,$P$8))</f>
        <v>0</v>
      </c>
      <c r="Q89" s="22"/>
      <c r="R89" s="22"/>
      <c r="S89" s="22"/>
      <c r="T89" s="22"/>
      <c r="U89" s="22"/>
      <c r="V89" s="22"/>
      <c r="W89" s="22"/>
      <c r="X89" s="22"/>
      <c r="Y89" s="22"/>
      <c r="Z89" s="22"/>
      <c r="AA89" s="22"/>
      <c r="AB89" s="22"/>
      <c r="AC89" s="22"/>
    </row>
    <row r="90" spans="1:29">
      <c r="A90" s="392" t="s">
        <v>532</v>
      </c>
      <c r="B90" s="392" t="s">
        <v>2</v>
      </c>
      <c r="C90" s="482">
        <v>12000</v>
      </c>
      <c r="D90" s="482">
        <v>25000</v>
      </c>
      <c r="E90" s="99">
        <f t="shared" si="27"/>
        <v>12720</v>
      </c>
      <c r="F90" s="99">
        <f t="shared" si="28"/>
        <v>26500</v>
      </c>
      <c r="G90" s="99"/>
      <c r="H90" s="99"/>
      <c r="I90" s="99"/>
      <c r="J90" s="99"/>
      <c r="K90" s="99"/>
      <c r="L90" s="99"/>
      <c r="M90" s="288"/>
      <c r="N90" s="288"/>
      <c r="O90" s="289">
        <f t="shared" si="29"/>
        <v>26500</v>
      </c>
      <c r="P90" s="289">
        <f t="shared" si="30"/>
        <v>12720</v>
      </c>
      <c r="Q90" s="22"/>
      <c r="R90" s="22"/>
      <c r="S90" s="22"/>
      <c r="T90" s="22"/>
      <c r="U90" s="22"/>
      <c r="V90" s="22"/>
      <c r="W90" s="22"/>
      <c r="X90" s="22"/>
      <c r="Y90" s="22"/>
      <c r="Z90" s="22"/>
      <c r="AA90" s="22"/>
      <c r="AB90" s="22"/>
      <c r="AC90" s="22"/>
    </row>
    <row r="91" spans="1:29">
      <c r="A91" s="392" t="s">
        <v>533</v>
      </c>
      <c r="B91" s="392" t="s">
        <v>531</v>
      </c>
      <c r="C91" s="482">
        <v>2000</v>
      </c>
      <c r="D91" s="482">
        <v>3500</v>
      </c>
      <c r="E91" s="99">
        <f t="shared" si="27"/>
        <v>2120</v>
      </c>
      <c r="F91" s="99">
        <f t="shared" si="28"/>
        <v>3710</v>
      </c>
      <c r="G91" s="99"/>
      <c r="H91" s="99"/>
      <c r="I91" s="99"/>
      <c r="J91" s="99"/>
      <c r="K91" s="99"/>
      <c r="L91" s="99"/>
      <c r="M91" s="288"/>
      <c r="N91" s="288"/>
      <c r="O91" s="289">
        <f t="shared" si="29"/>
        <v>3710</v>
      </c>
      <c r="P91" s="289">
        <f t="shared" si="30"/>
        <v>2120</v>
      </c>
      <c r="Q91" s="22"/>
      <c r="R91" s="22"/>
      <c r="S91" s="22"/>
      <c r="T91" s="22"/>
      <c r="U91" s="22"/>
      <c r="V91" s="22"/>
      <c r="W91" s="22"/>
      <c r="X91" s="22"/>
      <c r="Y91" s="22"/>
      <c r="Z91" s="22"/>
      <c r="AA91" s="22"/>
      <c r="AB91" s="22"/>
      <c r="AC91" s="22"/>
    </row>
    <row r="92" spans="1:29">
      <c r="A92" s="392" t="s">
        <v>534</v>
      </c>
      <c r="B92" s="392" t="s">
        <v>2</v>
      </c>
      <c r="C92" s="482">
        <v>14000</v>
      </c>
      <c r="D92" s="482">
        <f>C92*1.25</f>
        <v>17500</v>
      </c>
      <c r="E92" s="99">
        <f t="shared" si="27"/>
        <v>14840</v>
      </c>
      <c r="F92" s="99">
        <f t="shared" si="28"/>
        <v>18550</v>
      </c>
      <c r="G92" s="99"/>
      <c r="H92" s="99"/>
      <c r="I92" s="99"/>
      <c r="J92" s="99"/>
      <c r="K92" s="99"/>
      <c r="L92" s="99"/>
      <c r="M92" s="288"/>
      <c r="N92" s="288"/>
      <c r="O92" s="289">
        <f t="shared" si="29"/>
        <v>18550</v>
      </c>
      <c r="P92" s="289">
        <f t="shared" si="30"/>
        <v>14840</v>
      </c>
      <c r="Q92" s="22"/>
      <c r="R92" s="22"/>
      <c r="S92" s="22"/>
      <c r="T92" s="22"/>
      <c r="U92" s="22"/>
      <c r="V92" s="22"/>
      <c r="W92" s="22"/>
      <c r="X92" s="22"/>
      <c r="Y92" s="22"/>
      <c r="Z92" s="22"/>
      <c r="AA92" s="22"/>
      <c r="AB92" s="22"/>
      <c r="AC92" s="22"/>
    </row>
    <row r="93" spans="1:29">
      <c r="A93" s="392" t="s">
        <v>535</v>
      </c>
      <c r="B93" s="392" t="s">
        <v>531</v>
      </c>
      <c r="C93" s="482">
        <v>2500</v>
      </c>
      <c r="D93" s="482">
        <v>4000</v>
      </c>
      <c r="E93" s="99">
        <f t="shared" si="27"/>
        <v>2650</v>
      </c>
      <c r="F93" s="99">
        <f t="shared" si="28"/>
        <v>4240</v>
      </c>
      <c r="G93" s="99"/>
      <c r="H93" s="99"/>
      <c r="I93" s="99"/>
      <c r="J93" s="99"/>
      <c r="K93" s="99"/>
      <c r="L93" s="99"/>
      <c r="M93" s="288"/>
      <c r="N93" s="288"/>
      <c r="O93" s="289">
        <f t="shared" si="29"/>
        <v>4240</v>
      </c>
      <c r="P93" s="289">
        <f t="shared" si="30"/>
        <v>2650</v>
      </c>
      <c r="Q93" s="22"/>
      <c r="R93" s="22"/>
      <c r="S93" s="22"/>
      <c r="T93" s="22"/>
      <c r="U93" s="22"/>
      <c r="V93" s="22"/>
      <c r="W93" s="22"/>
      <c r="X93" s="22"/>
      <c r="Y93" s="22"/>
      <c r="Z93" s="22"/>
      <c r="AA93" s="22"/>
      <c r="AB93" s="22"/>
      <c r="AC93" s="22"/>
    </row>
    <row r="94" spans="1:29">
      <c r="A94" s="392" t="s">
        <v>536</v>
      </c>
      <c r="B94" s="392" t="s">
        <v>2</v>
      </c>
      <c r="C94" s="482">
        <f>C90</f>
        <v>12000</v>
      </c>
      <c r="D94" s="482">
        <f>D90</f>
        <v>25000</v>
      </c>
      <c r="E94" s="99">
        <f t="shared" si="27"/>
        <v>12720</v>
      </c>
      <c r="F94" s="99">
        <f t="shared" si="28"/>
        <v>26500</v>
      </c>
      <c r="G94" s="99"/>
      <c r="H94" s="99"/>
      <c r="I94" s="99"/>
      <c r="J94" s="99"/>
      <c r="K94" s="99"/>
      <c r="L94" s="99"/>
      <c r="M94" s="288"/>
      <c r="N94" s="288"/>
      <c r="O94" s="289">
        <f t="shared" si="29"/>
        <v>26500</v>
      </c>
      <c r="P94" s="289">
        <f t="shared" si="30"/>
        <v>12720</v>
      </c>
      <c r="Q94" s="22"/>
      <c r="R94" s="22"/>
      <c r="S94" s="22"/>
      <c r="T94" s="22"/>
      <c r="U94" s="22"/>
      <c r="V94" s="22"/>
      <c r="W94" s="22"/>
      <c r="X94" s="22"/>
      <c r="Y94" s="22"/>
      <c r="Z94" s="22"/>
      <c r="AA94" s="22"/>
      <c r="AB94" s="22"/>
      <c r="AC94" s="22"/>
    </row>
    <row r="95" spans="1:29">
      <c r="A95" s="392" t="s">
        <v>537</v>
      </c>
      <c r="B95" s="392" t="s">
        <v>531</v>
      </c>
      <c r="C95" s="482">
        <v>2000</v>
      </c>
      <c r="D95" s="482">
        <v>5000</v>
      </c>
      <c r="E95" s="99">
        <f t="shared" si="27"/>
        <v>2120</v>
      </c>
      <c r="F95" s="99">
        <f t="shared" si="28"/>
        <v>5300</v>
      </c>
      <c r="G95" s="99"/>
      <c r="H95" s="99"/>
      <c r="I95" s="99"/>
      <c r="J95" s="99"/>
      <c r="K95" s="99"/>
      <c r="L95" s="99"/>
      <c r="M95" s="288"/>
      <c r="N95" s="288"/>
      <c r="O95" s="289">
        <f t="shared" si="29"/>
        <v>5300</v>
      </c>
      <c r="P95" s="289">
        <f t="shared" si="30"/>
        <v>2120</v>
      </c>
      <c r="Q95" s="22"/>
      <c r="R95" s="22"/>
      <c r="S95" s="22"/>
      <c r="T95" s="22"/>
      <c r="U95" s="22"/>
      <c r="V95" s="22"/>
      <c r="W95" s="22"/>
      <c r="X95" s="22"/>
      <c r="Y95" s="22"/>
      <c r="Z95" s="22"/>
      <c r="AA95" s="22"/>
      <c r="AB95" s="22"/>
      <c r="AC95" s="22"/>
    </row>
    <row r="96" spans="1:29">
      <c r="A96" s="392" t="s">
        <v>538</v>
      </c>
      <c r="B96" s="392" t="s">
        <v>2</v>
      </c>
      <c r="C96" s="482">
        <f>C94</f>
        <v>12000</v>
      </c>
      <c r="D96" s="482">
        <f>D94</f>
        <v>25000</v>
      </c>
      <c r="E96" s="99">
        <f t="shared" si="27"/>
        <v>12720</v>
      </c>
      <c r="F96" s="99">
        <f t="shared" si="28"/>
        <v>26500</v>
      </c>
      <c r="G96" s="99"/>
      <c r="H96" s="99"/>
      <c r="I96" s="99"/>
      <c r="J96" s="99"/>
      <c r="K96" s="99"/>
      <c r="L96" s="99"/>
      <c r="M96" s="288"/>
      <c r="N96" s="288"/>
      <c r="O96" s="289">
        <f t="shared" si="29"/>
        <v>26500</v>
      </c>
      <c r="P96" s="289">
        <f t="shared" si="30"/>
        <v>12720</v>
      </c>
      <c r="Q96" s="22"/>
      <c r="R96" s="22"/>
      <c r="S96" s="22"/>
      <c r="T96" s="22"/>
      <c r="U96" s="22"/>
      <c r="V96" s="22"/>
      <c r="W96" s="22"/>
      <c r="X96" s="22"/>
      <c r="Y96" s="22"/>
      <c r="Z96" s="22"/>
      <c r="AA96" s="22"/>
      <c r="AB96" s="22"/>
      <c r="AC96" s="22"/>
    </row>
    <row r="97" spans="1:29">
      <c r="A97" s="393" t="s">
        <v>539</v>
      </c>
      <c r="B97" s="393" t="s">
        <v>531</v>
      </c>
      <c r="C97" s="482">
        <v>3500</v>
      </c>
      <c r="D97" s="482">
        <v>5500</v>
      </c>
      <c r="E97" s="99">
        <f t="shared" si="27"/>
        <v>3710</v>
      </c>
      <c r="F97" s="99">
        <f t="shared" si="28"/>
        <v>5830</v>
      </c>
      <c r="G97" s="99"/>
      <c r="H97" s="99"/>
      <c r="I97" s="99"/>
      <c r="J97" s="99"/>
      <c r="K97" s="99"/>
      <c r="L97" s="99"/>
      <c r="M97" s="288"/>
      <c r="N97" s="288"/>
      <c r="O97" s="290">
        <f t="shared" si="29"/>
        <v>5830</v>
      </c>
      <c r="P97" s="290">
        <f t="shared" si="30"/>
        <v>3710</v>
      </c>
      <c r="Q97" s="22"/>
      <c r="R97" s="22"/>
      <c r="S97" s="22"/>
      <c r="T97" s="22"/>
      <c r="U97" s="22"/>
      <c r="V97" s="22"/>
      <c r="W97" s="22"/>
      <c r="X97" s="22"/>
      <c r="Y97" s="22"/>
      <c r="Z97" s="22"/>
      <c r="AA97" s="22"/>
      <c r="AB97" s="22"/>
      <c r="AC97" s="22"/>
    </row>
    <row r="98" spans="1:29">
      <c r="A98" s="22"/>
      <c r="B98" s="22"/>
      <c r="C98" s="288"/>
      <c r="D98" s="288"/>
      <c r="E98" s="405"/>
      <c r="F98" s="405"/>
      <c r="G98" s="405"/>
      <c r="H98" s="405"/>
      <c r="I98" s="405"/>
      <c r="J98" s="405"/>
      <c r="K98" s="405"/>
      <c r="L98" s="405"/>
      <c r="M98" s="288"/>
      <c r="N98" s="288"/>
      <c r="O98" s="288"/>
      <c r="P98" s="22"/>
      <c r="Q98" s="22"/>
      <c r="R98" s="22"/>
      <c r="S98" s="22"/>
      <c r="T98" s="22"/>
      <c r="U98" s="22"/>
      <c r="V98" s="22"/>
      <c r="W98" s="22"/>
      <c r="X98" s="22"/>
      <c r="Y98" s="22"/>
      <c r="Z98" s="22"/>
      <c r="AA98" s="22"/>
      <c r="AB98" s="22"/>
      <c r="AC98" s="22"/>
    </row>
    <row r="99" spans="1:29">
      <c r="A99" s="284" t="s">
        <v>540</v>
      </c>
      <c r="B99" s="284" t="s">
        <v>447</v>
      </c>
      <c r="C99" s="482">
        <v>0.11</v>
      </c>
      <c r="D99" s="482">
        <v>0.11</v>
      </c>
      <c r="E99" s="99">
        <f t="shared" ref="E99:E100" si="31">C99</f>
        <v>0.11</v>
      </c>
      <c r="F99" s="99">
        <f t="shared" ref="F99:F100" si="32">D99</f>
        <v>0.11</v>
      </c>
      <c r="G99" s="99"/>
      <c r="H99" s="99"/>
      <c r="I99" s="99"/>
      <c r="J99" s="99"/>
      <c r="K99" s="99"/>
      <c r="L99" s="99"/>
      <c r="M99" s="288"/>
      <c r="N99" s="288"/>
      <c r="O99" s="293">
        <f t="shared" si="29"/>
        <v>0.11</v>
      </c>
      <c r="P99" s="22"/>
      <c r="Q99" s="22"/>
      <c r="R99" s="22"/>
      <c r="S99" s="22"/>
      <c r="T99" s="22"/>
      <c r="U99" s="22"/>
      <c r="V99" s="22"/>
      <c r="W99" s="22"/>
      <c r="X99" s="22"/>
      <c r="Y99" s="22"/>
      <c r="Z99" s="22"/>
      <c r="AA99" s="22"/>
      <c r="AB99" s="22"/>
      <c r="AC99" s="22"/>
    </row>
    <row r="100" spans="1:29">
      <c r="A100" s="284" t="s">
        <v>541</v>
      </c>
      <c r="B100" s="284" t="s">
        <v>447</v>
      </c>
      <c r="C100" s="482">
        <v>0.2</v>
      </c>
      <c r="D100" s="482">
        <v>0.2</v>
      </c>
      <c r="E100" s="99">
        <f t="shared" si="31"/>
        <v>0.2</v>
      </c>
      <c r="F100" s="99">
        <f t="shared" si="32"/>
        <v>0.2</v>
      </c>
      <c r="G100" s="99"/>
      <c r="H100" s="99"/>
      <c r="I100" s="99"/>
      <c r="J100" s="99"/>
      <c r="K100" s="99"/>
      <c r="L100" s="99"/>
      <c r="M100" s="288"/>
      <c r="N100" s="288"/>
      <c r="O100" s="293">
        <f t="shared" si="29"/>
        <v>0.2</v>
      </c>
      <c r="P100" s="22"/>
      <c r="Q100" s="22"/>
      <c r="R100" s="22"/>
      <c r="S100" s="22"/>
      <c r="T100" s="22"/>
      <c r="U100" s="22"/>
      <c r="V100" s="22"/>
      <c r="W100" s="22"/>
      <c r="X100" s="22"/>
      <c r="Y100" s="22"/>
      <c r="Z100" s="22"/>
      <c r="AA100" s="22"/>
      <c r="AB100" s="22"/>
      <c r="AC100" s="22"/>
    </row>
    <row r="101" spans="1:29">
      <c r="A101" s="22"/>
      <c r="B101" s="22"/>
      <c r="C101" s="288"/>
      <c r="D101" s="288"/>
      <c r="E101" s="405"/>
      <c r="F101" s="405"/>
      <c r="G101" s="405"/>
      <c r="H101" s="405"/>
      <c r="I101" s="405"/>
      <c r="J101" s="405"/>
      <c r="K101" s="405"/>
      <c r="L101" s="405"/>
      <c r="M101" s="288"/>
      <c r="N101" s="288"/>
      <c r="O101" s="288"/>
      <c r="P101" s="22"/>
      <c r="Q101" s="22"/>
      <c r="R101" s="22"/>
      <c r="S101" s="22"/>
      <c r="T101" s="22"/>
      <c r="U101" s="22"/>
      <c r="V101" s="22"/>
      <c r="W101" s="22"/>
      <c r="X101" s="22"/>
      <c r="Y101" s="22"/>
      <c r="Z101" s="22"/>
      <c r="AA101" s="22"/>
      <c r="AB101" s="22"/>
      <c r="AC101" s="22"/>
    </row>
    <row r="102" spans="1:29">
      <c r="A102" s="390" t="s">
        <v>176</v>
      </c>
      <c r="B102" s="22"/>
      <c r="C102" s="288"/>
      <c r="D102" s="288"/>
      <c r="E102" s="405"/>
      <c r="F102" s="405"/>
      <c r="G102" s="405"/>
      <c r="H102" s="405"/>
      <c r="I102" s="405"/>
      <c r="J102" s="405"/>
      <c r="K102" s="405"/>
      <c r="L102" s="405"/>
      <c r="M102" s="288"/>
      <c r="N102" s="288"/>
      <c r="O102" s="288"/>
      <c r="P102" s="22"/>
      <c r="Q102" s="22"/>
      <c r="R102" s="22"/>
      <c r="S102" s="22"/>
      <c r="T102" s="22"/>
      <c r="U102" s="22"/>
      <c r="V102" s="22"/>
      <c r="W102" s="22"/>
      <c r="X102" s="22"/>
      <c r="Y102" s="22"/>
      <c r="Z102" s="22"/>
      <c r="AA102" s="22"/>
      <c r="AB102" s="22"/>
      <c r="AC102" s="22"/>
    </row>
    <row r="103" spans="1:29">
      <c r="A103" s="391" t="s">
        <v>542</v>
      </c>
      <c r="B103" s="391" t="s">
        <v>2</v>
      </c>
      <c r="C103" s="482">
        <v>3000</v>
      </c>
      <c r="D103" s="482"/>
      <c r="E103" s="99">
        <f t="shared" ref="E103:E112" si="33">C103*1.06</f>
        <v>3180</v>
      </c>
      <c r="F103" s="99">
        <f t="shared" ref="F103:F112" si="34">D103*1.06</f>
        <v>0</v>
      </c>
      <c r="G103" s="99"/>
      <c r="H103" s="99"/>
      <c r="I103" s="99"/>
      <c r="J103" s="99"/>
      <c r="K103" s="99"/>
      <c r="L103" s="99"/>
      <c r="M103" s="288"/>
      <c r="N103" s="288"/>
      <c r="O103" s="292">
        <f t="shared" ref="O103:O112" si="35">INDEX(C103:L103,1,$O$8)</f>
        <v>0</v>
      </c>
      <c r="P103" s="22"/>
      <c r="Q103" s="22"/>
      <c r="R103" s="22"/>
      <c r="S103" s="22"/>
      <c r="T103" s="22"/>
      <c r="U103" s="22"/>
      <c r="V103" s="22"/>
      <c r="W103" s="22"/>
      <c r="X103" s="22"/>
      <c r="Y103" s="22"/>
      <c r="Z103" s="22"/>
      <c r="AA103" s="22"/>
      <c r="AB103" s="22"/>
      <c r="AC103" s="22"/>
    </row>
    <row r="104" spans="1:29">
      <c r="A104" s="392" t="s">
        <v>543</v>
      </c>
      <c r="B104" s="392" t="s">
        <v>515</v>
      </c>
      <c r="C104" s="482">
        <v>30</v>
      </c>
      <c r="D104" s="482"/>
      <c r="E104" s="99">
        <f t="shared" si="33"/>
        <v>31.8</v>
      </c>
      <c r="F104" s="99">
        <f t="shared" si="34"/>
        <v>0</v>
      </c>
      <c r="G104" s="99"/>
      <c r="H104" s="99"/>
      <c r="I104" s="99"/>
      <c r="J104" s="99"/>
      <c r="K104" s="99"/>
      <c r="L104" s="99"/>
      <c r="M104" s="288"/>
      <c r="N104" s="288"/>
      <c r="O104" s="289">
        <f t="shared" si="35"/>
        <v>0</v>
      </c>
      <c r="P104" s="22"/>
      <c r="Q104" s="22"/>
      <c r="R104" s="22"/>
      <c r="S104" s="22"/>
      <c r="T104" s="22"/>
      <c r="U104" s="22"/>
      <c r="V104" s="22"/>
      <c r="W104" s="22"/>
      <c r="X104" s="22"/>
      <c r="Y104" s="22"/>
      <c r="Z104" s="22"/>
      <c r="AA104" s="22"/>
      <c r="AB104" s="22"/>
      <c r="AC104" s="22"/>
    </row>
    <row r="105" spans="1:29">
      <c r="A105" s="392" t="s">
        <v>544</v>
      </c>
      <c r="B105" s="392" t="s">
        <v>2</v>
      </c>
      <c r="C105" s="482">
        <v>5000</v>
      </c>
      <c r="D105" s="482"/>
      <c r="E105" s="99">
        <f t="shared" si="33"/>
        <v>5300</v>
      </c>
      <c r="F105" s="99">
        <f t="shared" si="34"/>
        <v>0</v>
      </c>
      <c r="G105" s="99"/>
      <c r="H105" s="99"/>
      <c r="I105" s="99"/>
      <c r="J105" s="99"/>
      <c r="K105" s="99"/>
      <c r="L105" s="99"/>
      <c r="M105" s="288"/>
      <c r="N105" s="288"/>
      <c r="O105" s="289">
        <f t="shared" si="35"/>
        <v>0</v>
      </c>
      <c r="P105" s="22"/>
      <c r="Q105" s="22"/>
      <c r="R105" s="22"/>
      <c r="S105" s="22"/>
      <c r="T105" s="22"/>
      <c r="U105" s="22"/>
      <c r="V105" s="22"/>
      <c r="W105" s="22"/>
      <c r="X105" s="22"/>
      <c r="Y105" s="22"/>
      <c r="Z105" s="22"/>
      <c r="AA105" s="22"/>
      <c r="AB105" s="22"/>
      <c r="AC105" s="22"/>
    </row>
    <row r="106" spans="1:29">
      <c r="A106" s="392" t="s">
        <v>747</v>
      </c>
      <c r="B106" s="392" t="s">
        <v>2</v>
      </c>
      <c r="C106" s="482"/>
      <c r="D106" s="482">
        <v>5000</v>
      </c>
      <c r="E106" s="99">
        <f t="shared" si="33"/>
        <v>0</v>
      </c>
      <c r="F106" s="99">
        <f t="shared" si="34"/>
        <v>5300</v>
      </c>
      <c r="G106" s="99"/>
      <c r="H106" s="99"/>
      <c r="I106" s="99"/>
      <c r="J106" s="99"/>
      <c r="K106" s="99"/>
      <c r="L106" s="99"/>
      <c r="M106" s="288"/>
      <c r="N106" s="288"/>
      <c r="O106" s="289">
        <f t="shared" si="35"/>
        <v>5300</v>
      </c>
      <c r="P106" s="22"/>
      <c r="Q106" s="22"/>
      <c r="R106" s="22"/>
      <c r="S106" s="22"/>
      <c r="T106" s="22"/>
      <c r="U106" s="22"/>
      <c r="V106" s="22"/>
      <c r="W106" s="22"/>
      <c r="X106" s="22"/>
      <c r="Y106" s="22"/>
      <c r="Z106" s="22"/>
      <c r="AA106" s="22"/>
      <c r="AB106" s="22"/>
      <c r="AC106" s="22"/>
    </row>
    <row r="107" spans="1:29">
      <c r="A107" s="392" t="s">
        <v>1055</v>
      </c>
      <c r="B107" s="392" t="s">
        <v>2</v>
      </c>
      <c r="C107" s="482">
        <v>5000</v>
      </c>
      <c r="D107" s="482">
        <v>5000</v>
      </c>
      <c r="E107" s="99">
        <f t="shared" si="33"/>
        <v>5300</v>
      </c>
      <c r="F107" s="99">
        <f t="shared" si="34"/>
        <v>5300</v>
      </c>
      <c r="G107" s="99"/>
      <c r="H107" s="99"/>
      <c r="I107" s="99"/>
      <c r="J107" s="99"/>
      <c r="K107" s="99"/>
      <c r="L107" s="99"/>
      <c r="M107" s="288"/>
      <c r="N107" s="288"/>
      <c r="O107" s="289">
        <f t="shared" si="35"/>
        <v>5300</v>
      </c>
      <c r="P107" s="22"/>
      <c r="Q107" s="22"/>
      <c r="R107" s="22"/>
      <c r="S107" s="22"/>
      <c r="T107" s="22"/>
      <c r="U107" s="22"/>
      <c r="V107" s="22"/>
      <c r="W107" s="22"/>
      <c r="X107" s="22"/>
      <c r="Y107" s="22"/>
      <c r="Z107" s="22"/>
      <c r="AA107" s="22"/>
      <c r="AB107" s="22"/>
      <c r="AC107" s="22"/>
    </row>
    <row r="108" spans="1:29">
      <c r="A108" s="392" t="s">
        <v>272</v>
      </c>
      <c r="B108" s="392" t="s">
        <v>2</v>
      </c>
      <c r="C108" s="482">
        <v>2000</v>
      </c>
      <c r="D108" s="482">
        <v>3000</v>
      </c>
      <c r="E108" s="99">
        <f t="shared" si="33"/>
        <v>2120</v>
      </c>
      <c r="F108" s="99">
        <f t="shared" si="34"/>
        <v>3180</v>
      </c>
      <c r="G108" s="99"/>
      <c r="H108" s="99"/>
      <c r="I108" s="99"/>
      <c r="J108" s="99"/>
      <c r="K108" s="99"/>
      <c r="L108" s="99"/>
      <c r="M108" s="288"/>
      <c r="N108" s="288"/>
      <c r="O108" s="289">
        <f t="shared" si="35"/>
        <v>3180</v>
      </c>
      <c r="P108" s="22"/>
      <c r="Q108" s="22"/>
      <c r="R108" s="22"/>
      <c r="S108" s="22"/>
      <c r="T108" s="22"/>
      <c r="U108" s="22"/>
      <c r="V108" s="22"/>
      <c r="W108" s="22"/>
      <c r="X108" s="22"/>
      <c r="Y108" s="22"/>
      <c r="Z108" s="22"/>
      <c r="AA108" s="22"/>
      <c r="AB108" s="22"/>
      <c r="AC108" s="22"/>
    </row>
    <row r="109" spans="1:29">
      <c r="A109" s="392" t="s">
        <v>545</v>
      </c>
      <c r="B109" s="392" t="s">
        <v>2</v>
      </c>
      <c r="C109" s="482">
        <v>2000</v>
      </c>
      <c r="D109" s="482">
        <v>2000</v>
      </c>
      <c r="E109" s="99">
        <f t="shared" si="33"/>
        <v>2120</v>
      </c>
      <c r="F109" s="99">
        <f t="shared" si="34"/>
        <v>2120</v>
      </c>
      <c r="G109" s="99"/>
      <c r="H109" s="99"/>
      <c r="I109" s="99"/>
      <c r="J109" s="99"/>
      <c r="K109" s="99"/>
      <c r="L109" s="99"/>
      <c r="M109" s="288"/>
      <c r="N109" s="288"/>
      <c r="O109" s="289">
        <f t="shared" si="35"/>
        <v>2120</v>
      </c>
      <c r="P109" s="22"/>
      <c r="Q109" s="22"/>
      <c r="R109" s="22"/>
      <c r="S109" s="22"/>
      <c r="T109" s="22"/>
      <c r="U109" s="22"/>
      <c r="V109" s="22"/>
      <c r="W109" s="22"/>
      <c r="X109" s="22"/>
      <c r="Y109" s="22"/>
      <c r="Z109" s="22"/>
      <c r="AA109" s="22"/>
      <c r="AB109" s="22"/>
      <c r="AC109" s="22"/>
    </row>
    <row r="110" spans="1:29">
      <c r="A110" s="392" t="s">
        <v>546</v>
      </c>
      <c r="B110" s="392" t="s">
        <v>2</v>
      </c>
      <c r="C110" s="482">
        <v>3500</v>
      </c>
      <c r="D110" s="482">
        <v>3500</v>
      </c>
      <c r="E110" s="99">
        <f t="shared" si="33"/>
        <v>3710</v>
      </c>
      <c r="F110" s="99">
        <f t="shared" si="34"/>
        <v>3710</v>
      </c>
      <c r="G110" s="99"/>
      <c r="H110" s="99"/>
      <c r="I110" s="99"/>
      <c r="J110" s="99"/>
      <c r="K110" s="99"/>
      <c r="L110" s="99"/>
      <c r="M110" s="288"/>
      <c r="N110" s="288"/>
      <c r="O110" s="289">
        <f t="shared" si="35"/>
        <v>3710</v>
      </c>
      <c r="P110" s="22"/>
      <c r="Q110" s="22"/>
      <c r="R110" s="22"/>
      <c r="S110" s="22"/>
      <c r="T110" s="22"/>
      <c r="U110" s="22"/>
      <c r="V110" s="22"/>
      <c r="W110" s="22"/>
      <c r="X110" s="22"/>
      <c r="Y110" s="22"/>
      <c r="Z110" s="22"/>
      <c r="AA110" s="22"/>
      <c r="AB110" s="22"/>
      <c r="AC110" s="22"/>
    </row>
    <row r="111" spans="1:29">
      <c r="A111" s="392" t="s">
        <v>547</v>
      </c>
      <c r="B111" s="392" t="s">
        <v>531</v>
      </c>
      <c r="C111" s="482">
        <v>100</v>
      </c>
      <c r="D111" s="482">
        <v>100</v>
      </c>
      <c r="E111" s="99">
        <f t="shared" si="33"/>
        <v>106</v>
      </c>
      <c r="F111" s="99">
        <f t="shared" si="34"/>
        <v>106</v>
      </c>
      <c r="G111" s="99"/>
      <c r="H111" s="99"/>
      <c r="I111" s="99"/>
      <c r="J111" s="99"/>
      <c r="K111" s="99"/>
      <c r="L111" s="99"/>
      <c r="M111" s="288"/>
      <c r="N111" s="288"/>
      <c r="O111" s="289">
        <f t="shared" si="35"/>
        <v>106</v>
      </c>
      <c r="P111" s="22"/>
      <c r="Q111" s="22"/>
      <c r="R111" s="22"/>
      <c r="S111" s="22"/>
      <c r="T111" s="22"/>
      <c r="U111" s="22"/>
      <c r="V111" s="22"/>
      <c r="W111" s="22"/>
      <c r="X111" s="22"/>
      <c r="Y111" s="22"/>
      <c r="Z111" s="22"/>
      <c r="AA111" s="22"/>
      <c r="AB111" s="22"/>
      <c r="AC111" s="22"/>
    </row>
    <row r="112" spans="1:29">
      <c r="A112" s="393" t="s">
        <v>548</v>
      </c>
      <c r="B112" s="393" t="s">
        <v>531</v>
      </c>
      <c r="C112" s="482">
        <v>150</v>
      </c>
      <c r="D112" s="482">
        <v>250</v>
      </c>
      <c r="E112" s="99">
        <f t="shared" si="33"/>
        <v>159</v>
      </c>
      <c r="F112" s="99">
        <f t="shared" si="34"/>
        <v>265</v>
      </c>
      <c r="G112" s="99"/>
      <c r="H112" s="99"/>
      <c r="I112" s="99"/>
      <c r="J112" s="99"/>
      <c r="K112" s="99"/>
      <c r="L112" s="99"/>
      <c r="M112" s="288"/>
      <c r="N112" s="288"/>
      <c r="O112" s="290">
        <f t="shared" si="35"/>
        <v>265</v>
      </c>
      <c r="P112" s="22"/>
      <c r="Q112" s="22"/>
      <c r="R112" s="22"/>
      <c r="S112" s="22"/>
      <c r="T112" s="22"/>
      <c r="U112" s="22"/>
      <c r="V112" s="22"/>
      <c r="W112" s="22"/>
      <c r="X112" s="22"/>
      <c r="Y112" s="22"/>
      <c r="Z112" s="22"/>
      <c r="AA112" s="22"/>
      <c r="AB112" s="22"/>
      <c r="AC112" s="22"/>
    </row>
    <row r="113" spans="1:29">
      <c r="A113" s="22"/>
      <c r="B113" s="22"/>
      <c r="C113" s="288"/>
      <c r="D113" s="288"/>
      <c r="E113" s="405"/>
      <c r="F113" s="405"/>
      <c r="G113" s="405"/>
      <c r="H113" s="405"/>
      <c r="I113" s="405"/>
      <c r="J113" s="405"/>
      <c r="K113" s="405"/>
      <c r="L113" s="405"/>
      <c r="M113" s="288"/>
      <c r="N113" s="288"/>
      <c r="O113" s="288"/>
      <c r="P113" s="22"/>
      <c r="Q113" s="22"/>
      <c r="R113" s="22"/>
      <c r="S113" s="22"/>
      <c r="T113" s="22"/>
      <c r="U113" s="22"/>
      <c r="V113" s="22"/>
      <c r="W113" s="22"/>
      <c r="X113" s="22"/>
      <c r="Y113" s="22"/>
      <c r="Z113" s="22"/>
      <c r="AA113" s="22"/>
      <c r="AB113" s="22"/>
      <c r="AC113" s="22"/>
    </row>
    <row r="114" spans="1:29">
      <c r="A114" s="394" t="s">
        <v>121</v>
      </c>
      <c r="B114" s="22"/>
      <c r="C114" s="288"/>
      <c r="D114" s="288"/>
      <c r="E114" s="405"/>
      <c r="F114" s="405"/>
      <c r="G114" s="405"/>
      <c r="H114" s="405"/>
      <c r="I114" s="405"/>
      <c r="J114" s="405"/>
      <c r="K114" s="405"/>
      <c r="L114" s="405"/>
      <c r="M114" s="288"/>
      <c r="N114" s="288"/>
      <c r="O114" s="288"/>
      <c r="P114" s="22"/>
      <c r="Q114" s="22"/>
      <c r="R114" s="22"/>
      <c r="S114" s="22"/>
      <c r="T114" s="22"/>
      <c r="U114" s="22"/>
      <c r="V114" s="22"/>
      <c r="W114" s="22"/>
      <c r="X114" s="22"/>
      <c r="Y114" s="22"/>
      <c r="Z114" s="22"/>
      <c r="AA114" s="22"/>
      <c r="AB114" s="22"/>
      <c r="AC114" s="22"/>
    </row>
    <row r="115" spans="1:29">
      <c r="A115" s="390" t="s">
        <v>549</v>
      </c>
      <c r="B115" s="22"/>
      <c r="C115" s="288"/>
      <c r="D115" s="288"/>
      <c r="E115" s="405"/>
      <c r="F115" s="405"/>
      <c r="G115" s="405"/>
      <c r="H115" s="405"/>
      <c r="I115" s="405"/>
      <c r="J115" s="405"/>
      <c r="K115" s="405"/>
      <c r="L115" s="405"/>
      <c r="M115" s="288"/>
      <c r="N115" s="288"/>
      <c r="O115" s="288"/>
      <c r="P115" s="22"/>
      <c r="Q115" s="22"/>
      <c r="R115" s="22"/>
      <c r="S115" s="22"/>
      <c r="T115" s="22"/>
      <c r="U115" s="22"/>
      <c r="V115" s="22"/>
      <c r="W115" s="22"/>
      <c r="X115" s="22"/>
      <c r="Y115" s="22"/>
      <c r="Z115" s="22"/>
      <c r="AA115" s="22"/>
      <c r="AB115" s="22"/>
      <c r="AC115" s="22"/>
    </row>
    <row r="116" spans="1:29">
      <c r="A116" s="395" t="s">
        <v>550</v>
      </c>
      <c r="B116" s="22"/>
      <c r="C116" s="288"/>
      <c r="D116" s="288"/>
      <c r="E116" s="405"/>
      <c r="F116" s="405"/>
      <c r="G116" s="405"/>
      <c r="H116" s="405"/>
      <c r="I116" s="405"/>
      <c r="J116" s="405"/>
      <c r="K116" s="405"/>
      <c r="L116" s="405"/>
      <c r="M116" s="288"/>
      <c r="N116" s="288"/>
      <c r="O116" s="288"/>
      <c r="P116" s="22"/>
      <c r="Q116" s="22"/>
      <c r="R116" s="22"/>
      <c r="S116" s="22"/>
      <c r="T116" s="22"/>
      <c r="U116" s="22"/>
      <c r="V116" s="22"/>
      <c r="W116" s="22"/>
      <c r="X116" s="22"/>
      <c r="Y116" s="22"/>
      <c r="Z116" s="22"/>
      <c r="AA116" s="22"/>
      <c r="AB116" s="22"/>
      <c r="AC116" s="22"/>
    </row>
    <row r="117" spans="1:29">
      <c r="A117" s="396" t="s">
        <v>551</v>
      </c>
      <c r="B117" s="391" t="s">
        <v>2</v>
      </c>
      <c r="C117" s="482">
        <v>2000</v>
      </c>
      <c r="D117" s="482">
        <v>2000</v>
      </c>
      <c r="E117" s="99">
        <f t="shared" ref="E117:E120" si="36">C117*1.06</f>
        <v>2120</v>
      </c>
      <c r="F117" s="99">
        <f t="shared" ref="F117:F120" si="37">D117*1.06</f>
        <v>2120</v>
      </c>
      <c r="G117" s="99"/>
      <c r="H117" s="99"/>
      <c r="I117" s="99"/>
      <c r="J117" s="99"/>
      <c r="K117" s="99"/>
      <c r="L117" s="99"/>
      <c r="M117" s="288"/>
      <c r="N117" s="288"/>
      <c r="O117" s="292">
        <f>INDEX(C117:L117,1,$O$8)</f>
        <v>2120</v>
      </c>
      <c r="P117" s="22"/>
      <c r="Q117" s="22"/>
      <c r="R117" s="22"/>
      <c r="S117" s="22"/>
      <c r="T117" s="22"/>
      <c r="U117" s="22"/>
      <c r="V117" s="22"/>
      <c r="W117" s="22"/>
      <c r="X117" s="22"/>
      <c r="Y117" s="22"/>
      <c r="Z117" s="22"/>
      <c r="AA117" s="22"/>
      <c r="AB117" s="22"/>
      <c r="AC117" s="22"/>
    </row>
    <row r="118" spans="1:29">
      <c r="A118" s="397" t="s">
        <v>552</v>
      </c>
      <c r="B118" s="392" t="s">
        <v>2</v>
      </c>
      <c r="C118" s="482">
        <v>2900</v>
      </c>
      <c r="D118" s="482">
        <f>C118</f>
        <v>2900</v>
      </c>
      <c r="E118" s="99">
        <f t="shared" si="36"/>
        <v>3074</v>
      </c>
      <c r="F118" s="99">
        <f t="shared" si="37"/>
        <v>3074</v>
      </c>
      <c r="G118" s="99"/>
      <c r="H118" s="99"/>
      <c r="I118" s="99"/>
      <c r="J118" s="99"/>
      <c r="K118" s="99"/>
      <c r="L118" s="99"/>
      <c r="M118" s="288"/>
      <c r="N118" s="288"/>
      <c r="O118" s="289">
        <f>INDEX(C118:L118,1,$O$8)</f>
        <v>3074</v>
      </c>
      <c r="P118" s="22"/>
      <c r="Q118" s="22"/>
      <c r="R118" s="22"/>
      <c r="S118" s="22"/>
      <c r="T118" s="22"/>
      <c r="U118" s="22"/>
      <c r="V118" s="22"/>
      <c r="W118" s="22"/>
      <c r="X118" s="22"/>
      <c r="Y118" s="22"/>
      <c r="Z118" s="22"/>
      <c r="AA118" s="22"/>
      <c r="AB118" s="22"/>
      <c r="AC118" s="22"/>
    </row>
    <row r="119" spans="1:29">
      <c r="A119" s="398" t="s">
        <v>553</v>
      </c>
      <c r="B119" s="392" t="s">
        <v>2</v>
      </c>
      <c r="C119" s="482">
        <v>19000</v>
      </c>
      <c r="D119" s="482">
        <v>19000</v>
      </c>
      <c r="E119" s="99">
        <f t="shared" si="36"/>
        <v>20140</v>
      </c>
      <c r="F119" s="99">
        <f t="shared" si="37"/>
        <v>20140</v>
      </c>
      <c r="G119" s="99"/>
      <c r="H119" s="99"/>
      <c r="I119" s="99"/>
      <c r="J119" s="99"/>
      <c r="K119" s="99"/>
      <c r="L119" s="99"/>
      <c r="M119" s="288"/>
      <c r="N119" s="288"/>
      <c r="O119" s="289">
        <f>INDEX(C119:L119,1,$O$8)</f>
        <v>20140</v>
      </c>
      <c r="P119" s="22"/>
      <c r="Q119" s="22"/>
      <c r="R119" s="22"/>
      <c r="S119" s="22"/>
      <c r="T119" s="22"/>
      <c r="U119" s="22"/>
      <c r="V119" s="22"/>
      <c r="W119" s="22"/>
      <c r="X119" s="22"/>
      <c r="Y119" s="22"/>
      <c r="Z119" s="22"/>
      <c r="AA119" s="22"/>
      <c r="AB119" s="22"/>
      <c r="AC119" s="22"/>
    </row>
    <row r="120" spans="1:29">
      <c r="A120" s="399" t="s">
        <v>554</v>
      </c>
      <c r="B120" s="393" t="s">
        <v>2</v>
      </c>
      <c r="C120" s="482">
        <v>25000</v>
      </c>
      <c r="D120" s="482">
        <v>25000</v>
      </c>
      <c r="E120" s="99">
        <f t="shared" si="36"/>
        <v>26500</v>
      </c>
      <c r="F120" s="99">
        <f t="shared" si="37"/>
        <v>26500</v>
      </c>
      <c r="G120" s="99"/>
      <c r="H120" s="99"/>
      <c r="I120" s="99"/>
      <c r="J120" s="99"/>
      <c r="K120" s="99"/>
      <c r="L120" s="99"/>
      <c r="M120" s="288"/>
      <c r="N120" s="288"/>
      <c r="O120" s="290">
        <f>INDEX(C120:L120,1,$O$8)</f>
        <v>26500</v>
      </c>
      <c r="P120" s="22"/>
      <c r="Q120" s="22"/>
      <c r="R120" s="22"/>
      <c r="S120" s="22"/>
      <c r="T120" s="22"/>
      <c r="U120" s="22"/>
      <c r="V120" s="22"/>
      <c r="W120" s="22"/>
      <c r="X120" s="22"/>
      <c r="Y120" s="22"/>
      <c r="Z120" s="22"/>
      <c r="AA120" s="22"/>
      <c r="AB120" s="22"/>
      <c r="AC120" s="22"/>
    </row>
    <row r="121" spans="1:29">
      <c r="A121" s="395" t="s">
        <v>555</v>
      </c>
      <c r="B121" s="22"/>
      <c r="C121" s="288"/>
      <c r="D121" s="288"/>
      <c r="E121" s="405"/>
      <c r="F121" s="405"/>
      <c r="G121" s="405"/>
      <c r="H121" s="405"/>
      <c r="I121" s="405"/>
      <c r="J121" s="405"/>
      <c r="K121" s="405"/>
      <c r="L121" s="405"/>
      <c r="M121" s="288"/>
      <c r="N121" s="288"/>
      <c r="O121" s="288"/>
      <c r="P121" s="22"/>
      <c r="Q121" s="22"/>
      <c r="R121" s="22"/>
      <c r="S121" s="22"/>
      <c r="T121" s="22"/>
      <c r="U121" s="22"/>
      <c r="V121" s="22"/>
      <c r="W121" s="22"/>
      <c r="X121" s="22"/>
      <c r="Y121" s="22"/>
      <c r="Z121" s="22"/>
      <c r="AA121" s="22"/>
      <c r="AB121" s="22"/>
      <c r="AC121" s="22"/>
    </row>
    <row r="122" spans="1:29">
      <c r="A122" s="396" t="s">
        <v>551</v>
      </c>
      <c r="B122" s="391" t="s">
        <v>556</v>
      </c>
      <c r="C122" s="482">
        <v>200</v>
      </c>
      <c r="D122" s="482">
        <v>200</v>
      </c>
      <c r="E122" s="99">
        <f t="shared" ref="E122:E125" si="38">C122*1.06</f>
        <v>212</v>
      </c>
      <c r="F122" s="99">
        <f t="shared" ref="F122:F125" si="39">D122*1.06</f>
        <v>212</v>
      </c>
      <c r="G122" s="99"/>
      <c r="H122" s="99"/>
      <c r="I122" s="99"/>
      <c r="J122" s="99"/>
      <c r="K122" s="99"/>
      <c r="L122" s="99"/>
      <c r="M122" s="288"/>
      <c r="N122" s="288"/>
      <c r="O122" s="292">
        <f>INDEX(C122:L122,1,$O$8)</f>
        <v>212</v>
      </c>
      <c r="P122" s="22"/>
      <c r="Q122" s="22"/>
      <c r="R122" s="22"/>
      <c r="S122" s="22"/>
      <c r="T122" s="22"/>
      <c r="U122" s="22"/>
      <c r="V122" s="22"/>
      <c r="W122" s="22"/>
      <c r="X122" s="22"/>
      <c r="Y122" s="22"/>
      <c r="Z122" s="22"/>
      <c r="AA122" s="22"/>
      <c r="AB122" s="22"/>
      <c r="AC122" s="22"/>
    </row>
    <row r="123" spans="1:29">
      <c r="A123" s="397" t="s">
        <v>552</v>
      </c>
      <c r="B123" s="392" t="s">
        <v>556</v>
      </c>
      <c r="C123" s="482">
        <v>280</v>
      </c>
      <c r="D123" s="482">
        <v>280</v>
      </c>
      <c r="E123" s="99">
        <f t="shared" si="38"/>
        <v>296.8</v>
      </c>
      <c r="F123" s="99">
        <f t="shared" si="39"/>
        <v>296.8</v>
      </c>
      <c r="G123" s="99"/>
      <c r="H123" s="99"/>
      <c r="I123" s="99"/>
      <c r="J123" s="99"/>
      <c r="K123" s="99"/>
      <c r="L123" s="99"/>
      <c r="M123" s="288"/>
      <c r="N123" s="288"/>
      <c r="O123" s="289">
        <f>INDEX(C123:L123,1,$O$8)</f>
        <v>296.8</v>
      </c>
      <c r="P123" s="22"/>
      <c r="Q123" s="22"/>
      <c r="R123" s="22"/>
      <c r="S123" s="22"/>
      <c r="T123" s="22"/>
      <c r="U123" s="22"/>
      <c r="V123" s="22"/>
      <c r="W123" s="22"/>
      <c r="X123" s="22"/>
      <c r="Y123" s="22"/>
      <c r="Z123" s="22"/>
      <c r="AA123" s="22"/>
      <c r="AB123" s="22"/>
      <c r="AC123" s="22"/>
    </row>
    <row r="124" spans="1:29">
      <c r="A124" s="398" t="s">
        <v>553</v>
      </c>
      <c r="B124" s="392" t="s">
        <v>556</v>
      </c>
      <c r="C124" s="482">
        <v>370</v>
      </c>
      <c r="D124" s="482">
        <v>370</v>
      </c>
      <c r="E124" s="99">
        <f t="shared" si="38"/>
        <v>392.20000000000005</v>
      </c>
      <c r="F124" s="99">
        <f t="shared" si="39"/>
        <v>392.20000000000005</v>
      </c>
      <c r="G124" s="99"/>
      <c r="H124" s="99"/>
      <c r="I124" s="99"/>
      <c r="J124" s="99"/>
      <c r="K124" s="99"/>
      <c r="L124" s="99"/>
      <c r="M124" s="288"/>
      <c r="N124" s="288"/>
      <c r="O124" s="289">
        <f>INDEX(C124:L124,1,$O$8)</f>
        <v>392.20000000000005</v>
      </c>
      <c r="P124" s="22"/>
      <c r="Q124" s="22"/>
      <c r="R124" s="22"/>
      <c r="S124" s="22"/>
      <c r="T124" s="22"/>
      <c r="U124" s="22"/>
      <c r="V124" s="22"/>
      <c r="W124" s="22"/>
      <c r="X124" s="22"/>
      <c r="Y124" s="22"/>
      <c r="Z124" s="22"/>
      <c r="AA124" s="22"/>
      <c r="AB124" s="22"/>
      <c r="AC124" s="22"/>
    </row>
    <row r="125" spans="1:29">
      <c r="A125" s="399" t="s">
        <v>554</v>
      </c>
      <c r="B125" s="393" t="s">
        <v>556</v>
      </c>
      <c r="C125" s="482">
        <v>530</v>
      </c>
      <c r="D125" s="482">
        <v>530</v>
      </c>
      <c r="E125" s="99">
        <f t="shared" si="38"/>
        <v>561.80000000000007</v>
      </c>
      <c r="F125" s="99">
        <f t="shared" si="39"/>
        <v>561.80000000000007</v>
      </c>
      <c r="G125" s="99"/>
      <c r="H125" s="99"/>
      <c r="I125" s="99"/>
      <c r="J125" s="99"/>
      <c r="K125" s="99"/>
      <c r="L125" s="99"/>
      <c r="M125" s="288"/>
      <c r="N125" s="288"/>
      <c r="O125" s="290">
        <f>INDEX(C125:L125,1,$O$8)</f>
        <v>561.80000000000007</v>
      </c>
      <c r="P125" s="22"/>
      <c r="Q125" s="22"/>
      <c r="R125" s="22"/>
      <c r="S125" s="22"/>
      <c r="T125" s="22"/>
      <c r="U125" s="22"/>
      <c r="V125" s="22"/>
      <c r="W125" s="22"/>
      <c r="X125" s="22"/>
      <c r="Y125" s="22"/>
      <c r="Z125" s="22"/>
      <c r="AA125" s="22"/>
      <c r="AB125" s="22"/>
      <c r="AC125" s="22"/>
    </row>
    <row r="126" spans="1:29">
      <c r="A126" s="395" t="s">
        <v>512</v>
      </c>
      <c r="B126" s="22"/>
      <c r="C126" s="288"/>
      <c r="D126" s="288"/>
      <c r="E126" s="405"/>
      <c r="F126" s="405"/>
      <c r="G126" s="405"/>
      <c r="H126" s="405"/>
      <c r="I126" s="405"/>
      <c r="J126" s="405"/>
      <c r="K126" s="405"/>
      <c r="L126" s="405"/>
      <c r="M126" s="288"/>
      <c r="N126" s="288"/>
      <c r="O126" s="288"/>
      <c r="P126" s="22"/>
      <c r="Q126" s="22"/>
      <c r="R126" s="22"/>
      <c r="S126" s="22"/>
      <c r="T126" s="22"/>
      <c r="U126" s="22"/>
      <c r="V126" s="22"/>
      <c r="W126" s="22"/>
      <c r="X126" s="22"/>
      <c r="Y126" s="22"/>
      <c r="Z126" s="22"/>
      <c r="AA126" s="22"/>
      <c r="AB126" s="22"/>
      <c r="AC126" s="22"/>
    </row>
    <row r="127" spans="1:29">
      <c r="A127" s="396" t="s">
        <v>551</v>
      </c>
      <c r="B127" s="391" t="s">
        <v>354</v>
      </c>
      <c r="C127" s="482">
        <v>0.08</v>
      </c>
      <c r="D127" s="482">
        <v>0.08</v>
      </c>
      <c r="E127" s="99">
        <f t="shared" ref="E127:E130" si="40">C127*1.06</f>
        <v>8.48E-2</v>
      </c>
      <c r="F127" s="99">
        <f t="shared" ref="F127:F130" si="41">D127*1.06</f>
        <v>8.48E-2</v>
      </c>
      <c r="G127" s="99"/>
      <c r="H127" s="99"/>
      <c r="I127" s="99"/>
      <c r="J127" s="99"/>
      <c r="K127" s="99"/>
      <c r="L127" s="99"/>
      <c r="M127" s="288"/>
      <c r="N127" s="288"/>
      <c r="O127" s="292">
        <f>INDEX(C127:L127,1,$O$8)</f>
        <v>8.48E-2</v>
      </c>
      <c r="P127" s="22"/>
      <c r="Q127" s="22"/>
      <c r="R127" s="22"/>
      <c r="S127" s="22"/>
      <c r="T127" s="22"/>
      <c r="U127" s="22"/>
      <c r="V127" s="22"/>
      <c r="W127" s="22"/>
      <c r="X127" s="22"/>
      <c r="Y127" s="22"/>
      <c r="Z127" s="22"/>
      <c r="AA127" s="22"/>
      <c r="AB127" s="22"/>
      <c r="AC127" s="22"/>
    </row>
    <row r="128" spans="1:29">
      <c r="A128" s="397" t="s">
        <v>552</v>
      </c>
      <c r="B128" s="392" t="s">
        <v>354</v>
      </c>
      <c r="C128" s="482">
        <f>C127</f>
        <v>0.08</v>
      </c>
      <c r="D128" s="482">
        <f>D127</f>
        <v>0.08</v>
      </c>
      <c r="E128" s="99">
        <f t="shared" si="40"/>
        <v>8.48E-2</v>
      </c>
      <c r="F128" s="99">
        <f t="shared" si="41"/>
        <v>8.48E-2</v>
      </c>
      <c r="G128" s="99"/>
      <c r="H128" s="99"/>
      <c r="I128" s="99"/>
      <c r="J128" s="99"/>
      <c r="K128" s="99"/>
      <c r="L128" s="99"/>
      <c r="M128" s="288"/>
      <c r="N128" s="288"/>
      <c r="O128" s="289">
        <f>INDEX(C128:L128,1,$O$8)</f>
        <v>8.48E-2</v>
      </c>
      <c r="P128" s="22"/>
      <c r="Q128" s="22"/>
      <c r="R128" s="22"/>
      <c r="S128" s="22"/>
      <c r="T128" s="22"/>
      <c r="U128" s="22"/>
      <c r="V128" s="22"/>
      <c r="W128" s="22"/>
      <c r="X128" s="22"/>
      <c r="Y128" s="22"/>
      <c r="Z128" s="22"/>
      <c r="AA128" s="22"/>
      <c r="AB128" s="22"/>
      <c r="AC128" s="22"/>
    </row>
    <row r="129" spans="1:29">
      <c r="A129" s="398" t="s">
        <v>553</v>
      </c>
      <c r="B129" s="392" t="s">
        <v>354</v>
      </c>
      <c r="C129" s="482">
        <v>0.15</v>
      </c>
      <c r="D129" s="482">
        <v>0.15</v>
      </c>
      <c r="E129" s="99">
        <f t="shared" si="40"/>
        <v>0.159</v>
      </c>
      <c r="F129" s="99">
        <f t="shared" si="41"/>
        <v>0.159</v>
      </c>
      <c r="G129" s="99"/>
      <c r="H129" s="99"/>
      <c r="I129" s="99"/>
      <c r="J129" s="99"/>
      <c r="K129" s="99"/>
      <c r="L129" s="99"/>
      <c r="M129" s="288"/>
      <c r="N129" s="288"/>
      <c r="O129" s="289">
        <f>INDEX(C129:L129,1,$O$8)</f>
        <v>0.159</v>
      </c>
      <c r="P129" s="22"/>
      <c r="Q129" s="22"/>
      <c r="R129" s="22"/>
      <c r="S129" s="22"/>
      <c r="T129" s="22"/>
      <c r="U129" s="22"/>
      <c r="V129" s="22"/>
      <c r="W129" s="22"/>
      <c r="X129" s="22"/>
      <c r="Y129" s="22"/>
      <c r="Z129" s="22"/>
      <c r="AA129" s="22"/>
      <c r="AB129" s="22"/>
      <c r="AC129" s="22"/>
    </row>
    <row r="130" spans="1:29">
      <c r="A130" s="399" t="s">
        <v>554</v>
      </c>
      <c r="B130" s="393" t="s">
        <v>354</v>
      </c>
      <c r="C130" s="482">
        <v>0.2</v>
      </c>
      <c r="D130" s="482">
        <v>0.2</v>
      </c>
      <c r="E130" s="99">
        <f t="shared" si="40"/>
        <v>0.21200000000000002</v>
      </c>
      <c r="F130" s="99">
        <f t="shared" si="41"/>
        <v>0.21200000000000002</v>
      </c>
      <c r="G130" s="99"/>
      <c r="H130" s="99"/>
      <c r="I130" s="99"/>
      <c r="J130" s="99"/>
      <c r="K130" s="99"/>
      <c r="L130" s="99"/>
      <c r="M130" s="288"/>
      <c r="N130" s="288"/>
      <c r="O130" s="290">
        <f>INDEX(C130:L130,1,$O$8)</f>
        <v>0.21200000000000002</v>
      </c>
      <c r="P130" s="22"/>
      <c r="Q130" s="22"/>
      <c r="R130" s="22"/>
      <c r="S130" s="22"/>
      <c r="T130" s="22"/>
      <c r="U130" s="22"/>
      <c r="V130" s="22"/>
      <c r="W130" s="22"/>
      <c r="X130" s="22"/>
      <c r="Y130" s="22"/>
      <c r="Z130" s="22"/>
      <c r="AA130" s="22"/>
      <c r="AB130" s="22"/>
      <c r="AC130" s="22"/>
    </row>
    <row r="131" spans="1:29">
      <c r="A131" s="395" t="s">
        <v>729</v>
      </c>
      <c r="B131" s="22"/>
      <c r="C131" s="288"/>
      <c r="D131" s="288"/>
      <c r="E131" s="405"/>
      <c r="F131" s="405"/>
      <c r="G131" s="405"/>
      <c r="H131" s="405"/>
      <c r="I131" s="405"/>
      <c r="J131" s="405"/>
      <c r="K131" s="405"/>
      <c r="L131" s="405"/>
      <c r="M131" s="288"/>
      <c r="N131" s="288"/>
      <c r="O131" s="288"/>
      <c r="P131" s="22"/>
      <c r="Q131" s="22"/>
      <c r="R131" s="22"/>
      <c r="S131" s="22"/>
      <c r="T131" s="22"/>
      <c r="U131" s="22"/>
      <c r="V131" s="22"/>
      <c r="W131" s="22"/>
      <c r="X131" s="22"/>
      <c r="Y131" s="22"/>
      <c r="Z131" s="22"/>
      <c r="AA131" s="22"/>
      <c r="AB131" s="22"/>
      <c r="AC131" s="22"/>
    </row>
    <row r="132" spans="1:29">
      <c r="A132" s="400" t="s">
        <v>730</v>
      </c>
      <c r="B132" s="391" t="s">
        <v>2</v>
      </c>
      <c r="C132" s="482">
        <v>10000</v>
      </c>
      <c r="D132" s="482">
        <v>12000</v>
      </c>
      <c r="E132" s="99">
        <f t="shared" ref="E132:E136" si="42">C132*1.06</f>
        <v>10600</v>
      </c>
      <c r="F132" s="99">
        <f t="shared" ref="F132:F136" si="43">D132*1.06</f>
        <v>12720</v>
      </c>
      <c r="G132" s="99"/>
      <c r="H132" s="99"/>
      <c r="I132" s="99"/>
      <c r="J132" s="99"/>
      <c r="K132" s="99"/>
      <c r="L132" s="99"/>
      <c r="M132" s="288"/>
      <c r="N132" s="288"/>
      <c r="O132" s="292">
        <f>INDEX(C132:L132,1,$O$8)</f>
        <v>12720</v>
      </c>
      <c r="P132" s="22"/>
      <c r="Q132" s="22"/>
      <c r="R132" s="22"/>
      <c r="S132" s="22"/>
      <c r="T132" s="22"/>
      <c r="U132" s="22"/>
      <c r="V132" s="22"/>
      <c r="W132" s="22"/>
      <c r="X132" s="22"/>
      <c r="Y132" s="22"/>
      <c r="Z132" s="22"/>
      <c r="AA132" s="22"/>
      <c r="AB132" s="22"/>
      <c r="AC132" s="22"/>
    </row>
    <row r="133" spans="1:29">
      <c r="A133" s="398" t="s">
        <v>739</v>
      </c>
      <c r="B133" s="392" t="s">
        <v>731</v>
      </c>
      <c r="C133" s="482">
        <v>250</v>
      </c>
      <c r="D133" s="482">
        <v>250</v>
      </c>
      <c r="E133" s="99">
        <f t="shared" si="42"/>
        <v>265</v>
      </c>
      <c r="F133" s="99">
        <f t="shared" si="43"/>
        <v>265</v>
      </c>
      <c r="G133" s="99"/>
      <c r="H133" s="99"/>
      <c r="I133" s="99"/>
      <c r="J133" s="99"/>
      <c r="K133" s="99"/>
      <c r="L133" s="99"/>
      <c r="M133" s="288"/>
      <c r="N133" s="288"/>
      <c r="O133" s="289">
        <f>INDEX(C133:L133,1,$O$8)</f>
        <v>265</v>
      </c>
      <c r="P133" s="22"/>
      <c r="Q133" s="22"/>
      <c r="R133" s="22"/>
      <c r="S133" s="22"/>
      <c r="T133" s="22"/>
      <c r="U133" s="22"/>
      <c r="V133" s="22"/>
      <c r="W133" s="22"/>
      <c r="X133" s="22"/>
      <c r="Y133" s="22"/>
      <c r="Z133" s="22"/>
      <c r="AA133" s="22"/>
      <c r="AB133" s="22"/>
      <c r="AC133" s="22"/>
    </row>
    <row r="134" spans="1:29">
      <c r="A134" s="398" t="s">
        <v>742</v>
      </c>
      <c r="B134" s="392" t="s">
        <v>731</v>
      </c>
      <c r="C134" s="482">
        <v>300</v>
      </c>
      <c r="D134" s="482">
        <v>300</v>
      </c>
      <c r="E134" s="99">
        <f t="shared" si="42"/>
        <v>318</v>
      </c>
      <c r="F134" s="99">
        <f t="shared" si="43"/>
        <v>318</v>
      </c>
      <c r="G134" s="99"/>
      <c r="H134" s="99"/>
      <c r="I134" s="99"/>
      <c r="J134" s="99"/>
      <c r="K134" s="99"/>
      <c r="L134" s="99"/>
      <c r="M134" s="288"/>
      <c r="N134" s="288"/>
      <c r="O134" s="289">
        <f>INDEX(C134:L134,1,$O$8)</f>
        <v>318</v>
      </c>
      <c r="P134" s="22"/>
      <c r="Q134" s="22"/>
      <c r="R134" s="22"/>
      <c r="S134" s="22"/>
      <c r="T134" s="22"/>
      <c r="U134" s="22"/>
      <c r="V134" s="22"/>
      <c r="W134" s="22"/>
      <c r="X134" s="22"/>
      <c r="Y134" s="22"/>
      <c r="Z134" s="22"/>
      <c r="AA134" s="22"/>
      <c r="AB134" s="22"/>
      <c r="AC134" s="22"/>
    </row>
    <row r="135" spans="1:29">
      <c r="A135" s="398" t="s">
        <v>740</v>
      </c>
      <c r="B135" s="392" t="s">
        <v>356</v>
      </c>
      <c r="C135" s="482">
        <v>2.5</v>
      </c>
      <c r="D135" s="482">
        <v>2.5</v>
      </c>
      <c r="E135" s="99">
        <f t="shared" si="42"/>
        <v>2.6500000000000004</v>
      </c>
      <c r="F135" s="99">
        <f t="shared" si="43"/>
        <v>2.6500000000000004</v>
      </c>
      <c r="G135" s="99"/>
      <c r="H135" s="99"/>
      <c r="I135" s="99"/>
      <c r="J135" s="99"/>
      <c r="K135" s="99"/>
      <c r="L135" s="99"/>
      <c r="M135" s="288"/>
      <c r="N135" s="288"/>
      <c r="O135" s="289">
        <f>INDEX(C135:L135,1,$O$8)</f>
        <v>2.6500000000000004</v>
      </c>
      <c r="P135" s="22"/>
      <c r="Q135" s="22"/>
      <c r="R135" s="22"/>
      <c r="S135" s="22"/>
      <c r="T135" s="22"/>
      <c r="U135" s="22"/>
      <c r="V135" s="22"/>
      <c r="W135" s="22"/>
      <c r="X135" s="22"/>
      <c r="Y135" s="22"/>
      <c r="Z135" s="22"/>
      <c r="AA135" s="22"/>
      <c r="AB135" s="22"/>
      <c r="AC135" s="22"/>
    </row>
    <row r="136" spans="1:29">
      <c r="A136" s="399" t="s">
        <v>741</v>
      </c>
      <c r="B136" s="393" t="s">
        <v>356</v>
      </c>
      <c r="C136" s="482">
        <v>3.2</v>
      </c>
      <c r="D136" s="482">
        <v>3.2</v>
      </c>
      <c r="E136" s="99">
        <f t="shared" si="42"/>
        <v>3.3920000000000003</v>
      </c>
      <c r="F136" s="99">
        <f t="shared" si="43"/>
        <v>3.3920000000000003</v>
      </c>
      <c r="G136" s="99"/>
      <c r="H136" s="99"/>
      <c r="I136" s="99"/>
      <c r="J136" s="99"/>
      <c r="K136" s="99"/>
      <c r="L136" s="99"/>
      <c r="M136" s="288"/>
      <c r="N136" s="288"/>
      <c r="O136" s="290">
        <f>INDEX(C136:L136,1,$O$8)</f>
        <v>3.3920000000000003</v>
      </c>
      <c r="P136" s="22"/>
      <c r="Q136" s="22"/>
      <c r="R136" s="22"/>
      <c r="S136" s="22"/>
      <c r="T136" s="22"/>
      <c r="U136" s="22"/>
      <c r="V136" s="22"/>
      <c r="W136" s="22"/>
      <c r="X136" s="22"/>
      <c r="Y136" s="22"/>
      <c r="Z136" s="22"/>
      <c r="AA136" s="22"/>
      <c r="AB136" s="22"/>
      <c r="AC136" s="22"/>
    </row>
    <row r="137" spans="1:29">
      <c r="A137" s="22"/>
      <c r="B137" s="22"/>
      <c r="C137" s="288"/>
      <c r="D137" s="288"/>
      <c r="E137" s="405"/>
      <c r="F137" s="405"/>
      <c r="G137" s="405"/>
      <c r="H137" s="405"/>
      <c r="I137" s="405"/>
      <c r="J137" s="405"/>
      <c r="K137" s="405"/>
      <c r="L137" s="405"/>
      <c r="M137" s="288"/>
      <c r="N137" s="288"/>
      <c r="O137" s="288"/>
      <c r="P137" s="22"/>
      <c r="Q137" s="22"/>
      <c r="R137" s="22"/>
      <c r="S137" s="22"/>
      <c r="T137" s="22"/>
      <c r="U137" s="22"/>
      <c r="V137" s="22"/>
      <c r="W137" s="22"/>
      <c r="X137" s="22"/>
      <c r="Y137" s="22"/>
      <c r="Z137" s="22"/>
      <c r="AA137" s="22"/>
      <c r="AB137" s="22"/>
      <c r="AC137" s="22"/>
    </row>
    <row r="138" spans="1:29">
      <c r="A138" s="390" t="s">
        <v>557</v>
      </c>
      <c r="B138" s="22"/>
      <c r="C138" s="288"/>
      <c r="D138" s="288"/>
      <c r="E138" s="405"/>
      <c r="F138" s="405"/>
      <c r="G138" s="405"/>
      <c r="H138" s="405"/>
      <c r="I138" s="405"/>
      <c r="J138" s="405"/>
      <c r="K138" s="405"/>
      <c r="L138" s="405"/>
      <c r="M138" s="288"/>
      <c r="N138" s="288"/>
      <c r="O138" s="288"/>
      <c r="P138" s="22"/>
      <c r="Q138" s="22"/>
      <c r="R138" s="22"/>
      <c r="S138" s="22"/>
      <c r="T138" s="22"/>
      <c r="U138" s="22"/>
      <c r="V138" s="22"/>
      <c r="W138" s="22"/>
      <c r="X138" s="22"/>
      <c r="Y138" s="22"/>
      <c r="Z138" s="22"/>
      <c r="AA138" s="22"/>
      <c r="AB138" s="22"/>
      <c r="AC138" s="22"/>
    </row>
    <row r="139" spans="1:29">
      <c r="A139" s="401" t="s">
        <v>1065</v>
      </c>
      <c r="B139" s="391" t="s">
        <v>354</v>
      </c>
      <c r="C139" s="482">
        <v>0.4</v>
      </c>
      <c r="D139" s="482">
        <v>0.4</v>
      </c>
      <c r="E139" s="99">
        <f t="shared" ref="E139:E143" si="44">C139*1.06</f>
        <v>0.42400000000000004</v>
      </c>
      <c r="F139" s="99">
        <f t="shared" ref="F139:F143" si="45">D139*1.06</f>
        <v>0.42400000000000004</v>
      </c>
      <c r="G139" s="99"/>
      <c r="H139" s="99"/>
      <c r="I139" s="99"/>
      <c r="J139" s="99"/>
      <c r="K139" s="99"/>
      <c r="L139" s="99"/>
      <c r="M139" s="288"/>
      <c r="N139" s="288"/>
      <c r="O139" s="292">
        <f t="shared" ref="O139:O144" si="46">INDEX(C139:L139,1,$O$8)</f>
        <v>0.42400000000000004</v>
      </c>
      <c r="P139" s="22"/>
      <c r="Q139" s="22"/>
      <c r="R139" s="22"/>
      <c r="S139" s="22"/>
      <c r="T139" s="22"/>
      <c r="U139" s="22"/>
      <c r="V139" s="22"/>
      <c r="W139" s="22"/>
      <c r="X139" s="22"/>
      <c r="Y139" s="22"/>
      <c r="Z139" s="22"/>
      <c r="AA139" s="22"/>
      <c r="AB139" s="22"/>
      <c r="AC139" s="22"/>
    </row>
    <row r="140" spans="1:29">
      <c r="A140" s="340" t="s">
        <v>558</v>
      </c>
      <c r="B140" s="392" t="s">
        <v>354</v>
      </c>
      <c r="C140" s="482">
        <v>0.55000000000000004</v>
      </c>
      <c r="D140" s="482">
        <v>0.55000000000000004</v>
      </c>
      <c r="E140" s="99">
        <f t="shared" si="44"/>
        <v>0.58300000000000007</v>
      </c>
      <c r="F140" s="99">
        <f t="shared" si="45"/>
        <v>0.58300000000000007</v>
      </c>
      <c r="G140" s="99"/>
      <c r="H140" s="99"/>
      <c r="I140" s="99"/>
      <c r="J140" s="99"/>
      <c r="K140" s="99"/>
      <c r="L140" s="99"/>
      <c r="M140" s="288"/>
      <c r="N140" s="288"/>
      <c r="O140" s="289">
        <f t="shared" si="46"/>
        <v>0.58300000000000007</v>
      </c>
      <c r="P140" s="22"/>
      <c r="Q140" s="22"/>
      <c r="R140" s="22"/>
      <c r="S140" s="22"/>
      <c r="T140" s="22"/>
      <c r="U140" s="22"/>
      <c r="V140" s="22"/>
      <c r="W140" s="22"/>
      <c r="X140" s="22"/>
      <c r="Y140" s="22"/>
      <c r="Z140" s="22"/>
      <c r="AA140" s="22"/>
      <c r="AB140" s="22"/>
      <c r="AC140" s="22"/>
    </row>
    <row r="141" spans="1:29">
      <c r="A141" s="340" t="s">
        <v>559</v>
      </c>
      <c r="B141" s="392" t="s">
        <v>354</v>
      </c>
      <c r="C141" s="482">
        <v>0.75</v>
      </c>
      <c r="D141" s="482">
        <v>0.75</v>
      </c>
      <c r="E141" s="99">
        <f t="shared" si="44"/>
        <v>0.79500000000000004</v>
      </c>
      <c r="F141" s="99">
        <f t="shared" si="45"/>
        <v>0.79500000000000004</v>
      </c>
      <c r="G141" s="99"/>
      <c r="H141" s="99"/>
      <c r="I141" s="99"/>
      <c r="J141" s="99"/>
      <c r="K141" s="99"/>
      <c r="L141" s="99"/>
      <c r="M141" s="288"/>
      <c r="N141" s="288"/>
      <c r="O141" s="289">
        <f t="shared" si="46"/>
        <v>0.79500000000000004</v>
      </c>
      <c r="P141" s="22"/>
      <c r="Q141" s="22"/>
      <c r="R141" s="22"/>
      <c r="S141" s="22"/>
      <c r="T141" s="22"/>
      <c r="U141" s="22"/>
      <c r="V141" s="22"/>
      <c r="W141" s="22"/>
      <c r="X141" s="22"/>
      <c r="Y141" s="22"/>
      <c r="Z141" s="22"/>
      <c r="AA141" s="22"/>
      <c r="AB141" s="22"/>
      <c r="AC141" s="22"/>
    </row>
    <row r="142" spans="1:29">
      <c r="A142" s="340" t="s">
        <v>560</v>
      </c>
      <c r="B142" s="392" t="s">
        <v>354</v>
      </c>
      <c r="C142" s="482">
        <v>0.95</v>
      </c>
      <c r="D142" s="482">
        <v>1.2</v>
      </c>
      <c r="E142" s="99">
        <f t="shared" si="44"/>
        <v>1.0069999999999999</v>
      </c>
      <c r="F142" s="99">
        <f t="shared" si="45"/>
        <v>1.272</v>
      </c>
      <c r="G142" s="99"/>
      <c r="H142" s="99"/>
      <c r="I142" s="99"/>
      <c r="J142" s="99"/>
      <c r="K142" s="99"/>
      <c r="L142" s="99"/>
      <c r="M142" s="288"/>
      <c r="N142" s="288"/>
      <c r="O142" s="289">
        <f t="shared" si="46"/>
        <v>1.272</v>
      </c>
      <c r="P142" s="22"/>
      <c r="Q142" s="22"/>
      <c r="R142" s="22"/>
      <c r="S142" s="22"/>
      <c r="T142" s="22"/>
      <c r="U142" s="22"/>
      <c r="V142" s="22"/>
      <c r="W142" s="22"/>
      <c r="X142" s="22"/>
      <c r="Y142" s="22"/>
      <c r="Z142" s="22"/>
      <c r="AA142" s="22"/>
      <c r="AB142" s="22"/>
      <c r="AC142" s="22"/>
    </row>
    <row r="143" spans="1:29">
      <c r="A143" s="340" t="s">
        <v>561</v>
      </c>
      <c r="B143" s="392" t="s">
        <v>354</v>
      </c>
      <c r="C143" s="482">
        <v>1.1499999999999999</v>
      </c>
      <c r="D143" s="482">
        <v>1.35</v>
      </c>
      <c r="E143" s="99">
        <f t="shared" si="44"/>
        <v>1.2189999999999999</v>
      </c>
      <c r="F143" s="99">
        <f t="shared" si="45"/>
        <v>1.4310000000000003</v>
      </c>
      <c r="G143" s="99"/>
      <c r="H143" s="99"/>
      <c r="I143" s="99"/>
      <c r="J143" s="99"/>
      <c r="K143" s="99"/>
      <c r="L143" s="99"/>
      <c r="M143" s="288"/>
      <c r="N143" s="288"/>
      <c r="O143" s="289">
        <f t="shared" si="46"/>
        <v>1.4310000000000003</v>
      </c>
      <c r="P143" s="22"/>
      <c r="Q143" s="22"/>
      <c r="R143" s="22"/>
      <c r="S143" s="22"/>
      <c r="T143" s="22"/>
      <c r="U143" s="22"/>
      <c r="V143" s="22"/>
      <c r="W143" s="22"/>
      <c r="X143" s="22"/>
      <c r="Y143" s="22"/>
      <c r="Z143" s="22"/>
      <c r="AA143" s="22"/>
      <c r="AB143" s="22"/>
      <c r="AC143" s="22"/>
    </row>
    <row r="144" spans="1:29">
      <c r="A144" s="402"/>
      <c r="B144" s="393"/>
      <c r="C144" s="482"/>
      <c r="D144" s="482"/>
      <c r="E144" s="99">
        <f t="shared" ref="E144" si="47">C144</f>
        <v>0</v>
      </c>
      <c r="F144" s="99">
        <f t="shared" ref="F144" si="48">D144</f>
        <v>0</v>
      </c>
      <c r="G144" s="99"/>
      <c r="H144" s="99"/>
      <c r="I144" s="99"/>
      <c r="J144" s="99"/>
      <c r="K144" s="99"/>
      <c r="L144" s="99"/>
      <c r="M144" s="288"/>
      <c r="N144" s="288"/>
      <c r="O144" s="290">
        <f t="shared" si="46"/>
        <v>0</v>
      </c>
      <c r="P144" s="22"/>
      <c r="Q144" s="22"/>
      <c r="R144" s="22"/>
      <c r="S144" s="22"/>
      <c r="T144" s="22"/>
      <c r="U144" s="22"/>
      <c r="V144" s="22"/>
      <c r="W144" s="22"/>
      <c r="X144" s="22"/>
      <c r="Y144" s="22"/>
      <c r="Z144" s="22"/>
      <c r="AA144" s="22"/>
      <c r="AB144" s="22"/>
      <c r="AC144" s="22"/>
    </row>
    <row r="145" spans="1:29">
      <c r="A145" s="22"/>
      <c r="B145" s="22"/>
      <c r="C145" s="288"/>
      <c r="D145" s="288"/>
      <c r="E145" s="405"/>
      <c r="F145" s="405"/>
      <c r="G145" s="405"/>
      <c r="H145" s="405"/>
      <c r="I145" s="405"/>
      <c r="J145" s="405"/>
      <c r="K145" s="405"/>
      <c r="L145" s="405"/>
      <c r="M145" s="288"/>
      <c r="N145" s="288"/>
      <c r="O145" s="288"/>
      <c r="P145" s="22"/>
      <c r="Q145" s="22"/>
      <c r="R145" s="22"/>
      <c r="S145" s="22"/>
      <c r="T145" s="22"/>
      <c r="U145" s="22"/>
      <c r="V145" s="22"/>
      <c r="W145" s="22"/>
      <c r="X145" s="22"/>
      <c r="Y145" s="22"/>
      <c r="Z145" s="22"/>
      <c r="AA145" s="22"/>
      <c r="AB145" s="22"/>
      <c r="AC145" s="22"/>
    </row>
    <row r="146" spans="1:29">
      <c r="A146" s="390" t="s">
        <v>562</v>
      </c>
      <c r="B146" s="22"/>
      <c r="C146" s="288"/>
      <c r="D146" s="288"/>
      <c r="E146" s="405"/>
      <c r="F146" s="405"/>
      <c r="G146" s="405"/>
      <c r="H146" s="405"/>
      <c r="I146" s="405"/>
      <c r="J146" s="405"/>
      <c r="K146" s="405"/>
      <c r="L146" s="405"/>
      <c r="M146" s="288"/>
      <c r="N146" s="288"/>
      <c r="O146" s="288"/>
      <c r="P146" s="22"/>
      <c r="Q146" s="22"/>
      <c r="R146" s="22"/>
      <c r="S146" s="22"/>
      <c r="T146" s="22"/>
      <c r="U146" s="22"/>
      <c r="V146" s="22"/>
      <c r="W146" s="22"/>
      <c r="X146" s="22"/>
      <c r="Y146" s="22"/>
      <c r="Z146" s="22"/>
      <c r="AA146" s="22"/>
      <c r="AB146" s="22"/>
      <c r="AC146" s="22"/>
    </row>
    <row r="147" spans="1:29">
      <c r="A147" s="391" t="s">
        <v>550</v>
      </c>
      <c r="B147" s="391" t="s">
        <v>2</v>
      </c>
      <c r="C147" s="482">
        <v>2000</v>
      </c>
      <c r="D147" s="482">
        <v>2000</v>
      </c>
      <c r="E147" s="99">
        <f t="shared" ref="E147:E148" si="49">C147*1.06</f>
        <v>2120</v>
      </c>
      <c r="F147" s="99">
        <f t="shared" ref="F147:F148" si="50">D147*1.06</f>
        <v>2120</v>
      </c>
      <c r="G147" s="99"/>
      <c r="H147" s="99"/>
      <c r="I147" s="99"/>
      <c r="J147" s="99"/>
      <c r="K147" s="99"/>
      <c r="L147" s="99"/>
      <c r="M147" s="288"/>
      <c r="N147" s="288"/>
      <c r="O147" s="292">
        <f>INDEX(C147:L147,1,$O$8)</f>
        <v>2120</v>
      </c>
      <c r="P147" s="22"/>
      <c r="Q147" s="22"/>
      <c r="R147" s="22"/>
      <c r="S147" s="22"/>
      <c r="T147" s="22"/>
      <c r="U147" s="22"/>
      <c r="V147" s="22"/>
      <c r="W147" s="22"/>
      <c r="X147" s="22"/>
      <c r="Y147" s="22"/>
      <c r="Z147" s="22"/>
      <c r="AA147" s="22"/>
      <c r="AB147" s="22"/>
      <c r="AC147" s="22"/>
    </row>
    <row r="148" spans="1:29">
      <c r="A148" s="393" t="s">
        <v>512</v>
      </c>
      <c r="B148" s="393" t="s">
        <v>563</v>
      </c>
      <c r="C148" s="482">
        <v>5</v>
      </c>
      <c r="D148" s="482">
        <v>5</v>
      </c>
      <c r="E148" s="99">
        <f t="shared" si="49"/>
        <v>5.3000000000000007</v>
      </c>
      <c r="F148" s="99">
        <f t="shared" si="50"/>
        <v>5.3000000000000007</v>
      </c>
      <c r="G148" s="99"/>
      <c r="H148" s="99"/>
      <c r="I148" s="99"/>
      <c r="J148" s="99"/>
      <c r="K148" s="99"/>
      <c r="L148" s="99"/>
      <c r="M148" s="288"/>
      <c r="N148" s="288"/>
      <c r="O148" s="290">
        <f>INDEX(C148:L148,1,$O$8)</f>
        <v>5.3000000000000007</v>
      </c>
      <c r="P148" s="22"/>
      <c r="Q148" s="22"/>
      <c r="R148" s="22"/>
      <c r="S148" s="22"/>
      <c r="T148" s="22"/>
      <c r="U148" s="22"/>
      <c r="V148" s="22"/>
      <c r="W148" s="22"/>
      <c r="X148" s="22"/>
      <c r="Y148" s="22"/>
      <c r="Z148" s="22"/>
      <c r="AA148" s="22"/>
      <c r="AB148" s="22"/>
      <c r="AC148" s="22"/>
    </row>
    <row r="149" spans="1:29">
      <c r="A149" s="22"/>
      <c r="B149" s="22"/>
      <c r="C149" s="288"/>
      <c r="D149" s="288"/>
      <c r="E149" s="405"/>
      <c r="F149" s="405"/>
      <c r="G149" s="405"/>
      <c r="H149" s="405"/>
      <c r="I149" s="405"/>
      <c r="J149" s="405"/>
      <c r="K149" s="405"/>
      <c r="L149" s="405"/>
      <c r="M149" s="288"/>
      <c r="N149" s="288"/>
      <c r="O149" s="288"/>
      <c r="P149" s="22"/>
      <c r="Q149" s="22"/>
      <c r="R149" s="22"/>
      <c r="S149" s="22"/>
      <c r="T149" s="22"/>
      <c r="U149" s="22"/>
      <c r="V149" s="22"/>
      <c r="W149" s="22"/>
      <c r="X149" s="22"/>
      <c r="Y149" s="22"/>
      <c r="Z149" s="22"/>
      <c r="AA149" s="22"/>
      <c r="AB149" s="22"/>
      <c r="AC149" s="22"/>
    </row>
    <row r="150" spans="1:29">
      <c r="A150" s="390" t="s">
        <v>169</v>
      </c>
      <c r="B150" s="22"/>
      <c r="C150" s="288"/>
      <c r="D150" s="288"/>
      <c r="E150" s="405"/>
      <c r="F150" s="405"/>
      <c r="G150" s="405"/>
      <c r="H150" s="405"/>
      <c r="I150" s="405"/>
      <c r="J150" s="405"/>
      <c r="K150" s="405"/>
      <c r="L150" s="405"/>
      <c r="M150" s="288"/>
      <c r="N150" s="288"/>
      <c r="O150" s="288"/>
      <c r="P150" s="22"/>
      <c r="Q150" s="22"/>
      <c r="R150" s="22"/>
      <c r="S150" s="22"/>
      <c r="T150" s="22"/>
      <c r="U150" s="22"/>
      <c r="V150" s="22"/>
      <c r="W150" s="22"/>
      <c r="X150" s="22"/>
      <c r="Y150" s="22"/>
      <c r="Z150" s="22"/>
      <c r="AA150" s="22"/>
      <c r="AB150" s="22"/>
      <c r="AC150" s="22"/>
    </row>
    <row r="151" spans="1:29">
      <c r="A151" s="391" t="s">
        <v>564</v>
      </c>
      <c r="B151" s="391" t="s">
        <v>2</v>
      </c>
      <c r="C151" s="482">
        <v>25000</v>
      </c>
      <c r="D151" s="482">
        <v>40000</v>
      </c>
      <c r="E151" s="99">
        <f t="shared" ref="E151:E153" si="51">C151*1.06</f>
        <v>26500</v>
      </c>
      <c r="F151" s="99">
        <f t="shared" ref="F151:F153" si="52">D151*1.06</f>
        <v>42400</v>
      </c>
      <c r="G151" s="99"/>
      <c r="H151" s="99"/>
      <c r="I151" s="99"/>
      <c r="J151" s="99"/>
      <c r="K151" s="99"/>
      <c r="L151" s="99"/>
      <c r="M151" s="288"/>
      <c r="N151" s="288"/>
      <c r="O151" s="292">
        <f>INDEX(C151:L151,1,$O$8)</f>
        <v>42400</v>
      </c>
      <c r="P151" s="22"/>
      <c r="Q151" s="22"/>
      <c r="R151" s="22"/>
      <c r="S151" s="22"/>
      <c r="T151" s="22"/>
      <c r="U151" s="22"/>
      <c r="V151" s="22"/>
      <c r="W151" s="22"/>
      <c r="X151" s="22"/>
      <c r="Y151" s="22"/>
      <c r="Z151" s="22"/>
      <c r="AA151" s="22"/>
      <c r="AB151" s="22"/>
      <c r="AC151" s="22"/>
    </row>
    <row r="152" spans="1:29">
      <c r="A152" s="392" t="s">
        <v>565</v>
      </c>
      <c r="B152" s="392" t="s">
        <v>2</v>
      </c>
      <c r="C152" s="482">
        <v>2500</v>
      </c>
      <c r="D152" s="482"/>
      <c r="E152" s="99">
        <f t="shared" si="51"/>
        <v>2650</v>
      </c>
      <c r="F152" s="99">
        <f t="shared" si="52"/>
        <v>0</v>
      </c>
      <c r="G152" s="99"/>
      <c r="H152" s="99"/>
      <c r="I152" s="99"/>
      <c r="J152" s="99"/>
      <c r="K152" s="99"/>
      <c r="L152" s="99"/>
      <c r="M152" s="288"/>
      <c r="N152" s="288"/>
      <c r="O152" s="289">
        <f>INDEX(C152:L152,1,$O$8)</f>
        <v>0</v>
      </c>
      <c r="P152" s="22"/>
      <c r="Q152" s="22"/>
      <c r="R152" s="22"/>
      <c r="S152" s="22"/>
      <c r="T152" s="22"/>
      <c r="U152" s="22"/>
      <c r="V152" s="22"/>
      <c r="W152" s="22"/>
      <c r="X152" s="22"/>
      <c r="Y152" s="22"/>
      <c r="Z152" s="22"/>
      <c r="AA152" s="22"/>
      <c r="AB152" s="22"/>
      <c r="AC152" s="22"/>
    </row>
    <row r="153" spans="1:29">
      <c r="A153" s="393" t="s">
        <v>566</v>
      </c>
      <c r="B153" s="393" t="s">
        <v>567</v>
      </c>
      <c r="C153" s="482">
        <v>10</v>
      </c>
      <c r="D153" s="482">
        <v>10</v>
      </c>
      <c r="E153" s="99">
        <f t="shared" si="51"/>
        <v>10.600000000000001</v>
      </c>
      <c r="F153" s="99">
        <f t="shared" si="52"/>
        <v>10.600000000000001</v>
      </c>
      <c r="G153" s="99"/>
      <c r="H153" s="99"/>
      <c r="I153" s="407"/>
      <c r="J153" s="407"/>
      <c r="K153" s="407"/>
      <c r="L153" s="407"/>
      <c r="M153" s="22"/>
      <c r="N153" s="22"/>
      <c r="O153" s="287">
        <f>INDEX(C153:L153,1,$O$8)</f>
        <v>10.600000000000001</v>
      </c>
      <c r="P153" s="22"/>
      <c r="Q153" s="22"/>
      <c r="R153" s="22"/>
      <c r="S153" s="22"/>
      <c r="T153" s="22"/>
      <c r="U153" s="22"/>
      <c r="V153" s="22"/>
      <c r="W153" s="22"/>
      <c r="X153" s="22"/>
      <c r="Y153" s="22"/>
      <c r="Z153" s="22"/>
      <c r="AA153" s="22"/>
      <c r="AB153" s="22"/>
      <c r="AC153" s="22"/>
    </row>
    <row r="154" spans="1:29">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row>
    <row r="188" spans="1:29">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row>
    <row r="189" spans="1:29">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row>
    <row r="190" spans="1:29">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row>
    <row r="191" spans="1:29">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row>
    <row r="192" spans="1:29">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row>
    <row r="193" spans="1:29">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row>
    <row r="194" spans="1:29">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row>
    <row r="195" spans="1:29">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row>
    <row r="196" spans="1:29">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row>
    <row r="197" spans="1:29">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row>
    <row r="198" spans="1:29">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row>
    <row r="199" spans="1:29">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row>
    <row r="200" spans="1:29">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row>
    <row r="201" spans="1:29">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row>
    <row r="202" spans="1:29">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c r="AC202" s="22"/>
    </row>
    <row r="203" spans="1:29">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row>
    <row r="204" spans="1:29">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c r="AC204" s="22"/>
    </row>
    <row r="205" spans="1:29">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row>
    <row r="206" spans="1:29">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row>
    <row r="207" spans="1:29">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row>
    <row r="208" spans="1:29">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c r="AC208" s="22"/>
    </row>
    <row r="209" spans="1:29">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row>
    <row r="210" spans="1:29">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c r="AC210" s="22"/>
    </row>
    <row r="211" spans="1:29">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row>
  </sheetData>
  <sheetProtection algorithmName="SHA-512" hashValue="sr0oLUTgCJXAkW3RNu4FxluNLxfz2fIya6GCtGH+GcqYuXgqlnii7zS2qY/3cFpjJIvAXN8Z9oUqiuXusAk4Ng==" saltValue="zFlzOdrpwf6LnuRrCaA5FA==" spinCount="100000" sheet="1" objects="1" scenarios="1"/>
  <mergeCells count="20">
    <mergeCell ref="C4:D4"/>
    <mergeCell ref="E4:F4"/>
    <mergeCell ref="G4:H4"/>
    <mergeCell ref="I4:J4"/>
    <mergeCell ref="K4:L4"/>
    <mergeCell ref="C3:D3"/>
    <mergeCell ref="E3:F3"/>
    <mergeCell ref="G3:H3"/>
    <mergeCell ref="I3:J3"/>
    <mergeCell ref="K3:L3"/>
    <mergeCell ref="C6:D6"/>
    <mergeCell ref="E6:F6"/>
    <mergeCell ref="G6:H6"/>
    <mergeCell ref="I6:J6"/>
    <mergeCell ref="K6:L6"/>
    <mergeCell ref="C5:D5"/>
    <mergeCell ref="E5:F5"/>
    <mergeCell ref="G5:H5"/>
    <mergeCell ref="I5:J5"/>
    <mergeCell ref="K5:L5"/>
  </mergeCells>
  <dataValidations count="3">
    <dataValidation allowBlank="1" showInputMessage="1" showErrorMessage="1" prompt="Enter the name of the Capital Cost assumptions set_x000a_" sqref="E4:L4"/>
    <dataValidation allowBlank="1" showInputMessage="1" showErrorMessage="1" prompt="Enter the estimate date for the Capital Cost Set - costs will be inflated from the year following the estimate date" sqref="E5:L5"/>
    <dataValidation allowBlank="1" showInputMessage="1" showErrorMessage="1" prompt="Enter the Water Depth to swtich from the Shallow Water unit costs to the Deep Water unit costs " sqref="E6:L6"/>
  </dataValidations>
  <hyperlinks>
    <hyperlink ref="B1" location="Guide" display="Guide"/>
    <hyperlink ref="B2" location="Input" display="Input"/>
  </hyperlinks>
  <pageMargins left="0.7" right="0.7" top="0.75" bottom="0.75" header="0.3" footer="0.3"/>
  <pageSetup paperSize="9" scale="38" fitToHeight="0" orientation="portrait" r:id="rId1"/>
  <headerFooter>
    <oddFooter>&amp;LNova Scotia Exploration Economics Model&amp;Rwww.indeva.com</oddFooter>
  </headerFooter>
  <rowBreaks count="1" manualBreakCount="1">
    <brk id="85" max="14"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9" tint="-0.249977111117893"/>
    <pageSetUpPr fitToPage="1"/>
  </sheetPr>
  <dimension ref="A1:AJ227"/>
  <sheetViews>
    <sheetView showGridLines="0" showRowColHeaders="0" zoomScale="75" zoomScaleNormal="75" workbookViewId="0">
      <pane ySplit="2" topLeftCell="A32" activePane="bottomLeft" state="frozen"/>
      <selection activeCell="D43" sqref="D43"/>
      <selection pane="bottomLeft" activeCell="I70" sqref="I70"/>
    </sheetView>
  </sheetViews>
  <sheetFormatPr defaultRowHeight="14.5"/>
  <cols>
    <col min="1" max="1" width="24.453125" customWidth="1"/>
    <col min="2" max="2" width="12.7265625" customWidth="1"/>
    <col min="3" max="3" width="16.1796875" customWidth="1"/>
    <col min="4" max="4" width="11.1796875" customWidth="1"/>
    <col min="5" max="5" width="13.26953125" customWidth="1"/>
    <col min="6" max="6" width="14.453125" customWidth="1"/>
    <col min="7" max="7" width="15" customWidth="1"/>
    <col min="8" max="8" width="12.54296875" customWidth="1"/>
    <col min="9" max="9" width="13.26953125" customWidth="1"/>
  </cols>
  <sheetData>
    <row r="1" spans="1:36" ht="18.5">
      <c r="A1" s="2" t="s">
        <v>445</v>
      </c>
      <c r="B1" s="15"/>
      <c r="C1" s="15"/>
      <c r="D1" s="15"/>
      <c r="E1" s="107" t="s">
        <v>768</v>
      </c>
      <c r="F1" s="15"/>
      <c r="G1" s="15"/>
      <c r="H1" s="15"/>
      <c r="I1" s="15"/>
      <c r="J1" s="15"/>
      <c r="K1" s="15"/>
      <c r="L1" s="15"/>
      <c r="M1" s="15"/>
      <c r="N1" s="15"/>
      <c r="O1" s="15"/>
      <c r="P1" s="15"/>
      <c r="Q1" s="15"/>
      <c r="R1" s="15"/>
      <c r="S1" s="15"/>
      <c r="T1" s="15"/>
      <c r="U1" s="15"/>
      <c r="V1" s="15"/>
      <c r="W1" s="15"/>
      <c r="X1" s="15"/>
      <c r="Y1" s="15"/>
      <c r="Z1" s="15"/>
      <c r="AA1" s="15"/>
      <c r="AB1" s="15"/>
      <c r="AC1" s="15"/>
      <c r="AD1" s="15"/>
      <c r="AE1" s="15"/>
      <c r="AF1" s="1"/>
      <c r="AG1" s="1"/>
      <c r="AH1" s="1"/>
      <c r="AI1" s="1"/>
      <c r="AJ1" s="1"/>
    </row>
    <row r="2" spans="1:36" ht="18.5">
      <c r="A2" s="15"/>
      <c r="B2" s="15"/>
      <c r="C2" s="15"/>
      <c r="D2" s="15"/>
      <c r="E2" s="107" t="s">
        <v>143</v>
      </c>
      <c r="F2" s="15"/>
      <c r="G2" s="15"/>
      <c r="H2" s="15"/>
      <c r="I2" s="15"/>
      <c r="J2" s="15"/>
      <c r="K2" s="15"/>
      <c r="L2" s="15"/>
      <c r="M2" s="15"/>
      <c r="N2" s="15"/>
      <c r="O2" s="15"/>
      <c r="P2" s="15"/>
      <c r="Q2" s="15"/>
      <c r="R2" s="15"/>
      <c r="S2" s="15"/>
      <c r="T2" s="15"/>
      <c r="U2" s="15"/>
      <c r="V2" s="15"/>
      <c r="W2" s="15"/>
      <c r="X2" s="15"/>
      <c r="Y2" s="15"/>
      <c r="Z2" s="15"/>
      <c r="AA2" s="15"/>
      <c r="AB2" s="15"/>
      <c r="AC2" s="15"/>
      <c r="AD2" s="15"/>
      <c r="AE2" s="15"/>
      <c r="AF2" s="1"/>
      <c r="AG2" s="1"/>
      <c r="AH2" s="1"/>
      <c r="AI2" s="1"/>
      <c r="AJ2" s="1"/>
    </row>
    <row r="3" spans="1:36">
      <c r="A3" s="53" t="s">
        <v>446</v>
      </c>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row>
    <row r="4" spans="1:36">
      <c r="A4" s="15" t="s">
        <v>673</v>
      </c>
      <c r="B4" s="15"/>
      <c r="C4" s="15"/>
      <c r="D4" s="15"/>
      <c r="E4" s="15"/>
      <c r="F4" s="15" t="s">
        <v>672</v>
      </c>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row>
    <row r="5" spans="1:36">
      <c r="A5" s="31" t="s">
        <v>111</v>
      </c>
      <c r="B5" s="31" t="s">
        <v>318</v>
      </c>
      <c r="C5" s="31" t="s">
        <v>111</v>
      </c>
      <c r="D5" s="31" t="s">
        <v>336</v>
      </c>
      <c r="E5" s="15"/>
      <c r="F5" s="31" t="s">
        <v>111</v>
      </c>
      <c r="G5" s="31" t="s">
        <v>318</v>
      </c>
      <c r="H5" s="31" t="s">
        <v>111</v>
      </c>
      <c r="I5" s="31" t="s">
        <v>336</v>
      </c>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row>
    <row r="6" spans="1:36">
      <c r="A6" s="35" t="s">
        <v>326</v>
      </c>
      <c r="B6" s="35" t="s">
        <v>447</v>
      </c>
      <c r="C6" s="35" t="s">
        <v>448</v>
      </c>
      <c r="D6" s="35" t="s">
        <v>427</v>
      </c>
      <c r="E6" s="15"/>
      <c r="F6" s="35" t="s">
        <v>650</v>
      </c>
      <c r="G6" s="35" t="s">
        <v>447</v>
      </c>
      <c r="H6" s="35" t="s">
        <v>448</v>
      </c>
      <c r="I6" s="35" t="s">
        <v>427</v>
      </c>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row>
    <row r="7" spans="1:36">
      <c r="A7" s="13">
        <v>0</v>
      </c>
      <c r="B7" s="54">
        <v>0.17</v>
      </c>
      <c r="C7" s="54">
        <v>0.6</v>
      </c>
      <c r="D7" s="54">
        <v>0.25</v>
      </c>
      <c r="E7" s="15"/>
      <c r="F7" s="83">
        <v>0</v>
      </c>
      <c r="G7" s="54">
        <v>0.16</v>
      </c>
      <c r="H7" s="54">
        <v>0.4</v>
      </c>
      <c r="I7" s="54">
        <v>0.17</v>
      </c>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row>
    <row r="8" spans="1:36">
      <c r="A8" s="13">
        <v>200</v>
      </c>
      <c r="B8" s="54">
        <v>0.15</v>
      </c>
      <c r="C8" s="54">
        <v>0.6</v>
      </c>
      <c r="D8" s="54">
        <v>0.25</v>
      </c>
      <c r="E8" s="15"/>
      <c r="F8" s="83">
        <v>100</v>
      </c>
      <c r="G8" s="54">
        <v>0.13</v>
      </c>
      <c r="H8" s="54">
        <v>0.4</v>
      </c>
      <c r="I8" s="54">
        <v>0.17</v>
      </c>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row>
    <row r="9" spans="1:36">
      <c r="A9" s="13">
        <v>500</v>
      </c>
      <c r="B9" s="54">
        <v>0.14000000000000001</v>
      </c>
      <c r="C9" s="54">
        <v>0.6</v>
      </c>
      <c r="D9" s="54">
        <v>0.22</v>
      </c>
      <c r="E9" s="15"/>
      <c r="F9" s="83">
        <v>200</v>
      </c>
      <c r="G9" s="54">
        <v>0.1</v>
      </c>
      <c r="H9" s="54">
        <v>0.4</v>
      </c>
      <c r="I9" s="54">
        <v>0.15</v>
      </c>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row>
    <row r="10" spans="1:36">
      <c r="A10" s="13">
        <v>1000</v>
      </c>
      <c r="B10" s="54">
        <v>0.12</v>
      </c>
      <c r="C10" s="54">
        <v>0.6</v>
      </c>
      <c r="D10" s="54">
        <v>0.2</v>
      </c>
      <c r="E10" s="15"/>
      <c r="F10" s="83">
        <v>500</v>
      </c>
      <c r="G10" s="54">
        <v>0.1</v>
      </c>
      <c r="H10" s="54">
        <v>0.4</v>
      </c>
      <c r="I10" s="54">
        <v>0.15</v>
      </c>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88">
        <v>2000</v>
      </c>
      <c r="B11" s="54">
        <v>0.08</v>
      </c>
      <c r="C11" s="54">
        <v>0.6</v>
      </c>
      <c r="D11" s="54">
        <v>0.15</v>
      </c>
      <c r="E11" s="15"/>
      <c r="F11" s="88">
        <v>700</v>
      </c>
      <c r="G11" s="54">
        <v>0.1</v>
      </c>
      <c r="H11" s="54">
        <v>0.4</v>
      </c>
      <c r="I11" s="54">
        <v>0.15</v>
      </c>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row>
    <row r="12" spans="1:36">
      <c r="A12" s="88">
        <v>4000</v>
      </c>
      <c r="B12" s="54">
        <v>0.08</v>
      </c>
      <c r="C12" s="54">
        <v>0.6</v>
      </c>
      <c r="D12" s="54">
        <v>0.15</v>
      </c>
      <c r="E12" s="15"/>
      <c r="F12" s="88">
        <v>900</v>
      </c>
      <c r="G12" s="54">
        <v>0.1</v>
      </c>
      <c r="H12" s="54">
        <v>0.4</v>
      </c>
      <c r="I12" s="54">
        <v>0.15</v>
      </c>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13">
        <v>1000000000</v>
      </c>
      <c r="B13" s="54">
        <v>0.08</v>
      </c>
      <c r="C13" s="54">
        <v>0.6</v>
      </c>
      <c r="D13" s="54">
        <v>0.15</v>
      </c>
      <c r="E13" s="15"/>
      <c r="F13" s="83">
        <v>1000000000</v>
      </c>
      <c r="G13" s="54">
        <v>0.1</v>
      </c>
      <c r="H13" s="54">
        <v>0.4</v>
      </c>
      <c r="I13" s="54">
        <v>0.15</v>
      </c>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row>
    <row r="14" spans="1:36">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28" t="s">
        <v>449</v>
      </c>
      <c r="B15" s="55">
        <v>4.8</v>
      </c>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row>
    <row r="16" spans="1:36">
      <c r="A16" s="26"/>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row>
    <row r="17" spans="1:36">
      <c r="A17" s="39" t="s">
        <v>763</v>
      </c>
      <c r="B17" s="100"/>
      <c r="C17" s="98">
        <v>5.6</v>
      </c>
      <c r="D17" s="15" t="s">
        <v>764</v>
      </c>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39" t="s">
        <v>761</v>
      </c>
      <c r="B18" s="100"/>
      <c r="C18" s="54">
        <v>0.06</v>
      </c>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row>
    <row r="19" spans="1:36">
      <c r="A19" s="39" t="s">
        <v>760</v>
      </c>
      <c r="B19" s="100"/>
      <c r="C19" s="54">
        <v>0.03</v>
      </c>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26"/>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row>
    <row r="21" spans="1:36">
      <c r="A21" s="96" t="s">
        <v>753</v>
      </c>
      <c r="B21" s="28" t="s">
        <v>754</v>
      </c>
      <c r="C21" s="28" t="s">
        <v>335</v>
      </c>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28" t="s">
        <v>647</v>
      </c>
      <c r="B22" s="97">
        <v>0.5</v>
      </c>
      <c r="C22" s="97">
        <v>0.7</v>
      </c>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row>
    <row r="23" spans="1:36">
      <c r="A23" s="28" t="s">
        <v>340</v>
      </c>
      <c r="B23" s="58">
        <v>0.7</v>
      </c>
      <c r="C23" s="58">
        <v>0.9</v>
      </c>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26"/>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row>
    <row r="25" spans="1:36">
      <c r="A25" s="53" t="s">
        <v>450</v>
      </c>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15" t="s">
        <v>673</v>
      </c>
      <c r="B26" s="15"/>
      <c r="C26" s="15"/>
      <c r="D26" s="15"/>
      <c r="E26" s="15"/>
      <c r="F26" s="15" t="s">
        <v>750</v>
      </c>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row>
    <row r="27" spans="1:36">
      <c r="A27" s="56" t="s">
        <v>111</v>
      </c>
      <c r="B27" s="56" t="s">
        <v>451</v>
      </c>
      <c r="C27" s="15"/>
      <c r="D27" s="15"/>
      <c r="E27" s="15"/>
      <c r="F27" s="82" t="s">
        <v>111</v>
      </c>
      <c r="G27" s="82" t="s">
        <v>655</v>
      </c>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13">
        <v>0</v>
      </c>
      <c r="B28" s="13">
        <v>100</v>
      </c>
      <c r="C28" s="15"/>
      <c r="D28" s="15"/>
      <c r="E28" s="15"/>
      <c r="F28" s="83">
        <v>0</v>
      </c>
      <c r="G28" s="83">
        <v>10</v>
      </c>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row>
    <row r="29" spans="1:36">
      <c r="A29" s="13">
        <v>250</v>
      </c>
      <c r="B29" s="92">
        <v>120</v>
      </c>
      <c r="C29" s="15"/>
      <c r="D29" s="15"/>
      <c r="E29" s="15"/>
      <c r="F29" s="83">
        <v>100</v>
      </c>
      <c r="G29" s="83">
        <v>12</v>
      </c>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13">
        <v>500</v>
      </c>
      <c r="B30" s="92">
        <v>130</v>
      </c>
      <c r="C30" s="15"/>
      <c r="D30" s="15"/>
      <c r="E30" s="15"/>
      <c r="F30" s="83">
        <v>200</v>
      </c>
      <c r="G30" s="83">
        <v>14.3</v>
      </c>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row>
    <row r="31" spans="1:36">
      <c r="A31" s="13">
        <v>1000</v>
      </c>
      <c r="B31" s="92">
        <v>150</v>
      </c>
      <c r="C31" s="15"/>
      <c r="D31" s="15"/>
      <c r="E31" s="15"/>
      <c r="F31" s="83">
        <v>500</v>
      </c>
      <c r="G31" s="92">
        <v>15</v>
      </c>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row>
    <row r="32" spans="1:36">
      <c r="A32" s="88">
        <v>2000</v>
      </c>
      <c r="B32" s="92">
        <v>180</v>
      </c>
      <c r="C32" s="15"/>
      <c r="D32" s="15"/>
      <c r="E32" s="15"/>
      <c r="F32" s="88">
        <v>700</v>
      </c>
      <c r="G32" s="92">
        <v>15</v>
      </c>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88">
        <v>4000</v>
      </c>
      <c r="B33" s="92">
        <v>210</v>
      </c>
      <c r="C33" s="15"/>
      <c r="D33" s="15"/>
      <c r="E33" s="15"/>
      <c r="F33" s="88">
        <v>900</v>
      </c>
      <c r="G33" s="92">
        <v>15</v>
      </c>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row>
    <row r="34" spans="1:36">
      <c r="A34" s="13">
        <v>1000000</v>
      </c>
      <c r="B34" s="92">
        <f>B33</f>
        <v>210</v>
      </c>
      <c r="C34" s="15"/>
      <c r="D34" s="15"/>
      <c r="E34" s="15"/>
      <c r="F34" s="83">
        <v>1000000000</v>
      </c>
      <c r="G34" s="92">
        <v>15</v>
      </c>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row>
    <row r="36" spans="1:36">
      <c r="A36" s="15" t="s">
        <v>694</v>
      </c>
      <c r="B36" s="15"/>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87" t="s">
        <v>169</v>
      </c>
      <c r="B37" s="87" t="s">
        <v>459</v>
      </c>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row>
    <row r="38" spans="1:36">
      <c r="A38" s="88">
        <v>1</v>
      </c>
      <c r="B38" s="88">
        <v>1</v>
      </c>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88">
        <v>8</v>
      </c>
      <c r="B39" s="88">
        <v>2</v>
      </c>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row>
    <row r="40" spans="1:36">
      <c r="A40" s="88">
        <v>20</v>
      </c>
      <c r="B40" s="88">
        <v>3</v>
      </c>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88">
        <v>30</v>
      </c>
      <c r="B41" s="88">
        <v>4</v>
      </c>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row>
    <row r="42" spans="1:36">
      <c r="A42" s="88">
        <v>40</v>
      </c>
      <c r="B42" s="88">
        <v>5</v>
      </c>
      <c r="C42" s="15"/>
      <c r="D42" s="15"/>
      <c r="E42" s="15"/>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88">
        <v>1000000</v>
      </c>
      <c r="B43" s="88">
        <v>5</v>
      </c>
      <c r="C43" s="15"/>
      <c r="D43" s="15"/>
      <c r="E43" s="15"/>
      <c r="F43" s="15"/>
      <c r="G43" s="15"/>
      <c r="H43" s="15"/>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row>
    <row r="44" spans="1:36">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53" t="s">
        <v>887</v>
      </c>
      <c r="B45" s="15"/>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row>
    <row r="46" spans="1:36">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28" t="s">
        <v>888</v>
      </c>
      <c r="B47" s="56" t="s">
        <v>453</v>
      </c>
      <c r="C47" s="15"/>
      <c r="D47" s="15"/>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row>
    <row r="48" spans="1:36">
      <c r="A48" s="28" t="s">
        <v>116</v>
      </c>
      <c r="B48" s="13">
        <v>1.1000000000000001</v>
      </c>
      <c r="C48" s="15"/>
      <c r="D48" s="15"/>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28" t="s">
        <v>92</v>
      </c>
      <c r="B49" s="13">
        <v>1.3</v>
      </c>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row>
    <row r="50" spans="1:36">
      <c r="A50" s="28" t="s">
        <v>117</v>
      </c>
      <c r="B50" s="13">
        <v>1.6</v>
      </c>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row>
    <row r="52" spans="1:36">
      <c r="A52" s="53" t="s">
        <v>454</v>
      </c>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row>
    <row r="54" spans="1:36">
      <c r="A54" s="28" t="s">
        <v>91</v>
      </c>
      <c r="B54" s="31" t="s">
        <v>453</v>
      </c>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28" t="s">
        <v>116</v>
      </c>
      <c r="B55" s="13">
        <v>1</v>
      </c>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row>
    <row r="56" spans="1:36">
      <c r="A56" s="28" t="s">
        <v>92</v>
      </c>
      <c r="B56" s="13">
        <v>1.2</v>
      </c>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28" t="s">
        <v>117</v>
      </c>
      <c r="B57" s="13">
        <v>1.4</v>
      </c>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row>
    <row r="58" spans="1:36">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row>
    <row r="59" spans="1:36">
      <c r="A59" s="53" t="s">
        <v>779</v>
      </c>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row>
    <row r="61" spans="1:36">
      <c r="A61" s="28" t="s">
        <v>455</v>
      </c>
      <c r="B61" s="31" t="s">
        <v>453</v>
      </c>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28" t="s">
        <v>923</v>
      </c>
      <c r="B62" s="31" t="s">
        <v>924</v>
      </c>
      <c r="C62" s="120" t="s">
        <v>925</v>
      </c>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row>
    <row r="63" spans="1:36">
      <c r="A63" s="28" t="str">
        <f>Lists!A87</f>
        <v>Normally Pressured</v>
      </c>
      <c r="B63" s="121">
        <v>1</v>
      </c>
      <c r="C63" s="121">
        <v>1</v>
      </c>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28" t="s">
        <v>919</v>
      </c>
      <c r="B64" s="121">
        <v>1.2</v>
      </c>
      <c r="C64" s="121">
        <v>1.2</v>
      </c>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row>
    <row r="65" spans="1:36">
      <c r="A65" s="28" t="s">
        <v>920</v>
      </c>
      <c r="B65" s="121">
        <v>1.5</v>
      </c>
      <c r="C65" s="121">
        <v>1.5</v>
      </c>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53" t="s">
        <v>780</v>
      </c>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row>
    <row r="67" spans="1:36">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28" t="s">
        <v>455</v>
      </c>
      <c r="B68" s="31" t="s">
        <v>453</v>
      </c>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row>
    <row r="69" spans="1:36">
      <c r="A69" s="28" t="str">
        <f>A63</f>
        <v>Normally Pressured</v>
      </c>
      <c r="B69" s="13">
        <v>1</v>
      </c>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row>
    <row r="70" spans="1:36">
      <c r="A70" s="28" t="str">
        <f>A64</f>
        <v>Over Pressure</v>
      </c>
      <c r="B70" s="13">
        <v>1.1000000000000001</v>
      </c>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28" t="str">
        <f>A65</f>
        <v>Geo Pressure</v>
      </c>
      <c r="B71" s="119">
        <v>1.1000000000000001</v>
      </c>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row>
    <row r="72" spans="1:36">
      <c r="A72" s="53" t="s">
        <v>456</v>
      </c>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row>
    <row r="74" spans="1:36">
      <c r="A74" s="30" t="s">
        <v>888</v>
      </c>
      <c r="B74" s="31" t="s">
        <v>457</v>
      </c>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28" t="s">
        <v>116</v>
      </c>
      <c r="B75" s="13">
        <v>4</v>
      </c>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row>
    <row r="76" spans="1:36">
      <c r="A76" s="28" t="s">
        <v>92</v>
      </c>
      <c r="B76" s="13">
        <v>6</v>
      </c>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28" t="s">
        <v>117</v>
      </c>
      <c r="B77" s="13">
        <v>8</v>
      </c>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row>
    <row r="78" spans="1:36">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53" t="s">
        <v>458</v>
      </c>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row>
    <row r="80" spans="1:36">
      <c r="A80" s="15" t="s">
        <v>673</v>
      </c>
      <c r="B80" s="15"/>
      <c r="C80" s="15"/>
      <c r="D80" s="15"/>
      <c r="E80" s="15"/>
      <c r="F80" s="15" t="s">
        <v>672</v>
      </c>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28" t="s">
        <v>111</v>
      </c>
      <c r="B81" s="28" t="s">
        <v>459</v>
      </c>
      <c r="C81" s="15"/>
      <c r="D81" s="15"/>
      <c r="E81" s="15"/>
      <c r="F81" s="28" t="s">
        <v>111</v>
      </c>
      <c r="G81" s="28" t="s">
        <v>459</v>
      </c>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row>
    <row r="82" spans="1:36">
      <c r="A82" s="13">
        <v>0</v>
      </c>
      <c r="B82" s="13">
        <v>1</v>
      </c>
      <c r="C82" s="15"/>
      <c r="D82" s="15"/>
      <c r="E82" s="15"/>
      <c r="F82" s="83">
        <v>0</v>
      </c>
      <c r="G82" s="83">
        <v>1</v>
      </c>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13">
        <v>200</v>
      </c>
      <c r="B83" s="13">
        <v>2</v>
      </c>
      <c r="C83" s="15"/>
      <c r="D83" s="15"/>
      <c r="E83" s="15"/>
      <c r="F83" s="83">
        <v>20</v>
      </c>
      <c r="G83" s="83">
        <v>1</v>
      </c>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row>
    <row r="84" spans="1:36">
      <c r="A84" s="13">
        <v>500</v>
      </c>
      <c r="B84" s="13">
        <v>3</v>
      </c>
      <c r="C84" s="15"/>
      <c r="D84" s="15"/>
      <c r="E84" s="15"/>
      <c r="F84" s="83">
        <v>50</v>
      </c>
      <c r="G84" s="83">
        <v>2</v>
      </c>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row>
    <row r="85" spans="1:36">
      <c r="A85" s="13">
        <v>1000</v>
      </c>
      <c r="B85" s="13">
        <v>4</v>
      </c>
      <c r="C85" s="15"/>
      <c r="D85" s="15"/>
      <c r="E85" s="15"/>
      <c r="F85" s="83">
        <v>100</v>
      </c>
      <c r="G85" s="83">
        <v>3</v>
      </c>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row>
    <row r="86" spans="1:36">
      <c r="A86" s="13">
        <v>10000000000</v>
      </c>
      <c r="B86" s="13"/>
      <c r="C86" s="15"/>
      <c r="D86" s="15"/>
      <c r="E86" s="15"/>
      <c r="F86" s="83">
        <v>1000000000</v>
      </c>
      <c r="G86" s="83"/>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row>
    <row r="87" spans="1:36">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row>
    <row r="88" spans="1:36">
      <c r="A88" s="53" t="s">
        <v>862</v>
      </c>
      <c r="B88" s="15"/>
      <c r="C88" s="116">
        <v>150</v>
      </c>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row>
    <row r="89" spans="1:36">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row>
    <row r="90" spans="1:36">
      <c r="A90" s="53" t="s">
        <v>460</v>
      </c>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row>
    <row r="91" spans="1:36">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row>
    <row r="92" spans="1:36">
      <c r="A92" s="15"/>
      <c r="B92" s="594" t="s">
        <v>461</v>
      </c>
      <c r="C92" s="595"/>
      <c r="D92" s="596"/>
      <c r="E92" s="594" t="s">
        <v>462</v>
      </c>
      <c r="F92" s="595"/>
      <c r="G92" s="596"/>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row>
    <row r="93" spans="1:36">
      <c r="A93" s="15"/>
      <c r="B93" s="56" t="s">
        <v>463</v>
      </c>
      <c r="C93" s="56" t="s">
        <v>464</v>
      </c>
      <c r="D93" s="56" t="s">
        <v>465</v>
      </c>
      <c r="E93" s="56" t="s">
        <v>463</v>
      </c>
      <c r="F93" s="56" t="s">
        <v>464</v>
      </c>
      <c r="G93" s="56" t="s">
        <v>465</v>
      </c>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row>
    <row r="94" spans="1:36">
      <c r="A94" s="28" t="s">
        <v>270</v>
      </c>
      <c r="B94" s="13">
        <v>650</v>
      </c>
      <c r="C94" s="30"/>
      <c r="D94" s="30"/>
      <c r="E94" s="13">
        <v>20</v>
      </c>
      <c r="F94" s="30"/>
      <c r="G94" s="30"/>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row>
    <row r="95" spans="1:36">
      <c r="A95" s="28" t="s">
        <v>271</v>
      </c>
      <c r="B95" s="13">
        <v>250</v>
      </c>
      <c r="C95" s="13">
        <v>1</v>
      </c>
      <c r="D95" s="32" t="s">
        <v>466</v>
      </c>
      <c r="E95" s="13">
        <v>30</v>
      </c>
      <c r="F95" s="32"/>
      <c r="G95" s="32"/>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row>
    <row r="96" spans="1:36">
      <c r="A96" s="28" t="s">
        <v>732</v>
      </c>
      <c r="B96" s="89">
        <v>650</v>
      </c>
      <c r="C96" s="89"/>
      <c r="D96" s="32"/>
      <c r="E96" s="89">
        <v>30</v>
      </c>
      <c r="F96" s="32"/>
      <c r="G96" s="32"/>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row>
    <row r="97" spans="1:36">
      <c r="A97" s="28" t="s">
        <v>733</v>
      </c>
      <c r="B97" s="89">
        <v>650</v>
      </c>
      <c r="C97" s="89"/>
      <c r="D97" s="32"/>
      <c r="E97" s="89">
        <v>50</v>
      </c>
      <c r="F97" s="32"/>
      <c r="G97" s="32"/>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row>
    <row r="98" spans="1:36">
      <c r="A98" s="28" t="s">
        <v>272</v>
      </c>
      <c r="B98" s="13">
        <v>180</v>
      </c>
      <c r="C98" s="32"/>
      <c r="D98" s="32"/>
      <c r="E98" s="13">
        <v>20</v>
      </c>
      <c r="F98" s="32"/>
      <c r="G98" s="32"/>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row>
    <row r="99" spans="1:36">
      <c r="A99" s="28" t="s">
        <v>273</v>
      </c>
      <c r="B99" s="13">
        <v>400</v>
      </c>
      <c r="C99" s="13">
        <v>0.2</v>
      </c>
      <c r="D99" s="32" t="s">
        <v>3</v>
      </c>
      <c r="E99" s="13">
        <v>60</v>
      </c>
      <c r="F99" s="32"/>
      <c r="G99" s="32"/>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row>
    <row r="100" spans="1:36">
      <c r="A100" s="28" t="s">
        <v>743</v>
      </c>
      <c r="B100" s="13">
        <v>400</v>
      </c>
      <c r="C100" s="13">
        <v>0.2</v>
      </c>
      <c r="D100" s="32" t="s">
        <v>3</v>
      </c>
      <c r="E100" s="13">
        <v>0</v>
      </c>
      <c r="F100" s="32"/>
      <c r="G100" s="32"/>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row>
    <row r="101" spans="1:36">
      <c r="A101" s="57" t="s">
        <v>274</v>
      </c>
      <c r="B101" s="13">
        <v>150</v>
      </c>
      <c r="C101" s="13">
        <v>5</v>
      </c>
      <c r="D101" s="32" t="s">
        <v>467</v>
      </c>
      <c r="E101" s="32"/>
      <c r="F101" s="13">
        <v>5</v>
      </c>
      <c r="G101" s="32" t="s">
        <v>467</v>
      </c>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row>
    <row r="102" spans="1:36">
      <c r="A102" s="57" t="s">
        <v>275</v>
      </c>
      <c r="B102" s="13">
        <v>150</v>
      </c>
      <c r="C102" s="13">
        <v>0.1</v>
      </c>
      <c r="D102" s="32" t="s">
        <v>250</v>
      </c>
      <c r="E102" s="13">
        <v>20</v>
      </c>
      <c r="F102" s="13">
        <v>0.5</v>
      </c>
      <c r="G102" s="32" t="s">
        <v>250</v>
      </c>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row>
    <row r="103" spans="1:36">
      <c r="A103" s="28" t="s">
        <v>468</v>
      </c>
      <c r="B103" s="58">
        <v>0.2</v>
      </c>
      <c r="C103" s="34"/>
      <c r="D103" s="34"/>
      <c r="E103" s="34"/>
      <c r="F103" s="34"/>
      <c r="G103" s="34"/>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row>
    <row r="104" spans="1:36">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row>
    <row r="105" spans="1:36">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row>
    <row r="106" spans="1:36">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row>
    <row r="107" spans="1:36">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row>
    <row r="108" spans="1:36">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row>
    <row r="109" spans="1:36">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row>
    <row r="110" spans="1:36">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row>
    <row r="111" spans="1:36">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row>
    <row r="112" spans="1:36">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row>
    <row r="113" spans="1:36">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row>
    <row r="114" spans="1:36">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row>
    <row r="115" spans="1:36">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row>
    <row r="116" spans="1:36">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row>
    <row r="117" spans="1:36">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row>
    <row r="118" spans="1:36">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row>
    <row r="119" spans="1:36">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row>
    <row r="120" spans="1:36">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row>
    <row r="121" spans="1:36">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row>
    <row r="122" spans="1:36">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row>
    <row r="123" spans="1:36">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row>
    <row r="124" spans="1:36">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row>
    <row r="125" spans="1:36">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row>
    <row r="126" spans="1:36">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row>
    <row r="127" spans="1:36">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row>
    <row r="128" spans="1:36">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row>
    <row r="129" spans="1:36">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row>
    <row r="130" spans="1:36">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row>
    <row r="131" spans="1:36">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row>
    <row r="132" spans="1:36">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row>
    <row r="133" spans="1:36">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row>
    <row r="134" spans="1:36">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row>
    <row r="135" spans="1:36">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row>
    <row r="136" spans="1:36">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row>
    <row r="137" spans="1:36">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row>
    <row r="138" spans="1:36">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row>
    <row r="139" spans="1:36">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row>
    <row r="140" spans="1:36">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row>
    <row r="141" spans="1:36">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row>
    <row r="142" spans="1:36">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row>
    <row r="143" spans="1:36">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row>
    <row r="144" spans="1:36">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row>
    <row r="145" spans="1:36">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row>
    <row r="146" spans="1:36">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row>
    <row r="147" spans="1:36">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row>
    <row r="148" spans="1:36">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row>
    <row r="149" spans="1:36">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row>
    <row r="150" spans="1:36">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row>
    <row r="151" spans="1:36">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row>
    <row r="152" spans="1:36">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row>
    <row r="153" spans="1:36">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row>
    <row r="154" spans="1:36">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row>
    <row r="155" spans="1:36">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row>
    <row r="156" spans="1:36">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row>
    <row r="157" spans="1:36">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row>
    <row r="158" spans="1:36">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row>
    <row r="159" spans="1:36">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row>
    <row r="160" spans="1:36">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row>
    <row r="161" spans="1:36">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row>
    <row r="162" spans="1:36">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row>
    <row r="163" spans="1:36">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row>
    <row r="164" spans="1:36">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row>
    <row r="165" spans="1:36">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row>
    <row r="166" spans="1:36">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row>
    <row r="167" spans="1:36">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row>
    <row r="168" spans="1:36">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row>
    <row r="169" spans="1:36">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row>
    <row r="170" spans="1:36">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row>
    <row r="171" spans="1:36">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row>
    <row r="172" spans="1:36">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row>
    <row r="173" spans="1:36">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row>
    <row r="174" spans="1:36">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row>
    <row r="175" spans="1:36">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row>
    <row r="176" spans="1:36">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row>
    <row r="177" spans="1:36">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row>
    <row r="178" spans="1:36">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row>
    <row r="179" spans="1:36">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row>
    <row r="180" spans="1:36">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row>
    <row r="181" spans="1:36">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row>
    <row r="182" spans="1:36">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row>
    <row r="183" spans="1:36">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row>
    <row r="184" spans="1:36">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row>
    <row r="185" spans="1:36">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row>
    <row r="186" spans="1:36">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row>
    <row r="187" spans="1:36">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row>
    <row r="188" spans="1:36">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row>
    <row r="189" spans="1:36">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row>
    <row r="190" spans="1:36">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row>
    <row r="191" spans="1:36">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row>
    <row r="192" spans="1:36">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row>
    <row r="193" spans="1:36">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row>
    <row r="194" spans="1:36">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row>
    <row r="195" spans="1:36">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row>
    <row r="196" spans="1:36">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row>
    <row r="197" spans="1:36">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row>
    <row r="198" spans="1:36">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row>
    <row r="199" spans="1:36">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row>
    <row r="200" spans="1:36">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row>
    <row r="201" spans="1:36">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row>
    <row r="202" spans="1:36">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row>
    <row r="203" spans="1:36">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row>
    <row r="204" spans="1:36">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row>
    <row r="205" spans="1:36">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row>
    <row r="206" spans="1:36">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row>
    <row r="207" spans="1:36">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row>
    <row r="208" spans="1:36">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row>
    <row r="209" spans="1:36">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row>
    <row r="210" spans="1:36">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row>
    <row r="211" spans="1:36">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row>
    <row r="212" spans="1:36">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row>
    <row r="213" spans="1:36">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row>
    <row r="214" spans="1:36">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row>
    <row r="215" spans="1:36">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row>
    <row r="216" spans="1:36">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row>
    <row r="217" spans="1:36">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row>
    <row r="218" spans="1:36">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row>
    <row r="219" spans="1:36">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row>
    <row r="220" spans="1:36">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row>
    <row r="221" spans="1:36">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row>
    <row r="222" spans="1:36">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row>
    <row r="223" spans="1:36">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row>
    <row r="224" spans="1:36">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row>
    <row r="225" spans="1:36">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row>
    <row r="226" spans="1:36">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row>
    <row r="227" spans="1:36">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row>
  </sheetData>
  <sheetProtection algorithmName="SHA-512" hashValue="WlqgPhzjKnJnkMAiSKO2/yKFgU8NwQcKBOBAgV18wPPsU9mFq+XqBfeTgyR6SuGmrl1x0US9B8KGGQJTXhjxVA==" saltValue="YVIoGnI6tm7VpCxmomr5Fg==" spinCount="100000" sheet="1" objects="1" scenarios="1"/>
  <mergeCells count="2">
    <mergeCell ref="B92:D92"/>
    <mergeCell ref="E92:G92"/>
  </mergeCells>
  <dataValidations xWindow="787" yWindow="260" count="17">
    <dataValidation allowBlank="1" showInputMessage="1" showErrorMessage="1" promptTitle="Profile Parameters" prompt="These tables adjust the assumed production profile parameters for oil and gas.  The parameters should be only be adjusted in a small range as the algorithms used may not converge if large adjustments are used" sqref="A3:I13"/>
    <dataValidation allowBlank="1" showInputMessage="1" showErrorMessage="1" promptTitle="BOE Factor" prompt="The factor used to present gas volumes as oil equivalent volumes" sqref="A15:B15"/>
    <dataValidation allowBlank="1" showInputMessage="1" showErrorMessage="1" prompt="This table specifies the percentage of the total calculated production wells required at production startup and production plateau" sqref="A21"/>
    <dataValidation allowBlank="1" showInputMessage="1" showErrorMessage="1" promptTitle="Well Productivity" prompt="These tables specify the reserves produced per well for different reserves sizes for gas and oil.   The number of wells required is the the reserves divided by the volume per well specified in the table" sqref="A25:G34"/>
    <dataValidation allowBlank="1" showInputMessage="1" showErrorMessage="1" promptTitle="Drilling Centres" prompt="This lookup table specifes the number of drilling centres assumed dependent on the total number of wells" sqref="A36:B43"/>
    <dataValidation allowBlank="1" showInputMessage="1" showErrorMessage="1" promptTitle="Areal Extent Multiplier" prompt="The areal extent multiplier is a multiplier on the assumed length of each well dependent on the specification of the areal extent of the reservoir" sqref="A45:B50"/>
    <dataValidation allowBlank="1" showInputMessage="1" showErrorMessage="1" promptTitle="Reservoir Complexity Multiplier" prompt="This reservoir complexity multiplier is a multiplier on the number of wells dependent on the reservoir complexity,this is a subjective measure of faulting and other factors that require additional wells to be drilled" sqref="A52:B57"/>
    <dataValidation allowBlank="1" showInputMessage="1" showErrorMessage="1" promptTitle="Well Time Multiplier" prompt="This table specifies a multiplier on the time taken to drill a well dependent on whether the reservoir is normally pressured or High Pressure High Temperature (HPHT)" sqref="A59:C65"/>
    <dataValidation allowBlank="1" showInputMessage="1" showErrorMessage="1" promptTitle="Well Tangible Multiplier" prompt="This table speicifies a multiplier on the cost of well tangibles dependent on whether the reservoir is normally pressured or High Pressure High Temperature (HPHT)" sqref="A66:B71"/>
    <dataValidation allowBlank="1" showInputMessage="1" showErrorMessage="1" promptTitle="Subsea Bundle Length" prompt="This table specifies the subsea bundle length for flowlines for satellite wells dependent on reservoir areal extent.  The program selects between satellite and deviated wells dependent on the total cost of the two alternatives" sqref="A72:B77"/>
    <dataValidation allowBlank="1" showInputMessage="1" showErrorMessage="1" promptTitle="Number of Appraisal Wells" prompt="These tables specify the average number of required appraisal wells dependent on discovered reserves size" sqref="A79:G86"/>
    <dataValidation allowBlank="1" showInputMessage="1" showErrorMessage="1" promptTitle="Construct and Installation Times" prompt="The assumed fixed and variable times required to construct and install the field facilities " sqref="A90:G103"/>
    <dataValidation allowBlank="1" showInputMessage="1" showErrorMessage="1" prompt="Enter average gas shrinkage (from Production to Sales) for a a gas field - includes fuel requirements" sqref="A18:C18"/>
    <dataValidation allowBlank="1" showInputMessage="1" showErrorMessage="1" prompt="Enter oilfield fuel requirement as a percentage of liquid production.  Program will use associated gas at an energy equivalent level where sufficient gas" sqref="A19:C19"/>
    <dataValidation allowBlank="1" showInputMessage="1" showErrorMessage="1" prompt="Enter the equivalent energy ratio of oil to gas for the purpose of calculating fuel requirements of the two products" sqref="A17:C17"/>
    <dataValidation allowBlank="1" showInputMessage="1" showErrorMessage="1" prompt="Enter the percentage of wells availabel at production start-up and at start of plateau production" sqref="A22:C23"/>
    <dataValidation allowBlank="1" showInputMessage="1" showErrorMessage="1" prompt="Enter the assumed gas reserver per required gas reinjection well" sqref="A88:C88"/>
  </dataValidations>
  <hyperlinks>
    <hyperlink ref="E1" location="Guide" display="Guide"/>
    <hyperlink ref="E2" location="Input" display="Input"/>
  </hyperlinks>
  <pageMargins left="0.7" right="0.7" top="0.75" bottom="0.75" header="0.3" footer="0.3"/>
  <pageSetup paperSize="9" scale="47" orientation="portrait" r:id="rId1"/>
  <headerFooter>
    <oddFooter>&amp;LNova Scotia Exploration Economics Model&amp;Rwww.indeva.com</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3" tint="0.79998168889431442"/>
    <pageSetUpPr fitToPage="1"/>
  </sheetPr>
  <dimension ref="A1:AB74"/>
  <sheetViews>
    <sheetView showGridLines="0" showZeros="0" zoomScale="75" zoomScaleNormal="75" workbookViewId="0">
      <pane xSplit="2" ySplit="2" topLeftCell="C15" activePane="bottomRight" state="frozen"/>
      <selection activeCell="D43" sqref="D43"/>
      <selection pane="topRight" activeCell="D43" sqref="D43"/>
      <selection pane="bottomLeft" activeCell="D43" sqref="D43"/>
      <selection pane="bottomRight" activeCell="Y37" sqref="Y37"/>
    </sheetView>
  </sheetViews>
  <sheetFormatPr defaultRowHeight="14.5"/>
  <cols>
    <col min="1" max="1" width="6.1796875" customWidth="1"/>
    <col min="2" max="2" width="25.81640625" customWidth="1"/>
    <col min="3" max="3" width="10" customWidth="1"/>
    <col min="4" max="4" width="10.81640625" customWidth="1"/>
    <col min="5" max="5" width="10.1796875" customWidth="1"/>
    <col min="6" max="6" width="11.54296875" bestFit="1" customWidth="1"/>
    <col min="7" max="7" width="12" customWidth="1"/>
    <col min="8" max="8" width="10.81640625" bestFit="1" customWidth="1"/>
    <col min="9" max="9" width="11.1796875" customWidth="1"/>
    <col min="10" max="10" width="11.7265625" customWidth="1"/>
    <col min="11" max="12" width="9.26953125" bestFit="1" customWidth="1"/>
    <col min="13" max="13" width="9.81640625" bestFit="1" customWidth="1"/>
    <col min="14" max="14" width="9.26953125" bestFit="1" customWidth="1"/>
    <col min="15" max="15" width="10" bestFit="1" customWidth="1"/>
    <col min="16" max="18" width="9.26953125" bestFit="1" customWidth="1"/>
    <col min="19" max="19" width="11.54296875" customWidth="1"/>
    <col min="22" max="22" width="10.7265625" customWidth="1"/>
    <col min="23" max="23" width="12.26953125" customWidth="1"/>
    <col min="24" max="24" width="10.81640625" customWidth="1"/>
    <col min="28" max="28" width="11.54296875" customWidth="1"/>
  </cols>
  <sheetData>
    <row r="1" spans="1:28" ht="18.5">
      <c r="A1" s="93"/>
      <c r="B1" s="142" t="str">
        <f>Input!B8</f>
        <v>Prospect X</v>
      </c>
      <c r="C1" s="142" t="s">
        <v>182</v>
      </c>
      <c r="D1" s="142"/>
      <c r="E1" s="142"/>
      <c r="F1" s="93"/>
      <c r="G1" s="93"/>
      <c r="H1" s="143" t="s">
        <v>768</v>
      </c>
      <c r="I1" s="93"/>
      <c r="J1" s="93"/>
      <c r="K1" s="93"/>
      <c r="L1" s="93"/>
      <c r="M1" s="93"/>
      <c r="N1" s="93"/>
      <c r="O1" s="93"/>
      <c r="P1" s="93"/>
      <c r="Q1" s="93"/>
      <c r="R1" s="93"/>
      <c r="S1" s="93"/>
      <c r="T1" s="93"/>
      <c r="U1" s="93"/>
      <c r="V1" s="93"/>
      <c r="W1" s="93"/>
      <c r="X1" s="93"/>
      <c r="Y1" s="93"/>
      <c r="Z1" s="93"/>
      <c r="AA1" s="93"/>
      <c r="AB1" s="93"/>
    </row>
    <row r="2" spans="1:28" ht="18.5">
      <c r="A2" s="93"/>
      <c r="B2" s="93"/>
      <c r="C2" s="93"/>
      <c r="D2" s="93"/>
      <c r="E2" s="93"/>
      <c r="F2" s="93"/>
      <c r="G2" s="93"/>
      <c r="H2" s="143" t="s">
        <v>143</v>
      </c>
      <c r="I2" s="93"/>
      <c r="J2" s="93"/>
      <c r="K2" s="93"/>
      <c r="L2" s="93"/>
      <c r="M2" s="93"/>
      <c r="N2" s="93"/>
      <c r="O2" s="93"/>
      <c r="P2" s="93"/>
      <c r="Q2" s="93"/>
      <c r="R2" s="93"/>
      <c r="S2" s="93"/>
      <c r="T2" s="93"/>
      <c r="U2" s="93"/>
      <c r="V2" s="93"/>
      <c r="W2" s="93"/>
      <c r="X2" s="93"/>
      <c r="Y2" s="93"/>
      <c r="Z2" s="93"/>
      <c r="AA2" s="93"/>
      <c r="AB2" s="93"/>
    </row>
    <row r="3" spans="1:28">
      <c r="A3" s="93"/>
      <c r="B3" s="133" t="s">
        <v>183</v>
      </c>
      <c r="C3" s="93"/>
      <c r="D3" s="93"/>
      <c r="E3" s="93"/>
      <c r="F3" s="93"/>
      <c r="G3" s="93"/>
      <c r="H3" s="93"/>
      <c r="I3" s="93"/>
      <c r="J3" s="93"/>
      <c r="K3" s="93"/>
      <c r="L3" s="93"/>
      <c r="M3" s="93"/>
      <c r="N3" s="93"/>
      <c r="O3" s="93"/>
      <c r="P3" s="93"/>
      <c r="Q3" s="93"/>
      <c r="R3" s="93"/>
      <c r="S3" s="93"/>
      <c r="T3" s="93"/>
      <c r="U3" s="93"/>
      <c r="V3" s="93"/>
      <c r="W3" s="93"/>
      <c r="X3" s="93"/>
      <c r="Y3" s="93"/>
      <c r="Z3" s="93"/>
      <c r="AA3" s="93"/>
      <c r="AB3" s="93"/>
    </row>
    <row r="4" spans="1:28">
      <c r="A4" s="93"/>
      <c r="B4" s="93"/>
      <c r="C4" s="93"/>
      <c r="D4" s="93"/>
      <c r="E4" s="93"/>
      <c r="F4" s="93"/>
      <c r="G4" s="93"/>
      <c r="H4" s="93"/>
      <c r="I4" s="93"/>
      <c r="J4" s="93"/>
      <c r="K4" s="93"/>
      <c r="L4" s="93"/>
      <c r="M4" s="93"/>
      <c r="N4" s="93"/>
      <c r="O4" s="93"/>
      <c r="P4" s="93"/>
      <c r="Q4" s="93"/>
      <c r="R4" s="93"/>
      <c r="S4" s="93"/>
      <c r="T4" s="93"/>
      <c r="U4" s="93"/>
      <c r="V4" s="93"/>
      <c r="W4" s="93"/>
      <c r="X4" s="93"/>
      <c r="Y4" s="93"/>
      <c r="Z4" s="93"/>
      <c r="AA4" s="93"/>
      <c r="AB4" s="93"/>
    </row>
    <row r="5" spans="1:28">
      <c r="A5" s="93"/>
      <c r="B5" s="134" t="s">
        <v>78</v>
      </c>
      <c r="C5" s="135">
        <f>IF(Thresholds!E1="Seismic",1,0)</f>
        <v>0</v>
      </c>
      <c r="D5" s="93"/>
      <c r="E5" s="93"/>
      <c r="F5" s="93"/>
      <c r="G5" s="93"/>
      <c r="H5" s="93"/>
      <c r="I5" s="93"/>
      <c r="J5" s="93"/>
      <c r="K5" s="93"/>
      <c r="L5" s="93"/>
      <c r="M5" s="93"/>
      <c r="N5" s="93"/>
      <c r="O5" s="93"/>
      <c r="P5" s="93"/>
      <c r="Q5" s="93"/>
      <c r="R5" s="93"/>
      <c r="S5" s="93"/>
      <c r="T5" s="93"/>
      <c r="U5" s="93"/>
      <c r="V5" s="93"/>
      <c r="W5" s="93"/>
      <c r="X5" s="93"/>
      <c r="Y5" s="93"/>
      <c r="Z5" s="93"/>
      <c r="AA5" s="93"/>
      <c r="AB5" s="93"/>
    </row>
    <row r="6" spans="1:28">
      <c r="A6" s="93"/>
      <c r="B6" s="134" t="s">
        <v>86</v>
      </c>
      <c r="C6" s="135">
        <f>IF(Input!C37=TRUE,MAX(0,MIN(1,IF(Thresholds!E1="Seismic",Input!B19*'Sensitivity Ranges'!$F$45,IF(Thresholds!E1="Wildcat",1,0)))),0)</f>
        <v>0</v>
      </c>
      <c r="D6" s="93"/>
      <c r="E6" s="93"/>
      <c r="F6" s="93"/>
      <c r="G6" s="93"/>
      <c r="H6" s="93"/>
      <c r="I6" s="93"/>
      <c r="J6" s="93"/>
      <c r="K6" s="93"/>
      <c r="L6" s="93"/>
      <c r="M6" s="93"/>
      <c r="N6" s="93"/>
      <c r="O6" s="93"/>
      <c r="P6" s="93"/>
      <c r="Q6" s="93"/>
      <c r="R6" s="93"/>
      <c r="S6" s="93"/>
      <c r="T6" s="93"/>
      <c r="U6" s="93"/>
      <c r="V6" s="93"/>
      <c r="W6" s="93"/>
      <c r="X6" s="93"/>
      <c r="Y6" s="93"/>
      <c r="Z6" s="93"/>
      <c r="AA6" s="93"/>
      <c r="AB6" s="93"/>
    </row>
    <row r="7" spans="1:28">
      <c r="A7" s="93"/>
      <c r="B7" s="134" t="s">
        <v>87</v>
      </c>
      <c r="C7" s="135">
        <f>MAX(0,MIN(1,IF(Thresholds!E1="Seismic",C6*Input!B20,IF(Thresholds!E1="Wildcat",C6*Input!B20*'Sensitivity Ranges'!$F$45,IF(Thresholds!E1="Appraisal",1,0)))))</f>
        <v>0</v>
      </c>
      <c r="D7" s="93"/>
      <c r="E7" s="93"/>
      <c r="F7" s="93"/>
      <c r="G7" s="93"/>
      <c r="H7" s="93"/>
      <c r="I7" s="93"/>
      <c r="J7" s="93"/>
      <c r="K7" s="93"/>
      <c r="L7" s="93"/>
      <c r="M7" s="93"/>
      <c r="N7" s="93"/>
      <c r="O7" s="93"/>
      <c r="P7" s="93"/>
      <c r="Q7" s="93"/>
      <c r="R7" s="93"/>
      <c r="S7" s="93"/>
      <c r="T7" s="93"/>
      <c r="U7" s="93"/>
      <c r="V7" s="93"/>
      <c r="W7" s="93"/>
      <c r="X7" s="93"/>
      <c r="Y7" s="93"/>
      <c r="Z7" s="93"/>
      <c r="AA7" s="93"/>
      <c r="AB7" s="93"/>
    </row>
    <row r="8" spans="1:28">
      <c r="A8" s="93"/>
      <c r="B8" s="134" t="s">
        <v>88</v>
      </c>
      <c r="C8" s="135">
        <f>MAX(0,MIN(1,IF(OR(Thresholds!E1="seismic",Thresholds!E1="wildcat"),C7*Input!B21,IF(Thresholds!E1="appraisal",C7*Input!B21*'Sensitivity Ranges'!F45,IF(Thresholds!E1="Development Planning",1,0)))))</f>
        <v>0</v>
      </c>
      <c r="D8" s="93"/>
      <c r="E8" s="93"/>
      <c r="F8" s="93"/>
      <c r="G8" s="93"/>
      <c r="H8" s="93"/>
      <c r="I8" s="93"/>
      <c r="J8" s="93"/>
      <c r="K8" s="93"/>
      <c r="L8" s="93"/>
      <c r="M8" s="93"/>
      <c r="N8" s="93"/>
      <c r="O8" s="93"/>
      <c r="P8" s="93"/>
      <c r="Q8" s="93"/>
      <c r="R8" s="93"/>
      <c r="S8" s="93"/>
      <c r="T8" s="93"/>
      <c r="U8" s="93"/>
      <c r="V8" s="93"/>
      <c r="W8" s="93"/>
      <c r="X8" s="93"/>
      <c r="Y8" s="93"/>
      <c r="Z8" s="93"/>
      <c r="AA8" s="93"/>
      <c r="AB8" s="93"/>
    </row>
    <row r="9" spans="1:28">
      <c r="A9" s="93"/>
      <c r="B9" s="136" t="s">
        <v>184</v>
      </c>
      <c r="C9" s="137">
        <f>MAX(0,MIN(1,IF(Thresholds!E1="Development Start",1,IF(Thresholds!E1="Development Planning",C8*Input!B22*'Sensitivity Ranges'!F45,C8*Input!B22))))</f>
        <v>1</v>
      </c>
      <c r="D9" s="93"/>
      <c r="E9" s="93"/>
      <c r="F9" s="93"/>
      <c r="G9" s="93"/>
      <c r="H9" s="93"/>
      <c r="I9" s="93"/>
      <c r="J9" s="93"/>
      <c r="K9" s="93"/>
      <c r="L9" s="93"/>
      <c r="M9" s="93"/>
      <c r="N9" s="93"/>
      <c r="O9" s="93"/>
      <c r="P9" s="93"/>
      <c r="Q9" s="93"/>
      <c r="R9" s="93"/>
      <c r="S9" s="93"/>
      <c r="T9" s="93"/>
      <c r="U9" s="93"/>
      <c r="V9" s="93"/>
      <c r="W9" s="93"/>
      <c r="X9" s="93"/>
      <c r="Y9" s="93"/>
      <c r="Z9" s="93"/>
      <c r="AA9" s="93"/>
      <c r="AB9" s="93"/>
    </row>
    <row r="10" spans="1:28">
      <c r="A10" s="93"/>
      <c r="B10" s="93"/>
      <c r="C10" s="93"/>
      <c r="D10" s="93"/>
      <c r="E10" s="93"/>
      <c r="F10" s="93"/>
      <c r="G10" s="93"/>
      <c r="H10" s="93"/>
      <c r="I10" s="93"/>
      <c r="J10" s="93"/>
      <c r="K10" s="93"/>
      <c r="L10" s="93"/>
      <c r="M10" s="93"/>
      <c r="N10" s="93"/>
      <c r="O10" s="93"/>
      <c r="P10" s="93"/>
      <c r="Q10" s="93"/>
      <c r="R10" s="93"/>
      <c r="S10" s="93"/>
      <c r="T10" s="93"/>
      <c r="U10" s="93"/>
      <c r="V10" s="93"/>
      <c r="W10" s="93"/>
      <c r="X10" s="93"/>
      <c r="Y10" s="93"/>
      <c r="Z10" s="93"/>
      <c r="AA10" s="93"/>
      <c r="AB10" s="93"/>
    </row>
    <row r="11" spans="1:28">
      <c r="A11" s="93"/>
      <c r="B11" s="134" t="s">
        <v>185</v>
      </c>
      <c r="C11" s="138">
        <f>IF(Overrides!C22=Lists!A37,SUM(M23:M27),VLOOKUP(Thresholds!E2,IF(Input!B11="gas",'Sched &amp; Prod Assumptions'!A82:B86,'Sched &amp; Prod Assumptions'!F82:G86),2))</f>
        <v>3</v>
      </c>
      <c r="D11" s="93"/>
      <c r="E11" s="93"/>
      <c r="F11" s="93"/>
      <c r="G11" s="93"/>
      <c r="H11" s="93"/>
      <c r="I11" s="93"/>
      <c r="J11" s="93"/>
      <c r="K11" s="93"/>
      <c r="L11" s="93"/>
      <c r="M11" s="93"/>
      <c r="N11" s="93"/>
      <c r="O11" s="93"/>
      <c r="P11" s="93"/>
      <c r="Q11" s="93"/>
      <c r="R11" s="93"/>
      <c r="S11" s="93"/>
      <c r="T11" s="93"/>
      <c r="U11" s="93"/>
      <c r="V11" s="93"/>
      <c r="W11" s="93"/>
      <c r="X11" s="93"/>
      <c r="Y11" s="93"/>
      <c r="Z11" s="93"/>
      <c r="AA11" s="93"/>
      <c r="AB11" s="93"/>
    </row>
    <row r="12" spans="1:28">
      <c r="A12" s="93"/>
      <c r="B12" s="134" t="s">
        <v>186</v>
      </c>
      <c r="C12" s="138">
        <f>IF(Overrides!C4="Manual Override",1,0)</f>
        <v>0</v>
      </c>
      <c r="D12" s="93"/>
      <c r="E12" s="93"/>
      <c r="F12" s="93"/>
      <c r="G12" s="93"/>
      <c r="H12" s="93"/>
      <c r="I12" s="93"/>
      <c r="J12" s="93"/>
      <c r="K12" s="93"/>
      <c r="L12" s="93"/>
      <c r="M12" s="93"/>
      <c r="N12" s="93"/>
      <c r="O12" s="93"/>
      <c r="P12" s="93"/>
      <c r="Q12" s="93"/>
      <c r="R12" s="93"/>
      <c r="S12" s="93"/>
      <c r="T12" s="93"/>
      <c r="U12" s="93"/>
      <c r="V12" s="93"/>
      <c r="W12" s="93"/>
      <c r="X12" s="93"/>
      <c r="Y12" s="93"/>
      <c r="Z12" s="93"/>
      <c r="AA12" s="93"/>
      <c r="AB12" s="93"/>
    </row>
    <row r="13" spans="1:28">
      <c r="A13" s="93"/>
      <c r="B13" s="134" t="s">
        <v>187</v>
      </c>
      <c r="C13" s="138">
        <f>IF(Overrides!C14="Manual Override",1,0)</f>
        <v>0</v>
      </c>
      <c r="D13" s="93"/>
      <c r="E13" s="93"/>
      <c r="F13" s="93"/>
      <c r="G13" s="93"/>
      <c r="H13" s="93"/>
      <c r="I13" s="93"/>
      <c r="J13" s="93"/>
      <c r="K13" s="93"/>
      <c r="L13" s="93"/>
      <c r="M13" s="93"/>
      <c r="N13" s="93"/>
      <c r="O13" s="93"/>
      <c r="P13" s="93"/>
      <c r="Q13" s="93"/>
      <c r="R13" s="93"/>
      <c r="S13" s="93"/>
      <c r="T13" s="93"/>
      <c r="U13" s="93"/>
      <c r="V13" s="93"/>
      <c r="W13" s="93"/>
      <c r="X13" s="93"/>
      <c r="Y13" s="93"/>
      <c r="Z13" s="93"/>
      <c r="AA13" s="93"/>
      <c r="AB13" s="93"/>
    </row>
    <row r="14" spans="1:28">
      <c r="A14" s="93"/>
      <c r="B14" s="134" t="s">
        <v>188</v>
      </c>
      <c r="C14" s="138">
        <f>IF(Overrides!C22="Manual Override",1,0)</f>
        <v>0</v>
      </c>
      <c r="D14" s="93"/>
      <c r="E14" s="93"/>
      <c r="F14" s="93"/>
      <c r="G14" s="93"/>
      <c r="H14" s="93"/>
      <c r="I14" s="93"/>
      <c r="J14" s="93"/>
      <c r="K14" s="93"/>
      <c r="L14" s="93"/>
      <c r="M14" s="93"/>
      <c r="N14" s="93"/>
      <c r="O14" s="93"/>
      <c r="P14" s="93"/>
      <c r="Q14" s="93"/>
      <c r="R14" s="93"/>
      <c r="S14" s="93"/>
      <c r="T14" s="93"/>
      <c r="U14" s="93"/>
      <c r="V14" s="93"/>
      <c r="W14" s="93"/>
      <c r="X14" s="93"/>
      <c r="Y14" s="93"/>
      <c r="Z14" s="93"/>
      <c r="AA14" s="93"/>
      <c r="AB14" s="93"/>
    </row>
    <row r="15" spans="1:28">
      <c r="A15" s="93"/>
      <c r="B15" s="134" t="s">
        <v>189</v>
      </c>
      <c r="C15" s="134">
        <f>IF('Cost Assumptions'!O6="Deepwater",IF(Input!B27=Lists!A87,'Sched &amp; Prod Assumptions'!C63,IF(Input!B27=Lists!A88,'Sched &amp; Prod Assumptions'!C64,'Sched &amp; Prod Assumptions'!C65)),IF(Input!B27=Lists!A87,'Sched &amp; Prod Assumptions'!B63,IF(Input!B27=Lists!A88,'Sched &amp; Prod Assumptions'!B64,'Sched &amp; Prod Assumptions'!B65)))</f>
        <v>1</v>
      </c>
      <c r="D15" s="93"/>
      <c r="E15" s="93"/>
      <c r="F15" s="133"/>
      <c r="G15" s="93"/>
      <c r="H15" s="93"/>
      <c r="I15" s="93"/>
      <c r="J15" s="93"/>
      <c r="K15" s="93"/>
      <c r="L15" s="93"/>
      <c r="M15" s="93"/>
      <c r="N15" s="93"/>
      <c r="O15" s="93"/>
      <c r="P15" s="93"/>
      <c r="Q15" s="93"/>
      <c r="R15" s="93"/>
      <c r="S15" s="93"/>
      <c r="T15" s="93"/>
      <c r="U15" s="93"/>
      <c r="V15" s="93"/>
      <c r="W15" s="93"/>
      <c r="X15" s="93"/>
      <c r="Y15" s="93"/>
      <c r="Z15" s="93"/>
      <c r="AA15" s="93"/>
      <c r="AB15" s="93"/>
    </row>
    <row r="16" spans="1:28">
      <c r="A16" s="93"/>
      <c r="B16" s="93"/>
      <c r="C16" s="93"/>
      <c r="D16" s="93"/>
      <c r="E16" s="93"/>
      <c r="F16" s="93"/>
      <c r="G16" s="93"/>
      <c r="H16" s="93"/>
      <c r="I16" s="93"/>
      <c r="J16" s="93"/>
      <c r="K16" s="93"/>
      <c r="L16" s="93"/>
      <c r="M16" s="93"/>
      <c r="N16" s="93"/>
      <c r="O16" s="93"/>
      <c r="P16" s="93"/>
      <c r="Q16" s="93"/>
      <c r="R16" s="93"/>
      <c r="S16" s="93"/>
      <c r="T16" s="93"/>
      <c r="U16" s="93"/>
      <c r="V16" s="93"/>
      <c r="W16" s="93"/>
      <c r="X16" s="93"/>
      <c r="Y16" s="93"/>
      <c r="Z16" s="93"/>
      <c r="AA16" s="93"/>
      <c r="AB16" s="93"/>
    </row>
    <row r="17" spans="1:28">
      <c r="A17" s="93"/>
      <c r="B17" s="93"/>
      <c r="C17" s="139"/>
      <c r="D17" s="139" t="s">
        <v>190</v>
      </c>
      <c r="E17" s="139" t="s">
        <v>190</v>
      </c>
      <c r="F17" s="139" t="s">
        <v>190</v>
      </c>
      <c r="G17" s="93"/>
      <c r="H17" s="139" t="s">
        <v>191</v>
      </c>
      <c r="I17" s="139" t="s">
        <v>191</v>
      </c>
      <c r="J17" s="139" t="s">
        <v>191</v>
      </c>
      <c r="K17" s="139" t="s">
        <v>191</v>
      </c>
      <c r="L17" s="139" t="s">
        <v>191</v>
      </c>
      <c r="M17" s="139" t="s">
        <v>192</v>
      </c>
      <c r="N17" s="93"/>
      <c r="O17" s="139" t="s">
        <v>193</v>
      </c>
      <c r="P17" s="139" t="s">
        <v>194</v>
      </c>
      <c r="Q17" s="139" t="s">
        <v>195</v>
      </c>
      <c r="R17" s="139" t="s">
        <v>195</v>
      </c>
      <c r="S17" s="139" t="s">
        <v>196</v>
      </c>
      <c r="T17" s="93"/>
      <c r="U17" s="93"/>
      <c r="V17" s="139" t="s">
        <v>63</v>
      </c>
      <c r="W17" s="93"/>
      <c r="X17" s="144" t="s">
        <v>197</v>
      </c>
      <c r="Y17" s="145"/>
      <c r="Z17" s="145"/>
      <c r="AA17" s="146"/>
      <c r="AB17" s="147">
        <f>IF(C11=0,0,(Input!B21+(1-Input!B21)*(Exploration!C11+1)/2/Exploration!C11))</f>
        <v>0.91666666666666663</v>
      </c>
    </row>
    <row r="18" spans="1:28">
      <c r="A18" s="93"/>
      <c r="B18" s="93"/>
      <c r="C18" s="140" t="s">
        <v>198</v>
      </c>
      <c r="D18" s="140" t="s">
        <v>146</v>
      </c>
      <c r="E18" s="140" t="s">
        <v>199</v>
      </c>
      <c r="F18" s="140" t="s">
        <v>200</v>
      </c>
      <c r="G18" s="93"/>
      <c r="H18" s="148" t="s">
        <v>79</v>
      </c>
      <c r="I18" s="148" t="s">
        <v>146</v>
      </c>
      <c r="J18" s="148" t="s">
        <v>201</v>
      </c>
      <c r="K18" s="148" t="s">
        <v>199</v>
      </c>
      <c r="L18" s="148" t="s">
        <v>202</v>
      </c>
      <c r="M18" s="148"/>
      <c r="N18" s="93"/>
      <c r="O18" s="148" t="s">
        <v>14</v>
      </c>
      <c r="P18" s="148" t="s">
        <v>14</v>
      </c>
      <c r="Q18" s="148" t="s">
        <v>203</v>
      </c>
      <c r="R18" s="148" t="s">
        <v>42</v>
      </c>
      <c r="S18" s="148" t="s">
        <v>42</v>
      </c>
      <c r="T18" s="93"/>
      <c r="U18" s="93"/>
      <c r="V18" s="140" t="s">
        <v>204</v>
      </c>
      <c r="W18" s="93"/>
      <c r="X18" s="93"/>
      <c r="Y18" s="93"/>
      <c r="Z18" s="93"/>
      <c r="AA18" s="93"/>
      <c r="AB18" s="93"/>
    </row>
    <row r="19" spans="1:28" ht="15" customHeight="1">
      <c r="A19" s="93"/>
      <c r="B19" s="134" t="s">
        <v>78</v>
      </c>
      <c r="C19" s="141"/>
      <c r="D19" s="141">
        <f>'Cost Assumptions'!O10</f>
        <v>95.4</v>
      </c>
      <c r="E19" s="141">
        <v>0</v>
      </c>
      <c r="F19" s="141">
        <f>'Cost Assumptions'!O11</f>
        <v>7950</v>
      </c>
      <c r="G19" s="93"/>
      <c r="H19" s="149">
        <f>IF(Thresholds!E1="Seismic",Input!B10,0)</f>
        <v>0</v>
      </c>
      <c r="I19" s="141">
        <f>IF($C$12=1,Overrides!D11,Exploration!D19)</f>
        <v>95.4</v>
      </c>
      <c r="J19" s="149">
        <f t="shared" ref="J19:J27" si="0">H19+I19</f>
        <v>95.4</v>
      </c>
      <c r="K19" s="141">
        <f>IF($C$12=1,Overrides!E11,Exploration!E19)</f>
        <v>0</v>
      </c>
      <c r="L19" s="141">
        <f>IF(Exploration!$C$12=1,Overrides!F11,Exploration!F19)/1000</f>
        <v>7.95</v>
      </c>
      <c r="M19" s="134"/>
      <c r="N19" s="93"/>
      <c r="O19" s="150">
        <f>YEAR(H19)</f>
        <v>1900</v>
      </c>
      <c r="P19" s="134">
        <f t="shared" ref="P19:P27" si="1">YEAR(J19)</f>
        <v>1900</v>
      </c>
      <c r="Q19" s="147">
        <f t="shared" ref="Q19:Q27" si="2">IF(I19=0,0,(MIN(J19,DATE(O19,12,31))-H19)/I19)</f>
        <v>1</v>
      </c>
      <c r="R19" s="151">
        <f t="shared" ref="R19:R27" si="3">Q19*L19</f>
        <v>7.95</v>
      </c>
      <c r="S19" s="151">
        <f t="shared" ref="S19:S27" si="4">L19-R19</f>
        <v>0</v>
      </c>
      <c r="T19" s="93"/>
      <c r="U19" s="134" t="s">
        <v>205</v>
      </c>
      <c r="V19" s="152">
        <f>IF(J19&lt;Input!$B$10,SUM(Exploration!L19:L20),0)</f>
        <v>11.66</v>
      </c>
      <c r="W19" s="93"/>
      <c r="X19" s="597" t="s">
        <v>206</v>
      </c>
      <c r="Y19" s="597"/>
      <c r="Z19" s="597"/>
      <c r="AA19" s="597"/>
      <c r="AB19" s="597"/>
    </row>
    <row r="20" spans="1:28">
      <c r="A20" s="93"/>
      <c r="B20" s="134" t="s">
        <v>148</v>
      </c>
      <c r="C20" s="141"/>
      <c r="D20" s="141">
        <f>'Cost Assumptions'!O12</f>
        <v>190.8</v>
      </c>
      <c r="E20" s="141">
        <f>'Cost Assumptions'!O14</f>
        <v>127.2</v>
      </c>
      <c r="F20" s="141">
        <f>'Cost Assumptions'!O13</f>
        <v>3710</v>
      </c>
      <c r="G20" s="93"/>
      <c r="H20" s="149">
        <f>J19+K19</f>
        <v>95.4</v>
      </c>
      <c r="I20" s="141">
        <f>IF($C$12=1,Overrides!D12,Exploration!D20)</f>
        <v>190.8</v>
      </c>
      <c r="J20" s="149">
        <f t="shared" si="0"/>
        <v>286.20000000000005</v>
      </c>
      <c r="K20" s="141">
        <f>IF($C$12=1,Overrides!E12,Exploration!E20)</f>
        <v>127.2</v>
      </c>
      <c r="L20" s="141">
        <f>IF(Exploration!$C$12=1,Overrides!F12,Exploration!F20)/1000</f>
        <v>3.71</v>
      </c>
      <c r="M20" s="134"/>
      <c r="N20" s="93"/>
      <c r="O20" s="134">
        <f t="shared" ref="O20:O27" si="5">YEAR(H20)</f>
        <v>1900</v>
      </c>
      <c r="P20" s="134">
        <f t="shared" si="1"/>
        <v>1900</v>
      </c>
      <c r="Q20" s="147">
        <f t="shared" si="2"/>
        <v>1.0000000000000002</v>
      </c>
      <c r="R20" s="151">
        <f t="shared" si="3"/>
        <v>3.7100000000000009</v>
      </c>
      <c r="S20" s="151">
        <f t="shared" si="4"/>
        <v>0</v>
      </c>
      <c r="T20" s="93"/>
      <c r="U20" s="134" t="s">
        <v>207</v>
      </c>
      <c r="V20" s="152">
        <f>IF(J22&lt;Input!$B$10,SUM(Exploration!L21:L22),0)</f>
        <v>49.040145070325899</v>
      </c>
      <c r="W20" s="93"/>
      <c r="X20" s="597"/>
      <c r="Y20" s="597"/>
      <c r="Z20" s="597"/>
      <c r="AA20" s="597"/>
      <c r="AB20" s="597"/>
    </row>
    <row r="21" spans="1:28">
      <c r="A21" s="93"/>
      <c r="B21" s="134" t="s">
        <v>86</v>
      </c>
      <c r="C21" s="141">
        <f>Thresholds!E3-Input!B13</f>
        <v>1500</v>
      </c>
      <c r="D21" s="141">
        <f>(C21/'Cost Assumptions'!$O$31)*C15+'Cost Assumptions'!$O$30</f>
        <v>51.168987993138934</v>
      </c>
      <c r="E21" s="141">
        <v>0</v>
      </c>
      <c r="F21" s="141">
        <f>(D21*('Cost Assumptions'!$O$29+'Cost Assumptions'!$O$24)+'Cost Assumptions'!$O$28*C21)/1000+'Cost Assumptions'!$O$27</f>
        <v>48510.145070325896</v>
      </c>
      <c r="G21" s="93"/>
      <c r="H21" s="149">
        <f>IF(Thresholds!E1="Wildcat",Input!B10,J20+K20)</f>
        <v>413.40000000000003</v>
      </c>
      <c r="I21" s="141">
        <f>IF($C$13=1,Overrides!D19,Exploration!D21)</f>
        <v>51.168987993138934</v>
      </c>
      <c r="J21" s="149">
        <f t="shared" si="0"/>
        <v>464.56898799313899</v>
      </c>
      <c r="K21" s="141">
        <f>IF($C$13=1,Overrides!E19,Exploration!E21)</f>
        <v>0</v>
      </c>
      <c r="L21" s="141">
        <f>IF(Exploration!$C$13=1,Overrides!F19,Exploration!F21)/1000</f>
        <v>48.510145070325898</v>
      </c>
      <c r="M21" s="134"/>
      <c r="N21" s="93"/>
      <c r="O21" s="134">
        <f t="shared" si="5"/>
        <v>1901</v>
      </c>
      <c r="P21" s="134">
        <f t="shared" si="1"/>
        <v>1901</v>
      </c>
      <c r="Q21" s="147">
        <f t="shared" si="2"/>
        <v>1.0000000000000004</v>
      </c>
      <c r="R21" s="151">
        <f t="shared" si="3"/>
        <v>48.510145070325919</v>
      </c>
      <c r="S21" s="151">
        <f t="shared" si="4"/>
        <v>0</v>
      </c>
      <c r="T21" s="93"/>
      <c r="U21" s="134" t="s">
        <v>208</v>
      </c>
      <c r="V21" s="152">
        <f>IF(J27&lt;Input!B10,SUM(Exploration!L23:L27),0)</f>
        <v>145.53043521097769</v>
      </c>
      <c r="W21" s="93"/>
      <c r="X21" s="597"/>
      <c r="Y21" s="597"/>
      <c r="Z21" s="597"/>
      <c r="AA21" s="597"/>
      <c r="AB21" s="597"/>
    </row>
    <row r="22" spans="1:28">
      <c r="A22" s="93"/>
      <c r="B22" s="134" t="s">
        <v>150</v>
      </c>
      <c r="C22" s="141"/>
      <c r="D22" s="141">
        <f>'Cost Assumptions'!O15</f>
        <v>95.4</v>
      </c>
      <c r="E22" s="141">
        <f>'Cost Assumptions'!O17</f>
        <v>127.2</v>
      </c>
      <c r="F22" s="141">
        <f>'Cost Assumptions'!O16</f>
        <v>530</v>
      </c>
      <c r="G22" s="93"/>
      <c r="H22" s="149">
        <f t="shared" ref="H22:H27" si="6">J21+K21</f>
        <v>464.56898799313899</v>
      </c>
      <c r="I22" s="141">
        <f>IF($C$13=1,Overrides!D20,Exploration!D22)</f>
        <v>95.4</v>
      </c>
      <c r="J22" s="149">
        <f t="shared" si="0"/>
        <v>559.96898799313897</v>
      </c>
      <c r="K22" s="141">
        <f>IF($C$13=1,Overrides!E20,Exploration!E22)</f>
        <v>127.2</v>
      </c>
      <c r="L22" s="141">
        <f>IF(Exploration!$C$13=1,Overrides!F20,Exploration!F22)/1000</f>
        <v>0.53</v>
      </c>
      <c r="M22" s="134"/>
      <c r="N22" s="93"/>
      <c r="O22" s="134">
        <f t="shared" si="5"/>
        <v>1901</v>
      </c>
      <c r="P22" s="134">
        <f t="shared" si="1"/>
        <v>1901</v>
      </c>
      <c r="Q22" s="147">
        <f t="shared" si="2"/>
        <v>0.99999999999999967</v>
      </c>
      <c r="R22" s="151">
        <f t="shared" si="3"/>
        <v>0.5299999999999998</v>
      </c>
      <c r="S22" s="151">
        <f t="shared" si="4"/>
        <v>0</v>
      </c>
      <c r="T22" s="93"/>
      <c r="U22" s="134" t="s">
        <v>209</v>
      </c>
      <c r="V22" s="152">
        <f>IF(Development!B5&lt;Input!B10,Development!B10/1000,0)</f>
        <v>11.522200000000002</v>
      </c>
      <c r="W22" s="93"/>
      <c r="X22" s="597"/>
      <c r="Y22" s="597"/>
      <c r="Z22" s="597"/>
      <c r="AA22" s="597"/>
      <c r="AB22" s="597"/>
    </row>
    <row r="23" spans="1:28">
      <c r="A23" s="134">
        <v>1</v>
      </c>
      <c r="B23" s="134" t="s">
        <v>152</v>
      </c>
      <c r="C23" s="141">
        <f>IF(A23&gt;$C$11,0,Thresholds!$E$3-Input!$B$13)</f>
        <v>1500</v>
      </c>
      <c r="D23" s="141">
        <f>IF(A23&gt;$C$11,0,(C23/'Cost Assumptions'!$O$31)*C$15+'Cost Assumptions'!$O$30)</f>
        <v>51.168987993138934</v>
      </c>
      <c r="E23" s="141">
        <f>IF(A23&gt;=$C$11,0,'Cost Assumptions'!$O$20)</f>
        <v>95.4</v>
      </c>
      <c r="F23" s="141">
        <f>IF(A23&gt;$C$11,0,(D23*('Cost Assumptions'!$O$29+'Cost Assumptions'!$O$24)+'Cost Assumptions'!$O$28*C23)/1000+'Cost Assumptions'!$O$27)</f>
        <v>48510.145070325896</v>
      </c>
      <c r="G23" s="93"/>
      <c r="H23" s="149">
        <f>IF(Thresholds!E1="Appraisal",Input!B10,J22+K22)</f>
        <v>687.16898799313901</v>
      </c>
      <c r="I23" s="141">
        <f>IF($C$14=1,Overrides!D27,Exploration!D23)</f>
        <v>51.168987993138934</v>
      </c>
      <c r="J23" s="149">
        <f t="shared" si="0"/>
        <v>738.33797598627791</v>
      </c>
      <c r="K23" s="141">
        <f>IF($C$14=1,Overrides!E27,Exploration!E23)</f>
        <v>95.4</v>
      </c>
      <c r="L23" s="141">
        <f>IF(Exploration!$C$14=1,Overrides!F27,Exploration!F23)/1000</f>
        <v>48.510145070325898</v>
      </c>
      <c r="M23" s="134">
        <f>IF(I23&gt;0,1,0)</f>
        <v>1</v>
      </c>
      <c r="N23" s="93"/>
      <c r="O23" s="134">
        <f t="shared" si="5"/>
        <v>1901</v>
      </c>
      <c r="P23" s="134">
        <f t="shared" si="1"/>
        <v>1902</v>
      </c>
      <c r="Q23" s="147">
        <f t="shared" si="2"/>
        <v>0.85659329460919043</v>
      </c>
      <c r="R23" s="151">
        <f t="shared" si="3"/>
        <v>41.553464987760236</v>
      </c>
      <c r="S23" s="151">
        <f t="shared" si="4"/>
        <v>6.9566800825656614</v>
      </c>
      <c r="T23" s="93"/>
      <c r="U23" s="134" t="s">
        <v>210</v>
      </c>
      <c r="V23" s="152">
        <f>SUM(V19:V22)</f>
        <v>217.75278028130359</v>
      </c>
      <c r="W23" s="93"/>
      <c r="X23" s="597"/>
      <c r="Y23" s="597"/>
      <c r="Z23" s="597"/>
      <c r="AA23" s="597"/>
      <c r="AB23" s="597"/>
    </row>
    <row r="24" spans="1:28">
      <c r="A24" s="134">
        <f>A23+1</f>
        <v>2</v>
      </c>
      <c r="B24" s="134" t="s">
        <v>153</v>
      </c>
      <c r="C24" s="141">
        <f>IF(A24&gt;$C$11,0,Thresholds!$E$3-Input!$B$13)</f>
        <v>1500</v>
      </c>
      <c r="D24" s="141">
        <f>IF(A24&gt;$C$11,0,(C24/'Cost Assumptions'!$O$31)*C$15+'Cost Assumptions'!$O$30)</f>
        <v>51.168987993138934</v>
      </c>
      <c r="E24" s="141">
        <f>IF(A24&gt;=$C$11,0,'Cost Assumptions'!$O$20)</f>
        <v>95.4</v>
      </c>
      <c r="F24" s="141">
        <f>IF(A24&gt;$C$11,0,(D24*('Cost Assumptions'!$O$29+'Cost Assumptions'!$O$24)+'Cost Assumptions'!$O$28*C24)/1000+'Cost Assumptions'!$O$27)</f>
        <v>48510.145070325896</v>
      </c>
      <c r="G24" s="93"/>
      <c r="H24" s="149">
        <f t="shared" si="6"/>
        <v>833.73797598627789</v>
      </c>
      <c r="I24" s="141">
        <f>IF($C$14=1,Overrides!D28,Exploration!D24)</f>
        <v>51.168987993138934</v>
      </c>
      <c r="J24" s="149">
        <f t="shared" si="0"/>
        <v>884.90696397941679</v>
      </c>
      <c r="K24" s="141">
        <f>IF($C$14=1,Overrides!E28,Exploration!E24)</f>
        <v>95.4</v>
      </c>
      <c r="L24" s="141">
        <f>IF(Exploration!$C$14=1,Overrides!F28,Exploration!F24)/1000</f>
        <v>48.510145070325898</v>
      </c>
      <c r="M24" s="134">
        <f>IF(I24&gt;0,1,0)</f>
        <v>1</v>
      </c>
      <c r="N24" s="93"/>
      <c r="O24" s="134">
        <f t="shared" si="5"/>
        <v>1902</v>
      </c>
      <c r="P24" s="134">
        <f t="shared" si="1"/>
        <v>1902</v>
      </c>
      <c r="Q24" s="147">
        <f t="shared" si="2"/>
        <v>0.99999999999999933</v>
      </c>
      <c r="R24" s="151">
        <f t="shared" si="3"/>
        <v>48.510145070325862</v>
      </c>
      <c r="S24" s="151">
        <f t="shared" si="4"/>
        <v>0</v>
      </c>
      <c r="T24" s="93"/>
      <c r="U24" s="134"/>
      <c r="V24" s="134"/>
      <c r="W24" s="93"/>
      <c r="X24" s="597"/>
      <c r="Y24" s="597"/>
      <c r="Z24" s="597"/>
      <c r="AA24" s="597"/>
      <c r="AB24" s="597"/>
    </row>
    <row r="25" spans="1:28">
      <c r="A25" s="134">
        <f>A24+1</f>
        <v>3</v>
      </c>
      <c r="B25" s="134" t="s">
        <v>154</v>
      </c>
      <c r="C25" s="141">
        <f>IF(A25&gt;$C$11,0,Thresholds!$E$3-Input!$B$13)</f>
        <v>1500</v>
      </c>
      <c r="D25" s="141">
        <f>IF(A25&gt;$C$11,0,(C25/'Cost Assumptions'!$O$31)*C$15+'Cost Assumptions'!$O$30)</f>
        <v>51.168987993138934</v>
      </c>
      <c r="E25" s="141">
        <f>IF(A25&gt;=$C$11,0,'Cost Assumptions'!$O$20)</f>
        <v>0</v>
      </c>
      <c r="F25" s="141">
        <f>IF(A25&gt;$C$11,0,(D25*('Cost Assumptions'!$O$29+'Cost Assumptions'!$O$24)+'Cost Assumptions'!$O$28*C25)/1000+'Cost Assumptions'!$O$27)</f>
        <v>48510.145070325896</v>
      </c>
      <c r="G25" s="93"/>
      <c r="H25" s="149">
        <f t="shared" si="6"/>
        <v>980.30696397941676</v>
      </c>
      <c r="I25" s="141">
        <f>IF($C$14=1,Overrides!D29,Exploration!D25)</f>
        <v>51.168987993138934</v>
      </c>
      <c r="J25" s="149">
        <f t="shared" si="0"/>
        <v>1031.4759519725558</v>
      </c>
      <c r="K25" s="141">
        <f>IF($C$14=1,Overrides!E29,Exploration!E25)</f>
        <v>0</v>
      </c>
      <c r="L25" s="141">
        <f>IF(Exploration!$C$14=1,Overrides!F29,Exploration!F25)/1000</f>
        <v>48.510145070325898</v>
      </c>
      <c r="M25" s="134">
        <f>IF(I25&gt;0,1,0)</f>
        <v>1</v>
      </c>
      <c r="N25" s="93"/>
      <c r="O25" s="134">
        <f t="shared" si="5"/>
        <v>1902</v>
      </c>
      <c r="P25" s="134">
        <f t="shared" si="1"/>
        <v>1902</v>
      </c>
      <c r="Q25" s="147">
        <f t="shared" si="2"/>
        <v>1.0000000000000016</v>
      </c>
      <c r="R25" s="151">
        <f t="shared" si="3"/>
        <v>48.510145070325976</v>
      </c>
      <c r="S25" s="151">
        <f t="shared" si="4"/>
        <v>-7.815970093361102E-14</v>
      </c>
      <c r="T25" s="93"/>
      <c r="U25" s="134" t="s">
        <v>211</v>
      </c>
      <c r="V25" s="152">
        <f>V20+V19</f>
        <v>60.700145070325902</v>
      </c>
      <c r="W25" s="93"/>
      <c r="X25" s="597"/>
      <c r="Y25" s="597"/>
      <c r="Z25" s="597"/>
      <c r="AA25" s="597"/>
      <c r="AB25" s="597"/>
    </row>
    <row r="26" spans="1:28">
      <c r="A26" s="134">
        <f>A25+1</f>
        <v>4</v>
      </c>
      <c r="B26" s="134" t="s">
        <v>155</v>
      </c>
      <c r="C26" s="141">
        <f>IF(A26&gt;$C$11,0,Thresholds!$E$3-Input!$B$13)</f>
        <v>0</v>
      </c>
      <c r="D26" s="141">
        <f>IF(A26&gt;$C$11,0,(C26/'Cost Assumptions'!$O$31)*C$15+'Cost Assumptions'!$O$30)</f>
        <v>0</v>
      </c>
      <c r="E26" s="141">
        <f>IF(A26&gt;=$C$11,0,'Cost Assumptions'!$O$20)</f>
        <v>0</v>
      </c>
      <c r="F26" s="141">
        <f>IF(A26&gt;$C$11,0,(D26*('Cost Assumptions'!$O$29+'Cost Assumptions'!$O$24)+'Cost Assumptions'!$O$28*C26)/1000+'Cost Assumptions'!$O$27)</f>
        <v>0</v>
      </c>
      <c r="G26" s="93"/>
      <c r="H26" s="149">
        <f t="shared" si="6"/>
        <v>1031.4759519725558</v>
      </c>
      <c r="I26" s="141">
        <f>IF($C$14=1,Overrides!D30,Exploration!D26)</f>
        <v>0</v>
      </c>
      <c r="J26" s="149">
        <f t="shared" si="0"/>
        <v>1031.4759519725558</v>
      </c>
      <c r="K26" s="141">
        <f>IF($C$14=1,Overrides!E30,Exploration!E26)</f>
        <v>0</v>
      </c>
      <c r="L26" s="141">
        <f>IF(Exploration!$C$14=1,Overrides!F30,Exploration!F26)/1000</f>
        <v>0</v>
      </c>
      <c r="M26" s="134">
        <f>IF(I26&gt;0,1,0)</f>
        <v>0</v>
      </c>
      <c r="N26" s="93"/>
      <c r="O26" s="134">
        <f t="shared" si="5"/>
        <v>1902</v>
      </c>
      <c r="P26" s="134">
        <f t="shared" si="1"/>
        <v>1902</v>
      </c>
      <c r="Q26" s="147">
        <f t="shared" si="2"/>
        <v>0</v>
      </c>
      <c r="R26" s="151">
        <f t="shared" si="3"/>
        <v>0</v>
      </c>
      <c r="S26" s="151">
        <f t="shared" si="4"/>
        <v>0</v>
      </c>
      <c r="T26" s="93"/>
      <c r="U26" s="134" t="s">
        <v>212</v>
      </c>
      <c r="V26" s="152">
        <f>V21</f>
        <v>145.53043521097769</v>
      </c>
      <c r="W26" s="93"/>
      <c r="X26" s="597"/>
      <c r="Y26" s="597"/>
      <c r="Z26" s="597"/>
      <c r="AA26" s="597"/>
      <c r="AB26" s="597"/>
    </row>
    <row r="27" spans="1:28">
      <c r="A27" s="134">
        <f>A26+1</f>
        <v>5</v>
      </c>
      <c r="B27" s="134" t="s">
        <v>156</v>
      </c>
      <c r="C27" s="141">
        <f>IF(A27&gt;$C$11,0,Thresholds!$E$3)</f>
        <v>0</v>
      </c>
      <c r="D27" s="141">
        <f>IF(A27&gt;$C$11,0,(C27/'Cost Assumptions'!$O$31)*C$15+'Cost Assumptions'!$O$30)</f>
        <v>0</v>
      </c>
      <c r="E27" s="141">
        <f>IF(A27&gt;=$C$11,0,'Cost Assumptions'!$O$20)</f>
        <v>0</v>
      </c>
      <c r="F27" s="141">
        <f>IF(A27&gt;$C$11,0,(D27*('Cost Assumptions'!$O$29+'Cost Assumptions'!$O$24)+'Cost Assumptions'!$O$28*C27)/1000+'Cost Assumptions'!$O$27)</f>
        <v>0</v>
      </c>
      <c r="G27" s="93"/>
      <c r="H27" s="149">
        <f t="shared" si="6"/>
        <v>1031.4759519725558</v>
      </c>
      <c r="I27" s="141">
        <f>IF($C$14=1,Overrides!D31,Exploration!D27)</f>
        <v>0</v>
      </c>
      <c r="J27" s="149">
        <f t="shared" si="0"/>
        <v>1031.4759519725558</v>
      </c>
      <c r="K27" s="141">
        <f>IF($C$14=1,Overrides!E31,Exploration!E27)</f>
        <v>0</v>
      </c>
      <c r="L27" s="141">
        <f>IF(Exploration!$C$14=1,Overrides!F31,Exploration!F27)/1000</f>
        <v>0</v>
      </c>
      <c r="M27" s="134">
        <f>IF(I27&gt;0,1,0)</f>
        <v>0</v>
      </c>
      <c r="N27" s="93"/>
      <c r="O27" s="134">
        <f t="shared" si="5"/>
        <v>1902</v>
      </c>
      <c r="P27" s="134">
        <f t="shared" si="1"/>
        <v>1902</v>
      </c>
      <c r="Q27" s="147">
        <f t="shared" si="2"/>
        <v>0</v>
      </c>
      <c r="R27" s="151">
        <f t="shared" si="3"/>
        <v>0</v>
      </c>
      <c r="S27" s="151">
        <f t="shared" si="4"/>
        <v>0</v>
      </c>
      <c r="T27" s="93"/>
      <c r="U27" s="134" t="s">
        <v>213</v>
      </c>
      <c r="V27" s="152">
        <f>V22</f>
        <v>11.522200000000002</v>
      </c>
      <c r="W27" s="93"/>
      <c r="X27" s="93"/>
      <c r="Y27" s="93"/>
      <c r="Z27" s="93"/>
      <c r="AA27" s="93"/>
      <c r="AB27" s="93"/>
    </row>
    <row r="28" spans="1:28">
      <c r="A28" s="93"/>
      <c r="B28" s="93"/>
      <c r="C28" s="93"/>
      <c r="D28" s="93"/>
      <c r="E28" s="93"/>
      <c r="F28" s="93"/>
      <c r="G28" s="93"/>
      <c r="H28" s="93"/>
      <c r="I28" s="93"/>
      <c r="J28" s="93"/>
      <c r="K28" s="93"/>
      <c r="L28" s="93"/>
      <c r="M28" s="153"/>
      <c r="N28" s="153"/>
      <c r="O28" s="153"/>
      <c r="P28" s="93"/>
      <c r="Q28" s="93"/>
      <c r="R28" s="93"/>
      <c r="S28" s="93"/>
      <c r="T28" s="93"/>
      <c r="U28" s="93"/>
      <c r="V28" s="93"/>
      <c r="W28" s="93"/>
      <c r="X28" s="93"/>
      <c r="Y28" s="93"/>
      <c r="Z28" s="93"/>
      <c r="AA28" s="93"/>
      <c r="AB28" s="93"/>
    </row>
    <row r="29" spans="1:28">
      <c r="A29" s="93"/>
      <c r="B29" s="93"/>
      <c r="C29" s="133" t="s">
        <v>214</v>
      </c>
      <c r="D29" s="93"/>
      <c r="E29" s="93"/>
      <c r="F29" s="93"/>
      <c r="G29" s="93"/>
      <c r="H29" s="93"/>
      <c r="I29" s="93"/>
      <c r="J29" s="93"/>
      <c r="K29" s="93"/>
      <c r="L29" s="93"/>
      <c r="M29" s="153"/>
      <c r="N29" s="153"/>
      <c r="O29" s="153"/>
      <c r="P29" s="133" t="s">
        <v>215</v>
      </c>
      <c r="Q29" s="93"/>
      <c r="R29" s="93"/>
      <c r="S29" s="93"/>
      <c r="T29" s="93"/>
      <c r="U29" s="133" t="s">
        <v>216</v>
      </c>
      <c r="V29" s="93"/>
      <c r="W29" s="93"/>
      <c r="X29" s="93"/>
      <c r="Y29" s="93"/>
      <c r="Z29" s="93"/>
      <c r="AA29" s="93"/>
      <c r="AB29" s="93"/>
    </row>
    <row r="30" spans="1:28" hidden="1">
      <c r="A30" s="93"/>
      <c r="B30" s="93"/>
      <c r="C30" s="93">
        <v>1</v>
      </c>
      <c r="D30" s="93">
        <v>2</v>
      </c>
      <c r="E30" s="93"/>
      <c r="F30" s="93">
        <v>3</v>
      </c>
      <c r="G30" s="93">
        <v>4</v>
      </c>
      <c r="H30" s="93"/>
      <c r="I30" s="93">
        <v>5</v>
      </c>
      <c r="J30" s="93">
        <v>6</v>
      </c>
      <c r="K30" s="93">
        <v>7</v>
      </c>
      <c r="L30" s="93">
        <v>8</v>
      </c>
      <c r="M30" s="93">
        <v>9</v>
      </c>
      <c r="N30" s="93"/>
      <c r="O30" s="93"/>
      <c r="P30" s="93"/>
      <c r="Q30" s="93"/>
      <c r="R30" s="93"/>
      <c r="S30" s="93"/>
      <c r="T30" s="93"/>
      <c r="U30" s="93"/>
      <c r="V30" s="93"/>
      <c r="W30" s="93"/>
      <c r="X30" s="93"/>
      <c r="Y30" s="93"/>
      <c r="Z30" s="93"/>
      <c r="AA30" s="93"/>
      <c r="AB30" s="93"/>
    </row>
    <row r="31" spans="1:28">
      <c r="A31" s="93"/>
      <c r="B31" s="93"/>
      <c r="C31" s="93"/>
      <c r="D31" s="93"/>
      <c r="E31" s="93"/>
      <c r="F31" s="93"/>
      <c r="G31" s="93"/>
      <c r="H31" s="93"/>
      <c r="I31" s="93"/>
      <c r="J31" s="93"/>
      <c r="K31" s="93"/>
      <c r="L31" s="93"/>
      <c r="M31" s="93"/>
      <c r="N31" s="93"/>
      <c r="O31" s="93"/>
      <c r="P31" s="93"/>
      <c r="Q31" s="93"/>
      <c r="R31" s="93"/>
      <c r="S31" s="93"/>
      <c r="T31" s="93"/>
      <c r="U31" s="93"/>
      <c r="V31" s="93"/>
      <c r="W31" s="93"/>
      <c r="X31" s="93"/>
      <c r="Y31" s="93"/>
      <c r="Z31" s="93"/>
      <c r="AA31" s="93"/>
      <c r="AB31" s="93"/>
    </row>
    <row r="32" spans="1:28">
      <c r="A32" s="93"/>
      <c r="B32" s="93"/>
      <c r="C32" s="139" t="s">
        <v>78</v>
      </c>
      <c r="D32" s="139" t="s">
        <v>78</v>
      </c>
      <c r="E32" s="139" t="s">
        <v>13</v>
      </c>
      <c r="F32" s="139" t="s">
        <v>86</v>
      </c>
      <c r="G32" s="139" t="s">
        <v>86</v>
      </c>
      <c r="H32" s="139" t="s">
        <v>13</v>
      </c>
      <c r="I32" s="139" t="s">
        <v>87</v>
      </c>
      <c r="J32" s="139" t="s">
        <v>87</v>
      </c>
      <c r="K32" s="139" t="s">
        <v>87</v>
      </c>
      <c r="L32" s="139" t="s">
        <v>87</v>
      </c>
      <c r="M32" s="139" t="s">
        <v>87</v>
      </c>
      <c r="N32" s="139" t="s">
        <v>13</v>
      </c>
      <c r="O32" s="93"/>
      <c r="P32" s="139" t="s">
        <v>78</v>
      </c>
      <c r="Q32" s="139" t="s">
        <v>86</v>
      </c>
      <c r="R32" s="139" t="s">
        <v>87</v>
      </c>
      <c r="S32" s="139" t="s">
        <v>13</v>
      </c>
      <c r="T32" s="93"/>
      <c r="U32" s="139" t="s">
        <v>78</v>
      </c>
      <c r="V32" s="139" t="s">
        <v>86</v>
      </c>
      <c r="W32" s="139" t="s">
        <v>87</v>
      </c>
      <c r="X32" s="139" t="s">
        <v>13</v>
      </c>
      <c r="Y32" s="93"/>
      <c r="Z32" s="139" t="s">
        <v>217</v>
      </c>
      <c r="AA32" s="93"/>
      <c r="AB32" s="139" t="s">
        <v>218</v>
      </c>
    </row>
    <row r="33" spans="1:28">
      <c r="A33" s="93"/>
      <c r="B33" s="93"/>
      <c r="C33" s="154"/>
      <c r="D33" s="154" t="s">
        <v>219</v>
      </c>
      <c r="E33" s="154" t="s">
        <v>78</v>
      </c>
      <c r="F33" s="148"/>
      <c r="G33" s="148" t="s">
        <v>220</v>
      </c>
      <c r="H33" s="148" t="s">
        <v>86</v>
      </c>
      <c r="I33" s="148" t="s">
        <v>221</v>
      </c>
      <c r="J33" s="148" t="s">
        <v>222</v>
      </c>
      <c r="K33" s="148" t="s">
        <v>223</v>
      </c>
      <c r="L33" s="148" t="s">
        <v>224</v>
      </c>
      <c r="M33" s="148" t="s">
        <v>225</v>
      </c>
      <c r="N33" s="148" t="s">
        <v>87</v>
      </c>
      <c r="O33" s="93"/>
      <c r="P33" s="154"/>
      <c r="Q33" s="154"/>
      <c r="R33" s="154"/>
      <c r="S33" s="154" t="s">
        <v>226</v>
      </c>
      <c r="T33" s="93"/>
      <c r="U33" s="154">
        <f>Exploration!C5</f>
        <v>0</v>
      </c>
      <c r="V33" s="154">
        <f>Exploration!C6</f>
        <v>0</v>
      </c>
      <c r="W33" s="154">
        <f>C7*AB17</f>
        <v>0</v>
      </c>
      <c r="X33" s="154" t="s">
        <v>226</v>
      </c>
      <c r="Y33" s="93"/>
      <c r="Z33" s="154"/>
      <c r="AA33" s="93"/>
      <c r="AB33" s="154">
        <v>0</v>
      </c>
    </row>
    <row r="34" spans="1:28">
      <c r="A34" s="93"/>
      <c r="B34" s="155" t="s">
        <v>13</v>
      </c>
      <c r="C34" s="151">
        <f>SUM(C35:C74)</f>
        <v>0</v>
      </c>
      <c r="D34" s="151">
        <f t="shared" ref="D34:N34" si="7">SUM(D35:D74)</f>
        <v>0</v>
      </c>
      <c r="E34" s="151">
        <f t="shared" si="7"/>
        <v>0</v>
      </c>
      <c r="F34" s="151">
        <f t="shared" si="7"/>
        <v>0</v>
      </c>
      <c r="G34" s="151">
        <f t="shared" si="7"/>
        <v>0</v>
      </c>
      <c r="H34" s="151">
        <f t="shared" si="7"/>
        <v>0</v>
      </c>
      <c r="I34" s="151">
        <f t="shared" si="7"/>
        <v>0</v>
      </c>
      <c r="J34" s="151">
        <f t="shared" si="7"/>
        <v>0</v>
      </c>
      <c r="K34" s="151">
        <f t="shared" si="7"/>
        <v>0</v>
      </c>
      <c r="L34" s="151">
        <f t="shared" si="7"/>
        <v>0</v>
      </c>
      <c r="M34" s="151">
        <f t="shared" si="7"/>
        <v>0</v>
      </c>
      <c r="N34" s="151">
        <f t="shared" si="7"/>
        <v>0</v>
      </c>
      <c r="O34" s="156"/>
      <c r="P34" s="151">
        <f>SUM(P35:P74)</f>
        <v>0</v>
      </c>
      <c r="Q34" s="151">
        <f>SUM(Q35:Q74)</f>
        <v>0</v>
      </c>
      <c r="R34" s="151">
        <f>SUM(R35:R74)</f>
        <v>0</v>
      </c>
      <c r="S34" s="151">
        <f>SUM(S35:S74)</f>
        <v>0</v>
      </c>
      <c r="T34" s="156"/>
      <c r="U34" s="151">
        <f>SUM(U35:U74)</f>
        <v>0</v>
      </c>
      <c r="V34" s="151">
        <f>SUM(V35:V74)</f>
        <v>0</v>
      </c>
      <c r="W34" s="151">
        <f>SUM(W35:W74)</f>
        <v>0</v>
      </c>
      <c r="X34" s="151">
        <f>SUM(X35:X74)</f>
        <v>0</v>
      </c>
      <c r="Y34" s="156"/>
      <c r="Z34" s="151">
        <f>SUM(Z35:Z74)</f>
        <v>0</v>
      </c>
      <c r="AA34" s="156"/>
      <c r="AB34" s="151">
        <f>SUM(AB35:AB74)</f>
        <v>0</v>
      </c>
    </row>
    <row r="35" spans="1:28">
      <c r="A35" s="93"/>
      <c r="B35" s="157">
        <f>'Success Cash Flow'!A10</f>
        <v>2015</v>
      </c>
      <c r="C35" s="158">
        <f t="shared" ref="C35:D50" si="8">IF($B35=INDEX($O$19:$O$27,C$30,1),INDEX($R$19:$R$27,C$30,1),IF($B35=INDEX($P$19:$P$27,C$30,1),INDEX($S$19:$S$27,C$30,1),0))</f>
        <v>0</v>
      </c>
      <c r="D35" s="158">
        <f t="shared" si="8"/>
        <v>0</v>
      </c>
      <c r="E35" s="158">
        <f>SUM(C35:D35)</f>
        <v>0</v>
      </c>
      <c r="F35" s="158">
        <f t="shared" ref="F35:G50" si="9">IF($B35=INDEX($O$19:$O$27,F$30,1),INDEX($R$19:$R$27,F$30,1),IF($B35=INDEX($P$19:$P$27,F$30,1),INDEX($S$19:$S$27,F$30,1),0))</f>
        <v>0</v>
      </c>
      <c r="G35" s="158">
        <f t="shared" si="9"/>
        <v>0</v>
      </c>
      <c r="H35" s="158">
        <f>SUM(F35:G35)</f>
        <v>0</v>
      </c>
      <c r="I35" s="158">
        <f t="shared" ref="I35:M50" si="10">IF($B35=INDEX($O$19:$O$27,I$30,1),INDEX($R$19:$R$27,I$30,1),IF($B35=INDEX($P$19:$P$27,I$30,1),INDEX($S$19:$S$27,I$30,1),0))</f>
        <v>0</v>
      </c>
      <c r="J35" s="158">
        <f t="shared" si="10"/>
        <v>0</v>
      </c>
      <c r="K35" s="158">
        <f t="shared" si="10"/>
        <v>0</v>
      </c>
      <c r="L35" s="158">
        <f t="shared" si="10"/>
        <v>0</v>
      </c>
      <c r="M35" s="158">
        <f t="shared" si="10"/>
        <v>0</v>
      </c>
      <c r="N35" s="158">
        <f>SUM(I35:M35)</f>
        <v>0</v>
      </c>
      <c r="O35" s="156"/>
      <c r="P35" s="158">
        <f>E35*'Selected Economics'!$I11*'Sensitivity Ranges'!$F$46</f>
        <v>0</v>
      </c>
      <c r="Q35" s="158">
        <f>F35*'Selected Economics'!$I11*'Sensitivity Ranges'!$F$46</f>
        <v>0</v>
      </c>
      <c r="R35" s="158">
        <f>N35*'Selected Economics'!$I11*'Sensitivity Ranges'!$F$46</f>
        <v>0</v>
      </c>
      <c r="S35" s="158">
        <f>SUM(P35:R35)</f>
        <v>0</v>
      </c>
      <c r="T35" s="156"/>
      <c r="U35" s="158">
        <f t="shared" ref="U35:W74" si="11">P35*U$33</f>
        <v>0</v>
      </c>
      <c r="V35" s="158">
        <f t="shared" si="11"/>
        <v>0</v>
      </c>
      <c r="W35" s="158">
        <f t="shared" si="11"/>
        <v>0</v>
      </c>
      <c r="X35" s="158">
        <f>SUM(U35:W35)</f>
        <v>0</v>
      </c>
      <c r="Y35" s="156"/>
      <c r="Z35" s="158">
        <f>P35+Q35</f>
        <v>0</v>
      </c>
      <c r="AA35" s="156"/>
      <c r="AB35" s="158">
        <f>S35*(1+$AB$33)</f>
        <v>0</v>
      </c>
    </row>
    <row r="36" spans="1:28">
      <c r="A36" s="93"/>
      <c r="B36" s="159">
        <f>B35+1</f>
        <v>2016</v>
      </c>
      <c r="C36" s="160">
        <f t="shared" si="8"/>
        <v>0</v>
      </c>
      <c r="D36" s="160">
        <f t="shared" si="8"/>
        <v>0</v>
      </c>
      <c r="E36" s="160">
        <f t="shared" ref="E36:E49" si="12">SUM(C36:D36)</f>
        <v>0</v>
      </c>
      <c r="F36" s="160">
        <f t="shared" si="9"/>
        <v>0</v>
      </c>
      <c r="G36" s="160">
        <f t="shared" si="9"/>
        <v>0</v>
      </c>
      <c r="H36" s="160">
        <f t="shared" ref="H36:H49" si="13">SUM(F36:G36)</f>
        <v>0</v>
      </c>
      <c r="I36" s="160">
        <f t="shared" si="10"/>
        <v>0</v>
      </c>
      <c r="J36" s="160">
        <f t="shared" si="10"/>
        <v>0</v>
      </c>
      <c r="K36" s="160">
        <f t="shared" si="10"/>
        <v>0</v>
      </c>
      <c r="L36" s="160">
        <f t="shared" si="10"/>
        <v>0</v>
      </c>
      <c r="M36" s="160">
        <f t="shared" si="10"/>
        <v>0</v>
      </c>
      <c r="N36" s="160">
        <f t="shared" ref="N36:N49" si="14">SUM(I36:M36)</f>
        <v>0</v>
      </c>
      <c r="O36" s="156"/>
      <c r="P36" s="160">
        <f>E36*'Selected Economics'!$I12*'Sensitivity Ranges'!$F$46</f>
        <v>0</v>
      </c>
      <c r="Q36" s="160">
        <f>F36*'Selected Economics'!$I12*'Sensitivity Ranges'!$F$46</f>
        <v>0</v>
      </c>
      <c r="R36" s="160">
        <f>N36*'Selected Economics'!$I12*'Sensitivity Ranges'!$F$46</f>
        <v>0</v>
      </c>
      <c r="S36" s="160">
        <f t="shared" ref="S36:S74" si="15">SUM(P36:R36)</f>
        <v>0</v>
      </c>
      <c r="T36" s="156"/>
      <c r="U36" s="160">
        <f t="shared" si="11"/>
        <v>0</v>
      </c>
      <c r="V36" s="160">
        <f t="shared" si="11"/>
        <v>0</v>
      </c>
      <c r="W36" s="160">
        <f t="shared" si="11"/>
        <v>0</v>
      </c>
      <c r="X36" s="160">
        <f t="shared" ref="X36:X49" si="16">SUM(U36:W36)</f>
        <v>0</v>
      </c>
      <c r="Y36" s="156"/>
      <c r="Z36" s="160">
        <f t="shared" ref="Z36:Z74" si="17">P36+Q36</f>
        <v>0</v>
      </c>
      <c r="AA36" s="156"/>
      <c r="AB36" s="160">
        <f t="shared" ref="AB36:AB74" si="18">S36*(1+$AB$33)</f>
        <v>0</v>
      </c>
    </row>
    <row r="37" spans="1:28">
      <c r="A37" s="93"/>
      <c r="B37" s="159">
        <f t="shared" ref="B37:B74" si="19">B36+1</f>
        <v>2017</v>
      </c>
      <c r="C37" s="160">
        <f t="shared" si="8"/>
        <v>0</v>
      </c>
      <c r="D37" s="160">
        <f t="shared" si="8"/>
        <v>0</v>
      </c>
      <c r="E37" s="160">
        <f t="shared" si="12"/>
        <v>0</v>
      </c>
      <c r="F37" s="160">
        <f t="shared" si="9"/>
        <v>0</v>
      </c>
      <c r="G37" s="160">
        <f t="shared" si="9"/>
        <v>0</v>
      </c>
      <c r="H37" s="160">
        <f t="shared" si="13"/>
        <v>0</v>
      </c>
      <c r="I37" s="160">
        <f t="shared" si="10"/>
        <v>0</v>
      </c>
      <c r="J37" s="160">
        <f t="shared" si="10"/>
        <v>0</v>
      </c>
      <c r="K37" s="160">
        <f t="shared" si="10"/>
        <v>0</v>
      </c>
      <c r="L37" s="160">
        <f t="shared" si="10"/>
        <v>0</v>
      </c>
      <c r="M37" s="160">
        <f t="shared" si="10"/>
        <v>0</v>
      </c>
      <c r="N37" s="160">
        <f t="shared" si="14"/>
        <v>0</v>
      </c>
      <c r="O37" s="156"/>
      <c r="P37" s="160">
        <f>E37*'Selected Economics'!$I13*'Sensitivity Ranges'!$F$46</f>
        <v>0</v>
      </c>
      <c r="Q37" s="160">
        <f>F37*'Selected Economics'!$I13*'Sensitivity Ranges'!$F$46</f>
        <v>0</v>
      </c>
      <c r="R37" s="160">
        <f>N37*'Selected Economics'!$I13*'Sensitivity Ranges'!$F$46</f>
        <v>0</v>
      </c>
      <c r="S37" s="160">
        <f t="shared" si="15"/>
        <v>0</v>
      </c>
      <c r="T37" s="156"/>
      <c r="U37" s="160">
        <f t="shared" si="11"/>
        <v>0</v>
      </c>
      <c r="V37" s="160">
        <f t="shared" si="11"/>
        <v>0</v>
      </c>
      <c r="W37" s="160">
        <f t="shared" si="11"/>
        <v>0</v>
      </c>
      <c r="X37" s="160">
        <f t="shared" si="16"/>
        <v>0</v>
      </c>
      <c r="Y37" s="156"/>
      <c r="Z37" s="160">
        <f t="shared" si="17"/>
        <v>0</v>
      </c>
      <c r="AA37" s="156"/>
      <c r="AB37" s="160">
        <f t="shared" si="18"/>
        <v>0</v>
      </c>
    </row>
    <row r="38" spans="1:28">
      <c r="A38" s="93"/>
      <c r="B38" s="159">
        <f t="shared" si="19"/>
        <v>2018</v>
      </c>
      <c r="C38" s="160">
        <f t="shared" si="8"/>
        <v>0</v>
      </c>
      <c r="D38" s="160">
        <f t="shared" si="8"/>
        <v>0</v>
      </c>
      <c r="E38" s="160">
        <f t="shared" si="12"/>
        <v>0</v>
      </c>
      <c r="F38" s="160">
        <f t="shared" si="9"/>
        <v>0</v>
      </c>
      <c r="G38" s="160">
        <f t="shared" si="9"/>
        <v>0</v>
      </c>
      <c r="H38" s="160">
        <f t="shared" si="13"/>
        <v>0</v>
      </c>
      <c r="I38" s="160">
        <f t="shared" si="10"/>
        <v>0</v>
      </c>
      <c r="J38" s="160">
        <f t="shared" si="10"/>
        <v>0</v>
      </c>
      <c r="K38" s="160">
        <f t="shared" si="10"/>
        <v>0</v>
      </c>
      <c r="L38" s="160">
        <f t="shared" si="10"/>
        <v>0</v>
      </c>
      <c r="M38" s="160">
        <f t="shared" si="10"/>
        <v>0</v>
      </c>
      <c r="N38" s="160">
        <f t="shared" si="14"/>
        <v>0</v>
      </c>
      <c r="O38" s="156"/>
      <c r="P38" s="160">
        <f>E38*'Selected Economics'!$I14*'Sensitivity Ranges'!$F$46</f>
        <v>0</v>
      </c>
      <c r="Q38" s="160">
        <f>F38*'Selected Economics'!$I14*'Sensitivity Ranges'!$F$46</f>
        <v>0</v>
      </c>
      <c r="R38" s="160">
        <f>N38*'Selected Economics'!$I14*'Sensitivity Ranges'!$F$46</f>
        <v>0</v>
      </c>
      <c r="S38" s="160">
        <f t="shared" si="15"/>
        <v>0</v>
      </c>
      <c r="T38" s="156"/>
      <c r="U38" s="160">
        <f t="shared" si="11"/>
        <v>0</v>
      </c>
      <c r="V38" s="160">
        <f t="shared" si="11"/>
        <v>0</v>
      </c>
      <c r="W38" s="160">
        <f t="shared" si="11"/>
        <v>0</v>
      </c>
      <c r="X38" s="160">
        <f t="shared" si="16"/>
        <v>0</v>
      </c>
      <c r="Y38" s="156"/>
      <c r="Z38" s="160">
        <f t="shared" si="17"/>
        <v>0</v>
      </c>
      <c r="AA38" s="156"/>
      <c r="AB38" s="160">
        <f t="shared" si="18"/>
        <v>0</v>
      </c>
    </row>
    <row r="39" spans="1:28">
      <c r="A39" s="93"/>
      <c r="B39" s="159">
        <f t="shared" si="19"/>
        <v>2019</v>
      </c>
      <c r="C39" s="160">
        <f t="shared" si="8"/>
        <v>0</v>
      </c>
      <c r="D39" s="160">
        <f t="shared" si="8"/>
        <v>0</v>
      </c>
      <c r="E39" s="160">
        <f t="shared" si="12"/>
        <v>0</v>
      </c>
      <c r="F39" s="160">
        <f t="shared" si="9"/>
        <v>0</v>
      </c>
      <c r="G39" s="160">
        <f t="shared" si="9"/>
        <v>0</v>
      </c>
      <c r="H39" s="160">
        <f t="shared" si="13"/>
        <v>0</v>
      </c>
      <c r="I39" s="160">
        <f t="shared" si="10"/>
        <v>0</v>
      </c>
      <c r="J39" s="160">
        <f t="shared" si="10"/>
        <v>0</v>
      </c>
      <c r="K39" s="160">
        <f t="shared" si="10"/>
        <v>0</v>
      </c>
      <c r="L39" s="160">
        <f t="shared" si="10"/>
        <v>0</v>
      </c>
      <c r="M39" s="160">
        <f t="shared" si="10"/>
        <v>0</v>
      </c>
      <c r="N39" s="160">
        <f t="shared" si="14"/>
        <v>0</v>
      </c>
      <c r="O39" s="156"/>
      <c r="P39" s="160">
        <f>E39*'Selected Economics'!$I15*'Sensitivity Ranges'!$F$46</f>
        <v>0</v>
      </c>
      <c r="Q39" s="160">
        <f>F39*'Selected Economics'!$I15*'Sensitivity Ranges'!$F$46</f>
        <v>0</v>
      </c>
      <c r="R39" s="160">
        <f>N39*'Selected Economics'!$I15*'Sensitivity Ranges'!$F$46</f>
        <v>0</v>
      </c>
      <c r="S39" s="160">
        <f t="shared" si="15"/>
        <v>0</v>
      </c>
      <c r="T39" s="156"/>
      <c r="U39" s="160">
        <f t="shared" si="11"/>
        <v>0</v>
      </c>
      <c r="V39" s="160">
        <f t="shared" si="11"/>
        <v>0</v>
      </c>
      <c r="W39" s="160">
        <f t="shared" si="11"/>
        <v>0</v>
      </c>
      <c r="X39" s="160">
        <f t="shared" si="16"/>
        <v>0</v>
      </c>
      <c r="Y39" s="156"/>
      <c r="Z39" s="160">
        <f t="shared" si="17"/>
        <v>0</v>
      </c>
      <c r="AA39" s="156"/>
      <c r="AB39" s="160">
        <f t="shared" si="18"/>
        <v>0</v>
      </c>
    </row>
    <row r="40" spans="1:28">
      <c r="A40" s="93"/>
      <c r="B40" s="159">
        <f t="shared" si="19"/>
        <v>2020</v>
      </c>
      <c r="C40" s="160">
        <f t="shared" si="8"/>
        <v>0</v>
      </c>
      <c r="D40" s="160">
        <f t="shared" si="8"/>
        <v>0</v>
      </c>
      <c r="E40" s="160">
        <f t="shared" si="12"/>
        <v>0</v>
      </c>
      <c r="F40" s="160">
        <f t="shared" si="9"/>
        <v>0</v>
      </c>
      <c r="G40" s="160">
        <f t="shared" si="9"/>
        <v>0</v>
      </c>
      <c r="H40" s="160">
        <f t="shared" si="13"/>
        <v>0</v>
      </c>
      <c r="I40" s="160">
        <f t="shared" si="10"/>
        <v>0</v>
      </c>
      <c r="J40" s="160">
        <f t="shared" si="10"/>
        <v>0</v>
      </c>
      <c r="K40" s="160">
        <f t="shared" si="10"/>
        <v>0</v>
      </c>
      <c r="L40" s="160">
        <f t="shared" si="10"/>
        <v>0</v>
      </c>
      <c r="M40" s="160">
        <f t="shared" si="10"/>
        <v>0</v>
      </c>
      <c r="N40" s="160">
        <f t="shared" si="14"/>
        <v>0</v>
      </c>
      <c r="O40" s="156"/>
      <c r="P40" s="160">
        <f>E40*'Selected Economics'!$I16*'Sensitivity Ranges'!$F$46</f>
        <v>0</v>
      </c>
      <c r="Q40" s="160">
        <f>F40*'Selected Economics'!$I16*'Sensitivity Ranges'!$F$46</f>
        <v>0</v>
      </c>
      <c r="R40" s="160">
        <f>N40*'Selected Economics'!$I16*'Sensitivity Ranges'!$F$46</f>
        <v>0</v>
      </c>
      <c r="S40" s="160">
        <f t="shared" si="15"/>
        <v>0</v>
      </c>
      <c r="T40" s="156"/>
      <c r="U40" s="160">
        <f t="shared" si="11"/>
        <v>0</v>
      </c>
      <c r="V40" s="160">
        <f t="shared" si="11"/>
        <v>0</v>
      </c>
      <c r="W40" s="160">
        <f t="shared" si="11"/>
        <v>0</v>
      </c>
      <c r="X40" s="160">
        <f t="shared" si="16"/>
        <v>0</v>
      </c>
      <c r="Y40" s="156"/>
      <c r="Z40" s="160">
        <f t="shared" si="17"/>
        <v>0</v>
      </c>
      <c r="AA40" s="156"/>
      <c r="AB40" s="160">
        <f t="shared" si="18"/>
        <v>0</v>
      </c>
    </row>
    <row r="41" spans="1:28">
      <c r="A41" s="93"/>
      <c r="B41" s="159">
        <f t="shared" si="19"/>
        <v>2021</v>
      </c>
      <c r="C41" s="160">
        <f t="shared" si="8"/>
        <v>0</v>
      </c>
      <c r="D41" s="160">
        <f t="shared" si="8"/>
        <v>0</v>
      </c>
      <c r="E41" s="160">
        <f t="shared" si="12"/>
        <v>0</v>
      </c>
      <c r="F41" s="160">
        <f t="shared" si="9"/>
        <v>0</v>
      </c>
      <c r="G41" s="160">
        <f t="shared" si="9"/>
        <v>0</v>
      </c>
      <c r="H41" s="160">
        <f t="shared" si="13"/>
        <v>0</v>
      </c>
      <c r="I41" s="160">
        <f t="shared" si="10"/>
        <v>0</v>
      </c>
      <c r="J41" s="160">
        <f t="shared" si="10"/>
        <v>0</v>
      </c>
      <c r="K41" s="160">
        <f t="shared" si="10"/>
        <v>0</v>
      </c>
      <c r="L41" s="160">
        <f t="shared" si="10"/>
        <v>0</v>
      </c>
      <c r="M41" s="160">
        <f t="shared" si="10"/>
        <v>0</v>
      </c>
      <c r="N41" s="160">
        <f t="shared" si="14"/>
        <v>0</v>
      </c>
      <c r="O41" s="156"/>
      <c r="P41" s="160">
        <f>E41*'Selected Economics'!$I17*'Sensitivity Ranges'!$F$46</f>
        <v>0</v>
      </c>
      <c r="Q41" s="160">
        <f>F41*'Selected Economics'!$I17*'Sensitivity Ranges'!$F$46</f>
        <v>0</v>
      </c>
      <c r="R41" s="160">
        <f>N41*'Selected Economics'!$I17*'Sensitivity Ranges'!$F$46</f>
        <v>0</v>
      </c>
      <c r="S41" s="160">
        <f t="shared" si="15"/>
        <v>0</v>
      </c>
      <c r="T41" s="156"/>
      <c r="U41" s="160">
        <f t="shared" si="11"/>
        <v>0</v>
      </c>
      <c r="V41" s="160">
        <f t="shared" si="11"/>
        <v>0</v>
      </c>
      <c r="W41" s="160">
        <f t="shared" si="11"/>
        <v>0</v>
      </c>
      <c r="X41" s="160">
        <f t="shared" si="16"/>
        <v>0</v>
      </c>
      <c r="Y41" s="156"/>
      <c r="Z41" s="160">
        <f t="shared" si="17"/>
        <v>0</v>
      </c>
      <c r="AA41" s="156"/>
      <c r="AB41" s="160">
        <f t="shared" si="18"/>
        <v>0</v>
      </c>
    </row>
    <row r="42" spans="1:28">
      <c r="A42" s="93"/>
      <c r="B42" s="159">
        <f t="shared" si="19"/>
        <v>2022</v>
      </c>
      <c r="C42" s="160">
        <f t="shared" si="8"/>
        <v>0</v>
      </c>
      <c r="D42" s="160">
        <f t="shared" si="8"/>
        <v>0</v>
      </c>
      <c r="E42" s="160">
        <f t="shared" si="12"/>
        <v>0</v>
      </c>
      <c r="F42" s="160">
        <f t="shared" si="9"/>
        <v>0</v>
      </c>
      <c r="G42" s="160">
        <f t="shared" si="9"/>
        <v>0</v>
      </c>
      <c r="H42" s="160">
        <f t="shared" si="13"/>
        <v>0</v>
      </c>
      <c r="I42" s="160">
        <f t="shared" si="10"/>
        <v>0</v>
      </c>
      <c r="J42" s="160">
        <f t="shared" si="10"/>
        <v>0</v>
      </c>
      <c r="K42" s="160">
        <f t="shared" si="10"/>
        <v>0</v>
      </c>
      <c r="L42" s="160">
        <f t="shared" si="10"/>
        <v>0</v>
      </c>
      <c r="M42" s="160">
        <f t="shared" si="10"/>
        <v>0</v>
      </c>
      <c r="N42" s="160">
        <f t="shared" si="14"/>
        <v>0</v>
      </c>
      <c r="O42" s="156"/>
      <c r="P42" s="160">
        <f>E42*'Selected Economics'!$I18*'Sensitivity Ranges'!$F$46</f>
        <v>0</v>
      </c>
      <c r="Q42" s="160">
        <f>F42*'Selected Economics'!$I18*'Sensitivity Ranges'!$F$46</f>
        <v>0</v>
      </c>
      <c r="R42" s="160">
        <f>N42*'Selected Economics'!$I18*'Sensitivity Ranges'!$F$46</f>
        <v>0</v>
      </c>
      <c r="S42" s="160">
        <f t="shared" si="15"/>
        <v>0</v>
      </c>
      <c r="T42" s="156"/>
      <c r="U42" s="160">
        <f t="shared" si="11"/>
        <v>0</v>
      </c>
      <c r="V42" s="160">
        <f t="shared" si="11"/>
        <v>0</v>
      </c>
      <c r="W42" s="160">
        <f t="shared" si="11"/>
        <v>0</v>
      </c>
      <c r="X42" s="160">
        <f t="shared" si="16"/>
        <v>0</v>
      </c>
      <c r="Y42" s="156"/>
      <c r="Z42" s="160">
        <f t="shared" si="17"/>
        <v>0</v>
      </c>
      <c r="AA42" s="156"/>
      <c r="AB42" s="160">
        <f t="shared" si="18"/>
        <v>0</v>
      </c>
    </row>
    <row r="43" spans="1:28">
      <c r="A43" s="93"/>
      <c r="B43" s="159">
        <f t="shared" si="19"/>
        <v>2023</v>
      </c>
      <c r="C43" s="160">
        <f t="shared" si="8"/>
        <v>0</v>
      </c>
      <c r="D43" s="160">
        <f t="shared" si="8"/>
        <v>0</v>
      </c>
      <c r="E43" s="160">
        <f t="shared" si="12"/>
        <v>0</v>
      </c>
      <c r="F43" s="160">
        <f t="shared" si="9"/>
        <v>0</v>
      </c>
      <c r="G43" s="160">
        <f t="shared" si="9"/>
        <v>0</v>
      </c>
      <c r="H43" s="160">
        <f t="shared" si="13"/>
        <v>0</v>
      </c>
      <c r="I43" s="160">
        <f t="shared" si="10"/>
        <v>0</v>
      </c>
      <c r="J43" s="160">
        <f t="shared" si="10"/>
        <v>0</v>
      </c>
      <c r="K43" s="160">
        <f t="shared" si="10"/>
        <v>0</v>
      </c>
      <c r="L43" s="160">
        <f t="shared" si="10"/>
        <v>0</v>
      </c>
      <c r="M43" s="160">
        <f t="shared" si="10"/>
        <v>0</v>
      </c>
      <c r="N43" s="160">
        <f t="shared" si="14"/>
        <v>0</v>
      </c>
      <c r="O43" s="156"/>
      <c r="P43" s="160">
        <f>E43*'Selected Economics'!$I19*'Sensitivity Ranges'!$F$46</f>
        <v>0</v>
      </c>
      <c r="Q43" s="160">
        <f>F43*'Selected Economics'!$I19*'Sensitivity Ranges'!$F$46</f>
        <v>0</v>
      </c>
      <c r="R43" s="160">
        <f>N43*'Selected Economics'!$I19*'Sensitivity Ranges'!$F$46</f>
        <v>0</v>
      </c>
      <c r="S43" s="160">
        <f t="shared" si="15"/>
        <v>0</v>
      </c>
      <c r="T43" s="156"/>
      <c r="U43" s="160">
        <f t="shared" si="11"/>
        <v>0</v>
      </c>
      <c r="V43" s="160">
        <f t="shared" si="11"/>
        <v>0</v>
      </c>
      <c r="W43" s="160">
        <f t="shared" si="11"/>
        <v>0</v>
      </c>
      <c r="X43" s="160">
        <f t="shared" si="16"/>
        <v>0</v>
      </c>
      <c r="Y43" s="156"/>
      <c r="Z43" s="160">
        <f t="shared" si="17"/>
        <v>0</v>
      </c>
      <c r="AA43" s="156"/>
      <c r="AB43" s="160">
        <f t="shared" si="18"/>
        <v>0</v>
      </c>
    </row>
    <row r="44" spans="1:28">
      <c r="A44" s="93"/>
      <c r="B44" s="159">
        <f t="shared" si="19"/>
        <v>2024</v>
      </c>
      <c r="C44" s="160">
        <f t="shared" si="8"/>
        <v>0</v>
      </c>
      <c r="D44" s="160">
        <f t="shared" si="8"/>
        <v>0</v>
      </c>
      <c r="E44" s="160">
        <f t="shared" si="12"/>
        <v>0</v>
      </c>
      <c r="F44" s="160">
        <f t="shared" si="9"/>
        <v>0</v>
      </c>
      <c r="G44" s="160">
        <f t="shared" si="9"/>
        <v>0</v>
      </c>
      <c r="H44" s="160">
        <f t="shared" si="13"/>
        <v>0</v>
      </c>
      <c r="I44" s="160">
        <f t="shared" si="10"/>
        <v>0</v>
      </c>
      <c r="J44" s="160">
        <f t="shared" si="10"/>
        <v>0</v>
      </c>
      <c r="K44" s="160">
        <f t="shared" si="10"/>
        <v>0</v>
      </c>
      <c r="L44" s="160">
        <f t="shared" si="10"/>
        <v>0</v>
      </c>
      <c r="M44" s="160">
        <f t="shared" si="10"/>
        <v>0</v>
      </c>
      <c r="N44" s="160">
        <f t="shared" si="14"/>
        <v>0</v>
      </c>
      <c r="O44" s="156"/>
      <c r="P44" s="160">
        <f>E44*'Selected Economics'!$I20*'Sensitivity Ranges'!$F$46</f>
        <v>0</v>
      </c>
      <c r="Q44" s="160">
        <f>F44*'Selected Economics'!$I20*'Sensitivity Ranges'!$F$46</f>
        <v>0</v>
      </c>
      <c r="R44" s="160">
        <f>N44*'Selected Economics'!$I20*'Sensitivity Ranges'!$F$46</f>
        <v>0</v>
      </c>
      <c r="S44" s="160">
        <f t="shared" si="15"/>
        <v>0</v>
      </c>
      <c r="T44" s="156"/>
      <c r="U44" s="160">
        <f t="shared" si="11"/>
        <v>0</v>
      </c>
      <c r="V44" s="160">
        <f t="shared" si="11"/>
        <v>0</v>
      </c>
      <c r="W44" s="160">
        <f t="shared" si="11"/>
        <v>0</v>
      </c>
      <c r="X44" s="160">
        <f t="shared" si="16"/>
        <v>0</v>
      </c>
      <c r="Y44" s="156"/>
      <c r="Z44" s="160">
        <f t="shared" si="17"/>
        <v>0</v>
      </c>
      <c r="AA44" s="156"/>
      <c r="AB44" s="160">
        <f t="shared" si="18"/>
        <v>0</v>
      </c>
    </row>
    <row r="45" spans="1:28">
      <c r="A45" s="93"/>
      <c r="B45" s="159">
        <f t="shared" si="19"/>
        <v>2025</v>
      </c>
      <c r="C45" s="160">
        <f t="shared" si="8"/>
        <v>0</v>
      </c>
      <c r="D45" s="160">
        <f t="shared" si="8"/>
        <v>0</v>
      </c>
      <c r="E45" s="160">
        <f t="shared" si="12"/>
        <v>0</v>
      </c>
      <c r="F45" s="160">
        <f t="shared" si="9"/>
        <v>0</v>
      </c>
      <c r="G45" s="160">
        <f t="shared" si="9"/>
        <v>0</v>
      </c>
      <c r="H45" s="160">
        <f t="shared" si="13"/>
        <v>0</v>
      </c>
      <c r="I45" s="160">
        <f t="shared" si="10"/>
        <v>0</v>
      </c>
      <c r="J45" s="160">
        <f t="shared" si="10"/>
        <v>0</v>
      </c>
      <c r="K45" s="160">
        <f t="shared" si="10"/>
        <v>0</v>
      </c>
      <c r="L45" s="160">
        <f t="shared" si="10"/>
        <v>0</v>
      </c>
      <c r="M45" s="160">
        <f t="shared" si="10"/>
        <v>0</v>
      </c>
      <c r="N45" s="160">
        <f t="shared" si="14"/>
        <v>0</v>
      </c>
      <c r="O45" s="156"/>
      <c r="P45" s="160">
        <f>E45*'Selected Economics'!$I21*'Sensitivity Ranges'!$F$46</f>
        <v>0</v>
      </c>
      <c r="Q45" s="160">
        <f>F45*'Selected Economics'!$I21*'Sensitivity Ranges'!$F$46</f>
        <v>0</v>
      </c>
      <c r="R45" s="160">
        <f>N45*'Selected Economics'!$I21*'Sensitivity Ranges'!$F$46</f>
        <v>0</v>
      </c>
      <c r="S45" s="160">
        <f t="shared" si="15"/>
        <v>0</v>
      </c>
      <c r="T45" s="156"/>
      <c r="U45" s="160">
        <f t="shared" si="11"/>
        <v>0</v>
      </c>
      <c r="V45" s="160">
        <f t="shared" si="11"/>
        <v>0</v>
      </c>
      <c r="W45" s="160">
        <f t="shared" si="11"/>
        <v>0</v>
      </c>
      <c r="X45" s="160">
        <f t="shared" si="16"/>
        <v>0</v>
      </c>
      <c r="Y45" s="156"/>
      <c r="Z45" s="160">
        <f t="shared" si="17"/>
        <v>0</v>
      </c>
      <c r="AA45" s="156"/>
      <c r="AB45" s="160">
        <f t="shared" si="18"/>
        <v>0</v>
      </c>
    </row>
    <row r="46" spans="1:28">
      <c r="A46" s="93"/>
      <c r="B46" s="159">
        <f t="shared" si="19"/>
        <v>2026</v>
      </c>
      <c r="C46" s="160">
        <f t="shared" si="8"/>
        <v>0</v>
      </c>
      <c r="D46" s="160">
        <f t="shared" si="8"/>
        <v>0</v>
      </c>
      <c r="E46" s="160">
        <f t="shared" si="12"/>
        <v>0</v>
      </c>
      <c r="F46" s="160">
        <f t="shared" si="9"/>
        <v>0</v>
      </c>
      <c r="G46" s="160">
        <f t="shared" si="9"/>
        <v>0</v>
      </c>
      <c r="H46" s="160">
        <f t="shared" si="13"/>
        <v>0</v>
      </c>
      <c r="I46" s="160">
        <f t="shared" si="10"/>
        <v>0</v>
      </c>
      <c r="J46" s="160">
        <f t="shared" si="10"/>
        <v>0</v>
      </c>
      <c r="K46" s="160">
        <f t="shared" si="10"/>
        <v>0</v>
      </c>
      <c r="L46" s="160">
        <f t="shared" si="10"/>
        <v>0</v>
      </c>
      <c r="M46" s="160">
        <f t="shared" si="10"/>
        <v>0</v>
      </c>
      <c r="N46" s="160">
        <f t="shared" si="14"/>
        <v>0</v>
      </c>
      <c r="O46" s="156"/>
      <c r="P46" s="160">
        <f>E46*'Selected Economics'!$I22*'Sensitivity Ranges'!$F$46</f>
        <v>0</v>
      </c>
      <c r="Q46" s="160">
        <f>F46*'Selected Economics'!$I22*'Sensitivity Ranges'!$F$46</f>
        <v>0</v>
      </c>
      <c r="R46" s="160">
        <f>N46*'Selected Economics'!$I22*'Sensitivity Ranges'!$F$46</f>
        <v>0</v>
      </c>
      <c r="S46" s="160">
        <f t="shared" si="15"/>
        <v>0</v>
      </c>
      <c r="T46" s="156"/>
      <c r="U46" s="160">
        <f t="shared" si="11"/>
        <v>0</v>
      </c>
      <c r="V46" s="160">
        <f t="shared" si="11"/>
        <v>0</v>
      </c>
      <c r="W46" s="160">
        <f t="shared" si="11"/>
        <v>0</v>
      </c>
      <c r="X46" s="160">
        <f t="shared" si="16"/>
        <v>0</v>
      </c>
      <c r="Y46" s="156"/>
      <c r="Z46" s="160">
        <f t="shared" si="17"/>
        <v>0</v>
      </c>
      <c r="AA46" s="156"/>
      <c r="AB46" s="160">
        <f t="shared" si="18"/>
        <v>0</v>
      </c>
    </row>
    <row r="47" spans="1:28">
      <c r="A47" s="93"/>
      <c r="B47" s="159">
        <f t="shared" si="19"/>
        <v>2027</v>
      </c>
      <c r="C47" s="160">
        <f t="shared" si="8"/>
        <v>0</v>
      </c>
      <c r="D47" s="160">
        <f t="shared" si="8"/>
        <v>0</v>
      </c>
      <c r="E47" s="160">
        <f t="shared" si="12"/>
        <v>0</v>
      </c>
      <c r="F47" s="160">
        <f t="shared" si="9"/>
        <v>0</v>
      </c>
      <c r="G47" s="160">
        <f t="shared" si="9"/>
        <v>0</v>
      </c>
      <c r="H47" s="160">
        <f t="shared" si="13"/>
        <v>0</v>
      </c>
      <c r="I47" s="160">
        <f t="shared" si="10"/>
        <v>0</v>
      </c>
      <c r="J47" s="160">
        <f t="shared" si="10"/>
        <v>0</v>
      </c>
      <c r="K47" s="160">
        <f t="shared" si="10"/>
        <v>0</v>
      </c>
      <c r="L47" s="160">
        <f t="shared" si="10"/>
        <v>0</v>
      </c>
      <c r="M47" s="160">
        <f t="shared" si="10"/>
        <v>0</v>
      </c>
      <c r="N47" s="160">
        <f t="shared" si="14"/>
        <v>0</v>
      </c>
      <c r="O47" s="156"/>
      <c r="P47" s="160">
        <f>E47*'Selected Economics'!$I23*'Sensitivity Ranges'!$F$46</f>
        <v>0</v>
      </c>
      <c r="Q47" s="160">
        <f>F47*'Selected Economics'!$I23*'Sensitivity Ranges'!$F$46</f>
        <v>0</v>
      </c>
      <c r="R47" s="160">
        <f>N47*'Selected Economics'!$I23*'Sensitivity Ranges'!$F$46</f>
        <v>0</v>
      </c>
      <c r="S47" s="160">
        <f t="shared" si="15"/>
        <v>0</v>
      </c>
      <c r="T47" s="156"/>
      <c r="U47" s="160">
        <f t="shared" si="11"/>
        <v>0</v>
      </c>
      <c r="V47" s="160">
        <f t="shared" si="11"/>
        <v>0</v>
      </c>
      <c r="W47" s="160">
        <f t="shared" si="11"/>
        <v>0</v>
      </c>
      <c r="X47" s="160">
        <f t="shared" si="16"/>
        <v>0</v>
      </c>
      <c r="Y47" s="156"/>
      <c r="Z47" s="160">
        <f t="shared" si="17"/>
        <v>0</v>
      </c>
      <c r="AA47" s="156"/>
      <c r="AB47" s="160">
        <f t="shared" si="18"/>
        <v>0</v>
      </c>
    </row>
    <row r="48" spans="1:28">
      <c r="A48" s="93"/>
      <c r="B48" s="159">
        <f t="shared" si="19"/>
        <v>2028</v>
      </c>
      <c r="C48" s="160">
        <f t="shared" si="8"/>
        <v>0</v>
      </c>
      <c r="D48" s="160">
        <f t="shared" si="8"/>
        <v>0</v>
      </c>
      <c r="E48" s="160">
        <f t="shared" si="12"/>
        <v>0</v>
      </c>
      <c r="F48" s="160">
        <f t="shared" si="9"/>
        <v>0</v>
      </c>
      <c r="G48" s="160">
        <f t="shared" si="9"/>
        <v>0</v>
      </c>
      <c r="H48" s="160">
        <f t="shared" si="13"/>
        <v>0</v>
      </c>
      <c r="I48" s="160">
        <f t="shared" si="10"/>
        <v>0</v>
      </c>
      <c r="J48" s="160">
        <f t="shared" si="10"/>
        <v>0</v>
      </c>
      <c r="K48" s="160">
        <f t="shared" si="10"/>
        <v>0</v>
      </c>
      <c r="L48" s="160">
        <f t="shared" si="10"/>
        <v>0</v>
      </c>
      <c r="M48" s="160">
        <f t="shared" si="10"/>
        <v>0</v>
      </c>
      <c r="N48" s="160">
        <f t="shared" si="14"/>
        <v>0</v>
      </c>
      <c r="O48" s="156"/>
      <c r="P48" s="160">
        <f>E48*'Selected Economics'!$I24*'Sensitivity Ranges'!$F$46</f>
        <v>0</v>
      </c>
      <c r="Q48" s="160">
        <f>F48*'Selected Economics'!$I24*'Sensitivity Ranges'!$F$46</f>
        <v>0</v>
      </c>
      <c r="R48" s="160">
        <f>N48*'Selected Economics'!$I24*'Sensitivity Ranges'!$F$46</f>
        <v>0</v>
      </c>
      <c r="S48" s="160">
        <f t="shared" si="15"/>
        <v>0</v>
      </c>
      <c r="T48" s="156"/>
      <c r="U48" s="160">
        <f t="shared" si="11"/>
        <v>0</v>
      </c>
      <c r="V48" s="160">
        <f t="shared" si="11"/>
        <v>0</v>
      </c>
      <c r="W48" s="160">
        <f t="shared" si="11"/>
        <v>0</v>
      </c>
      <c r="X48" s="160">
        <f t="shared" si="16"/>
        <v>0</v>
      </c>
      <c r="Y48" s="156"/>
      <c r="Z48" s="160">
        <f t="shared" si="17"/>
        <v>0</v>
      </c>
      <c r="AA48" s="156"/>
      <c r="AB48" s="160">
        <f t="shared" si="18"/>
        <v>0</v>
      </c>
    </row>
    <row r="49" spans="1:28">
      <c r="A49" s="93"/>
      <c r="B49" s="159">
        <f t="shared" si="19"/>
        <v>2029</v>
      </c>
      <c r="C49" s="160">
        <f t="shared" si="8"/>
        <v>0</v>
      </c>
      <c r="D49" s="160">
        <f t="shared" si="8"/>
        <v>0</v>
      </c>
      <c r="E49" s="160">
        <f t="shared" si="12"/>
        <v>0</v>
      </c>
      <c r="F49" s="160">
        <f t="shared" si="9"/>
        <v>0</v>
      </c>
      <c r="G49" s="160">
        <f t="shared" si="9"/>
        <v>0</v>
      </c>
      <c r="H49" s="160">
        <f t="shared" si="13"/>
        <v>0</v>
      </c>
      <c r="I49" s="160">
        <f t="shared" si="10"/>
        <v>0</v>
      </c>
      <c r="J49" s="160">
        <f t="shared" si="10"/>
        <v>0</v>
      </c>
      <c r="K49" s="160">
        <f t="shared" si="10"/>
        <v>0</v>
      </c>
      <c r="L49" s="160">
        <f t="shared" si="10"/>
        <v>0</v>
      </c>
      <c r="M49" s="160">
        <f t="shared" si="10"/>
        <v>0</v>
      </c>
      <c r="N49" s="160">
        <f t="shared" si="14"/>
        <v>0</v>
      </c>
      <c r="O49" s="156"/>
      <c r="P49" s="160">
        <f>E49*'Selected Economics'!$I25*'Sensitivity Ranges'!$F$46</f>
        <v>0</v>
      </c>
      <c r="Q49" s="160">
        <f>F49*'Selected Economics'!$I25*'Sensitivity Ranges'!$F$46</f>
        <v>0</v>
      </c>
      <c r="R49" s="160">
        <f>N49*'Selected Economics'!$I25*'Sensitivity Ranges'!$F$46</f>
        <v>0</v>
      </c>
      <c r="S49" s="160">
        <f t="shared" si="15"/>
        <v>0</v>
      </c>
      <c r="T49" s="156"/>
      <c r="U49" s="160">
        <f t="shared" si="11"/>
        <v>0</v>
      </c>
      <c r="V49" s="160">
        <f t="shared" si="11"/>
        <v>0</v>
      </c>
      <c r="W49" s="160">
        <f t="shared" si="11"/>
        <v>0</v>
      </c>
      <c r="X49" s="160">
        <f t="shared" si="16"/>
        <v>0</v>
      </c>
      <c r="Y49" s="156"/>
      <c r="Z49" s="160">
        <f t="shared" si="17"/>
        <v>0</v>
      </c>
      <c r="AA49" s="156"/>
      <c r="AB49" s="160">
        <f t="shared" si="18"/>
        <v>0</v>
      </c>
    </row>
    <row r="50" spans="1:28">
      <c r="A50" s="93"/>
      <c r="B50" s="159">
        <f t="shared" si="19"/>
        <v>2030</v>
      </c>
      <c r="C50" s="160">
        <f t="shared" si="8"/>
        <v>0</v>
      </c>
      <c r="D50" s="160">
        <f t="shared" si="8"/>
        <v>0</v>
      </c>
      <c r="E50" s="160">
        <f t="shared" ref="E50:E74" si="20">SUM(C50:D50)</f>
        <v>0</v>
      </c>
      <c r="F50" s="160">
        <f t="shared" si="9"/>
        <v>0</v>
      </c>
      <c r="G50" s="160">
        <f t="shared" si="9"/>
        <v>0</v>
      </c>
      <c r="H50" s="160">
        <f t="shared" ref="H50:H74" si="21">SUM(F50:G50)</f>
        <v>0</v>
      </c>
      <c r="I50" s="160">
        <f t="shared" si="10"/>
        <v>0</v>
      </c>
      <c r="J50" s="160">
        <f t="shared" si="10"/>
        <v>0</v>
      </c>
      <c r="K50" s="160">
        <f t="shared" si="10"/>
        <v>0</v>
      </c>
      <c r="L50" s="160">
        <f t="shared" si="10"/>
        <v>0</v>
      </c>
      <c r="M50" s="160">
        <f t="shared" si="10"/>
        <v>0</v>
      </c>
      <c r="N50" s="160">
        <f t="shared" ref="N50:N74" si="22">SUM(I50:M50)</f>
        <v>0</v>
      </c>
      <c r="O50" s="156"/>
      <c r="P50" s="160">
        <f>E50*'Selected Economics'!$I26*'Sensitivity Ranges'!$F$46</f>
        <v>0</v>
      </c>
      <c r="Q50" s="160">
        <f>F50*'Selected Economics'!$I26*'Sensitivity Ranges'!$F$46</f>
        <v>0</v>
      </c>
      <c r="R50" s="160">
        <f>N50*'Selected Economics'!$I26*'Sensitivity Ranges'!$F$46</f>
        <v>0</v>
      </c>
      <c r="S50" s="160">
        <f t="shared" si="15"/>
        <v>0</v>
      </c>
      <c r="T50" s="156"/>
      <c r="U50" s="160">
        <f t="shared" si="11"/>
        <v>0</v>
      </c>
      <c r="V50" s="160">
        <f t="shared" si="11"/>
        <v>0</v>
      </c>
      <c r="W50" s="160">
        <f t="shared" si="11"/>
        <v>0</v>
      </c>
      <c r="X50" s="160">
        <f t="shared" ref="X50:X74" si="23">SUM(U50:W50)</f>
        <v>0</v>
      </c>
      <c r="Y50" s="156"/>
      <c r="Z50" s="160">
        <f t="shared" si="17"/>
        <v>0</v>
      </c>
      <c r="AA50" s="156"/>
      <c r="AB50" s="160">
        <f t="shared" si="18"/>
        <v>0</v>
      </c>
    </row>
    <row r="51" spans="1:28">
      <c r="A51" s="93"/>
      <c r="B51" s="159">
        <f t="shared" si="19"/>
        <v>2031</v>
      </c>
      <c r="C51" s="160">
        <f t="shared" ref="C51:D69" si="24">IF($B51=INDEX($O$19:$O$27,C$30,1),INDEX($R$19:$R$27,C$30,1),IF($B51=INDEX($P$19:$P$27,C$30,1),INDEX($S$19:$S$27,C$30,1),0))</f>
        <v>0</v>
      </c>
      <c r="D51" s="160">
        <f t="shared" si="24"/>
        <v>0</v>
      </c>
      <c r="E51" s="160">
        <f t="shared" si="20"/>
        <v>0</v>
      </c>
      <c r="F51" s="160">
        <f t="shared" ref="F51:G69" si="25">IF($B51=INDEX($O$19:$O$27,F$30,1),INDEX($R$19:$R$27,F$30,1),IF($B51=INDEX($P$19:$P$27,F$30,1),INDEX($S$19:$S$27,F$30,1),0))</f>
        <v>0</v>
      </c>
      <c r="G51" s="160">
        <f t="shared" si="25"/>
        <v>0</v>
      </c>
      <c r="H51" s="160">
        <f t="shared" si="21"/>
        <v>0</v>
      </c>
      <c r="I51" s="160">
        <f t="shared" ref="I51:M69" si="26">IF($B51=INDEX($O$19:$O$27,I$30,1),INDEX($R$19:$R$27,I$30,1),IF($B51=INDEX($P$19:$P$27,I$30,1),INDEX($S$19:$S$27,I$30,1),0))</f>
        <v>0</v>
      </c>
      <c r="J51" s="160">
        <f t="shared" si="26"/>
        <v>0</v>
      </c>
      <c r="K51" s="160">
        <f t="shared" si="26"/>
        <v>0</v>
      </c>
      <c r="L51" s="160">
        <f t="shared" si="26"/>
        <v>0</v>
      </c>
      <c r="M51" s="160">
        <f t="shared" si="26"/>
        <v>0</v>
      </c>
      <c r="N51" s="160">
        <f t="shared" si="22"/>
        <v>0</v>
      </c>
      <c r="O51" s="156"/>
      <c r="P51" s="160">
        <f>E51*'Selected Economics'!$I27*'Sensitivity Ranges'!$F$46</f>
        <v>0</v>
      </c>
      <c r="Q51" s="160">
        <f>F51*'Selected Economics'!$I27*'Sensitivity Ranges'!$F$46</f>
        <v>0</v>
      </c>
      <c r="R51" s="160">
        <f>N51*'Selected Economics'!$I27*'Sensitivity Ranges'!$F$46</f>
        <v>0</v>
      </c>
      <c r="S51" s="160">
        <f t="shared" si="15"/>
        <v>0</v>
      </c>
      <c r="T51" s="156"/>
      <c r="U51" s="160">
        <f t="shared" si="11"/>
        <v>0</v>
      </c>
      <c r="V51" s="160">
        <f t="shared" si="11"/>
        <v>0</v>
      </c>
      <c r="W51" s="160">
        <f t="shared" si="11"/>
        <v>0</v>
      </c>
      <c r="X51" s="160">
        <f t="shared" si="23"/>
        <v>0</v>
      </c>
      <c r="Y51" s="156"/>
      <c r="Z51" s="160">
        <f t="shared" si="17"/>
        <v>0</v>
      </c>
      <c r="AA51" s="156"/>
      <c r="AB51" s="160">
        <f t="shared" si="18"/>
        <v>0</v>
      </c>
    </row>
    <row r="52" spans="1:28">
      <c r="A52" s="93"/>
      <c r="B52" s="159">
        <f t="shared" si="19"/>
        <v>2032</v>
      </c>
      <c r="C52" s="160">
        <f t="shared" si="24"/>
        <v>0</v>
      </c>
      <c r="D52" s="160">
        <f t="shared" si="24"/>
        <v>0</v>
      </c>
      <c r="E52" s="160">
        <f t="shared" si="20"/>
        <v>0</v>
      </c>
      <c r="F52" s="160">
        <f t="shared" si="25"/>
        <v>0</v>
      </c>
      <c r="G52" s="160">
        <f t="shared" si="25"/>
        <v>0</v>
      </c>
      <c r="H52" s="160">
        <f t="shared" si="21"/>
        <v>0</v>
      </c>
      <c r="I52" s="160">
        <f t="shared" si="26"/>
        <v>0</v>
      </c>
      <c r="J52" s="160">
        <f t="shared" si="26"/>
        <v>0</v>
      </c>
      <c r="K52" s="160">
        <f t="shared" si="26"/>
        <v>0</v>
      </c>
      <c r="L52" s="160">
        <f t="shared" si="26"/>
        <v>0</v>
      </c>
      <c r="M52" s="160">
        <f t="shared" si="26"/>
        <v>0</v>
      </c>
      <c r="N52" s="160">
        <f t="shared" si="22"/>
        <v>0</v>
      </c>
      <c r="O52" s="156"/>
      <c r="P52" s="160">
        <f>E52*'Selected Economics'!$I28*'Sensitivity Ranges'!$F$46</f>
        <v>0</v>
      </c>
      <c r="Q52" s="160">
        <f>F52*'Selected Economics'!$I28*'Sensitivity Ranges'!$F$46</f>
        <v>0</v>
      </c>
      <c r="R52" s="160">
        <f>N52*'Selected Economics'!$I28*'Sensitivity Ranges'!$F$46</f>
        <v>0</v>
      </c>
      <c r="S52" s="160">
        <f t="shared" si="15"/>
        <v>0</v>
      </c>
      <c r="T52" s="156"/>
      <c r="U52" s="160">
        <f t="shared" si="11"/>
        <v>0</v>
      </c>
      <c r="V52" s="160">
        <f t="shared" si="11"/>
        <v>0</v>
      </c>
      <c r="W52" s="160">
        <f t="shared" si="11"/>
        <v>0</v>
      </c>
      <c r="X52" s="160">
        <f t="shared" si="23"/>
        <v>0</v>
      </c>
      <c r="Y52" s="156"/>
      <c r="Z52" s="160">
        <f t="shared" si="17"/>
        <v>0</v>
      </c>
      <c r="AA52" s="156"/>
      <c r="AB52" s="160">
        <f t="shared" si="18"/>
        <v>0</v>
      </c>
    </row>
    <row r="53" spans="1:28">
      <c r="A53" s="93"/>
      <c r="B53" s="159">
        <f t="shared" si="19"/>
        <v>2033</v>
      </c>
      <c r="C53" s="160">
        <f t="shared" si="24"/>
        <v>0</v>
      </c>
      <c r="D53" s="160">
        <f t="shared" si="24"/>
        <v>0</v>
      </c>
      <c r="E53" s="160">
        <f t="shared" si="20"/>
        <v>0</v>
      </c>
      <c r="F53" s="160">
        <f t="shared" si="25"/>
        <v>0</v>
      </c>
      <c r="G53" s="160">
        <f t="shared" si="25"/>
        <v>0</v>
      </c>
      <c r="H53" s="160">
        <f t="shared" si="21"/>
        <v>0</v>
      </c>
      <c r="I53" s="160">
        <f t="shared" si="26"/>
        <v>0</v>
      </c>
      <c r="J53" s="160">
        <f t="shared" si="26"/>
        <v>0</v>
      </c>
      <c r="K53" s="160">
        <f t="shared" si="26"/>
        <v>0</v>
      </c>
      <c r="L53" s="160">
        <f t="shared" si="26"/>
        <v>0</v>
      </c>
      <c r="M53" s="160">
        <f t="shared" si="26"/>
        <v>0</v>
      </c>
      <c r="N53" s="160">
        <f t="shared" si="22"/>
        <v>0</v>
      </c>
      <c r="O53" s="156"/>
      <c r="P53" s="160">
        <f>E53*'Selected Economics'!$I29*'Sensitivity Ranges'!$F$46</f>
        <v>0</v>
      </c>
      <c r="Q53" s="160">
        <f>F53*'Selected Economics'!$I29*'Sensitivity Ranges'!$F$46</f>
        <v>0</v>
      </c>
      <c r="R53" s="160">
        <f>N53*'Selected Economics'!$I29*'Sensitivity Ranges'!$F$46</f>
        <v>0</v>
      </c>
      <c r="S53" s="160">
        <f t="shared" si="15"/>
        <v>0</v>
      </c>
      <c r="T53" s="156"/>
      <c r="U53" s="160">
        <f t="shared" si="11"/>
        <v>0</v>
      </c>
      <c r="V53" s="160">
        <f t="shared" si="11"/>
        <v>0</v>
      </c>
      <c r="W53" s="160">
        <f t="shared" si="11"/>
        <v>0</v>
      </c>
      <c r="X53" s="160">
        <f t="shared" si="23"/>
        <v>0</v>
      </c>
      <c r="Y53" s="156"/>
      <c r="Z53" s="160">
        <f t="shared" si="17"/>
        <v>0</v>
      </c>
      <c r="AA53" s="156"/>
      <c r="AB53" s="160">
        <f t="shared" si="18"/>
        <v>0</v>
      </c>
    </row>
    <row r="54" spans="1:28">
      <c r="A54" s="93"/>
      <c r="B54" s="159">
        <f t="shared" si="19"/>
        <v>2034</v>
      </c>
      <c r="C54" s="160">
        <f t="shared" si="24"/>
        <v>0</v>
      </c>
      <c r="D54" s="160">
        <f t="shared" si="24"/>
        <v>0</v>
      </c>
      <c r="E54" s="160">
        <f t="shared" si="20"/>
        <v>0</v>
      </c>
      <c r="F54" s="160">
        <f t="shared" si="25"/>
        <v>0</v>
      </c>
      <c r="G54" s="160">
        <f t="shared" si="25"/>
        <v>0</v>
      </c>
      <c r="H54" s="160">
        <f t="shared" si="21"/>
        <v>0</v>
      </c>
      <c r="I54" s="160">
        <f t="shared" si="26"/>
        <v>0</v>
      </c>
      <c r="J54" s="160">
        <f t="shared" si="26"/>
        <v>0</v>
      </c>
      <c r="K54" s="160">
        <f t="shared" si="26"/>
        <v>0</v>
      </c>
      <c r="L54" s="160">
        <f t="shared" si="26"/>
        <v>0</v>
      </c>
      <c r="M54" s="160">
        <f t="shared" si="26"/>
        <v>0</v>
      </c>
      <c r="N54" s="160">
        <f t="shared" si="22"/>
        <v>0</v>
      </c>
      <c r="O54" s="156"/>
      <c r="P54" s="160">
        <f>E54*'Selected Economics'!$I30*'Sensitivity Ranges'!$F$46</f>
        <v>0</v>
      </c>
      <c r="Q54" s="160">
        <f>F54*'Selected Economics'!$I30*'Sensitivity Ranges'!$F$46</f>
        <v>0</v>
      </c>
      <c r="R54" s="160">
        <f>N54*'Selected Economics'!$I30*'Sensitivity Ranges'!$F$46</f>
        <v>0</v>
      </c>
      <c r="S54" s="160">
        <f t="shared" si="15"/>
        <v>0</v>
      </c>
      <c r="T54" s="156"/>
      <c r="U54" s="160">
        <f t="shared" si="11"/>
        <v>0</v>
      </c>
      <c r="V54" s="160">
        <f t="shared" si="11"/>
        <v>0</v>
      </c>
      <c r="W54" s="160">
        <f t="shared" si="11"/>
        <v>0</v>
      </c>
      <c r="X54" s="160">
        <f t="shared" si="23"/>
        <v>0</v>
      </c>
      <c r="Y54" s="156"/>
      <c r="Z54" s="160">
        <f t="shared" si="17"/>
        <v>0</v>
      </c>
      <c r="AA54" s="156"/>
      <c r="AB54" s="160">
        <f t="shared" si="18"/>
        <v>0</v>
      </c>
    </row>
    <row r="55" spans="1:28">
      <c r="A55" s="93"/>
      <c r="B55" s="159">
        <f t="shared" si="19"/>
        <v>2035</v>
      </c>
      <c r="C55" s="160">
        <f t="shared" si="24"/>
        <v>0</v>
      </c>
      <c r="D55" s="160">
        <f t="shared" si="24"/>
        <v>0</v>
      </c>
      <c r="E55" s="160">
        <f t="shared" si="20"/>
        <v>0</v>
      </c>
      <c r="F55" s="160">
        <f t="shared" si="25"/>
        <v>0</v>
      </c>
      <c r="G55" s="160">
        <f t="shared" si="25"/>
        <v>0</v>
      </c>
      <c r="H55" s="160">
        <f t="shared" si="21"/>
        <v>0</v>
      </c>
      <c r="I55" s="160">
        <f t="shared" si="26"/>
        <v>0</v>
      </c>
      <c r="J55" s="160">
        <f t="shared" si="26"/>
        <v>0</v>
      </c>
      <c r="K55" s="160">
        <f t="shared" si="26"/>
        <v>0</v>
      </c>
      <c r="L55" s="160">
        <f t="shared" si="26"/>
        <v>0</v>
      </c>
      <c r="M55" s="160">
        <f t="shared" si="26"/>
        <v>0</v>
      </c>
      <c r="N55" s="160">
        <f t="shared" si="22"/>
        <v>0</v>
      </c>
      <c r="O55" s="156"/>
      <c r="P55" s="160">
        <f>E55*'Selected Economics'!$I31*'Sensitivity Ranges'!$F$46</f>
        <v>0</v>
      </c>
      <c r="Q55" s="160">
        <f>F55*'Selected Economics'!$I31*'Sensitivity Ranges'!$F$46</f>
        <v>0</v>
      </c>
      <c r="R55" s="160">
        <f>N55*'Selected Economics'!$I31*'Sensitivity Ranges'!$F$46</f>
        <v>0</v>
      </c>
      <c r="S55" s="160">
        <f t="shared" si="15"/>
        <v>0</v>
      </c>
      <c r="T55" s="156"/>
      <c r="U55" s="160">
        <f t="shared" si="11"/>
        <v>0</v>
      </c>
      <c r="V55" s="160">
        <f t="shared" si="11"/>
        <v>0</v>
      </c>
      <c r="W55" s="160">
        <f t="shared" si="11"/>
        <v>0</v>
      </c>
      <c r="X55" s="160">
        <f t="shared" si="23"/>
        <v>0</v>
      </c>
      <c r="Y55" s="156"/>
      <c r="Z55" s="160">
        <f t="shared" si="17"/>
        <v>0</v>
      </c>
      <c r="AA55" s="156"/>
      <c r="AB55" s="160">
        <f t="shared" si="18"/>
        <v>0</v>
      </c>
    </row>
    <row r="56" spans="1:28">
      <c r="A56" s="93"/>
      <c r="B56" s="159">
        <f t="shared" si="19"/>
        <v>2036</v>
      </c>
      <c r="C56" s="160">
        <f t="shared" si="24"/>
        <v>0</v>
      </c>
      <c r="D56" s="160">
        <f t="shared" si="24"/>
        <v>0</v>
      </c>
      <c r="E56" s="160">
        <f t="shared" si="20"/>
        <v>0</v>
      </c>
      <c r="F56" s="160">
        <f t="shared" si="25"/>
        <v>0</v>
      </c>
      <c r="G56" s="160">
        <f t="shared" si="25"/>
        <v>0</v>
      </c>
      <c r="H56" s="160">
        <f t="shared" si="21"/>
        <v>0</v>
      </c>
      <c r="I56" s="160">
        <f t="shared" si="26"/>
        <v>0</v>
      </c>
      <c r="J56" s="160">
        <f t="shared" si="26"/>
        <v>0</v>
      </c>
      <c r="K56" s="160">
        <f t="shared" si="26"/>
        <v>0</v>
      </c>
      <c r="L56" s="160">
        <f t="shared" si="26"/>
        <v>0</v>
      </c>
      <c r="M56" s="160">
        <f t="shared" si="26"/>
        <v>0</v>
      </c>
      <c r="N56" s="160">
        <f t="shared" si="22"/>
        <v>0</v>
      </c>
      <c r="O56" s="156"/>
      <c r="P56" s="160">
        <f>E56*'Selected Economics'!$I32*'Sensitivity Ranges'!$F$46</f>
        <v>0</v>
      </c>
      <c r="Q56" s="160">
        <f>F56*'Selected Economics'!$I32*'Sensitivity Ranges'!$F$46</f>
        <v>0</v>
      </c>
      <c r="R56" s="160">
        <f>N56*'Selected Economics'!$I32*'Sensitivity Ranges'!$F$46</f>
        <v>0</v>
      </c>
      <c r="S56" s="160">
        <f t="shared" si="15"/>
        <v>0</v>
      </c>
      <c r="T56" s="156"/>
      <c r="U56" s="160">
        <f t="shared" si="11"/>
        <v>0</v>
      </c>
      <c r="V56" s="160">
        <f t="shared" si="11"/>
        <v>0</v>
      </c>
      <c r="W56" s="160">
        <f t="shared" si="11"/>
        <v>0</v>
      </c>
      <c r="X56" s="160">
        <f t="shared" si="23"/>
        <v>0</v>
      </c>
      <c r="Y56" s="156"/>
      <c r="Z56" s="160">
        <f t="shared" si="17"/>
        <v>0</v>
      </c>
      <c r="AA56" s="156"/>
      <c r="AB56" s="160">
        <f t="shared" si="18"/>
        <v>0</v>
      </c>
    </row>
    <row r="57" spans="1:28">
      <c r="A57" s="93"/>
      <c r="B57" s="159">
        <f t="shared" si="19"/>
        <v>2037</v>
      </c>
      <c r="C57" s="160">
        <f t="shared" si="24"/>
        <v>0</v>
      </c>
      <c r="D57" s="160">
        <f t="shared" si="24"/>
        <v>0</v>
      </c>
      <c r="E57" s="160">
        <f t="shared" si="20"/>
        <v>0</v>
      </c>
      <c r="F57" s="160">
        <f t="shared" si="25"/>
        <v>0</v>
      </c>
      <c r="G57" s="160">
        <f t="shared" si="25"/>
        <v>0</v>
      </c>
      <c r="H57" s="160">
        <f t="shared" si="21"/>
        <v>0</v>
      </c>
      <c r="I57" s="160">
        <f t="shared" si="26"/>
        <v>0</v>
      </c>
      <c r="J57" s="160">
        <f t="shared" si="26"/>
        <v>0</v>
      </c>
      <c r="K57" s="160">
        <f t="shared" si="26"/>
        <v>0</v>
      </c>
      <c r="L57" s="160">
        <f t="shared" si="26"/>
        <v>0</v>
      </c>
      <c r="M57" s="160">
        <f t="shared" si="26"/>
        <v>0</v>
      </c>
      <c r="N57" s="160">
        <f t="shared" si="22"/>
        <v>0</v>
      </c>
      <c r="O57" s="156"/>
      <c r="P57" s="160">
        <f>E57*'Selected Economics'!$I33*'Sensitivity Ranges'!$F$46</f>
        <v>0</v>
      </c>
      <c r="Q57" s="160">
        <f>F57*'Selected Economics'!$I33*'Sensitivity Ranges'!$F$46</f>
        <v>0</v>
      </c>
      <c r="R57" s="160">
        <f>N57*'Selected Economics'!$I33*'Sensitivity Ranges'!$F$46</f>
        <v>0</v>
      </c>
      <c r="S57" s="160">
        <f t="shared" si="15"/>
        <v>0</v>
      </c>
      <c r="T57" s="156"/>
      <c r="U57" s="160">
        <f t="shared" si="11"/>
        <v>0</v>
      </c>
      <c r="V57" s="160">
        <f t="shared" si="11"/>
        <v>0</v>
      </c>
      <c r="W57" s="160">
        <f t="shared" si="11"/>
        <v>0</v>
      </c>
      <c r="X57" s="160">
        <f t="shared" si="23"/>
        <v>0</v>
      </c>
      <c r="Y57" s="156"/>
      <c r="Z57" s="160">
        <f t="shared" si="17"/>
        <v>0</v>
      </c>
      <c r="AA57" s="156"/>
      <c r="AB57" s="160">
        <f t="shared" si="18"/>
        <v>0</v>
      </c>
    </row>
    <row r="58" spans="1:28">
      <c r="A58" s="93"/>
      <c r="B58" s="159">
        <f t="shared" si="19"/>
        <v>2038</v>
      </c>
      <c r="C58" s="160">
        <f t="shared" si="24"/>
        <v>0</v>
      </c>
      <c r="D58" s="160">
        <f t="shared" si="24"/>
        <v>0</v>
      </c>
      <c r="E58" s="160">
        <f t="shared" si="20"/>
        <v>0</v>
      </c>
      <c r="F58" s="160">
        <f t="shared" si="25"/>
        <v>0</v>
      </c>
      <c r="G58" s="160">
        <f t="shared" si="25"/>
        <v>0</v>
      </c>
      <c r="H58" s="160">
        <f t="shared" si="21"/>
        <v>0</v>
      </c>
      <c r="I58" s="160">
        <f t="shared" si="26"/>
        <v>0</v>
      </c>
      <c r="J58" s="160">
        <f t="shared" si="26"/>
        <v>0</v>
      </c>
      <c r="K58" s="160">
        <f t="shared" si="26"/>
        <v>0</v>
      </c>
      <c r="L58" s="160">
        <f t="shared" si="26"/>
        <v>0</v>
      </c>
      <c r="M58" s="160">
        <f t="shared" si="26"/>
        <v>0</v>
      </c>
      <c r="N58" s="160">
        <f t="shared" si="22"/>
        <v>0</v>
      </c>
      <c r="O58" s="156"/>
      <c r="P58" s="160">
        <f>E58*'Selected Economics'!$I34*'Sensitivity Ranges'!$F$46</f>
        <v>0</v>
      </c>
      <c r="Q58" s="160">
        <f>F58*'Selected Economics'!$I34*'Sensitivity Ranges'!$F$46</f>
        <v>0</v>
      </c>
      <c r="R58" s="160">
        <f>N58*'Selected Economics'!$I34*'Sensitivity Ranges'!$F$46</f>
        <v>0</v>
      </c>
      <c r="S58" s="160">
        <f t="shared" si="15"/>
        <v>0</v>
      </c>
      <c r="T58" s="156"/>
      <c r="U58" s="160">
        <f t="shared" si="11"/>
        <v>0</v>
      </c>
      <c r="V58" s="160">
        <f t="shared" si="11"/>
        <v>0</v>
      </c>
      <c r="W58" s="160">
        <f t="shared" si="11"/>
        <v>0</v>
      </c>
      <c r="X58" s="160">
        <f t="shared" si="23"/>
        <v>0</v>
      </c>
      <c r="Y58" s="156"/>
      <c r="Z58" s="160">
        <f t="shared" si="17"/>
        <v>0</v>
      </c>
      <c r="AA58" s="156"/>
      <c r="AB58" s="160">
        <f t="shared" si="18"/>
        <v>0</v>
      </c>
    </row>
    <row r="59" spans="1:28">
      <c r="A59" s="93"/>
      <c r="B59" s="159">
        <f t="shared" si="19"/>
        <v>2039</v>
      </c>
      <c r="C59" s="160">
        <f t="shared" si="24"/>
        <v>0</v>
      </c>
      <c r="D59" s="160">
        <f t="shared" si="24"/>
        <v>0</v>
      </c>
      <c r="E59" s="160">
        <f t="shared" si="20"/>
        <v>0</v>
      </c>
      <c r="F59" s="160">
        <f t="shared" si="25"/>
        <v>0</v>
      </c>
      <c r="G59" s="160">
        <f t="shared" si="25"/>
        <v>0</v>
      </c>
      <c r="H59" s="160">
        <f t="shared" si="21"/>
        <v>0</v>
      </c>
      <c r="I59" s="160">
        <f t="shared" si="26"/>
        <v>0</v>
      </c>
      <c r="J59" s="160">
        <f t="shared" si="26"/>
        <v>0</v>
      </c>
      <c r="K59" s="160">
        <f t="shared" si="26"/>
        <v>0</v>
      </c>
      <c r="L59" s="160">
        <f t="shared" si="26"/>
        <v>0</v>
      </c>
      <c r="M59" s="160">
        <f t="shared" si="26"/>
        <v>0</v>
      </c>
      <c r="N59" s="160">
        <f t="shared" si="22"/>
        <v>0</v>
      </c>
      <c r="O59" s="156"/>
      <c r="P59" s="160">
        <f>E59*'Selected Economics'!$I35*'Sensitivity Ranges'!$F$46</f>
        <v>0</v>
      </c>
      <c r="Q59" s="160">
        <f>F59*'Selected Economics'!$I35*'Sensitivity Ranges'!$F$46</f>
        <v>0</v>
      </c>
      <c r="R59" s="160">
        <f>N59*'Selected Economics'!$I35*'Sensitivity Ranges'!$F$46</f>
        <v>0</v>
      </c>
      <c r="S59" s="160">
        <f t="shared" si="15"/>
        <v>0</v>
      </c>
      <c r="T59" s="156"/>
      <c r="U59" s="160">
        <f t="shared" si="11"/>
        <v>0</v>
      </c>
      <c r="V59" s="160">
        <f t="shared" si="11"/>
        <v>0</v>
      </c>
      <c r="W59" s="160">
        <f t="shared" si="11"/>
        <v>0</v>
      </c>
      <c r="X59" s="160">
        <f t="shared" si="23"/>
        <v>0</v>
      </c>
      <c r="Y59" s="156"/>
      <c r="Z59" s="160">
        <f t="shared" si="17"/>
        <v>0</v>
      </c>
      <c r="AA59" s="156"/>
      <c r="AB59" s="160">
        <f t="shared" si="18"/>
        <v>0</v>
      </c>
    </row>
    <row r="60" spans="1:28">
      <c r="A60" s="93"/>
      <c r="B60" s="159">
        <f t="shared" si="19"/>
        <v>2040</v>
      </c>
      <c r="C60" s="160">
        <f t="shared" si="24"/>
        <v>0</v>
      </c>
      <c r="D60" s="160">
        <f t="shared" si="24"/>
        <v>0</v>
      </c>
      <c r="E60" s="160">
        <f t="shared" si="20"/>
        <v>0</v>
      </c>
      <c r="F60" s="160">
        <f t="shared" si="25"/>
        <v>0</v>
      </c>
      <c r="G60" s="160">
        <f t="shared" si="25"/>
        <v>0</v>
      </c>
      <c r="H60" s="160">
        <f t="shared" si="21"/>
        <v>0</v>
      </c>
      <c r="I60" s="160">
        <f t="shared" si="26"/>
        <v>0</v>
      </c>
      <c r="J60" s="160">
        <f t="shared" si="26"/>
        <v>0</v>
      </c>
      <c r="K60" s="160">
        <f t="shared" si="26"/>
        <v>0</v>
      </c>
      <c r="L60" s="160">
        <f t="shared" si="26"/>
        <v>0</v>
      </c>
      <c r="M60" s="160">
        <f t="shared" si="26"/>
        <v>0</v>
      </c>
      <c r="N60" s="160">
        <f t="shared" si="22"/>
        <v>0</v>
      </c>
      <c r="O60" s="156"/>
      <c r="P60" s="160">
        <f>E60*'Selected Economics'!$I36*'Sensitivity Ranges'!$F$46</f>
        <v>0</v>
      </c>
      <c r="Q60" s="160">
        <f>F60*'Selected Economics'!$I36*'Sensitivity Ranges'!$F$46</f>
        <v>0</v>
      </c>
      <c r="R60" s="160">
        <f>N60*'Selected Economics'!$I36*'Sensitivity Ranges'!$F$46</f>
        <v>0</v>
      </c>
      <c r="S60" s="160">
        <f t="shared" si="15"/>
        <v>0</v>
      </c>
      <c r="T60" s="156"/>
      <c r="U60" s="160">
        <f t="shared" si="11"/>
        <v>0</v>
      </c>
      <c r="V60" s="160">
        <f t="shared" si="11"/>
        <v>0</v>
      </c>
      <c r="W60" s="160">
        <f t="shared" si="11"/>
        <v>0</v>
      </c>
      <c r="X60" s="160">
        <f t="shared" si="23"/>
        <v>0</v>
      </c>
      <c r="Y60" s="156"/>
      <c r="Z60" s="160">
        <f t="shared" si="17"/>
        <v>0</v>
      </c>
      <c r="AA60" s="156"/>
      <c r="AB60" s="160">
        <f t="shared" si="18"/>
        <v>0</v>
      </c>
    </row>
    <row r="61" spans="1:28">
      <c r="A61" s="93"/>
      <c r="B61" s="159">
        <f t="shared" si="19"/>
        <v>2041</v>
      </c>
      <c r="C61" s="160">
        <f t="shared" si="24"/>
        <v>0</v>
      </c>
      <c r="D61" s="160">
        <f t="shared" si="24"/>
        <v>0</v>
      </c>
      <c r="E61" s="160">
        <f t="shared" si="20"/>
        <v>0</v>
      </c>
      <c r="F61" s="160">
        <f t="shared" si="25"/>
        <v>0</v>
      </c>
      <c r="G61" s="160">
        <f t="shared" si="25"/>
        <v>0</v>
      </c>
      <c r="H61" s="160">
        <f t="shared" si="21"/>
        <v>0</v>
      </c>
      <c r="I61" s="160">
        <f t="shared" si="26"/>
        <v>0</v>
      </c>
      <c r="J61" s="160">
        <f t="shared" si="26"/>
        <v>0</v>
      </c>
      <c r="K61" s="160">
        <f t="shared" si="26"/>
        <v>0</v>
      </c>
      <c r="L61" s="160">
        <f t="shared" si="26"/>
        <v>0</v>
      </c>
      <c r="M61" s="160">
        <f t="shared" si="26"/>
        <v>0</v>
      </c>
      <c r="N61" s="160">
        <f t="shared" si="22"/>
        <v>0</v>
      </c>
      <c r="O61" s="156"/>
      <c r="P61" s="160">
        <f>E61*'Selected Economics'!$I37*'Sensitivity Ranges'!$F$46</f>
        <v>0</v>
      </c>
      <c r="Q61" s="160">
        <f>F61*'Selected Economics'!$I37*'Sensitivity Ranges'!$F$46</f>
        <v>0</v>
      </c>
      <c r="R61" s="160">
        <f>N61*'Selected Economics'!$I37*'Sensitivity Ranges'!$F$46</f>
        <v>0</v>
      </c>
      <c r="S61" s="160">
        <f t="shared" si="15"/>
        <v>0</v>
      </c>
      <c r="T61" s="156"/>
      <c r="U61" s="160">
        <f t="shared" si="11"/>
        <v>0</v>
      </c>
      <c r="V61" s="160">
        <f t="shared" si="11"/>
        <v>0</v>
      </c>
      <c r="W61" s="160">
        <f t="shared" si="11"/>
        <v>0</v>
      </c>
      <c r="X61" s="160">
        <f t="shared" si="23"/>
        <v>0</v>
      </c>
      <c r="Y61" s="156"/>
      <c r="Z61" s="160">
        <f t="shared" si="17"/>
        <v>0</v>
      </c>
      <c r="AA61" s="156"/>
      <c r="AB61" s="160">
        <f t="shared" si="18"/>
        <v>0</v>
      </c>
    </row>
    <row r="62" spans="1:28">
      <c r="A62" s="93"/>
      <c r="B62" s="159">
        <f t="shared" si="19"/>
        <v>2042</v>
      </c>
      <c r="C62" s="160">
        <f t="shared" si="24"/>
        <v>0</v>
      </c>
      <c r="D62" s="160">
        <f t="shared" si="24"/>
        <v>0</v>
      </c>
      <c r="E62" s="160">
        <f t="shared" si="20"/>
        <v>0</v>
      </c>
      <c r="F62" s="160">
        <f t="shared" si="25"/>
        <v>0</v>
      </c>
      <c r="G62" s="160">
        <f t="shared" si="25"/>
        <v>0</v>
      </c>
      <c r="H62" s="160">
        <f t="shared" si="21"/>
        <v>0</v>
      </c>
      <c r="I62" s="160">
        <f t="shared" si="26"/>
        <v>0</v>
      </c>
      <c r="J62" s="160">
        <f t="shared" si="26"/>
        <v>0</v>
      </c>
      <c r="K62" s="160">
        <f t="shared" si="26"/>
        <v>0</v>
      </c>
      <c r="L62" s="160">
        <f t="shared" si="26"/>
        <v>0</v>
      </c>
      <c r="M62" s="160">
        <f t="shared" si="26"/>
        <v>0</v>
      </c>
      <c r="N62" s="160">
        <f t="shared" si="22"/>
        <v>0</v>
      </c>
      <c r="O62" s="156"/>
      <c r="P62" s="160">
        <f>E62*'Selected Economics'!$I38*'Sensitivity Ranges'!$F$46</f>
        <v>0</v>
      </c>
      <c r="Q62" s="160">
        <f>F62*'Selected Economics'!$I38*'Sensitivity Ranges'!$F$46</f>
        <v>0</v>
      </c>
      <c r="R62" s="160">
        <f>N62*'Selected Economics'!$I38*'Sensitivity Ranges'!$F$46</f>
        <v>0</v>
      </c>
      <c r="S62" s="160">
        <f t="shared" si="15"/>
        <v>0</v>
      </c>
      <c r="T62" s="156"/>
      <c r="U62" s="160">
        <f t="shared" si="11"/>
        <v>0</v>
      </c>
      <c r="V62" s="160">
        <f t="shared" si="11"/>
        <v>0</v>
      </c>
      <c r="W62" s="160">
        <f t="shared" si="11"/>
        <v>0</v>
      </c>
      <c r="X62" s="160">
        <f t="shared" si="23"/>
        <v>0</v>
      </c>
      <c r="Y62" s="156"/>
      <c r="Z62" s="160">
        <f t="shared" si="17"/>
        <v>0</v>
      </c>
      <c r="AA62" s="156"/>
      <c r="AB62" s="160">
        <f t="shared" si="18"/>
        <v>0</v>
      </c>
    </row>
    <row r="63" spans="1:28">
      <c r="A63" s="93"/>
      <c r="B63" s="159">
        <f t="shared" si="19"/>
        <v>2043</v>
      </c>
      <c r="C63" s="160">
        <f t="shared" si="24"/>
        <v>0</v>
      </c>
      <c r="D63" s="160">
        <f t="shared" si="24"/>
        <v>0</v>
      </c>
      <c r="E63" s="160">
        <f t="shared" si="20"/>
        <v>0</v>
      </c>
      <c r="F63" s="160">
        <f t="shared" si="25"/>
        <v>0</v>
      </c>
      <c r="G63" s="160">
        <f t="shared" si="25"/>
        <v>0</v>
      </c>
      <c r="H63" s="160">
        <f t="shared" si="21"/>
        <v>0</v>
      </c>
      <c r="I63" s="160">
        <f t="shared" si="26"/>
        <v>0</v>
      </c>
      <c r="J63" s="160">
        <f t="shared" si="26"/>
        <v>0</v>
      </c>
      <c r="K63" s="160">
        <f t="shared" si="26"/>
        <v>0</v>
      </c>
      <c r="L63" s="160">
        <f t="shared" si="26"/>
        <v>0</v>
      </c>
      <c r="M63" s="160">
        <f t="shared" si="26"/>
        <v>0</v>
      </c>
      <c r="N63" s="160">
        <f t="shared" si="22"/>
        <v>0</v>
      </c>
      <c r="O63" s="156"/>
      <c r="P63" s="160">
        <f>E63*'Selected Economics'!$I39*'Sensitivity Ranges'!$F$46</f>
        <v>0</v>
      </c>
      <c r="Q63" s="160">
        <f>F63*'Selected Economics'!$I39*'Sensitivity Ranges'!$F$46</f>
        <v>0</v>
      </c>
      <c r="R63" s="160">
        <f>N63*'Selected Economics'!$I39*'Sensitivity Ranges'!$F$46</f>
        <v>0</v>
      </c>
      <c r="S63" s="160">
        <f t="shared" si="15"/>
        <v>0</v>
      </c>
      <c r="T63" s="156"/>
      <c r="U63" s="160">
        <f t="shared" si="11"/>
        <v>0</v>
      </c>
      <c r="V63" s="160">
        <f t="shared" si="11"/>
        <v>0</v>
      </c>
      <c r="W63" s="160">
        <f t="shared" si="11"/>
        <v>0</v>
      </c>
      <c r="X63" s="160">
        <f t="shared" si="23"/>
        <v>0</v>
      </c>
      <c r="Y63" s="156"/>
      <c r="Z63" s="160">
        <f t="shared" si="17"/>
        <v>0</v>
      </c>
      <c r="AA63" s="156"/>
      <c r="AB63" s="160">
        <f t="shared" si="18"/>
        <v>0</v>
      </c>
    </row>
    <row r="64" spans="1:28">
      <c r="A64" s="93"/>
      <c r="B64" s="159">
        <f t="shared" si="19"/>
        <v>2044</v>
      </c>
      <c r="C64" s="160">
        <f t="shared" si="24"/>
        <v>0</v>
      </c>
      <c r="D64" s="160">
        <f t="shared" si="24"/>
        <v>0</v>
      </c>
      <c r="E64" s="160">
        <f t="shared" si="20"/>
        <v>0</v>
      </c>
      <c r="F64" s="160">
        <f t="shared" si="25"/>
        <v>0</v>
      </c>
      <c r="G64" s="160">
        <f t="shared" si="25"/>
        <v>0</v>
      </c>
      <c r="H64" s="160">
        <f t="shared" si="21"/>
        <v>0</v>
      </c>
      <c r="I64" s="160">
        <f t="shared" si="26"/>
        <v>0</v>
      </c>
      <c r="J64" s="160">
        <f t="shared" si="26"/>
        <v>0</v>
      </c>
      <c r="K64" s="160">
        <f t="shared" si="26"/>
        <v>0</v>
      </c>
      <c r="L64" s="160">
        <f t="shared" si="26"/>
        <v>0</v>
      </c>
      <c r="M64" s="160">
        <f t="shared" si="26"/>
        <v>0</v>
      </c>
      <c r="N64" s="160">
        <f t="shared" si="22"/>
        <v>0</v>
      </c>
      <c r="O64" s="156"/>
      <c r="P64" s="160">
        <f>E64*'Selected Economics'!$I40*'Sensitivity Ranges'!$F$46</f>
        <v>0</v>
      </c>
      <c r="Q64" s="160">
        <f>F64*'Selected Economics'!$I40*'Sensitivity Ranges'!$F$46</f>
        <v>0</v>
      </c>
      <c r="R64" s="160">
        <f>N64*'Selected Economics'!$I40*'Sensitivity Ranges'!$F$46</f>
        <v>0</v>
      </c>
      <c r="S64" s="160">
        <f t="shared" si="15"/>
        <v>0</v>
      </c>
      <c r="T64" s="156"/>
      <c r="U64" s="160">
        <f t="shared" si="11"/>
        <v>0</v>
      </c>
      <c r="V64" s="160">
        <f t="shared" si="11"/>
        <v>0</v>
      </c>
      <c r="W64" s="160">
        <f t="shared" si="11"/>
        <v>0</v>
      </c>
      <c r="X64" s="160">
        <f t="shared" si="23"/>
        <v>0</v>
      </c>
      <c r="Y64" s="156"/>
      <c r="Z64" s="160">
        <f t="shared" si="17"/>
        <v>0</v>
      </c>
      <c r="AA64" s="156"/>
      <c r="AB64" s="160">
        <f t="shared" si="18"/>
        <v>0</v>
      </c>
    </row>
    <row r="65" spans="1:28">
      <c r="A65" s="93"/>
      <c r="B65" s="159">
        <f t="shared" si="19"/>
        <v>2045</v>
      </c>
      <c r="C65" s="160">
        <f t="shared" si="24"/>
        <v>0</v>
      </c>
      <c r="D65" s="160">
        <f t="shared" si="24"/>
        <v>0</v>
      </c>
      <c r="E65" s="160">
        <f t="shared" si="20"/>
        <v>0</v>
      </c>
      <c r="F65" s="160">
        <f t="shared" si="25"/>
        <v>0</v>
      </c>
      <c r="G65" s="160">
        <f t="shared" si="25"/>
        <v>0</v>
      </c>
      <c r="H65" s="160">
        <f t="shared" si="21"/>
        <v>0</v>
      </c>
      <c r="I65" s="160">
        <f t="shared" si="26"/>
        <v>0</v>
      </c>
      <c r="J65" s="160">
        <f t="shared" si="26"/>
        <v>0</v>
      </c>
      <c r="K65" s="160">
        <f t="shared" si="26"/>
        <v>0</v>
      </c>
      <c r="L65" s="160">
        <f t="shared" si="26"/>
        <v>0</v>
      </c>
      <c r="M65" s="160">
        <f t="shared" si="26"/>
        <v>0</v>
      </c>
      <c r="N65" s="160">
        <f t="shared" si="22"/>
        <v>0</v>
      </c>
      <c r="O65" s="156"/>
      <c r="P65" s="160">
        <f>E65*'Selected Economics'!$I41*'Sensitivity Ranges'!$F$46</f>
        <v>0</v>
      </c>
      <c r="Q65" s="160">
        <f>F65*'Selected Economics'!$I41*'Sensitivity Ranges'!$F$46</f>
        <v>0</v>
      </c>
      <c r="R65" s="160">
        <f>N65*'Selected Economics'!$I41*'Sensitivity Ranges'!$F$46</f>
        <v>0</v>
      </c>
      <c r="S65" s="160">
        <f t="shared" si="15"/>
        <v>0</v>
      </c>
      <c r="T65" s="156"/>
      <c r="U65" s="160">
        <f t="shared" si="11"/>
        <v>0</v>
      </c>
      <c r="V65" s="160">
        <f t="shared" si="11"/>
        <v>0</v>
      </c>
      <c r="W65" s="160">
        <f t="shared" si="11"/>
        <v>0</v>
      </c>
      <c r="X65" s="160">
        <f t="shared" si="23"/>
        <v>0</v>
      </c>
      <c r="Y65" s="156"/>
      <c r="Z65" s="160">
        <f t="shared" si="17"/>
        <v>0</v>
      </c>
      <c r="AA65" s="156"/>
      <c r="AB65" s="160">
        <f t="shared" si="18"/>
        <v>0</v>
      </c>
    </row>
    <row r="66" spans="1:28">
      <c r="A66" s="93"/>
      <c r="B66" s="159">
        <f t="shared" si="19"/>
        <v>2046</v>
      </c>
      <c r="C66" s="160">
        <f t="shared" si="24"/>
        <v>0</v>
      </c>
      <c r="D66" s="160">
        <f t="shared" si="24"/>
        <v>0</v>
      </c>
      <c r="E66" s="160">
        <f t="shared" si="20"/>
        <v>0</v>
      </c>
      <c r="F66" s="160">
        <f t="shared" si="25"/>
        <v>0</v>
      </c>
      <c r="G66" s="160">
        <f t="shared" si="25"/>
        <v>0</v>
      </c>
      <c r="H66" s="160">
        <f t="shared" si="21"/>
        <v>0</v>
      </c>
      <c r="I66" s="160">
        <f t="shared" si="26"/>
        <v>0</v>
      </c>
      <c r="J66" s="160">
        <f t="shared" si="26"/>
        <v>0</v>
      </c>
      <c r="K66" s="160">
        <f t="shared" si="26"/>
        <v>0</v>
      </c>
      <c r="L66" s="160">
        <f t="shared" si="26"/>
        <v>0</v>
      </c>
      <c r="M66" s="160">
        <f t="shared" si="26"/>
        <v>0</v>
      </c>
      <c r="N66" s="160">
        <f t="shared" si="22"/>
        <v>0</v>
      </c>
      <c r="O66" s="156"/>
      <c r="P66" s="160">
        <f>E66*'Selected Economics'!$I42*'Sensitivity Ranges'!$F$46</f>
        <v>0</v>
      </c>
      <c r="Q66" s="160">
        <f>F66*'Selected Economics'!$I42*'Sensitivity Ranges'!$F$46</f>
        <v>0</v>
      </c>
      <c r="R66" s="160">
        <f>N66*'Selected Economics'!$I42*'Sensitivity Ranges'!$F$46</f>
        <v>0</v>
      </c>
      <c r="S66" s="160">
        <f t="shared" si="15"/>
        <v>0</v>
      </c>
      <c r="T66" s="156"/>
      <c r="U66" s="160">
        <f t="shared" si="11"/>
        <v>0</v>
      </c>
      <c r="V66" s="160">
        <f t="shared" si="11"/>
        <v>0</v>
      </c>
      <c r="W66" s="160">
        <f t="shared" si="11"/>
        <v>0</v>
      </c>
      <c r="X66" s="160">
        <f t="shared" si="23"/>
        <v>0</v>
      </c>
      <c r="Y66" s="156"/>
      <c r="Z66" s="160">
        <f t="shared" si="17"/>
        <v>0</v>
      </c>
      <c r="AA66" s="156"/>
      <c r="AB66" s="160">
        <f t="shared" si="18"/>
        <v>0</v>
      </c>
    </row>
    <row r="67" spans="1:28">
      <c r="A67" s="93"/>
      <c r="B67" s="159">
        <f t="shared" si="19"/>
        <v>2047</v>
      </c>
      <c r="C67" s="160">
        <f t="shared" si="24"/>
        <v>0</v>
      </c>
      <c r="D67" s="160">
        <f t="shared" si="24"/>
        <v>0</v>
      </c>
      <c r="E67" s="160">
        <f t="shared" si="20"/>
        <v>0</v>
      </c>
      <c r="F67" s="160">
        <f t="shared" si="25"/>
        <v>0</v>
      </c>
      <c r="G67" s="160">
        <f t="shared" si="25"/>
        <v>0</v>
      </c>
      <c r="H67" s="160">
        <f t="shared" si="21"/>
        <v>0</v>
      </c>
      <c r="I67" s="160">
        <f t="shared" si="26"/>
        <v>0</v>
      </c>
      <c r="J67" s="160">
        <f t="shared" si="26"/>
        <v>0</v>
      </c>
      <c r="K67" s="160">
        <f t="shared" si="26"/>
        <v>0</v>
      </c>
      <c r="L67" s="160">
        <f t="shared" si="26"/>
        <v>0</v>
      </c>
      <c r="M67" s="160">
        <f t="shared" si="26"/>
        <v>0</v>
      </c>
      <c r="N67" s="160">
        <f t="shared" si="22"/>
        <v>0</v>
      </c>
      <c r="O67" s="156"/>
      <c r="P67" s="160">
        <f>E67*'Selected Economics'!$I43*'Sensitivity Ranges'!$F$46</f>
        <v>0</v>
      </c>
      <c r="Q67" s="160">
        <f>F67*'Selected Economics'!$I43*'Sensitivity Ranges'!$F$46</f>
        <v>0</v>
      </c>
      <c r="R67" s="160">
        <f>N67*'Selected Economics'!$I43*'Sensitivity Ranges'!$F$46</f>
        <v>0</v>
      </c>
      <c r="S67" s="160">
        <f t="shared" si="15"/>
        <v>0</v>
      </c>
      <c r="T67" s="156"/>
      <c r="U67" s="160">
        <f t="shared" si="11"/>
        <v>0</v>
      </c>
      <c r="V67" s="160">
        <f t="shared" si="11"/>
        <v>0</v>
      </c>
      <c r="W67" s="160">
        <f t="shared" si="11"/>
        <v>0</v>
      </c>
      <c r="X67" s="160">
        <f t="shared" si="23"/>
        <v>0</v>
      </c>
      <c r="Y67" s="156"/>
      <c r="Z67" s="160">
        <f t="shared" si="17"/>
        <v>0</v>
      </c>
      <c r="AA67" s="156"/>
      <c r="AB67" s="160">
        <f t="shared" si="18"/>
        <v>0</v>
      </c>
    </row>
    <row r="68" spans="1:28">
      <c r="A68" s="93"/>
      <c r="B68" s="159">
        <f t="shared" si="19"/>
        <v>2048</v>
      </c>
      <c r="C68" s="160">
        <f t="shared" si="24"/>
        <v>0</v>
      </c>
      <c r="D68" s="160">
        <f t="shared" si="24"/>
        <v>0</v>
      </c>
      <c r="E68" s="160">
        <f t="shared" si="20"/>
        <v>0</v>
      </c>
      <c r="F68" s="160">
        <f t="shared" si="25"/>
        <v>0</v>
      </c>
      <c r="G68" s="160">
        <f t="shared" si="25"/>
        <v>0</v>
      </c>
      <c r="H68" s="160">
        <f t="shared" si="21"/>
        <v>0</v>
      </c>
      <c r="I68" s="160">
        <f t="shared" si="26"/>
        <v>0</v>
      </c>
      <c r="J68" s="160">
        <f t="shared" si="26"/>
        <v>0</v>
      </c>
      <c r="K68" s="160">
        <f t="shared" si="26"/>
        <v>0</v>
      </c>
      <c r="L68" s="160">
        <f t="shared" si="26"/>
        <v>0</v>
      </c>
      <c r="M68" s="160">
        <f t="shared" si="26"/>
        <v>0</v>
      </c>
      <c r="N68" s="160">
        <f t="shared" si="22"/>
        <v>0</v>
      </c>
      <c r="O68" s="156"/>
      <c r="P68" s="160">
        <f>E68*'Selected Economics'!$I44*'Sensitivity Ranges'!$F$46</f>
        <v>0</v>
      </c>
      <c r="Q68" s="160">
        <f>F68*'Selected Economics'!$I44*'Sensitivity Ranges'!$F$46</f>
        <v>0</v>
      </c>
      <c r="R68" s="160">
        <f>N68*'Selected Economics'!$I44*'Sensitivity Ranges'!$F$46</f>
        <v>0</v>
      </c>
      <c r="S68" s="160">
        <f t="shared" si="15"/>
        <v>0</v>
      </c>
      <c r="T68" s="156"/>
      <c r="U68" s="160">
        <f t="shared" si="11"/>
        <v>0</v>
      </c>
      <c r="V68" s="160">
        <f t="shared" si="11"/>
        <v>0</v>
      </c>
      <c r="W68" s="160">
        <f t="shared" si="11"/>
        <v>0</v>
      </c>
      <c r="X68" s="160">
        <f t="shared" si="23"/>
        <v>0</v>
      </c>
      <c r="Y68" s="156"/>
      <c r="Z68" s="160">
        <f t="shared" si="17"/>
        <v>0</v>
      </c>
      <c r="AA68" s="156"/>
      <c r="AB68" s="160">
        <f t="shared" si="18"/>
        <v>0</v>
      </c>
    </row>
    <row r="69" spans="1:28">
      <c r="A69" s="93"/>
      <c r="B69" s="159">
        <f t="shared" si="19"/>
        <v>2049</v>
      </c>
      <c r="C69" s="160">
        <f t="shared" si="24"/>
        <v>0</v>
      </c>
      <c r="D69" s="160">
        <f t="shared" si="24"/>
        <v>0</v>
      </c>
      <c r="E69" s="160">
        <f t="shared" si="20"/>
        <v>0</v>
      </c>
      <c r="F69" s="160">
        <f t="shared" si="25"/>
        <v>0</v>
      </c>
      <c r="G69" s="160">
        <f t="shared" si="25"/>
        <v>0</v>
      </c>
      <c r="H69" s="160">
        <f t="shared" si="21"/>
        <v>0</v>
      </c>
      <c r="I69" s="160">
        <f t="shared" si="26"/>
        <v>0</v>
      </c>
      <c r="J69" s="160">
        <f t="shared" si="26"/>
        <v>0</v>
      </c>
      <c r="K69" s="160">
        <f t="shared" si="26"/>
        <v>0</v>
      </c>
      <c r="L69" s="160">
        <f t="shared" si="26"/>
        <v>0</v>
      </c>
      <c r="M69" s="160">
        <f t="shared" si="26"/>
        <v>0</v>
      </c>
      <c r="N69" s="160">
        <f t="shared" si="22"/>
        <v>0</v>
      </c>
      <c r="O69" s="156"/>
      <c r="P69" s="160">
        <f>E69*'Selected Economics'!$I45*'Sensitivity Ranges'!$F$46</f>
        <v>0</v>
      </c>
      <c r="Q69" s="160">
        <f>F69*'Selected Economics'!$I45*'Sensitivity Ranges'!$F$46</f>
        <v>0</v>
      </c>
      <c r="R69" s="160">
        <f>N69*'Selected Economics'!$I45*'Sensitivity Ranges'!$F$46</f>
        <v>0</v>
      </c>
      <c r="S69" s="160">
        <f t="shared" si="15"/>
        <v>0</v>
      </c>
      <c r="T69" s="156"/>
      <c r="U69" s="160">
        <f t="shared" si="11"/>
        <v>0</v>
      </c>
      <c r="V69" s="160">
        <f t="shared" si="11"/>
        <v>0</v>
      </c>
      <c r="W69" s="160">
        <f t="shared" si="11"/>
        <v>0</v>
      </c>
      <c r="X69" s="160">
        <f t="shared" si="23"/>
        <v>0</v>
      </c>
      <c r="Y69" s="156"/>
      <c r="Z69" s="160">
        <f t="shared" si="17"/>
        <v>0</v>
      </c>
      <c r="AA69" s="156"/>
      <c r="AB69" s="160">
        <f t="shared" si="18"/>
        <v>0</v>
      </c>
    </row>
    <row r="70" spans="1:28">
      <c r="A70" s="93"/>
      <c r="B70" s="159">
        <f t="shared" si="19"/>
        <v>2050</v>
      </c>
      <c r="C70" s="160">
        <f t="shared" ref="C70:D74" si="27">IF($B70=INDEX($O$19:$O$27,C$30,1),INDEX($R$19:$R$27,C$30,1),IF($B70=INDEX($P$19:$P$27,C$30,1),INDEX($S$19:$S$27,C$30,1),0))</f>
        <v>0</v>
      </c>
      <c r="D70" s="160">
        <f t="shared" si="27"/>
        <v>0</v>
      </c>
      <c r="E70" s="160">
        <f t="shared" si="20"/>
        <v>0</v>
      </c>
      <c r="F70" s="160">
        <f t="shared" ref="F70:G74" si="28">IF($B70=INDEX($O$19:$O$27,F$30,1),INDEX($R$19:$R$27,F$30,1),IF($B70=INDEX($P$19:$P$27,F$30,1),INDEX($S$19:$S$27,F$30,1),0))</f>
        <v>0</v>
      </c>
      <c r="G70" s="160">
        <f t="shared" si="28"/>
        <v>0</v>
      </c>
      <c r="H70" s="160">
        <f t="shared" si="21"/>
        <v>0</v>
      </c>
      <c r="I70" s="160">
        <f t="shared" ref="I70:M74" si="29">IF($B70=INDEX($O$19:$O$27,I$30,1),INDEX($R$19:$R$27,I$30,1),IF($B70=INDEX($P$19:$P$27,I$30,1),INDEX($S$19:$S$27,I$30,1),0))</f>
        <v>0</v>
      </c>
      <c r="J70" s="160">
        <f t="shared" si="29"/>
        <v>0</v>
      </c>
      <c r="K70" s="160">
        <f t="shared" si="29"/>
        <v>0</v>
      </c>
      <c r="L70" s="160">
        <f t="shared" si="29"/>
        <v>0</v>
      </c>
      <c r="M70" s="160">
        <f t="shared" si="29"/>
        <v>0</v>
      </c>
      <c r="N70" s="160">
        <f t="shared" si="22"/>
        <v>0</v>
      </c>
      <c r="O70" s="156"/>
      <c r="P70" s="160">
        <f>E70*'Selected Economics'!$I46*'Sensitivity Ranges'!$F$46</f>
        <v>0</v>
      </c>
      <c r="Q70" s="160">
        <f>F70*'Selected Economics'!$I46*'Sensitivity Ranges'!$F$46</f>
        <v>0</v>
      </c>
      <c r="R70" s="160">
        <f>N70*'Selected Economics'!$I46*'Sensitivity Ranges'!$F$46</f>
        <v>0</v>
      </c>
      <c r="S70" s="160">
        <f t="shared" si="15"/>
        <v>0</v>
      </c>
      <c r="T70" s="156"/>
      <c r="U70" s="160">
        <f t="shared" si="11"/>
        <v>0</v>
      </c>
      <c r="V70" s="160">
        <f t="shared" si="11"/>
        <v>0</v>
      </c>
      <c r="W70" s="160">
        <f t="shared" si="11"/>
        <v>0</v>
      </c>
      <c r="X70" s="160">
        <f t="shared" si="23"/>
        <v>0</v>
      </c>
      <c r="Y70" s="156"/>
      <c r="Z70" s="160">
        <f t="shared" si="17"/>
        <v>0</v>
      </c>
      <c r="AA70" s="156"/>
      <c r="AB70" s="160">
        <f t="shared" si="18"/>
        <v>0</v>
      </c>
    </row>
    <row r="71" spans="1:28">
      <c r="A71" s="93"/>
      <c r="B71" s="159">
        <f t="shared" si="19"/>
        <v>2051</v>
      </c>
      <c r="C71" s="160">
        <f t="shared" si="27"/>
        <v>0</v>
      </c>
      <c r="D71" s="160">
        <f t="shared" si="27"/>
        <v>0</v>
      </c>
      <c r="E71" s="160">
        <f t="shared" si="20"/>
        <v>0</v>
      </c>
      <c r="F71" s="160">
        <f t="shared" si="28"/>
        <v>0</v>
      </c>
      <c r="G71" s="160">
        <f t="shared" si="28"/>
        <v>0</v>
      </c>
      <c r="H71" s="160">
        <f t="shared" si="21"/>
        <v>0</v>
      </c>
      <c r="I71" s="160">
        <f t="shared" si="29"/>
        <v>0</v>
      </c>
      <c r="J71" s="160">
        <f t="shared" si="29"/>
        <v>0</v>
      </c>
      <c r="K71" s="160">
        <f t="shared" si="29"/>
        <v>0</v>
      </c>
      <c r="L71" s="160">
        <f t="shared" si="29"/>
        <v>0</v>
      </c>
      <c r="M71" s="160">
        <f t="shared" si="29"/>
        <v>0</v>
      </c>
      <c r="N71" s="160">
        <f t="shared" si="22"/>
        <v>0</v>
      </c>
      <c r="O71" s="156"/>
      <c r="P71" s="160">
        <f>E71*'Selected Economics'!$I47*'Sensitivity Ranges'!$F$46</f>
        <v>0</v>
      </c>
      <c r="Q71" s="160">
        <f>F71*'Selected Economics'!$I47*'Sensitivity Ranges'!$F$46</f>
        <v>0</v>
      </c>
      <c r="R71" s="160">
        <f>N71*'Selected Economics'!$I47*'Sensitivity Ranges'!$F$46</f>
        <v>0</v>
      </c>
      <c r="S71" s="160">
        <f t="shared" si="15"/>
        <v>0</v>
      </c>
      <c r="T71" s="156"/>
      <c r="U71" s="160">
        <f t="shared" si="11"/>
        <v>0</v>
      </c>
      <c r="V71" s="160">
        <f t="shared" si="11"/>
        <v>0</v>
      </c>
      <c r="W71" s="160">
        <f t="shared" si="11"/>
        <v>0</v>
      </c>
      <c r="X71" s="160">
        <f t="shared" si="23"/>
        <v>0</v>
      </c>
      <c r="Y71" s="156"/>
      <c r="Z71" s="160">
        <f t="shared" si="17"/>
        <v>0</v>
      </c>
      <c r="AA71" s="156"/>
      <c r="AB71" s="160">
        <f t="shared" si="18"/>
        <v>0</v>
      </c>
    </row>
    <row r="72" spans="1:28">
      <c r="A72" s="93"/>
      <c r="B72" s="159">
        <f t="shared" si="19"/>
        <v>2052</v>
      </c>
      <c r="C72" s="160">
        <f t="shared" si="27"/>
        <v>0</v>
      </c>
      <c r="D72" s="160">
        <f t="shared" si="27"/>
        <v>0</v>
      </c>
      <c r="E72" s="160">
        <f t="shared" si="20"/>
        <v>0</v>
      </c>
      <c r="F72" s="160">
        <f t="shared" si="28"/>
        <v>0</v>
      </c>
      <c r="G72" s="160">
        <f t="shared" si="28"/>
        <v>0</v>
      </c>
      <c r="H72" s="160">
        <f t="shared" si="21"/>
        <v>0</v>
      </c>
      <c r="I72" s="160">
        <f t="shared" si="29"/>
        <v>0</v>
      </c>
      <c r="J72" s="160">
        <f t="shared" si="29"/>
        <v>0</v>
      </c>
      <c r="K72" s="160">
        <f t="shared" si="29"/>
        <v>0</v>
      </c>
      <c r="L72" s="160">
        <f t="shared" si="29"/>
        <v>0</v>
      </c>
      <c r="M72" s="160">
        <f t="shared" si="29"/>
        <v>0</v>
      </c>
      <c r="N72" s="160">
        <f t="shared" si="22"/>
        <v>0</v>
      </c>
      <c r="O72" s="156"/>
      <c r="P72" s="160">
        <f>E72*'Selected Economics'!$I48*'Sensitivity Ranges'!$F$46</f>
        <v>0</v>
      </c>
      <c r="Q72" s="160">
        <f>F72*'Selected Economics'!$I48*'Sensitivity Ranges'!$F$46</f>
        <v>0</v>
      </c>
      <c r="R72" s="160">
        <f>N72*'Selected Economics'!$I48*'Sensitivity Ranges'!$F$46</f>
        <v>0</v>
      </c>
      <c r="S72" s="160">
        <f t="shared" si="15"/>
        <v>0</v>
      </c>
      <c r="T72" s="156"/>
      <c r="U72" s="160">
        <f t="shared" si="11"/>
        <v>0</v>
      </c>
      <c r="V72" s="160">
        <f t="shared" si="11"/>
        <v>0</v>
      </c>
      <c r="W72" s="160">
        <f t="shared" si="11"/>
        <v>0</v>
      </c>
      <c r="X72" s="160">
        <f t="shared" si="23"/>
        <v>0</v>
      </c>
      <c r="Y72" s="156"/>
      <c r="Z72" s="160">
        <f t="shared" si="17"/>
        <v>0</v>
      </c>
      <c r="AA72" s="156"/>
      <c r="AB72" s="160">
        <f t="shared" si="18"/>
        <v>0</v>
      </c>
    </row>
    <row r="73" spans="1:28">
      <c r="A73" s="93"/>
      <c r="B73" s="159">
        <f t="shared" si="19"/>
        <v>2053</v>
      </c>
      <c r="C73" s="160">
        <f t="shared" si="27"/>
        <v>0</v>
      </c>
      <c r="D73" s="160">
        <f t="shared" si="27"/>
        <v>0</v>
      </c>
      <c r="E73" s="160">
        <f t="shared" si="20"/>
        <v>0</v>
      </c>
      <c r="F73" s="160">
        <f t="shared" si="28"/>
        <v>0</v>
      </c>
      <c r="G73" s="160">
        <f t="shared" si="28"/>
        <v>0</v>
      </c>
      <c r="H73" s="160">
        <f t="shared" si="21"/>
        <v>0</v>
      </c>
      <c r="I73" s="160">
        <f t="shared" si="29"/>
        <v>0</v>
      </c>
      <c r="J73" s="160">
        <f t="shared" si="29"/>
        <v>0</v>
      </c>
      <c r="K73" s="160">
        <f t="shared" si="29"/>
        <v>0</v>
      </c>
      <c r="L73" s="160">
        <f t="shared" si="29"/>
        <v>0</v>
      </c>
      <c r="M73" s="160">
        <f t="shared" si="29"/>
        <v>0</v>
      </c>
      <c r="N73" s="160">
        <f t="shared" si="22"/>
        <v>0</v>
      </c>
      <c r="O73" s="156"/>
      <c r="P73" s="160">
        <f>E73*'Selected Economics'!$I49*'Sensitivity Ranges'!$F$46</f>
        <v>0</v>
      </c>
      <c r="Q73" s="160">
        <f>F73*'Selected Economics'!$I49*'Sensitivity Ranges'!$F$46</f>
        <v>0</v>
      </c>
      <c r="R73" s="160">
        <f>N73*'Selected Economics'!$I49*'Sensitivity Ranges'!$F$46</f>
        <v>0</v>
      </c>
      <c r="S73" s="160">
        <f t="shared" si="15"/>
        <v>0</v>
      </c>
      <c r="T73" s="156"/>
      <c r="U73" s="160">
        <f t="shared" si="11"/>
        <v>0</v>
      </c>
      <c r="V73" s="160">
        <f t="shared" si="11"/>
        <v>0</v>
      </c>
      <c r="W73" s="160">
        <f t="shared" si="11"/>
        <v>0</v>
      </c>
      <c r="X73" s="160">
        <f t="shared" si="23"/>
        <v>0</v>
      </c>
      <c r="Y73" s="156"/>
      <c r="Z73" s="160">
        <f t="shared" si="17"/>
        <v>0</v>
      </c>
      <c r="AA73" s="156"/>
      <c r="AB73" s="160">
        <f t="shared" si="18"/>
        <v>0</v>
      </c>
    </row>
    <row r="74" spans="1:28">
      <c r="A74" s="93"/>
      <c r="B74" s="161">
        <f t="shared" si="19"/>
        <v>2054</v>
      </c>
      <c r="C74" s="162">
        <f t="shared" si="27"/>
        <v>0</v>
      </c>
      <c r="D74" s="162">
        <f t="shared" si="27"/>
        <v>0</v>
      </c>
      <c r="E74" s="162">
        <f t="shared" si="20"/>
        <v>0</v>
      </c>
      <c r="F74" s="162">
        <f t="shared" si="28"/>
        <v>0</v>
      </c>
      <c r="G74" s="162">
        <f t="shared" si="28"/>
        <v>0</v>
      </c>
      <c r="H74" s="162">
        <f t="shared" si="21"/>
        <v>0</v>
      </c>
      <c r="I74" s="162">
        <f t="shared" si="29"/>
        <v>0</v>
      </c>
      <c r="J74" s="162">
        <f t="shared" si="29"/>
        <v>0</v>
      </c>
      <c r="K74" s="162">
        <f t="shared" si="29"/>
        <v>0</v>
      </c>
      <c r="L74" s="162">
        <f t="shared" si="29"/>
        <v>0</v>
      </c>
      <c r="M74" s="162">
        <f t="shared" si="29"/>
        <v>0</v>
      </c>
      <c r="N74" s="162">
        <f t="shared" si="22"/>
        <v>0</v>
      </c>
      <c r="O74" s="156"/>
      <c r="P74" s="162">
        <f>E74*'Selected Economics'!$I50*'Sensitivity Ranges'!$F$46</f>
        <v>0</v>
      </c>
      <c r="Q74" s="162">
        <f>F74*'Selected Economics'!$I50*'Sensitivity Ranges'!$F$46</f>
        <v>0</v>
      </c>
      <c r="R74" s="162">
        <f>N74*'Selected Economics'!$I50*'Sensitivity Ranges'!$F$46</f>
        <v>0</v>
      </c>
      <c r="S74" s="162">
        <f t="shared" si="15"/>
        <v>0</v>
      </c>
      <c r="T74" s="156"/>
      <c r="U74" s="162">
        <f t="shared" si="11"/>
        <v>0</v>
      </c>
      <c r="V74" s="162">
        <f t="shared" si="11"/>
        <v>0</v>
      </c>
      <c r="W74" s="162">
        <f t="shared" si="11"/>
        <v>0</v>
      </c>
      <c r="X74" s="162">
        <f t="shared" si="23"/>
        <v>0</v>
      </c>
      <c r="Y74" s="156"/>
      <c r="Z74" s="162">
        <f t="shared" si="17"/>
        <v>0</v>
      </c>
      <c r="AA74" s="156"/>
      <c r="AB74" s="162">
        <f t="shared" si="18"/>
        <v>0</v>
      </c>
    </row>
  </sheetData>
  <sheetProtection algorithmName="SHA-512" hashValue="6GWKWS/nbBSRlpvOJbrxIUttaGL5n4sWg3wy32IXPFo3YLrZ5n4jPOhu8tzrbqkqLgkAZyTWmLik9vlrE1vGcQ==" saltValue="NGrclz6jGvjMwOmb3sYJLg==" spinCount="100000" sheet="1" objects="1" scenarios="1"/>
  <mergeCells count="1">
    <mergeCell ref="X19:AB26"/>
  </mergeCells>
  <dataValidations count="1">
    <dataValidation type="whole" allowBlank="1" showInputMessage="1" showErrorMessage="1" sqref="C11">
      <formula1>0</formula1>
      <formula2>10</formula2>
    </dataValidation>
  </dataValidations>
  <hyperlinks>
    <hyperlink ref="H1" location="Guide" display="Guide"/>
    <hyperlink ref="H2" location="Input" display="Input"/>
  </hyperlinks>
  <pageMargins left="0.7" right="0.7" top="0.75" bottom="0.75" header="0.3" footer="0.3"/>
  <pageSetup paperSize="9" scale="44" fitToHeight="0" orientation="landscape" r:id="rId1"/>
  <headerFooter>
    <oddFooter>&amp;LNova Scotia Exploration Economics Model&amp;Rwww.indeva.com</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FF00"/>
    <pageSetUpPr fitToPage="1"/>
  </sheetPr>
  <dimension ref="A1:AE203"/>
  <sheetViews>
    <sheetView showGridLines="0" showRowColHeaders="0" topLeftCell="A19" zoomScaleNormal="100" workbookViewId="0">
      <pane ySplit="3" topLeftCell="A22" activePane="bottomLeft" state="frozen"/>
      <selection activeCell="A19" sqref="A19"/>
      <selection pane="bottomLeft" activeCell="D25" sqref="D25"/>
    </sheetView>
  </sheetViews>
  <sheetFormatPr defaultRowHeight="14.5"/>
  <sheetData>
    <row r="1" spans="1:31">
      <c r="A1" s="115"/>
      <c r="B1" s="115"/>
      <c r="C1" s="115"/>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row>
    <row r="2" spans="1:31">
      <c r="A2" s="115"/>
      <c r="B2" s="115"/>
      <c r="C2" s="115"/>
      <c r="D2" s="115"/>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row>
    <row r="3" spans="1:31">
      <c r="A3" s="115"/>
      <c r="B3" s="115"/>
      <c r="C3" s="115"/>
      <c r="D3" s="11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row>
    <row r="4" spans="1:31">
      <c r="A4" s="115"/>
      <c r="B4" s="115"/>
      <c r="C4" s="115"/>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row>
    <row r="5" spans="1:31">
      <c r="A5" s="115"/>
      <c r="B5" s="115"/>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row>
    <row r="6" spans="1:31">
      <c r="A6" s="115"/>
      <c r="B6" s="115"/>
      <c r="C6" s="115"/>
      <c r="D6" s="115"/>
      <c r="E6" s="115"/>
      <c r="F6" s="115"/>
      <c r="G6" s="115"/>
      <c r="H6" s="115"/>
      <c r="I6" s="115"/>
      <c r="J6" s="115"/>
      <c r="K6" s="115"/>
      <c r="L6" s="115"/>
      <c r="M6" s="115"/>
      <c r="N6" s="115"/>
      <c r="O6" s="115"/>
      <c r="P6" s="115"/>
      <c r="Q6" s="115"/>
      <c r="R6" s="115"/>
      <c r="S6" s="115"/>
      <c r="T6" s="115"/>
      <c r="U6" s="115"/>
      <c r="V6" s="115"/>
      <c r="W6" s="115"/>
      <c r="X6" s="115"/>
      <c r="Y6" s="115"/>
      <c r="Z6" s="115"/>
      <c r="AA6" s="115"/>
      <c r="AB6" s="115"/>
      <c r="AC6" s="115"/>
      <c r="AD6" s="115"/>
      <c r="AE6" s="115"/>
    </row>
    <row r="7" spans="1:31">
      <c r="A7" s="115"/>
      <c r="B7" s="115"/>
      <c r="C7" s="115"/>
      <c r="D7" s="115"/>
      <c r="E7" s="115"/>
      <c r="F7" s="115"/>
      <c r="G7" s="115"/>
      <c r="H7" s="115"/>
      <c r="I7" s="115"/>
      <c r="J7" s="115"/>
      <c r="K7" s="115"/>
      <c r="L7" s="115"/>
      <c r="M7" s="115"/>
      <c r="N7" s="115"/>
      <c r="O7" s="115"/>
      <c r="P7" s="115"/>
      <c r="Q7" s="115"/>
      <c r="R7" s="115"/>
      <c r="S7" s="115"/>
      <c r="T7" s="115"/>
      <c r="U7" s="115"/>
      <c r="V7" s="115"/>
      <c r="W7" s="115"/>
      <c r="X7" s="115"/>
      <c r="Y7" s="115"/>
      <c r="Z7" s="115"/>
      <c r="AA7" s="115"/>
      <c r="AB7" s="115"/>
      <c r="AC7" s="115"/>
      <c r="AD7" s="115"/>
      <c r="AE7" s="115"/>
    </row>
    <row r="8" spans="1:31">
      <c r="A8" s="115"/>
      <c r="B8" s="115"/>
      <c r="C8" s="115"/>
      <c r="D8" s="115"/>
      <c r="E8" s="115"/>
      <c r="F8" s="115"/>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row>
    <row r="9" spans="1:31">
      <c r="A9" s="115"/>
      <c r="B9" s="115"/>
      <c r="C9" s="115"/>
      <c r="D9" s="115"/>
      <c r="E9" s="115"/>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row>
    <row r="10" spans="1:31">
      <c r="A10" s="115"/>
      <c r="B10" s="115"/>
      <c r="C10" s="115"/>
      <c r="D10" s="115"/>
      <c r="E10" s="115"/>
      <c r="F10" s="115"/>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row>
    <row r="11" spans="1:31">
      <c r="A11" s="115"/>
      <c r="B11" s="115"/>
      <c r="C11" s="115"/>
      <c r="D11" s="115"/>
      <c r="E11" s="115"/>
      <c r="F11" s="115"/>
      <c r="G11" s="115"/>
      <c r="H11" s="115"/>
      <c r="I11" s="115"/>
      <c r="J11" s="115"/>
      <c r="K11" s="115"/>
      <c r="L11" s="115"/>
      <c r="M11" s="115"/>
      <c r="N11" s="115"/>
      <c r="O11" s="115"/>
      <c r="P11" s="115"/>
      <c r="Q11" s="115"/>
      <c r="R11" s="115"/>
      <c r="S11" s="115"/>
      <c r="T11" s="115"/>
      <c r="U11" s="115"/>
      <c r="V11" s="115"/>
      <c r="W11" s="115"/>
      <c r="X11" s="115"/>
      <c r="Y11" s="115"/>
      <c r="Z11" s="115"/>
      <c r="AA11" s="115"/>
      <c r="AB11" s="115"/>
      <c r="AC11" s="115"/>
      <c r="AD11" s="115"/>
      <c r="AE11" s="115"/>
    </row>
    <row r="12" spans="1:31">
      <c r="A12" s="115"/>
      <c r="B12" s="115"/>
      <c r="C12" s="115"/>
      <c r="D12" s="115"/>
      <c r="E12" s="115"/>
      <c r="F12" s="115"/>
      <c r="G12" s="115"/>
      <c r="H12" s="115"/>
      <c r="I12" s="115"/>
      <c r="J12" s="115"/>
      <c r="K12" s="115"/>
      <c r="L12" s="115"/>
      <c r="M12" s="115"/>
      <c r="N12" s="115"/>
      <c r="O12" s="115"/>
      <c r="P12" s="115"/>
      <c r="Q12" s="115"/>
      <c r="R12" s="115"/>
      <c r="S12" s="115"/>
      <c r="T12" s="115"/>
      <c r="U12" s="115"/>
      <c r="V12" s="115"/>
      <c r="W12" s="115"/>
      <c r="X12" s="115"/>
      <c r="Y12" s="115"/>
      <c r="Z12" s="115"/>
      <c r="AA12" s="115"/>
      <c r="AB12" s="115"/>
      <c r="AC12" s="115"/>
      <c r="AD12" s="115"/>
      <c r="AE12" s="115"/>
    </row>
    <row r="13" spans="1:31">
      <c r="A13" s="115"/>
      <c r="B13" s="115"/>
      <c r="C13" s="115"/>
      <c r="D13" s="115"/>
      <c r="E13" s="115"/>
      <c r="F13" s="115"/>
      <c r="G13" s="115"/>
      <c r="H13" s="115"/>
      <c r="I13" s="115"/>
      <c r="J13" s="115"/>
      <c r="K13" s="115"/>
      <c r="L13" s="115"/>
      <c r="M13" s="115"/>
      <c r="N13" s="115"/>
      <c r="O13" s="115"/>
      <c r="P13" s="115"/>
      <c r="Q13" s="115"/>
      <c r="R13" s="115"/>
      <c r="S13" s="115"/>
      <c r="T13" s="115"/>
      <c r="U13" s="115"/>
      <c r="V13" s="115"/>
      <c r="W13" s="115"/>
      <c r="X13" s="115"/>
      <c r="Y13" s="115"/>
      <c r="Z13" s="115"/>
      <c r="AA13" s="115"/>
      <c r="AB13" s="115"/>
      <c r="AC13" s="115"/>
      <c r="AD13" s="115"/>
      <c r="AE13" s="115"/>
    </row>
    <row r="14" spans="1:31">
      <c r="A14" s="115"/>
      <c r="B14" s="115"/>
      <c r="C14" s="115"/>
      <c r="D14" s="115"/>
      <c r="E14" s="115"/>
      <c r="F14" s="115"/>
      <c r="G14" s="115"/>
      <c r="H14" s="115"/>
      <c r="I14" s="115"/>
      <c r="J14" s="115"/>
      <c r="K14" s="115"/>
      <c r="L14" s="115"/>
      <c r="M14" s="115"/>
      <c r="N14" s="115"/>
      <c r="O14" s="115"/>
      <c r="P14" s="115"/>
      <c r="Q14" s="115"/>
      <c r="R14" s="115"/>
      <c r="S14" s="115"/>
      <c r="T14" s="115"/>
      <c r="U14" s="115"/>
      <c r="V14" s="115"/>
      <c r="W14" s="115"/>
      <c r="X14" s="115"/>
      <c r="Y14" s="115"/>
      <c r="Z14" s="115"/>
      <c r="AA14" s="115"/>
      <c r="AB14" s="115"/>
      <c r="AC14" s="115"/>
      <c r="AD14" s="115"/>
      <c r="AE14" s="115"/>
    </row>
    <row r="15" spans="1:31">
      <c r="A15" s="115"/>
      <c r="B15" s="115"/>
      <c r="C15" s="115"/>
      <c r="D15" s="115"/>
      <c r="E15" s="115"/>
      <c r="F15" s="115"/>
      <c r="G15" s="115"/>
      <c r="H15" s="115"/>
      <c r="I15" s="115"/>
      <c r="J15" s="115"/>
      <c r="K15" s="115"/>
      <c r="L15" s="115"/>
      <c r="M15" s="115"/>
      <c r="N15" s="115"/>
      <c r="O15" s="115"/>
      <c r="P15" s="115"/>
      <c r="Q15" s="115"/>
      <c r="R15" s="115"/>
      <c r="S15" s="115"/>
      <c r="T15" s="115"/>
      <c r="U15" s="115"/>
      <c r="V15" s="115"/>
      <c r="W15" s="115"/>
      <c r="X15" s="115"/>
      <c r="Y15" s="115"/>
      <c r="Z15" s="115"/>
      <c r="AA15" s="115"/>
      <c r="AB15" s="115"/>
      <c r="AC15" s="115"/>
      <c r="AD15" s="115"/>
      <c r="AE15" s="115"/>
    </row>
    <row r="16" spans="1:31">
      <c r="A16" s="115"/>
      <c r="B16" s="115"/>
      <c r="C16" s="115"/>
      <c r="D16" s="115"/>
      <c r="E16" s="115"/>
      <c r="F16" s="115"/>
      <c r="G16" s="115"/>
      <c r="H16" s="115"/>
      <c r="I16" s="115"/>
      <c r="J16" s="115"/>
      <c r="K16" s="115"/>
      <c r="L16" s="115"/>
      <c r="M16" s="115"/>
      <c r="N16" s="115"/>
      <c r="O16" s="115"/>
      <c r="P16" s="115"/>
      <c r="Q16" s="115"/>
      <c r="R16" s="115"/>
      <c r="S16" s="115"/>
      <c r="T16" s="115"/>
      <c r="U16" s="115"/>
      <c r="V16" s="115"/>
      <c r="W16" s="115"/>
      <c r="X16" s="115"/>
      <c r="Y16" s="115"/>
      <c r="Z16" s="115"/>
      <c r="AA16" s="115"/>
      <c r="AB16" s="115"/>
      <c r="AC16" s="115"/>
      <c r="AD16" s="115"/>
      <c r="AE16" s="115"/>
    </row>
    <row r="17" spans="1:31">
      <c r="A17" s="115"/>
      <c r="B17" s="115"/>
      <c r="C17" s="115"/>
      <c r="D17" s="115"/>
      <c r="E17" s="115"/>
      <c r="F17" s="115"/>
      <c r="G17" s="115"/>
      <c r="H17" s="115"/>
      <c r="I17" s="115"/>
      <c r="J17" s="115"/>
      <c r="K17" s="115"/>
      <c r="L17" s="115"/>
      <c r="M17" s="115"/>
      <c r="N17" s="115"/>
      <c r="O17" s="115"/>
      <c r="P17" s="115"/>
      <c r="Q17" s="115"/>
      <c r="R17" s="115"/>
      <c r="S17" s="115"/>
      <c r="T17" s="115"/>
      <c r="U17" s="115"/>
      <c r="V17" s="115"/>
      <c r="W17" s="115"/>
      <c r="X17" s="115"/>
      <c r="Y17" s="115"/>
      <c r="Z17" s="115"/>
      <c r="AA17" s="115"/>
      <c r="AB17" s="115"/>
      <c r="AC17" s="115"/>
      <c r="AD17" s="115"/>
      <c r="AE17" s="115"/>
    </row>
    <row r="18" spans="1:31">
      <c r="A18" s="115"/>
      <c r="B18" s="115"/>
      <c r="C18" s="115"/>
      <c r="D18" s="115"/>
      <c r="E18" s="115"/>
      <c r="F18" s="115"/>
      <c r="G18" s="115"/>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row>
    <row r="19" spans="1:31">
      <c r="A19" s="115"/>
      <c r="B19" s="115"/>
      <c r="C19" s="115"/>
      <c r="D19" s="115"/>
      <c r="E19" s="115"/>
      <c r="F19" s="115"/>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row>
    <row r="20" spans="1:31">
      <c r="A20" s="115"/>
      <c r="B20" s="115"/>
      <c r="C20" s="115"/>
      <c r="D20" s="115"/>
      <c r="E20" s="115"/>
      <c r="F20" s="115"/>
      <c r="G20" s="115"/>
      <c r="H20" s="115"/>
      <c r="I20" s="115"/>
      <c r="J20" s="115"/>
      <c r="K20" s="115"/>
      <c r="L20" s="115"/>
      <c r="M20" s="115"/>
      <c r="N20" s="115"/>
      <c r="O20" s="115"/>
      <c r="P20" s="115"/>
      <c r="Q20" s="115"/>
      <c r="R20" s="115"/>
      <c r="S20" s="115"/>
      <c r="T20" s="115"/>
      <c r="U20" s="115"/>
      <c r="V20" s="115"/>
      <c r="W20" s="115"/>
      <c r="X20" s="115"/>
      <c r="Y20" s="115"/>
      <c r="Z20" s="115"/>
      <c r="AA20" s="115"/>
      <c r="AB20" s="115"/>
      <c r="AC20" s="115"/>
      <c r="AD20" s="115"/>
      <c r="AE20" s="115"/>
    </row>
    <row r="21" spans="1:31">
      <c r="A21" s="115"/>
      <c r="B21" s="115"/>
      <c r="C21" s="115"/>
      <c r="D21" s="115"/>
      <c r="E21" s="115"/>
      <c r="F21" s="115"/>
      <c r="G21" s="115"/>
      <c r="H21" s="115"/>
      <c r="I21" s="115"/>
      <c r="J21" s="115"/>
      <c r="K21" s="115"/>
      <c r="L21" s="115"/>
      <c r="M21" s="115"/>
      <c r="N21" s="115"/>
      <c r="O21" s="115"/>
      <c r="P21" s="115"/>
      <c r="Q21" s="115"/>
      <c r="R21" s="115"/>
      <c r="S21" s="115"/>
      <c r="T21" s="115"/>
      <c r="U21" s="115"/>
      <c r="V21" s="115"/>
      <c r="W21" s="115"/>
      <c r="X21" s="115"/>
      <c r="Y21" s="115"/>
      <c r="Z21" s="115"/>
      <c r="AA21" s="115"/>
      <c r="AB21" s="115"/>
      <c r="AC21" s="115"/>
      <c r="AD21" s="115"/>
      <c r="AE21" s="115"/>
    </row>
    <row r="22" spans="1:31">
      <c r="A22" s="115"/>
      <c r="B22" s="115"/>
      <c r="C22" s="115"/>
      <c r="D22" s="115"/>
      <c r="E22" s="115"/>
      <c r="F22" s="115"/>
      <c r="G22" s="115"/>
      <c r="H22" s="115"/>
      <c r="I22" s="115"/>
      <c r="J22" s="115"/>
      <c r="K22" s="115"/>
      <c r="L22" s="115"/>
      <c r="M22" s="115"/>
      <c r="N22" s="115"/>
      <c r="O22" s="115"/>
      <c r="P22" s="115"/>
      <c r="Q22" s="115"/>
      <c r="R22" s="115"/>
      <c r="S22" s="115"/>
      <c r="T22" s="115"/>
      <c r="U22" s="115"/>
      <c r="V22" s="115"/>
      <c r="W22" s="115"/>
      <c r="X22" s="115"/>
      <c r="Y22" s="115"/>
      <c r="Z22" s="115"/>
      <c r="AA22" s="115"/>
      <c r="AB22" s="115"/>
      <c r="AC22" s="115"/>
      <c r="AD22" s="115"/>
      <c r="AE22" s="115"/>
    </row>
    <row r="23" spans="1:31">
      <c r="A23" s="115"/>
      <c r="B23" s="115"/>
      <c r="C23" s="115"/>
      <c r="D23" s="115"/>
      <c r="E23" s="115"/>
      <c r="F23" s="115"/>
      <c r="G23" s="115"/>
      <c r="H23" s="115"/>
      <c r="I23" s="115"/>
      <c r="J23" s="115"/>
      <c r="K23" s="115"/>
      <c r="L23" s="115"/>
      <c r="M23" s="115"/>
      <c r="N23" s="115"/>
      <c r="O23" s="115"/>
      <c r="P23" s="115"/>
      <c r="Q23" s="115"/>
      <c r="R23" s="115"/>
      <c r="S23" s="115"/>
      <c r="T23" s="115"/>
      <c r="U23" s="115"/>
      <c r="V23" s="115"/>
      <c r="W23" s="115"/>
      <c r="X23" s="115"/>
      <c r="Y23" s="115"/>
      <c r="Z23" s="115"/>
      <c r="AA23" s="115"/>
      <c r="AB23" s="115"/>
      <c r="AC23" s="115"/>
      <c r="AD23" s="115"/>
      <c r="AE23" s="115"/>
    </row>
    <row r="24" spans="1:31">
      <c r="A24" s="115"/>
      <c r="B24" s="115"/>
      <c r="C24" s="115"/>
      <c r="D24" s="115"/>
      <c r="E24" s="115"/>
      <c r="F24" s="115"/>
      <c r="G24" s="115"/>
      <c r="H24" s="115"/>
      <c r="I24" s="115"/>
      <c r="J24" s="115"/>
      <c r="K24" s="115"/>
      <c r="L24" s="115"/>
      <c r="M24" s="115"/>
      <c r="N24" s="115"/>
      <c r="O24" s="115"/>
      <c r="P24" s="115"/>
      <c r="Q24" s="115"/>
      <c r="R24" s="115"/>
      <c r="S24" s="115"/>
      <c r="T24" s="115"/>
      <c r="U24" s="115"/>
      <c r="V24" s="115"/>
      <c r="W24" s="115"/>
      <c r="X24" s="115"/>
      <c r="Y24" s="115"/>
      <c r="Z24" s="115"/>
      <c r="AA24" s="115"/>
      <c r="AB24" s="115"/>
      <c r="AC24" s="115"/>
      <c r="AD24" s="115"/>
      <c r="AE24" s="115"/>
    </row>
    <row r="25" spans="1:31">
      <c r="A25" s="115"/>
      <c r="B25" s="115"/>
      <c r="C25" s="115"/>
      <c r="D25" s="115"/>
      <c r="E25" s="115"/>
      <c r="F25" s="115"/>
      <c r="G25" s="115"/>
      <c r="H25" s="115"/>
      <c r="I25" s="115"/>
      <c r="J25" s="115"/>
      <c r="K25" s="115"/>
      <c r="L25" s="115"/>
      <c r="M25" s="115"/>
      <c r="N25" s="115"/>
      <c r="O25" s="115"/>
      <c r="P25" s="115"/>
      <c r="Q25" s="115"/>
      <c r="R25" s="115"/>
      <c r="S25" s="115"/>
      <c r="T25" s="115"/>
      <c r="U25" s="115"/>
      <c r="V25" s="115"/>
      <c r="W25" s="115"/>
      <c r="X25" s="115"/>
      <c r="Y25" s="115"/>
      <c r="Z25" s="115"/>
      <c r="AA25" s="115"/>
      <c r="AB25" s="115"/>
      <c r="AC25" s="115"/>
      <c r="AD25" s="115"/>
      <c r="AE25" s="115"/>
    </row>
    <row r="26" spans="1:31">
      <c r="A26" s="115"/>
      <c r="B26" s="115"/>
      <c r="C26" s="115"/>
      <c r="D26" s="115"/>
      <c r="E26" s="115"/>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row>
    <row r="27" spans="1:31">
      <c r="A27" s="115"/>
      <c r="B27" s="115"/>
      <c r="C27" s="115"/>
      <c r="D27" s="115"/>
      <c r="E27" s="115"/>
      <c r="F27" s="115"/>
      <c r="G27" s="115"/>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5"/>
    </row>
    <row r="28" spans="1:31">
      <c r="A28" s="115"/>
      <c r="B28" s="115"/>
      <c r="C28" s="115"/>
      <c r="D28" s="115"/>
      <c r="E28" s="115"/>
      <c r="F28" s="115"/>
      <c r="G28" s="115"/>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5"/>
    </row>
    <row r="29" spans="1:31">
      <c r="A29" s="115"/>
      <c r="B29" s="115"/>
      <c r="C29" s="115"/>
      <c r="D29" s="115"/>
      <c r="E29" s="115"/>
      <c r="F29" s="115"/>
      <c r="G29" s="115"/>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5"/>
    </row>
    <row r="30" spans="1:31">
      <c r="A30" s="115"/>
      <c r="B30" s="115"/>
      <c r="C30" s="115"/>
      <c r="D30" s="115"/>
      <c r="E30" s="115"/>
      <c r="F30" s="115"/>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row>
    <row r="31" spans="1:31">
      <c r="A31" s="115"/>
      <c r="B31" s="115"/>
      <c r="C31" s="115"/>
      <c r="D31" s="115"/>
      <c r="E31" s="115"/>
      <c r="F31" s="115"/>
      <c r="G31" s="115"/>
      <c r="H31" s="115"/>
      <c r="I31" s="115"/>
      <c r="J31" s="115"/>
      <c r="K31" s="115"/>
      <c r="L31" s="115"/>
      <c r="M31" s="115"/>
      <c r="N31" s="115"/>
      <c r="O31" s="115"/>
      <c r="P31" s="115"/>
      <c r="Q31" s="115"/>
      <c r="R31" s="115"/>
      <c r="S31" s="115"/>
      <c r="T31" s="115"/>
      <c r="U31" s="115"/>
      <c r="V31" s="115"/>
      <c r="W31" s="115"/>
      <c r="X31" s="115"/>
      <c r="Y31" s="115"/>
      <c r="Z31" s="115"/>
      <c r="AA31" s="115"/>
      <c r="AB31" s="115"/>
      <c r="AC31" s="115"/>
      <c r="AD31" s="115"/>
      <c r="AE31" s="115"/>
    </row>
    <row r="32" spans="1:31">
      <c r="A32" s="115"/>
      <c r="B32" s="115"/>
      <c r="C32" s="115"/>
      <c r="D32" s="115"/>
      <c r="E32" s="115"/>
      <c r="F32" s="115"/>
      <c r="G32" s="115"/>
      <c r="H32" s="115"/>
      <c r="I32" s="115"/>
      <c r="J32" s="115"/>
      <c r="K32" s="115"/>
      <c r="L32" s="115"/>
      <c r="M32" s="115"/>
      <c r="N32" s="115"/>
      <c r="O32" s="115"/>
      <c r="P32" s="115"/>
      <c r="Q32" s="115"/>
      <c r="R32" s="115"/>
      <c r="S32" s="115"/>
      <c r="T32" s="115"/>
      <c r="U32" s="115"/>
      <c r="V32" s="115"/>
      <c r="W32" s="115"/>
      <c r="X32" s="115"/>
      <c r="Y32" s="115"/>
      <c r="Z32" s="115"/>
      <c r="AA32" s="115"/>
      <c r="AB32" s="115"/>
      <c r="AC32" s="115"/>
      <c r="AD32" s="115"/>
      <c r="AE32" s="115"/>
    </row>
    <row r="33" spans="1:31">
      <c r="A33" s="115"/>
      <c r="B33" s="115"/>
      <c r="C33" s="115"/>
      <c r="D33" s="115"/>
      <c r="E33" s="115"/>
      <c r="F33" s="115"/>
      <c r="G33" s="115"/>
      <c r="H33" s="115"/>
      <c r="I33" s="115"/>
      <c r="J33" s="115"/>
      <c r="K33" s="115"/>
      <c r="L33" s="115"/>
      <c r="M33" s="115"/>
      <c r="N33" s="115"/>
      <c r="O33" s="115"/>
      <c r="P33" s="115"/>
      <c r="Q33" s="115"/>
      <c r="R33" s="115"/>
      <c r="S33" s="115"/>
      <c r="T33" s="115"/>
      <c r="U33" s="115"/>
      <c r="V33" s="115"/>
      <c r="W33" s="115"/>
      <c r="X33" s="115"/>
      <c r="Y33" s="115"/>
      <c r="Z33" s="115"/>
      <c r="AA33" s="115"/>
      <c r="AB33" s="115"/>
      <c r="AC33" s="115"/>
      <c r="AD33" s="115"/>
      <c r="AE33" s="115"/>
    </row>
    <row r="34" spans="1:31">
      <c r="A34" s="115"/>
      <c r="B34" s="115"/>
      <c r="C34" s="115"/>
      <c r="D34" s="115"/>
      <c r="E34" s="115"/>
      <c r="F34" s="115"/>
      <c r="G34" s="115"/>
      <c r="H34" s="115"/>
      <c r="I34" s="115"/>
      <c r="J34" s="115"/>
      <c r="K34" s="115"/>
      <c r="L34" s="115"/>
      <c r="M34" s="115"/>
      <c r="N34" s="115"/>
      <c r="O34" s="115"/>
      <c r="P34" s="115"/>
      <c r="Q34" s="115"/>
      <c r="R34" s="115"/>
      <c r="S34" s="115"/>
      <c r="T34" s="115"/>
      <c r="U34" s="115"/>
      <c r="V34" s="115"/>
      <c r="W34" s="115"/>
      <c r="X34" s="115"/>
      <c r="Y34" s="115"/>
      <c r="Z34" s="115"/>
      <c r="AA34" s="115"/>
      <c r="AB34" s="115"/>
      <c r="AC34" s="115"/>
      <c r="AD34" s="115"/>
      <c r="AE34" s="115"/>
    </row>
    <row r="35" spans="1:31">
      <c r="A35" s="115"/>
      <c r="B35" s="115"/>
      <c r="C35" s="115"/>
      <c r="D35" s="115"/>
      <c r="E35" s="115"/>
      <c r="F35" s="115"/>
      <c r="G35" s="115"/>
      <c r="H35" s="115"/>
      <c r="I35" s="115"/>
      <c r="J35" s="115"/>
      <c r="K35" s="115"/>
      <c r="L35" s="115"/>
      <c r="M35" s="115"/>
      <c r="N35" s="115"/>
      <c r="O35" s="115"/>
      <c r="P35" s="115"/>
      <c r="Q35" s="115"/>
      <c r="R35" s="115"/>
      <c r="S35" s="115"/>
      <c r="T35" s="115"/>
      <c r="U35" s="115"/>
      <c r="V35" s="115"/>
      <c r="W35" s="115"/>
      <c r="X35" s="115"/>
      <c r="Y35" s="115"/>
      <c r="Z35" s="115"/>
      <c r="AA35" s="115"/>
      <c r="AB35" s="115"/>
      <c r="AC35" s="115"/>
      <c r="AD35" s="115"/>
      <c r="AE35" s="115"/>
    </row>
    <row r="36" spans="1:31">
      <c r="A36" s="115"/>
      <c r="B36" s="115"/>
      <c r="C36" s="115"/>
      <c r="D36" s="115"/>
      <c r="E36" s="115"/>
      <c r="F36" s="115"/>
      <c r="G36" s="115"/>
      <c r="H36" s="115"/>
      <c r="I36" s="115"/>
      <c r="J36" s="115"/>
      <c r="K36" s="115"/>
      <c r="L36" s="115"/>
      <c r="M36" s="115"/>
      <c r="N36" s="115"/>
      <c r="O36" s="115"/>
      <c r="P36" s="115"/>
      <c r="Q36" s="115"/>
      <c r="R36" s="115"/>
      <c r="S36" s="115"/>
      <c r="T36" s="115"/>
      <c r="U36" s="115"/>
      <c r="V36" s="115"/>
      <c r="W36" s="115"/>
      <c r="X36" s="115"/>
      <c r="Y36" s="115"/>
      <c r="Z36" s="115"/>
      <c r="AA36" s="115"/>
      <c r="AB36" s="115"/>
      <c r="AC36" s="115"/>
      <c r="AD36" s="115"/>
      <c r="AE36" s="115"/>
    </row>
    <row r="37" spans="1:31">
      <c r="A37" s="115"/>
      <c r="B37" s="115"/>
      <c r="C37" s="115"/>
      <c r="D37" s="115"/>
      <c r="E37" s="115"/>
      <c r="F37" s="115"/>
      <c r="G37" s="115"/>
      <c r="H37" s="115"/>
      <c r="I37" s="115"/>
      <c r="J37" s="115"/>
      <c r="K37" s="115"/>
      <c r="L37" s="115"/>
      <c r="M37" s="115"/>
      <c r="N37" s="115"/>
      <c r="O37" s="115"/>
      <c r="P37" s="115"/>
      <c r="Q37" s="115"/>
      <c r="R37" s="115"/>
      <c r="S37" s="115"/>
      <c r="T37" s="115"/>
      <c r="U37" s="115"/>
      <c r="V37" s="115"/>
      <c r="W37" s="115"/>
      <c r="X37" s="115"/>
      <c r="Y37" s="115"/>
      <c r="Z37" s="115"/>
      <c r="AA37" s="115"/>
      <c r="AB37" s="115"/>
      <c r="AC37" s="115"/>
      <c r="AD37" s="115"/>
      <c r="AE37" s="115"/>
    </row>
    <row r="38" spans="1:31">
      <c r="A38" s="115"/>
      <c r="B38" s="115"/>
      <c r="C38" s="115"/>
      <c r="D38" s="115"/>
      <c r="E38" s="115"/>
      <c r="F38" s="115"/>
      <c r="G38" s="115"/>
      <c r="H38" s="115"/>
      <c r="I38" s="115"/>
      <c r="J38" s="115"/>
      <c r="K38" s="115"/>
      <c r="L38" s="115"/>
      <c r="M38" s="115"/>
      <c r="N38" s="115"/>
      <c r="O38" s="115"/>
      <c r="P38" s="115"/>
      <c r="Q38" s="115"/>
      <c r="R38" s="115"/>
      <c r="S38" s="115"/>
      <c r="T38" s="115"/>
      <c r="U38" s="115"/>
      <c r="V38" s="115"/>
      <c r="W38" s="115"/>
      <c r="X38" s="115"/>
      <c r="Y38" s="115"/>
      <c r="Z38" s="115"/>
      <c r="AA38" s="115"/>
      <c r="AB38" s="115"/>
      <c r="AC38" s="115"/>
      <c r="AD38" s="115"/>
      <c r="AE38" s="115"/>
    </row>
    <row r="39" spans="1:31">
      <c r="A39" s="115"/>
      <c r="B39" s="115"/>
      <c r="C39" s="115"/>
      <c r="D39" s="115"/>
      <c r="E39" s="115"/>
      <c r="F39" s="115"/>
      <c r="G39" s="115"/>
      <c r="H39" s="115"/>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row>
    <row r="40" spans="1:31">
      <c r="A40" s="115"/>
      <c r="B40" s="115"/>
      <c r="C40" s="115"/>
      <c r="D40" s="115"/>
      <c r="E40" s="115"/>
      <c r="F40" s="115"/>
      <c r="G40" s="115"/>
      <c r="H40" s="115"/>
      <c r="I40" s="115"/>
      <c r="J40" s="115"/>
      <c r="K40" s="115"/>
      <c r="L40" s="115"/>
      <c r="M40" s="115"/>
      <c r="N40" s="115"/>
      <c r="O40" s="115"/>
      <c r="P40" s="115"/>
      <c r="Q40" s="115"/>
      <c r="R40" s="115"/>
      <c r="S40" s="115"/>
      <c r="T40" s="115"/>
      <c r="U40" s="115"/>
      <c r="V40" s="115"/>
      <c r="W40" s="115"/>
      <c r="X40" s="115"/>
      <c r="Y40" s="115"/>
      <c r="Z40" s="115"/>
      <c r="AA40" s="115"/>
      <c r="AB40" s="115"/>
      <c r="AC40" s="115"/>
      <c r="AD40" s="115"/>
      <c r="AE40" s="115"/>
    </row>
    <row r="41" spans="1:31">
      <c r="A41" s="115"/>
      <c r="B41" s="115"/>
      <c r="C41" s="115"/>
      <c r="D41" s="115"/>
      <c r="E41" s="115"/>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5"/>
      <c r="AE41" s="115"/>
    </row>
    <row r="42" spans="1:31">
      <c r="A42" s="115"/>
      <c r="B42" s="115"/>
      <c r="C42" s="115"/>
      <c r="D42" s="115"/>
      <c r="E42" s="115"/>
      <c r="F42" s="115"/>
      <c r="G42" s="115"/>
      <c r="H42" s="115"/>
      <c r="I42" s="115"/>
      <c r="J42" s="115"/>
      <c r="K42" s="115"/>
      <c r="L42" s="115"/>
      <c r="M42" s="115"/>
      <c r="N42" s="115"/>
      <c r="O42" s="115"/>
      <c r="P42" s="115"/>
      <c r="Q42" s="115"/>
      <c r="R42" s="115"/>
      <c r="S42" s="115"/>
      <c r="T42" s="115"/>
      <c r="U42" s="115"/>
      <c r="V42" s="115"/>
      <c r="W42" s="115"/>
      <c r="X42" s="115"/>
      <c r="Y42" s="115"/>
      <c r="Z42" s="115"/>
      <c r="AA42" s="115"/>
      <c r="AB42" s="115"/>
      <c r="AC42" s="115"/>
      <c r="AD42" s="115"/>
      <c r="AE42" s="115"/>
    </row>
    <row r="43" spans="1:31">
      <c r="A43" s="115"/>
      <c r="B43" s="115"/>
      <c r="C43" s="115"/>
      <c r="D43" s="115"/>
      <c r="E43" s="115"/>
      <c r="F43" s="115"/>
      <c r="G43" s="115"/>
      <c r="H43" s="115"/>
      <c r="I43" s="115"/>
      <c r="J43" s="115"/>
      <c r="K43" s="115"/>
      <c r="L43" s="115"/>
      <c r="M43" s="115"/>
      <c r="N43" s="115"/>
      <c r="O43" s="115"/>
      <c r="P43" s="115"/>
      <c r="Q43" s="115"/>
      <c r="R43" s="115"/>
      <c r="S43" s="115"/>
      <c r="T43" s="115"/>
      <c r="U43" s="115"/>
      <c r="V43" s="115"/>
      <c r="W43" s="115"/>
      <c r="X43" s="115"/>
      <c r="Y43" s="115"/>
      <c r="Z43" s="115"/>
      <c r="AA43" s="115"/>
      <c r="AB43" s="115"/>
      <c r="AC43" s="115"/>
      <c r="AD43" s="115"/>
      <c r="AE43" s="115"/>
    </row>
    <row r="44" spans="1:31">
      <c r="A44" s="115"/>
      <c r="B44" s="115"/>
      <c r="C44" s="115"/>
      <c r="D44" s="115"/>
      <c r="E44" s="115"/>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row>
    <row r="45" spans="1:31">
      <c r="A45" s="115"/>
      <c r="B45" s="115"/>
      <c r="C45" s="115"/>
      <c r="D45" s="115"/>
      <c r="E45" s="115"/>
      <c r="F45" s="115"/>
      <c r="G45" s="115"/>
      <c r="H45" s="115"/>
      <c r="I45" s="115"/>
      <c r="J45" s="115"/>
      <c r="K45" s="115"/>
      <c r="L45" s="115"/>
      <c r="M45" s="115"/>
      <c r="N45" s="115"/>
      <c r="O45" s="115"/>
      <c r="P45" s="115"/>
      <c r="Q45" s="115"/>
      <c r="R45" s="115"/>
      <c r="S45" s="115"/>
      <c r="T45" s="115"/>
      <c r="U45" s="115"/>
      <c r="V45" s="115"/>
      <c r="W45" s="115"/>
      <c r="X45" s="115"/>
      <c r="Y45" s="115"/>
      <c r="Z45" s="115"/>
      <c r="AA45" s="115"/>
      <c r="AB45" s="115"/>
      <c r="AC45" s="115"/>
      <c r="AD45" s="115"/>
      <c r="AE45" s="115"/>
    </row>
    <row r="46" spans="1:31">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5"/>
      <c r="AE46" s="115"/>
    </row>
    <row r="47" spans="1:31">
      <c r="A47" s="115"/>
      <c r="B47" s="115"/>
      <c r="C47" s="115"/>
      <c r="D47" s="115"/>
      <c r="E47" s="115"/>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5"/>
      <c r="AE47" s="115"/>
    </row>
    <row r="48" spans="1:31">
      <c r="A48" s="115"/>
      <c r="B48" s="115"/>
      <c r="C48" s="115"/>
      <c r="D48" s="115"/>
      <c r="E48" s="115"/>
      <c r="F48" s="115"/>
      <c r="G48" s="115"/>
      <c r="H48" s="115"/>
      <c r="I48" s="115"/>
      <c r="J48" s="115"/>
      <c r="K48" s="115"/>
      <c r="L48" s="115"/>
      <c r="M48" s="115"/>
      <c r="N48" s="115"/>
      <c r="O48" s="115"/>
      <c r="P48" s="115"/>
      <c r="Q48" s="115"/>
      <c r="R48" s="115"/>
      <c r="S48" s="115"/>
      <c r="T48" s="115"/>
      <c r="U48" s="115"/>
      <c r="V48" s="115"/>
      <c r="W48" s="115"/>
      <c r="X48" s="115"/>
      <c r="Y48" s="115"/>
      <c r="Z48" s="115"/>
      <c r="AA48" s="115"/>
      <c r="AB48" s="115"/>
      <c r="AC48" s="115"/>
      <c r="AD48" s="115"/>
      <c r="AE48" s="115"/>
    </row>
    <row r="49" spans="1:31">
      <c r="A49" s="115"/>
      <c r="B49" s="115"/>
      <c r="C49" s="115"/>
      <c r="D49" s="115"/>
      <c r="E49" s="115"/>
      <c r="F49" s="115"/>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row>
    <row r="50" spans="1:31">
      <c r="A50" s="115"/>
      <c r="B50" s="115"/>
      <c r="C50" s="115"/>
      <c r="D50" s="115"/>
      <c r="E50" s="115"/>
      <c r="F50" s="115"/>
      <c r="G50" s="115"/>
      <c r="H50" s="115"/>
      <c r="I50" s="115"/>
      <c r="J50" s="115"/>
      <c r="K50" s="115"/>
      <c r="L50" s="115"/>
      <c r="M50" s="115"/>
      <c r="N50" s="115"/>
      <c r="O50" s="115"/>
      <c r="P50" s="115"/>
      <c r="Q50" s="115"/>
      <c r="R50" s="115"/>
      <c r="S50" s="115"/>
      <c r="T50" s="115"/>
      <c r="U50" s="115"/>
      <c r="V50" s="115"/>
      <c r="W50" s="115"/>
      <c r="X50" s="115"/>
      <c r="Y50" s="115"/>
      <c r="Z50" s="115"/>
      <c r="AA50" s="115"/>
      <c r="AB50" s="115"/>
      <c r="AC50" s="115"/>
      <c r="AD50" s="115"/>
      <c r="AE50" s="115"/>
    </row>
    <row r="51" spans="1:31">
      <c r="A51" s="115"/>
      <c r="B51" s="115"/>
      <c r="C51" s="115"/>
      <c r="D51" s="115"/>
      <c r="E51" s="115"/>
      <c r="F51" s="115"/>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row>
    <row r="52" spans="1:31">
      <c r="A52" s="115"/>
      <c r="B52" s="115"/>
      <c r="C52" s="115"/>
      <c r="D52" s="115"/>
      <c r="E52" s="115"/>
      <c r="F52" s="115"/>
      <c r="G52" s="115"/>
      <c r="H52" s="115"/>
      <c r="I52" s="115"/>
      <c r="J52" s="115"/>
      <c r="K52" s="115"/>
      <c r="L52" s="115"/>
      <c r="M52" s="115"/>
      <c r="N52" s="115"/>
      <c r="O52" s="115"/>
      <c r="P52" s="115"/>
      <c r="Q52" s="115"/>
      <c r="R52" s="115"/>
      <c r="S52" s="115"/>
      <c r="T52" s="115"/>
      <c r="U52" s="115"/>
      <c r="V52" s="115"/>
      <c r="W52" s="115"/>
      <c r="X52" s="115"/>
      <c r="Y52" s="115"/>
      <c r="Z52" s="115"/>
      <c r="AA52" s="115"/>
      <c r="AB52" s="115"/>
      <c r="AC52" s="115"/>
      <c r="AD52" s="115"/>
      <c r="AE52" s="115"/>
    </row>
    <row r="53" spans="1:31">
      <c r="A53" s="115"/>
      <c r="B53" s="115"/>
      <c r="C53" s="115"/>
      <c r="D53" s="115"/>
      <c r="E53" s="115"/>
      <c r="F53" s="115"/>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row>
    <row r="54" spans="1:31">
      <c r="A54" s="115"/>
      <c r="B54" s="115"/>
      <c r="C54" s="115"/>
      <c r="D54" s="115"/>
      <c r="E54" s="115"/>
      <c r="F54" s="115"/>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row>
    <row r="55" spans="1:31">
      <c r="A55" s="115"/>
      <c r="B55" s="115"/>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row>
    <row r="56" spans="1:31">
      <c r="A56" s="115"/>
      <c r="B56" s="115"/>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row>
    <row r="57" spans="1:31">
      <c r="A57" s="115"/>
      <c r="B57" s="115"/>
      <c r="C57" s="115"/>
      <c r="D57" s="115"/>
      <c r="E57" s="115"/>
      <c r="F57" s="115"/>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row>
    <row r="58" spans="1:31">
      <c r="A58" s="115"/>
      <c r="B58" s="115"/>
      <c r="C58" s="115"/>
      <c r="D58" s="115"/>
      <c r="E58" s="115"/>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row>
    <row r="59" spans="1:31">
      <c r="A59" s="115"/>
      <c r="B59" s="115"/>
      <c r="C59" s="115"/>
      <c r="D59" s="115"/>
      <c r="E59" s="115"/>
      <c r="F59" s="115"/>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row>
    <row r="60" spans="1:31">
      <c r="A60" s="115"/>
      <c r="B60" s="115"/>
      <c r="C60" s="115"/>
      <c r="D60" s="115"/>
      <c r="E60" s="115"/>
      <c r="F60" s="115"/>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row>
    <row r="61" spans="1:31">
      <c r="A61" s="115"/>
      <c r="B61" s="115"/>
      <c r="C61" s="115"/>
      <c r="D61" s="115"/>
      <c r="E61" s="115"/>
      <c r="F61" s="115"/>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row>
    <row r="62" spans="1:31">
      <c r="A62" s="115"/>
      <c r="B62" s="115"/>
      <c r="C62" s="115"/>
      <c r="D62" s="115"/>
      <c r="E62" s="115"/>
      <c r="F62" s="115"/>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row>
    <row r="63" spans="1:31">
      <c r="A63" s="115"/>
      <c r="B63" s="115"/>
      <c r="C63" s="115"/>
      <c r="D63" s="115"/>
      <c r="E63" s="115"/>
      <c r="F63" s="115"/>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row>
    <row r="64" spans="1:31">
      <c r="A64" s="115"/>
      <c r="B64" s="115"/>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row>
    <row r="65" spans="1:31">
      <c r="A65" s="115"/>
      <c r="B65" s="115"/>
      <c r="C65" s="115"/>
      <c r="D65" s="115"/>
      <c r="E65" s="115"/>
      <c r="F65" s="115"/>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row>
    <row r="66" spans="1:31">
      <c r="A66" s="115"/>
      <c r="B66" s="115"/>
      <c r="C66" s="115"/>
      <c r="D66" s="115"/>
      <c r="E66" s="115"/>
      <c r="F66" s="115"/>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row>
    <row r="67" spans="1:31">
      <c r="A67" s="115"/>
      <c r="B67" s="115"/>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row>
    <row r="68" spans="1:31">
      <c r="A68" s="115"/>
      <c r="B68" s="115"/>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row>
    <row r="69" spans="1:31">
      <c r="A69" s="115"/>
      <c r="B69" s="115"/>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row>
    <row r="70" spans="1:31">
      <c r="A70" s="115"/>
      <c r="B70" s="115"/>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row>
    <row r="71" spans="1:31">
      <c r="A71" s="115"/>
      <c r="B71" s="115"/>
      <c r="C71" s="115"/>
      <c r="D71" s="115"/>
      <c r="E71" s="115"/>
      <c r="F71" s="115"/>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row>
    <row r="72" spans="1:31">
      <c r="A72" s="115"/>
      <c r="B72" s="115"/>
      <c r="C72" s="115"/>
      <c r="D72" s="115"/>
      <c r="E72" s="115"/>
      <c r="F72" s="115"/>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row>
    <row r="73" spans="1:31">
      <c r="A73" s="115"/>
      <c r="B73" s="115"/>
      <c r="C73" s="115"/>
      <c r="D73" s="115"/>
      <c r="E73" s="115"/>
      <c r="F73" s="115"/>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row>
    <row r="74" spans="1:31">
      <c r="A74" s="115"/>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row>
    <row r="75" spans="1:31">
      <c r="A75" s="115"/>
      <c r="B75" s="115"/>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row>
    <row r="76" spans="1:31">
      <c r="A76" s="115"/>
      <c r="B76" s="115"/>
      <c r="C76" s="115"/>
      <c r="D76" s="115"/>
      <c r="E76" s="115"/>
      <c r="F76" s="115"/>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row>
    <row r="77" spans="1:31">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row>
    <row r="78" spans="1:31">
      <c r="A78" s="115"/>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row>
    <row r="79" spans="1:31">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row>
    <row r="80" spans="1:31">
      <c r="A80" s="115"/>
      <c r="B80" s="115"/>
      <c r="C80" s="115"/>
      <c r="D80" s="115"/>
      <c r="E80" s="115"/>
      <c r="F80" s="115"/>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row>
    <row r="81" spans="1:31">
      <c r="A81" s="115"/>
      <c r="B81" s="115"/>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row>
    <row r="82" spans="1:31">
      <c r="A82" s="115"/>
      <c r="B82" s="115"/>
      <c r="C82" s="115"/>
      <c r="D82" s="115"/>
      <c r="E82" s="115"/>
      <c r="F82" s="115"/>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row>
    <row r="83" spans="1:31">
      <c r="A83" s="11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row>
    <row r="84" spans="1:31">
      <c r="A84" s="115"/>
      <c r="B84" s="115"/>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row>
    <row r="85" spans="1:31">
      <c r="A85" s="115"/>
      <c r="B85" s="115"/>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row>
    <row r="86" spans="1:31">
      <c r="A86" s="115"/>
      <c r="B86" s="115"/>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row>
    <row r="87" spans="1:31">
      <c r="A87" s="11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row>
    <row r="88" spans="1:31">
      <c r="A88" s="115"/>
      <c r="B88" s="115"/>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row>
    <row r="89" spans="1:31">
      <c r="A89" s="115"/>
      <c r="B89" s="115"/>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row>
    <row r="90" spans="1:31">
      <c r="A90" s="115"/>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row>
    <row r="91" spans="1:31">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row>
    <row r="92" spans="1:31">
      <c r="A92" s="115"/>
      <c r="B92" s="115"/>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row>
    <row r="93" spans="1:31">
      <c r="A93" s="115"/>
      <c r="B93" s="115"/>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row>
    <row r="94" spans="1:31">
      <c r="A94" s="115"/>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row>
    <row r="95" spans="1:31">
      <c r="A95" s="115"/>
      <c r="B95" s="115"/>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row>
    <row r="96" spans="1:31">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row>
    <row r="97" spans="1:31">
      <c r="A97" s="115"/>
      <c r="B97" s="115"/>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row>
    <row r="98" spans="1:31">
      <c r="A98" s="115"/>
      <c r="B98" s="115"/>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row>
    <row r="99" spans="1:31">
      <c r="A99" s="115"/>
      <c r="B99" s="115"/>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row>
    <row r="100" spans="1:31">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row>
    <row r="101" spans="1:31">
      <c r="A101" s="115"/>
      <c r="B101" s="115"/>
      <c r="C101" s="115"/>
      <c r="D101" s="115"/>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row>
    <row r="102" spans="1:31">
      <c r="A102" s="115"/>
      <c r="B102" s="115"/>
      <c r="C102" s="115"/>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row>
    <row r="103" spans="1:31">
      <c r="A103" s="115"/>
      <c r="B103" s="115"/>
      <c r="C103" s="115"/>
      <c r="D103" s="115"/>
      <c r="E103" s="115"/>
      <c r="F103" s="115"/>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row>
    <row r="104" spans="1:31">
      <c r="A104" s="115"/>
      <c r="B104" s="115"/>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row>
    <row r="105" spans="1:31">
      <c r="A105" s="115"/>
      <c r="B105" s="115"/>
      <c r="C105" s="115"/>
      <c r="D105" s="115"/>
      <c r="E105" s="115"/>
      <c r="F105" s="115"/>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row>
    <row r="106" spans="1:31">
      <c r="A106" s="115"/>
      <c r="B106" s="115"/>
      <c r="C106" s="115"/>
      <c r="D106" s="115"/>
      <c r="E106" s="115"/>
      <c r="F106" s="115"/>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row>
    <row r="107" spans="1:31">
      <c r="A107" s="115"/>
      <c r="B107" s="115"/>
      <c r="C107" s="115"/>
      <c r="D107" s="115"/>
      <c r="E107" s="115"/>
      <c r="F107" s="115"/>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row>
    <row r="108" spans="1:31">
      <c r="A108" s="115"/>
      <c r="B108" s="115"/>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row>
    <row r="109" spans="1:31">
      <c r="A109" s="115"/>
      <c r="B109" s="115"/>
      <c r="C109" s="115"/>
      <c r="D109" s="115"/>
      <c r="E109" s="115"/>
      <c r="F109" s="115"/>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row>
    <row r="110" spans="1:31">
      <c r="A110" s="115"/>
      <c r="B110" s="115"/>
      <c r="C110" s="115"/>
      <c r="D110" s="115"/>
      <c r="E110" s="115"/>
      <c r="F110" s="115"/>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row>
    <row r="111" spans="1:31">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row>
    <row r="112" spans="1:31">
      <c r="A112" s="115"/>
      <c r="B112" s="115"/>
      <c r="C112" s="115"/>
      <c r="D112" s="115"/>
      <c r="E112" s="115"/>
      <c r="F112" s="115"/>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row>
    <row r="113" spans="1:31">
      <c r="A113" s="115"/>
      <c r="B113" s="115"/>
      <c r="C113" s="115"/>
      <c r="D113" s="115"/>
      <c r="E113" s="115"/>
      <c r="F113" s="115"/>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row>
    <row r="114" spans="1:31">
      <c r="A114" s="115"/>
      <c r="B114" s="115"/>
      <c r="C114" s="115"/>
      <c r="D114" s="115"/>
      <c r="E114" s="115"/>
      <c r="F114" s="115"/>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row>
    <row r="115" spans="1:31">
      <c r="A115" s="115"/>
      <c r="B115" s="115"/>
      <c r="C115" s="115"/>
      <c r="D115" s="115"/>
      <c r="E115" s="115"/>
      <c r="F115" s="115"/>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row>
    <row r="116" spans="1:31">
      <c r="A116" s="115"/>
      <c r="B116" s="115"/>
      <c r="C116" s="115"/>
      <c r="D116" s="115"/>
      <c r="E116" s="115"/>
      <c r="F116" s="115"/>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row>
    <row r="117" spans="1:31">
      <c r="A117" s="115"/>
      <c r="B117" s="115"/>
      <c r="C117" s="115"/>
      <c r="D117" s="115"/>
      <c r="E117" s="115"/>
      <c r="F117" s="115"/>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row>
    <row r="118" spans="1:31">
      <c r="A118" s="115"/>
      <c r="B118" s="115"/>
      <c r="C118" s="115"/>
      <c r="D118" s="115"/>
      <c r="E118" s="115"/>
      <c r="F118" s="115"/>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row>
    <row r="119" spans="1:31">
      <c r="A119" s="115"/>
      <c r="B119" s="115"/>
      <c r="C119" s="115"/>
      <c r="D119" s="115"/>
      <c r="E119" s="115"/>
      <c r="F119" s="115"/>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row>
    <row r="120" spans="1:31">
      <c r="A120" s="115"/>
      <c r="B120" s="115"/>
      <c r="C120" s="115"/>
      <c r="D120" s="115"/>
      <c r="E120" s="115"/>
      <c r="F120" s="115"/>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row>
    <row r="121" spans="1:31">
      <c r="A121" s="115"/>
      <c r="B121" s="115"/>
      <c r="C121" s="115"/>
      <c r="D121" s="115"/>
      <c r="E121" s="115"/>
      <c r="F121" s="115"/>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row>
    <row r="122" spans="1:31">
      <c r="A122" s="115"/>
      <c r="B122" s="115"/>
      <c r="C122" s="115"/>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row>
    <row r="123" spans="1:31">
      <c r="A123" s="115"/>
      <c r="B123" s="115"/>
      <c r="C123" s="115"/>
      <c r="D123" s="115"/>
      <c r="E123" s="115"/>
      <c r="F123" s="115"/>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row>
    <row r="124" spans="1:31">
      <c r="A124" s="115"/>
      <c r="B124" s="115"/>
      <c r="C124" s="115"/>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row>
    <row r="125" spans="1:31">
      <c r="A125" s="115"/>
      <c r="B125" s="115"/>
      <c r="C125" s="11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row>
    <row r="126" spans="1:31">
      <c r="A126" s="115"/>
      <c r="B126" s="115"/>
      <c r="C126" s="11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row>
    <row r="127" spans="1:31">
      <c r="A127" s="115"/>
      <c r="B127" s="115"/>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row>
    <row r="128" spans="1:31">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row>
    <row r="129" spans="1:31">
      <c r="A129" s="115"/>
      <c r="B129" s="115"/>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row>
    <row r="130" spans="1:31">
      <c r="A130" s="115"/>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row>
    <row r="131" spans="1:31">
      <c r="A131" s="115"/>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row>
    <row r="132" spans="1:31">
      <c r="A132" s="115"/>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row>
    <row r="133" spans="1:31">
      <c r="A133" s="115"/>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row>
    <row r="134" spans="1:31">
      <c r="A134" s="115"/>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row>
    <row r="135" spans="1:31">
      <c r="A135" s="115"/>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row>
    <row r="136" spans="1:31">
      <c r="A136" s="115"/>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row>
    <row r="137" spans="1:31">
      <c r="A137" s="115"/>
      <c r="B137" s="115"/>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row>
    <row r="138" spans="1:31">
      <c r="A138" s="115"/>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row>
    <row r="139" spans="1:31">
      <c r="A139" s="115"/>
      <c r="B139" s="115"/>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row>
    <row r="140" spans="1:31">
      <c r="A140" s="115"/>
      <c r="B140" s="115"/>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row>
    <row r="141" spans="1:31">
      <c r="A141" s="115"/>
      <c r="B141" s="115"/>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row>
    <row r="142" spans="1:31">
      <c r="A142" s="115"/>
      <c r="B142" s="115"/>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row>
    <row r="143" spans="1:31">
      <c r="A143" s="115"/>
      <c r="B143" s="115"/>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row>
    <row r="144" spans="1:31">
      <c r="A144" s="115"/>
      <c r="B144" s="115"/>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row>
    <row r="145" spans="1:31">
      <c r="A145" s="115"/>
      <c r="B145" s="115"/>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row>
    <row r="146" spans="1:31">
      <c r="A146" s="115"/>
      <c r="B146" s="115"/>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row>
    <row r="147" spans="1:31">
      <c r="A147" s="115"/>
      <c r="B147" s="115"/>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row>
    <row r="148" spans="1:31">
      <c r="A148" s="115"/>
      <c r="B148" s="115"/>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row>
    <row r="149" spans="1:31">
      <c r="A149" s="115"/>
      <c r="B149" s="115"/>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row>
    <row r="150" spans="1:31">
      <c r="A150" s="115"/>
      <c r="B150" s="115"/>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row>
    <row r="151" spans="1:31">
      <c r="A151" s="115"/>
      <c r="B151" s="115"/>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row>
    <row r="152" spans="1:31">
      <c r="A152" s="115"/>
      <c r="B152" s="115"/>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row>
    <row r="153" spans="1:31">
      <c r="A153" s="115"/>
      <c r="B153" s="115"/>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row>
    <row r="154" spans="1:31">
      <c r="A154" s="115"/>
      <c r="B154" s="115"/>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row>
    <row r="155" spans="1:31">
      <c r="A155" s="115"/>
      <c r="B155" s="115"/>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row>
    <row r="156" spans="1:31">
      <c r="A156" s="115"/>
      <c r="B156" s="115"/>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row>
    <row r="157" spans="1:31">
      <c r="A157" s="115"/>
      <c r="B157" s="115"/>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row>
    <row r="158" spans="1:31">
      <c r="A158" s="115"/>
      <c r="B158" s="115"/>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row>
    <row r="159" spans="1:31">
      <c r="A159" s="115"/>
      <c r="B159" s="115"/>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row>
    <row r="160" spans="1:31">
      <c r="A160" s="115"/>
      <c r="B160" s="115"/>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row>
    <row r="161" spans="1:31">
      <c r="A161" s="115"/>
      <c r="B161" s="115"/>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row>
    <row r="162" spans="1:31">
      <c r="A162" s="115"/>
      <c r="B162" s="115"/>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row>
    <row r="163" spans="1:31">
      <c r="A163" s="115"/>
      <c r="B163" s="115"/>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row>
    <row r="164" spans="1:31">
      <c r="A164" s="115"/>
      <c r="B164" s="115"/>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row>
    <row r="165" spans="1:31">
      <c r="A165" s="115"/>
      <c r="B165" s="115"/>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row>
    <row r="166" spans="1:31">
      <c r="A166" s="115"/>
      <c r="B166" s="115"/>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row>
    <row r="167" spans="1:31">
      <c r="A167" s="115"/>
      <c r="B167" s="115"/>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row>
    <row r="168" spans="1:31">
      <c r="A168" s="115"/>
      <c r="B168" s="115"/>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row>
    <row r="169" spans="1:31">
      <c r="A169" s="115"/>
      <c r="B169" s="115"/>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row>
    <row r="170" spans="1:31">
      <c r="A170" s="115"/>
      <c r="B170" s="115"/>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row>
    <row r="171" spans="1:31">
      <c r="A171" s="115"/>
      <c r="B171" s="115"/>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row>
    <row r="172" spans="1:31">
      <c r="A172" s="115"/>
      <c r="B172" s="115"/>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row>
    <row r="173" spans="1:31">
      <c r="A173" s="115"/>
      <c r="B173" s="115"/>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row>
    <row r="174" spans="1:31">
      <c r="A174" s="115"/>
      <c r="B174" s="115"/>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row>
    <row r="175" spans="1:31">
      <c r="A175" s="115"/>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row>
    <row r="176" spans="1:31">
      <c r="A176" s="115"/>
      <c r="B176" s="115"/>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row>
    <row r="177" spans="1:31">
      <c r="A177" s="115"/>
      <c r="B177" s="115"/>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row>
    <row r="178" spans="1:31">
      <c r="A178" s="115"/>
      <c r="B178" s="115"/>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row>
    <row r="179" spans="1:31">
      <c r="A179" s="115"/>
      <c r="B179" s="115"/>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row>
    <row r="180" spans="1:31">
      <c r="A180" s="115"/>
      <c r="B180" s="115"/>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row>
    <row r="181" spans="1:31">
      <c r="A181" s="115"/>
      <c r="B181" s="115"/>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row>
    <row r="182" spans="1:31">
      <c r="A182" s="115"/>
      <c r="B182" s="115"/>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row>
    <row r="183" spans="1:31">
      <c r="A183" s="115"/>
      <c r="B183" s="115"/>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row>
    <row r="184" spans="1:31">
      <c r="A184" s="115"/>
      <c r="B184" s="115"/>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row>
    <row r="185" spans="1:31">
      <c r="A185" s="115"/>
      <c r="B185" s="115"/>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row>
    <row r="186" spans="1:31">
      <c r="A186" s="115"/>
      <c r="B186" s="115"/>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row>
    <row r="187" spans="1:31">
      <c r="A187" s="115"/>
      <c r="B187" s="115"/>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row>
    <row r="188" spans="1:31">
      <c r="A188" s="115"/>
      <c r="B188" s="115"/>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row>
    <row r="189" spans="1:31">
      <c r="A189" s="115"/>
      <c r="B189" s="115"/>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row>
    <row r="190" spans="1:31">
      <c r="A190" s="115"/>
      <c r="B190" s="115"/>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row>
    <row r="191" spans="1:31">
      <c r="A191" s="115"/>
      <c r="B191" s="115"/>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row>
    <row r="192" spans="1:31">
      <c r="A192" s="115"/>
      <c r="B192" s="115"/>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row>
    <row r="193" spans="1:31">
      <c r="A193" s="115"/>
      <c r="B193" s="115"/>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row>
    <row r="194" spans="1:31">
      <c r="A194" s="115"/>
      <c r="B194" s="115"/>
      <c r="C194" s="115"/>
      <c r="D194" s="115"/>
      <c r="E194" s="115"/>
      <c r="F194" s="115"/>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row>
    <row r="195" spans="1:31">
      <c r="A195" s="115"/>
      <c r="B195" s="115"/>
      <c r="C195" s="115"/>
      <c r="D195" s="115"/>
      <c r="E195" s="115"/>
      <c r="F195" s="115"/>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row>
    <row r="196" spans="1:31">
      <c r="A196" s="115"/>
      <c r="B196" s="115"/>
      <c r="C196" s="115"/>
      <c r="D196" s="115"/>
      <c r="E196" s="115"/>
      <c r="F196" s="115"/>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row>
    <row r="197" spans="1:31">
      <c r="A197" s="115"/>
      <c r="B197" s="115"/>
      <c r="C197" s="115"/>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row>
    <row r="198" spans="1:31">
      <c r="A198" s="115"/>
      <c r="B198" s="115"/>
      <c r="C198" s="115"/>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row>
    <row r="199" spans="1:31">
      <c r="A199" s="115"/>
      <c r="B199" s="115"/>
      <c r="C199" s="115"/>
      <c r="D199" s="115"/>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row>
    <row r="200" spans="1:31">
      <c r="A200" s="115"/>
      <c r="B200" s="115"/>
      <c r="C200" s="115"/>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row>
    <row r="201" spans="1:31">
      <c r="A201" s="115"/>
      <c r="B201" s="115"/>
      <c r="C201" s="115"/>
      <c r="D201" s="115"/>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row>
    <row r="202" spans="1:31">
      <c r="A202" s="115"/>
      <c r="B202" s="115"/>
      <c r="C202" s="115"/>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row>
    <row r="203" spans="1:31">
      <c r="A203" s="115"/>
      <c r="B203" s="115"/>
      <c r="C203" s="115"/>
      <c r="D203" s="115"/>
      <c r="E203" s="115"/>
      <c r="F203" s="115"/>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row>
  </sheetData>
  <sheetProtection algorithmName="SHA-512" hashValue="99/dV9sfnX0crANDP7OMcPH/szh2eG1BauchxIjRY28r5DXTu6HhRMdAV98ZyG1ZiCjXDL0w2q0IknKplqzivg==" saltValue="uv+OP0tv88XqxzD1kYV42g==" spinCount="100000" sheet="1" objects="1" scenarios="1"/>
  <pageMargins left="0.70866141732283505" right="0.70866141732283505" top="0.74803149606299202" bottom="0.71" header="0.31496062992126" footer="0.31496062992126"/>
  <pageSetup paperSize="9" scale="62" orientation="landscape" r:id="rId1"/>
  <headerFooter>
    <oddFooter>&amp;LNova Scotia Exploration Economics Model&amp;Rwww.indeva.com</oddFooter>
  </headerFooter>
  <rowBreaks count="1" manualBreakCount="1">
    <brk id="53" max="16383" man="1"/>
  </rowBreaks>
  <colBreaks count="1" manualBreakCount="1">
    <brk id="24"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79998168889431442"/>
  </sheetPr>
  <dimension ref="A1:BZ130"/>
  <sheetViews>
    <sheetView showGridLines="0" showZeros="0" zoomScale="75" zoomScaleNormal="75" workbookViewId="0">
      <pane xSplit="1" ySplit="2" topLeftCell="B70" activePane="bottomRight" state="frozen"/>
      <selection activeCell="D43" sqref="D43"/>
      <selection pane="topRight" activeCell="D43" sqref="D43"/>
      <selection pane="bottomLeft" activeCell="D43" sqref="D43"/>
      <selection pane="bottomRight" activeCell="C92" sqref="C92"/>
    </sheetView>
  </sheetViews>
  <sheetFormatPr defaultRowHeight="14.5"/>
  <cols>
    <col min="1" max="1" width="36" customWidth="1"/>
    <col min="2" max="2" width="12.7265625" customWidth="1"/>
    <col min="3" max="3" width="12.26953125" customWidth="1"/>
    <col min="4" max="4" width="12.81640625" customWidth="1"/>
    <col min="5" max="5" width="13.453125" customWidth="1"/>
    <col min="6" max="6" width="11.26953125" customWidth="1"/>
    <col min="7" max="8" width="12.1796875" customWidth="1"/>
    <col min="9" max="9" width="12.26953125" bestFit="1" customWidth="1"/>
    <col min="10" max="10" width="11.54296875" customWidth="1"/>
    <col min="11" max="11" width="10.54296875" customWidth="1"/>
    <col min="12" max="12" width="12.1796875" customWidth="1"/>
    <col min="13" max="13" width="11.453125" customWidth="1"/>
    <col min="14" max="14" width="12" customWidth="1"/>
    <col min="15" max="15" width="12.1796875" customWidth="1"/>
    <col min="16" max="16" width="11" customWidth="1"/>
    <col min="17" max="17" width="11.81640625" customWidth="1"/>
    <col min="18" max="19" width="10.7265625" customWidth="1"/>
    <col min="20" max="20" width="12.26953125" customWidth="1"/>
    <col min="21" max="21" width="12.54296875" customWidth="1"/>
    <col min="22" max="22" width="12.26953125" customWidth="1"/>
    <col min="23" max="23" width="12" customWidth="1"/>
    <col min="24" max="24" width="13.26953125" customWidth="1"/>
    <col min="25" max="25" width="13.453125" bestFit="1" customWidth="1"/>
    <col min="26" max="26" width="12.7265625" bestFit="1" customWidth="1"/>
    <col min="27" max="27" width="11" bestFit="1" customWidth="1"/>
    <col min="28" max="28" width="13.26953125" bestFit="1" customWidth="1"/>
    <col min="29" max="29" width="11.81640625" customWidth="1"/>
    <col min="30" max="30" width="11" customWidth="1"/>
    <col min="31" max="31" width="12.1796875" customWidth="1"/>
    <col min="32" max="33" width="11.81640625" customWidth="1"/>
    <col min="34" max="34" width="12.54296875" customWidth="1"/>
    <col min="35" max="35" width="13.1796875" customWidth="1"/>
    <col min="36" max="41" width="11.7265625" customWidth="1"/>
    <col min="42" max="42" width="12.453125" customWidth="1"/>
    <col min="43" max="44" width="13.54296875" customWidth="1"/>
    <col min="45" max="45" width="12.7265625" customWidth="1"/>
    <col min="46" max="46" width="10.81640625" customWidth="1"/>
    <col min="47" max="47" width="9.81640625" customWidth="1"/>
    <col min="48" max="48" width="10.453125" customWidth="1"/>
    <col min="49" max="51" width="9.26953125" bestFit="1" customWidth="1"/>
    <col min="52" max="52" width="11.7265625" customWidth="1"/>
    <col min="53" max="53" width="12.54296875" customWidth="1"/>
    <col min="54" max="55" width="13.1796875" customWidth="1"/>
    <col min="56" max="56" width="12.453125" customWidth="1"/>
    <col min="57" max="57" width="10.7265625" customWidth="1"/>
    <col min="58" max="58" width="10.453125" bestFit="1" customWidth="1"/>
    <col min="59" max="59" width="10.1796875" customWidth="1"/>
    <col min="60" max="60" width="10.453125" bestFit="1" customWidth="1"/>
    <col min="62" max="62" width="9.81640625" customWidth="1"/>
    <col min="63" max="63" width="12" customWidth="1"/>
    <col min="64" max="64" width="13.54296875" customWidth="1"/>
    <col min="65" max="65" width="10.453125" customWidth="1"/>
    <col min="66" max="66" width="10.453125" bestFit="1" customWidth="1"/>
    <col min="67" max="67" width="10.26953125" customWidth="1"/>
    <col min="68" max="70" width="9.26953125" bestFit="1" customWidth="1"/>
    <col min="71" max="71" width="10.26953125" customWidth="1"/>
    <col min="72" max="72" width="9.26953125" bestFit="1" customWidth="1"/>
    <col min="73" max="74" width="11.453125" customWidth="1"/>
    <col min="75" max="75" width="13" customWidth="1"/>
    <col min="76" max="76" width="10.453125" bestFit="1" customWidth="1"/>
  </cols>
  <sheetData>
    <row r="1" spans="1:78" ht="18.5">
      <c r="A1" s="142" t="str">
        <f>Input!B8</f>
        <v>Prospect X</v>
      </c>
      <c r="B1" s="142" t="s">
        <v>227</v>
      </c>
      <c r="C1" s="142"/>
      <c r="D1" s="163"/>
      <c r="E1" s="93"/>
      <c r="F1" s="93"/>
      <c r="G1" s="143" t="s">
        <v>768</v>
      </c>
      <c r="H1" s="93"/>
      <c r="I1" s="93"/>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c r="BV1" s="93"/>
      <c r="BW1" s="93"/>
      <c r="BX1" s="93"/>
      <c r="BY1" s="93"/>
      <c r="BZ1" s="93"/>
    </row>
    <row r="2" spans="1:78" ht="18.5">
      <c r="A2" s="93"/>
      <c r="B2" s="93"/>
      <c r="C2" s="93"/>
      <c r="D2" s="93"/>
      <c r="E2" s="93"/>
      <c r="F2" s="93"/>
      <c r="G2" s="143" t="s">
        <v>143</v>
      </c>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row>
    <row r="3" spans="1:78">
      <c r="A3" s="93"/>
      <c r="B3" s="133" t="s">
        <v>79</v>
      </c>
      <c r="C3" s="93"/>
      <c r="D3" s="93"/>
      <c r="E3" s="93"/>
      <c r="F3" s="93"/>
      <c r="G3" s="93"/>
      <c r="H3" s="93"/>
      <c r="I3" s="93"/>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c r="BV3" s="93"/>
      <c r="BW3" s="93"/>
      <c r="BX3" s="93"/>
      <c r="BY3" s="93"/>
      <c r="BZ3" s="93"/>
    </row>
    <row r="4" spans="1:78">
      <c r="A4" s="93" t="s">
        <v>228</v>
      </c>
      <c r="B4" s="133">
        <f>IF(Overrides!C33=Lists!A37,1,0)</f>
        <v>0</v>
      </c>
      <c r="C4" s="93"/>
      <c r="D4" s="93"/>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c r="BV4" s="93"/>
      <c r="BW4" s="93"/>
      <c r="BX4" s="93"/>
      <c r="BY4" s="93"/>
      <c r="BZ4" s="93"/>
    </row>
    <row r="5" spans="1:78">
      <c r="A5" s="134" t="s">
        <v>229</v>
      </c>
      <c r="B5" s="149">
        <f>ROUNDDOWN(IF(Thresholds!E1=Lists!A11,Input!B10,Exploration!J27+'Cost Assumptions'!O21),0)</f>
        <v>1222</v>
      </c>
      <c r="C5" s="155" t="s">
        <v>14</v>
      </c>
      <c r="D5" s="155" t="s">
        <v>230</v>
      </c>
      <c r="E5" s="93"/>
      <c r="F5" s="93"/>
      <c r="G5" s="93"/>
      <c r="H5" s="93"/>
      <c r="I5" s="93"/>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c r="BT5" s="93"/>
      <c r="BU5" s="93"/>
      <c r="BV5" s="93"/>
      <c r="BW5" s="93"/>
      <c r="BX5" s="93"/>
      <c r="BY5" s="93"/>
      <c r="BZ5" s="93"/>
    </row>
    <row r="6" spans="1:78">
      <c r="A6" s="134" t="s">
        <v>231</v>
      </c>
      <c r="B6" s="149">
        <f>IF(B4=1,MIN(B5+Overrides!C36,ROUNDDOWN(B5+'Cost Assumptions'!O22,0)),ROUNDDOWN(B5+'Cost Assumptions'!O22,0))</f>
        <v>1540</v>
      </c>
      <c r="C6" s="134">
        <f>YEAR(B7)</f>
        <v>2015</v>
      </c>
      <c r="D6" s="134">
        <f>MONTH(B7)</f>
        <v>1</v>
      </c>
      <c r="E6" s="93"/>
      <c r="F6" s="93"/>
      <c r="G6" s="93"/>
      <c r="H6" s="93"/>
      <c r="I6" s="93"/>
      <c r="J6" s="93"/>
      <c r="K6" s="93"/>
      <c r="L6" s="93"/>
      <c r="M6" s="93"/>
      <c r="N6" s="93"/>
      <c r="O6" s="93"/>
      <c r="P6" s="93"/>
      <c r="Q6" s="93"/>
      <c r="R6" s="93"/>
      <c r="S6" s="93"/>
      <c r="T6" s="93"/>
      <c r="U6" s="93"/>
      <c r="V6" s="93"/>
      <c r="W6" s="93"/>
      <c r="X6" s="93"/>
      <c r="Y6" s="93"/>
      <c r="Z6" s="93"/>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c r="BX6" s="93"/>
      <c r="BY6" s="93"/>
      <c r="BZ6" s="93"/>
    </row>
    <row r="7" spans="1:78">
      <c r="A7" s="134" t="s">
        <v>232</v>
      </c>
      <c r="B7" s="149">
        <f>IF(B4=1,MIN(B5+Overrides!C36,ROUNDDOWN(IF(Thresholds!E1=Lists!A12,Input!B10,Development!B6+'Cost Assumptions'!O23),0)),ROUNDDOWN(IF(Thresholds!E1=Lists!A12,Input!B10,Development!B6+'Cost Assumptions'!O23),0))</f>
        <v>42005</v>
      </c>
      <c r="C7" s="93"/>
      <c r="D7" s="93"/>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row>
    <row r="8" spans="1:78">
      <c r="A8" s="134" t="s">
        <v>233</v>
      </c>
      <c r="B8" s="149">
        <f>IF(AND(B4=1,NOT(Thresholds!E1=Lists!A12)),B5+Overrides!C36,ROUNDDOWN(IF(Thresholds!E1=Lists!A12,Input!B10,B7+'Cost Assumptions'!O23),0))</f>
        <v>42005</v>
      </c>
      <c r="C8" s="93"/>
      <c r="D8" s="93"/>
      <c r="E8" s="93"/>
      <c r="F8" s="93"/>
      <c r="G8" s="93"/>
      <c r="H8" s="93"/>
      <c r="I8" s="93"/>
      <c r="J8" s="93"/>
      <c r="K8" s="93"/>
      <c r="L8" s="93"/>
      <c r="M8" s="93"/>
      <c r="N8" s="93"/>
      <c r="O8" s="93"/>
      <c r="P8" s="93"/>
      <c r="Q8" s="93"/>
      <c r="R8" s="93"/>
      <c r="S8" s="93"/>
      <c r="T8" s="93"/>
      <c r="U8" s="93"/>
      <c r="V8" s="93"/>
      <c r="W8" s="93"/>
      <c r="X8" s="93"/>
      <c r="Y8" s="93"/>
      <c r="Z8" s="93"/>
      <c r="AA8" s="93"/>
      <c r="AB8" s="93"/>
      <c r="AC8" s="93"/>
      <c r="AD8" s="93"/>
      <c r="AE8" s="93"/>
      <c r="AF8" s="93"/>
      <c r="AG8" s="93"/>
      <c r="AH8" s="93"/>
      <c r="AI8" s="93"/>
      <c r="AJ8" s="93"/>
      <c r="AK8" s="93"/>
      <c r="AL8" s="93"/>
      <c r="AM8" s="93"/>
      <c r="AN8" s="93"/>
      <c r="AO8" s="93"/>
      <c r="AP8" s="93"/>
      <c r="AQ8" s="93"/>
      <c r="AR8" s="93"/>
      <c r="AS8" s="93"/>
      <c r="AT8" s="93"/>
      <c r="AU8" s="93"/>
      <c r="AV8" s="93"/>
      <c r="AW8" s="93"/>
      <c r="AX8" s="93"/>
      <c r="AY8" s="93"/>
      <c r="AZ8" s="93"/>
      <c r="BA8" s="93"/>
      <c r="BB8" s="93"/>
      <c r="BC8" s="93"/>
      <c r="BD8" s="93"/>
      <c r="BE8" s="93"/>
      <c r="BF8" s="93"/>
      <c r="BG8" s="93"/>
      <c r="BH8" s="93"/>
      <c r="BI8" s="93"/>
      <c r="BJ8" s="93"/>
      <c r="BK8" s="93"/>
      <c r="BL8" s="93"/>
      <c r="BM8" s="93"/>
      <c r="BN8" s="93"/>
      <c r="BO8" s="93"/>
      <c r="BP8" s="93"/>
      <c r="BQ8" s="93"/>
      <c r="BR8" s="93"/>
      <c r="BS8" s="93"/>
      <c r="BT8" s="93"/>
      <c r="BU8" s="93"/>
      <c r="BV8" s="93"/>
      <c r="BW8" s="93"/>
      <c r="BX8" s="93"/>
      <c r="BY8" s="93"/>
      <c r="BZ8" s="93"/>
    </row>
    <row r="9" spans="1:78">
      <c r="A9" s="93"/>
      <c r="B9" s="164"/>
      <c r="C9" s="93"/>
      <c r="D9" s="155" t="s">
        <v>234</v>
      </c>
      <c r="E9" s="155" t="s">
        <v>235</v>
      </c>
      <c r="F9" s="155" t="s">
        <v>234</v>
      </c>
      <c r="G9" s="155" t="s">
        <v>235</v>
      </c>
      <c r="H9" s="93"/>
      <c r="I9" s="93"/>
      <c r="J9" s="93"/>
      <c r="K9" s="93"/>
      <c r="L9" s="93"/>
      <c r="M9" s="93"/>
      <c r="N9" s="93"/>
      <c r="O9" s="93"/>
      <c r="P9" s="93"/>
      <c r="Q9" s="93"/>
      <c r="R9" s="93"/>
      <c r="S9" s="93"/>
      <c r="T9" s="93"/>
      <c r="U9" s="93"/>
      <c r="V9" s="93"/>
      <c r="W9" s="93"/>
      <c r="X9" s="93"/>
      <c r="Y9" s="93"/>
      <c r="Z9" s="93"/>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row>
    <row r="10" spans="1:78">
      <c r="A10" s="134" t="s">
        <v>157</v>
      </c>
      <c r="B10" s="152">
        <f>IF(B4=1,Overrides!C35,'Cost Assumptions'!O50+'Cost Assumptions'!O51*Thresholds!E2)</f>
        <v>11522.2</v>
      </c>
      <c r="C10" s="144" t="s">
        <v>2</v>
      </c>
      <c r="D10" s="134">
        <f>YEAR(B5)</f>
        <v>1903</v>
      </c>
      <c r="E10" s="134">
        <f>YEAR(B6)</f>
        <v>1904</v>
      </c>
      <c r="F10" s="141">
        <f>IF(E10=D10,B10,(DATE(D10,12,31)-B5)/(B6-B5)*B10)</f>
        <v>8659.7666666666682</v>
      </c>
      <c r="G10" s="141">
        <f>B10-F10</f>
        <v>2862.4333333333325</v>
      </c>
      <c r="H10" s="93"/>
      <c r="I10" s="165"/>
      <c r="J10" s="93"/>
      <c r="K10" s="93"/>
      <c r="L10" s="93"/>
      <c r="M10" s="93"/>
      <c r="N10" s="93"/>
      <c r="O10" s="93"/>
      <c r="P10" s="93"/>
      <c r="Q10" s="93"/>
      <c r="R10" s="93"/>
      <c r="S10" s="93"/>
      <c r="T10" s="93"/>
      <c r="U10" s="93"/>
      <c r="V10" s="93"/>
      <c r="W10" s="93"/>
      <c r="X10" s="93"/>
      <c r="Y10" s="93"/>
      <c r="Z10" s="93"/>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row>
    <row r="11" spans="1:78">
      <c r="A11" s="93"/>
      <c r="B11" s="166"/>
      <c r="C11" s="93"/>
      <c r="D11" s="93"/>
      <c r="E11" s="93"/>
      <c r="F11" s="93"/>
      <c r="G11" s="93"/>
      <c r="H11" s="93"/>
      <c r="I11" s="93"/>
      <c r="J11" s="93"/>
      <c r="K11" s="93"/>
      <c r="L11" s="93"/>
      <c r="M11" s="93"/>
      <c r="N11" s="93"/>
      <c r="O11" s="93"/>
      <c r="P11" s="93"/>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row>
    <row r="12" spans="1:78">
      <c r="A12" s="133" t="s">
        <v>236</v>
      </c>
      <c r="B12" s="166" t="s">
        <v>670</v>
      </c>
      <c r="C12" s="93"/>
      <c r="D12" s="93"/>
      <c r="E12" s="93"/>
      <c r="F12" s="93"/>
      <c r="G12" s="93"/>
      <c r="H12" s="93"/>
      <c r="I12" s="93"/>
      <c r="J12" s="93"/>
      <c r="K12" s="93"/>
      <c r="L12" s="93"/>
      <c r="M12" s="93"/>
      <c r="N12" s="93"/>
      <c r="O12" s="93"/>
      <c r="P12" s="93"/>
      <c r="Q12" s="93"/>
      <c r="R12" s="93"/>
      <c r="S12" s="93"/>
      <c r="T12" s="93"/>
      <c r="U12" s="93"/>
      <c r="V12" s="93"/>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row>
    <row r="13" spans="1:78">
      <c r="A13" s="133"/>
      <c r="B13" s="93"/>
      <c r="C13" s="598" t="s">
        <v>237</v>
      </c>
      <c r="D13" s="598"/>
      <c r="E13" s="598" t="s">
        <v>238</v>
      </c>
      <c r="F13" s="598"/>
      <c r="G13" s="93"/>
      <c r="H13" s="93"/>
      <c r="I13" s="93"/>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row>
    <row r="14" spans="1:78">
      <c r="A14" s="133"/>
      <c r="B14" s="93"/>
      <c r="C14" s="139" t="s">
        <v>159</v>
      </c>
      <c r="D14" s="139" t="s">
        <v>239</v>
      </c>
      <c r="E14" s="139" t="s">
        <v>159</v>
      </c>
      <c r="F14" s="139" t="s">
        <v>239</v>
      </c>
      <c r="G14" s="93"/>
      <c r="H14" s="93"/>
      <c r="I14" s="93"/>
      <c r="J14" s="93"/>
      <c r="K14" s="93"/>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c r="AN14" s="93"/>
      <c r="AO14" s="93"/>
      <c r="AP14" s="93"/>
      <c r="AQ14" s="93"/>
      <c r="AR14" s="93"/>
      <c r="AS14" s="93"/>
      <c r="AT14" s="93"/>
      <c r="AU14" s="93"/>
      <c r="AV14" s="93"/>
      <c r="AW14" s="93"/>
      <c r="AX14" s="93"/>
      <c r="AY14" s="93"/>
      <c r="AZ14" s="93"/>
      <c r="BA14" s="93"/>
      <c r="BB14" s="93"/>
      <c r="BC14" s="93"/>
      <c r="BD14" s="93"/>
      <c r="BE14" s="93"/>
      <c r="BF14" s="93"/>
      <c r="BG14" s="93"/>
      <c r="BH14" s="93"/>
      <c r="BI14" s="93"/>
      <c r="BJ14" s="93"/>
      <c r="BK14" s="93"/>
      <c r="BL14" s="93"/>
      <c r="BM14" s="93"/>
      <c r="BN14" s="93"/>
      <c r="BO14" s="93"/>
      <c r="BP14" s="93"/>
      <c r="BQ14" s="93"/>
      <c r="BR14" s="93"/>
      <c r="BS14" s="93"/>
      <c r="BT14" s="93"/>
      <c r="BU14" s="93"/>
      <c r="BV14" s="93"/>
      <c r="BW14" s="93"/>
      <c r="BX14" s="93"/>
      <c r="BY14" s="93"/>
      <c r="BZ14" s="93"/>
    </row>
    <row r="15" spans="1:78">
      <c r="A15" s="134" t="s">
        <v>691</v>
      </c>
      <c r="B15" s="134">
        <f>ROUNDUP(Thresholds!E2/VLOOKUP(Thresholds!E2,IF(Input!B11="Gas",'Sched &amp; Prod Assumptions'!A28:B34,'Sched &amp; Prod Assumptions'!F28:G34),2)*INDEX('Sched &amp; Prod Assumptions'!B55:B57,MATCH(Input!B25,'Sched &amp; Prod Assumptions'!A55:A57,0),1),0)+IF(Input!B15=Lists!Q36,ROUNDUP(Development!M15/'Sched &amp; Prod Assumptions'!C88,0))</f>
        <v>29</v>
      </c>
      <c r="C15" s="134"/>
      <c r="D15" s="141"/>
      <c r="E15" s="134"/>
      <c r="F15" s="141"/>
      <c r="G15" s="93"/>
      <c r="H15" s="93"/>
      <c r="I15" s="93"/>
      <c r="J15" s="93"/>
      <c r="K15" s="93"/>
      <c r="L15" s="134" t="s">
        <v>861</v>
      </c>
      <c r="M15" s="134">
        <f>IF(Input!B11="Oil",Input!B12*Input!B29/1000,0)</f>
        <v>966.65700000000004</v>
      </c>
      <c r="N15" s="134" t="s">
        <v>326</v>
      </c>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row>
    <row r="16" spans="1:78">
      <c r="A16" s="134" t="s">
        <v>240</v>
      </c>
      <c r="B16" s="134">
        <f>IF(Input!B31="Yes",MIN(Exploration!C11+1,B15)-1,0)</f>
        <v>0</v>
      </c>
      <c r="C16" s="134"/>
      <c r="D16" s="141"/>
      <c r="E16" s="134"/>
      <c r="F16" s="141"/>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93"/>
      <c r="BN16" s="93"/>
      <c r="BO16" s="93"/>
      <c r="BP16" s="93"/>
      <c r="BQ16" s="93"/>
      <c r="BR16" s="93"/>
      <c r="BS16" s="93"/>
      <c r="BT16" s="93"/>
      <c r="BU16" s="93"/>
      <c r="BV16" s="93"/>
      <c r="BW16" s="93"/>
      <c r="BX16" s="93"/>
      <c r="BY16" s="93"/>
      <c r="BZ16" s="93"/>
    </row>
    <row r="17" spans="1:78">
      <c r="A17" s="134" t="s">
        <v>241</v>
      </c>
      <c r="B17" s="134">
        <f>IF(Input!B14=Fixed_Platform,MIN(1,B16),0)</f>
        <v>0</v>
      </c>
      <c r="C17" s="152"/>
      <c r="D17" s="141"/>
      <c r="E17" s="152">
        <f>'Cost Assumptions'!O44+'Cost Assumptions'!O46+Development!B32/'Cost Assumptions'!O45</f>
        <v>11</v>
      </c>
      <c r="F17" s="141">
        <f>(E17*('Cost Assumptions'!$O$43+'Cost Assumptions'!$O$24)+'Cost Assumptions'!$O$42*Development!B$33)/1000+'Cost Assumptions'!$O$41</f>
        <v>6955.8</v>
      </c>
      <c r="G17" s="93"/>
      <c r="H17" s="93"/>
      <c r="I17" s="93"/>
      <c r="J17" s="93"/>
      <c r="K17" s="93"/>
      <c r="L17" s="93"/>
      <c r="M17" s="93"/>
      <c r="N17" s="93"/>
      <c r="O17" s="93"/>
      <c r="P17" s="93"/>
      <c r="Q17" s="93"/>
      <c r="R17" s="93"/>
      <c r="S17" s="93"/>
      <c r="T17" s="93"/>
      <c r="U17" s="93"/>
      <c r="V17" s="93"/>
      <c r="W17" s="93"/>
      <c r="X17" s="93"/>
      <c r="Y17" s="93"/>
      <c r="Z17" s="93"/>
      <c r="AA17" s="93"/>
      <c r="AB17" s="93"/>
      <c r="AC17" s="93"/>
      <c r="AD17" s="93"/>
      <c r="AE17" s="93"/>
      <c r="AF17" s="93"/>
      <c r="AG17" s="93"/>
      <c r="AH17" s="93"/>
      <c r="AI17" s="93"/>
      <c r="AJ17" s="93"/>
      <c r="AK17" s="93"/>
      <c r="AL17" s="93"/>
      <c r="AM17" s="93"/>
      <c r="AN17" s="93"/>
      <c r="AO17" s="93"/>
      <c r="AP17" s="93"/>
      <c r="AQ17" s="93"/>
      <c r="AR17" s="93"/>
      <c r="AS17" s="93"/>
      <c r="AT17" s="93"/>
      <c r="AU17" s="93"/>
      <c r="AV17" s="93"/>
      <c r="AW17" s="93"/>
      <c r="AX17" s="93"/>
      <c r="AY17" s="93"/>
      <c r="AZ17" s="93"/>
      <c r="BA17" s="93"/>
      <c r="BB17" s="93"/>
      <c r="BC17" s="93"/>
      <c r="BD17" s="93"/>
      <c r="BE17" s="93"/>
      <c r="BF17" s="93"/>
      <c r="BG17" s="93"/>
      <c r="BH17" s="93"/>
      <c r="BI17" s="93"/>
      <c r="BJ17" s="93"/>
      <c r="BK17" s="93"/>
      <c r="BL17" s="93"/>
      <c r="BM17" s="93"/>
      <c r="BN17" s="93"/>
      <c r="BO17" s="93"/>
      <c r="BP17" s="93"/>
      <c r="BQ17" s="93"/>
      <c r="BR17" s="93"/>
      <c r="BS17" s="93"/>
      <c r="BT17" s="93"/>
      <c r="BU17" s="93"/>
      <c r="BV17" s="93"/>
      <c r="BW17" s="93"/>
      <c r="BX17" s="93"/>
      <c r="BY17" s="93"/>
      <c r="BZ17" s="93"/>
    </row>
    <row r="18" spans="1:78">
      <c r="A18" s="134" t="s">
        <v>242</v>
      </c>
      <c r="B18" s="134">
        <f>B16-B17</f>
        <v>0</v>
      </c>
      <c r="C18" s="152"/>
      <c r="D18" s="141"/>
      <c r="E18" s="152">
        <f>'Cost Assumptions'!O44+'Cost Assumptions'!O46+Development!B33/'Cost Assumptions'!O45</f>
        <v>9.5</v>
      </c>
      <c r="F18" s="141">
        <f>(E18*('Cost Assumptions'!$O$43+'Cost Assumptions'!$O$24)+'Cost Assumptions'!$O$42*Development!B$33)/1000+'Cost Assumptions'!$O$41</f>
        <v>6303.6</v>
      </c>
      <c r="G18" s="93"/>
      <c r="H18" s="93"/>
      <c r="I18" s="93"/>
      <c r="J18" s="93"/>
      <c r="K18" s="93"/>
      <c r="L18" s="93"/>
      <c r="M18" s="93"/>
      <c r="N18" s="93"/>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93"/>
      <c r="AU18" s="93"/>
      <c r="AV18" s="93"/>
      <c r="AW18" s="93"/>
      <c r="AX18" s="93"/>
      <c r="AY18" s="93"/>
      <c r="AZ18" s="93"/>
      <c r="BA18" s="93"/>
      <c r="BB18" s="93"/>
      <c r="BC18" s="93"/>
      <c r="BD18" s="93"/>
      <c r="BE18" s="93"/>
      <c r="BF18" s="93"/>
      <c r="BG18" s="93"/>
      <c r="BH18" s="93"/>
      <c r="BI18" s="93"/>
      <c r="BJ18" s="93"/>
      <c r="BK18" s="93"/>
      <c r="BL18" s="93"/>
      <c r="BM18" s="93"/>
      <c r="BN18" s="93"/>
      <c r="BO18" s="93"/>
      <c r="BP18" s="93"/>
      <c r="BQ18" s="93"/>
      <c r="BR18" s="93"/>
      <c r="BS18" s="93"/>
      <c r="BT18" s="93"/>
      <c r="BU18" s="93"/>
      <c r="BV18" s="93"/>
      <c r="BW18" s="93"/>
      <c r="BX18" s="93"/>
      <c r="BY18" s="93"/>
      <c r="BZ18" s="93"/>
    </row>
    <row r="19" spans="1:78">
      <c r="A19" s="134" t="s">
        <v>692</v>
      </c>
      <c r="B19" s="134">
        <f>B15-B16</f>
        <v>29</v>
      </c>
      <c r="C19" s="134"/>
      <c r="D19" s="141"/>
      <c r="E19" s="134"/>
      <c r="F19" s="141"/>
      <c r="G19" s="93"/>
      <c r="H19" s="93"/>
      <c r="I19" s="93"/>
      <c r="J19" s="93"/>
      <c r="K19" s="93"/>
      <c r="L19" s="93"/>
      <c r="M19" s="93"/>
      <c r="N19" s="93"/>
      <c r="O19" s="93"/>
      <c r="P19" s="93"/>
      <c r="Q19" s="93"/>
      <c r="R19" s="93"/>
      <c r="S19" s="93"/>
      <c r="T19" s="93"/>
      <c r="U19" s="93"/>
      <c r="V19" s="93"/>
      <c r="W19" s="93"/>
      <c r="X19" s="93"/>
      <c r="Y19" s="93"/>
      <c r="Z19" s="93"/>
      <c r="AA19" s="93"/>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c r="BR19" s="93"/>
      <c r="BS19" s="93"/>
      <c r="BT19" s="93"/>
      <c r="BU19" s="93"/>
      <c r="BV19" s="93"/>
      <c r="BW19" s="93"/>
      <c r="BX19" s="93"/>
      <c r="BY19" s="93"/>
      <c r="BZ19" s="93"/>
    </row>
    <row r="20" spans="1:78">
      <c r="A20" s="134" t="s">
        <v>243</v>
      </c>
      <c r="B20" s="134">
        <f>IF(B27=1,C27-B21-B17,0)</f>
        <v>0</v>
      </c>
      <c r="C20" s="152">
        <f>'Cost Assumptions'!O37+Development!B32/'Cost Assumptions'!O38*Exploration!C15</f>
        <v>39.92307692307692</v>
      </c>
      <c r="D20" s="141">
        <f>(C20*('Cost Assumptions'!O36+'Cost Assumptions'!O24)+'Cost Assumptions'!O35*Development!B32)/1000+'Cost Assumptions'!O34</f>
        <v>38207.123076923075</v>
      </c>
      <c r="E20" s="152">
        <f>'Cost Assumptions'!O44+Development!B32/'Cost Assumptions'!O45</f>
        <v>7</v>
      </c>
      <c r="F20" s="141">
        <f>(E20*('Cost Assumptions'!$O$43+'Cost Assumptions'!$O$24)+'Cost Assumptions'!$O$42*Development!B$32)/1000+'Cost Assumptions'!$O$41</f>
        <v>6075.2</v>
      </c>
      <c r="G20" s="93"/>
      <c r="H20" s="93"/>
      <c r="I20" s="93"/>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row>
    <row r="21" spans="1:78">
      <c r="A21" s="134" t="s">
        <v>244</v>
      </c>
      <c r="B21" s="134">
        <f>IF(Input!B14=Fixed_Platform,MIN(C27-B17,ROUNDDOWN(I78/C21,0)),0)</f>
        <v>0</v>
      </c>
      <c r="C21" s="152">
        <f>'Cost Assumptions'!O37+Development!B32/'Cost Assumptions'!O38*Exploration!C15</f>
        <v>39.92307692307692</v>
      </c>
      <c r="D21" s="141">
        <f>(C21*('Cost Assumptions'!O36+'Cost Assumptions'!O24)+'Cost Assumptions'!O35*Development!B32)/1000+'Cost Assumptions'!O34</f>
        <v>38207.123076923075</v>
      </c>
      <c r="E21" s="152">
        <f>'Cost Assumptions'!O44+Development!B32/'Cost Assumptions'!O45+'Cost Assumptions'!O47</f>
        <v>9</v>
      </c>
      <c r="F21" s="141">
        <f>(E21*('Cost Assumptions'!$O$43+'Cost Assumptions'!$O$24)+'Cost Assumptions'!$O$42*Development!B$32)/1000+'Cost Assumptions'!$O$41</f>
        <v>6944.8</v>
      </c>
      <c r="G21" s="93"/>
      <c r="H21" s="93"/>
      <c r="I21" s="93"/>
      <c r="J21" s="93"/>
      <c r="K21" s="93"/>
      <c r="L21" s="93"/>
      <c r="M21" s="93"/>
      <c r="N21" s="93"/>
      <c r="O21" s="93"/>
      <c r="P21" s="93"/>
      <c r="Q21" s="93"/>
      <c r="R21" s="93"/>
      <c r="S21" s="93"/>
      <c r="T21" s="93"/>
      <c r="U21" s="93"/>
      <c r="V21" s="93"/>
      <c r="W21" s="93"/>
      <c r="X21" s="93"/>
      <c r="Y21" s="93"/>
      <c r="Z21" s="93"/>
      <c r="AA21" s="93"/>
      <c r="AB21" s="93"/>
      <c r="AC21" s="93"/>
      <c r="AD21" s="93"/>
      <c r="AE21" s="93"/>
      <c r="AF21" s="93"/>
      <c r="AG21" s="93"/>
      <c r="AH21" s="93"/>
      <c r="AI21" s="93"/>
      <c r="AJ21" s="93"/>
      <c r="AK21" s="93"/>
      <c r="AL21" s="93"/>
      <c r="AM21" s="93"/>
      <c r="AN21" s="93"/>
      <c r="AO21" s="93"/>
      <c r="AP21" s="93"/>
      <c r="AQ21" s="93"/>
      <c r="AR21" s="93"/>
      <c r="AS21" s="93"/>
      <c r="AT21" s="93"/>
      <c r="AU21" s="93"/>
      <c r="AV21" s="93"/>
      <c r="AW21" s="93"/>
      <c r="AX21" s="93"/>
      <c r="AY21" s="93"/>
      <c r="AZ21" s="93"/>
      <c r="BA21" s="93"/>
      <c r="BB21" s="93"/>
      <c r="BC21" s="93"/>
      <c r="BD21" s="93"/>
      <c r="BE21" s="93"/>
      <c r="BF21" s="93"/>
      <c r="BG21" s="93"/>
      <c r="BH21" s="93"/>
      <c r="BI21" s="93"/>
      <c r="BJ21" s="93"/>
      <c r="BK21" s="93"/>
      <c r="BL21" s="93"/>
      <c r="BM21" s="93"/>
      <c r="BN21" s="93"/>
      <c r="BO21" s="93"/>
      <c r="BP21" s="93"/>
      <c r="BQ21" s="93"/>
      <c r="BR21" s="93"/>
      <c r="BS21" s="93"/>
      <c r="BT21" s="93"/>
      <c r="BU21" s="93"/>
      <c r="BV21" s="93"/>
      <c r="BW21" s="93"/>
      <c r="BX21" s="93"/>
      <c r="BY21" s="93"/>
      <c r="BZ21" s="93"/>
    </row>
    <row r="22" spans="1:78">
      <c r="A22" s="134" t="s">
        <v>245</v>
      </c>
      <c r="B22" s="134">
        <f>MAX(0,SUM(C28:G28)-B18)</f>
        <v>29</v>
      </c>
      <c r="C22" s="152">
        <f>IF(P25="Deviated",M24,M23)</f>
        <v>39.92307692307692</v>
      </c>
      <c r="D22" s="141">
        <f>IF(P25="Deviated",N24,N23)</f>
        <v>38207.123076923075</v>
      </c>
      <c r="E22" s="152">
        <f>'Cost Assumptions'!O44+IF(P25="Deviated",B32,B33)/'Cost Assumptions'!O45</f>
        <v>7</v>
      </c>
      <c r="F22" s="141">
        <f>(E22*('Cost Assumptions'!$O$43+'Cost Assumptions'!$O$24)+'Cost Assumptions'!$O$42*Development!B$33)/1000+'Cost Assumptions'!$O$41</f>
        <v>5216.6000000000004</v>
      </c>
      <c r="G22" s="93"/>
      <c r="H22" s="93"/>
      <c r="I22" s="93"/>
      <c r="J22" s="93"/>
      <c r="K22" s="93"/>
      <c r="L22" s="93"/>
      <c r="M22" s="134" t="s">
        <v>722</v>
      </c>
      <c r="N22" s="134" t="s">
        <v>723</v>
      </c>
      <c r="O22" s="134" t="s">
        <v>721</v>
      </c>
      <c r="P22" s="134" t="s">
        <v>13</v>
      </c>
      <c r="Q22" s="93"/>
      <c r="R22" s="93"/>
      <c r="S22" s="93"/>
      <c r="T22" s="93"/>
      <c r="U22" s="93"/>
      <c r="V22" s="93"/>
      <c r="W22" s="93"/>
      <c r="X22" s="93"/>
      <c r="Y22" s="93"/>
      <c r="Z22" s="93"/>
      <c r="AA22" s="93"/>
      <c r="AB22" s="93"/>
      <c r="AC22" s="93"/>
      <c r="AD22" s="93"/>
      <c r="AE22" s="93"/>
      <c r="AF22" s="93"/>
      <c r="AG22" s="93"/>
      <c r="AH22" s="93"/>
      <c r="AI22" s="93"/>
      <c r="AJ22" s="93"/>
      <c r="AK22" s="93"/>
      <c r="AL22" s="93"/>
      <c r="AM22" s="93"/>
      <c r="AN22" s="93"/>
      <c r="AO22" s="93"/>
      <c r="AP22" s="93"/>
      <c r="AQ22" s="93"/>
      <c r="AR22" s="93"/>
      <c r="AS22" s="93"/>
      <c r="AT22" s="93"/>
      <c r="AU22" s="93"/>
      <c r="AV22" s="93"/>
      <c r="AW22" s="93"/>
      <c r="AX22" s="93"/>
      <c r="AY22" s="93"/>
      <c r="AZ22" s="93"/>
      <c r="BA22" s="93"/>
      <c r="BB22" s="93"/>
      <c r="BC22" s="93"/>
      <c r="BD22" s="93"/>
      <c r="BE22" s="93"/>
      <c r="BF22" s="93"/>
      <c r="BG22" s="93"/>
      <c r="BH22" s="93"/>
      <c r="BI22" s="93"/>
      <c r="BJ22" s="93"/>
      <c r="BK22" s="93"/>
      <c r="BL22" s="93"/>
      <c r="BM22" s="93"/>
      <c r="BN22" s="93"/>
      <c r="BO22" s="93"/>
      <c r="BP22" s="93"/>
      <c r="BQ22" s="93"/>
      <c r="BR22" s="93"/>
      <c r="BS22" s="93"/>
      <c r="BT22" s="93"/>
      <c r="BU22" s="93"/>
      <c r="BV22" s="93"/>
      <c r="BW22" s="93"/>
      <c r="BX22" s="93"/>
      <c r="BY22" s="93"/>
      <c r="BZ22" s="93"/>
    </row>
    <row r="23" spans="1:78">
      <c r="A23" s="134" t="s">
        <v>246</v>
      </c>
      <c r="B23" s="134">
        <f>B22+B18</f>
        <v>29</v>
      </c>
      <c r="C23" s="134"/>
      <c r="D23" s="141"/>
      <c r="E23" s="134"/>
      <c r="F23" s="141"/>
      <c r="G23" s="93"/>
      <c r="H23" s="93"/>
      <c r="I23" s="93"/>
      <c r="J23" s="93"/>
      <c r="K23" s="144" t="s">
        <v>719</v>
      </c>
      <c r="L23" s="146"/>
      <c r="M23" s="141">
        <f>'Cost Assumptions'!O37+Development!B33/'Cost Assumptions'!O38*Exploration!C15</f>
        <v>26.076923076923077</v>
      </c>
      <c r="N23" s="141">
        <f>(M23*('Cost Assumptions'!O36+'Cost Assumptions'!O24)+'Cost Assumptions'!O35*Development!B33)/1000+'Cost Assumptions'!O34</f>
        <v>26932.47692307692</v>
      </c>
      <c r="O23" s="141">
        <f>'Cost Assumptions'!O72*Development!B34</f>
        <v>25440</v>
      </c>
      <c r="P23" s="141">
        <f>O23+N23</f>
        <v>52372.476923076916</v>
      </c>
      <c r="Q23" s="93"/>
      <c r="R23" s="93"/>
      <c r="S23" s="93"/>
      <c r="T23" s="93"/>
      <c r="U23" s="93"/>
      <c r="V23" s="93"/>
      <c r="W23" s="93"/>
      <c r="X23" s="93"/>
      <c r="Y23" s="93"/>
      <c r="Z23" s="93"/>
      <c r="AA23" s="93"/>
      <c r="AB23" s="93"/>
      <c r="AC23" s="93"/>
      <c r="AD23" s="93"/>
      <c r="AE23" s="93"/>
      <c r="AF23" s="93"/>
      <c r="AG23" s="93"/>
      <c r="AH23" s="93"/>
      <c r="AI23" s="93"/>
      <c r="AJ23" s="93"/>
      <c r="AK23" s="93"/>
      <c r="AL23" s="93"/>
      <c r="AM23" s="93"/>
      <c r="AN23" s="93"/>
      <c r="AO23" s="93"/>
      <c r="AP23" s="93"/>
      <c r="AQ23" s="93"/>
      <c r="AR23" s="93"/>
      <c r="AS23" s="93"/>
      <c r="AT23" s="93"/>
      <c r="AU23" s="93"/>
      <c r="AV23" s="93"/>
      <c r="AW23" s="93"/>
      <c r="AX23" s="93"/>
      <c r="AY23" s="93"/>
      <c r="AZ23" s="93"/>
      <c r="BA23" s="93"/>
      <c r="BB23" s="93"/>
      <c r="BC23" s="93"/>
      <c r="BD23" s="93"/>
      <c r="BE23" s="93"/>
      <c r="BF23" s="93"/>
      <c r="BG23" s="93"/>
      <c r="BH23" s="93"/>
      <c r="BI23" s="93"/>
      <c r="BJ23" s="93"/>
      <c r="BK23" s="93"/>
      <c r="BL23" s="93"/>
      <c r="BM23" s="93"/>
      <c r="BN23" s="93"/>
      <c r="BO23" s="93"/>
      <c r="BP23" s="93"/>
      <c r="BQ23" s="93"/>
      <c r="BR23" s="93"/>
      <c r="BS23" s="93"/>
      <c r="BT23" s="93"/>
      <c r="BU23" s="93"/>
      <c r="BV23" s="93"/>
      <c r="BW23" s="93"/>
      <c r="BX23" s="93"/>
      <c r="BY23" s="93"/>
      <c r="BZ23" s="93"/>
    </row>
    <row r="24" spans="1:78">
      <c r="A24" s="167"/>
      <c r="B24" s="167"/>
      <c r="C24" s="167"/>
      <c r="D24" s="167"/>
      <c r="E24" s="167"/>
      <c r="F24" s="167"/>
      <c r="G24" s="93"/>
      <c r="H24" s="93"/>
      <c r="I24" s="93"/>
      <c r="J24" s="93"/>
      <c r="K24" s="144" t="s">
        <v>720</v>
      </c>
      <c r="L24" s="146"/>
      <c r="M24" s="141">
        <f>'Cost Assumptions'!O37+Development!B32/'Cost Assumptions'!O38*Exploration!C15</f>
        <v>39.92307692307692</v>
      </c>
      <c r="N24" s="141">
        <f>(M24*('Cost Assumptions'!O36+'Cost Assumptions'!O24)+'Cost Assumptions'!O35*Development!B32)/1000+'Cost Assumptions'!O34</f>
        <v>38207.123076923075</v>
      </c>
      <c r="O24" s="141"/>
      <c r="P24" s="141">
        <f>N24</f>
        <v>38207.123076923075</v>
      </c>
      <c r="Q24" s="93"/>
      <c r="R24" s="93"/>
      <c r="S24" s="93"/>
      <c r="T24" s="93"/>
      <c r="U24" s="93"/>
      <c r="V24" s="93"/>
      <c r="W24" s="93"/>
      <c r="X24" s="93"/>
      <c r="Y24" s="93"/>
      <c r="Z24" s="93"/>
      <c r="AA24" s="93"/>
      <c r="AB24" s="93"/>
      <c r="AC24" s="93"/>
      <c r="AD24" s="93"/>
      <c r="AE24" s="93"/>
      <c r="AF24" s="93"/>
      <c r="AG24" s="93"/>
      <c r="AH24" s="93"/>
      <c r="AI24" s="93"/>
      <c r="AJ24" s="93"/>
      <c r="AK24" s="93"/>
      <c r="AL24" s="93"/>
      <c r="AM24" s="93"/>
      <c r="AN24" s="93"/>
      <c r="AO24" s="93"/>
      <c r="AP24" s="93"/>
      <c r="AQ24" s="93"/>
      <c r="AR24" s="93"/>
      <c r="AS24" s="93"/>
      <c r="AT24" s="93"/>
      <c r="AU24" s="93"/>
      <c r="AV24" s="93"/>
      <c r="AW24" s="93"/>
      <c r="AX24" s="93"/>
      <c r="AY24" s="93"/>
      <c r="AZ24" s="93"/>
      <c r="BA24" s="93"/>
      <c r="BB24" s="93"/>
      <c r="BC24" s="93"/>
      <c r="BD24" s="93"/>
      <c r="BE24" s="93"/>
      <c r="BF24" s="93"/>
      <c r="BG24" s="93"/>
      <c r="BH24" s="93"/>
      <c r="BI24" s="93"/>
      <c r="BJ24" s="93"/>
      <c r="BK24" s="93"/>
      <c r="BL24" s="93"/>
      <c r="BM24" s="93"/>
      <c r="BN24" s="93"/>
      <c r="BO24" s="93"/>
      <c r="BP24" s="93"/>
      <c r="BQ24" s="93"/>
      <c r="BR24" s="93"/>
      <c r="BS24" s="93"/>
      <c r="BT24" s="93"/>
      <c r="BU24" s="93"/>
      <c r="BV24" s="93"/>
      <c r="BW24" s="93"/>
      <c r="BX24" s="93"/>
      <c r="BY24" s="93"/>
      <c r="BZ24" s="93"/>
    </row>
    <row r="25" spans="1:78">
      <c r="A25" s="167"/>
      <c r="B25" s="167"/>
      <c r="C25" s="167"/>
      <c r="D25" s="167"/>
      <c r="E25" s="167"/>
      <c r="F25" s="167"/>
      <c r="G25" s="93"/>
      <c r="H25" s="93"/>
      <c r="I25" s="93"/>
      <c r="J25" s="93"/>
      <c r="K25" s="144" t="s">
        <v>724</v>
      </c>
      <c r="L25" s="146"/>
      <c r="M25" s="134"/>
      <c r="N25" s="134"/>
      <c r="O25" s="134"/>
      <c r="P25" s="168" t="s">
        <v>917</v>
      </c>
      <c r="Q25" s="168"/>
      <c r="R25" s="93"/>
      <c r="S25" s="93"/>
      <c r="T25" s="93"/>
      <c r="U25" s="93"/>
      <c r="V25" s="93"/>
      <c r="W25" s="93"/>
      <c r="X25" s="93"/>
      <c r="Y25" s="93"/>
      <c r="Z25" s="93"/>
      <c r="AA25" s="93"/>
      <c r="AB25" s="93"/>
      <c r="AC25" s="93"/>
      <c r="AD25" s="93"/>
      <c r="AE25" s="93"/>
      <c r="AF25" s="93"/>
      <c r="AG25" s="93"/>
      <c r="AH25" s="93"/>
      <c r="AI25" s="93"/>
      <c r="AJ25" s="93"/>
      <c r="AK25" s="93"/>
      <c r="AL25" s="93"/>
      <c r="AM25" s="93"/>
      <c r="AN25" s="93"/>
      <c r="AO25" s="93"/>
      <c r="AP25" s="93"/>
      <c r="AQ25" s="93"/>
      <c r="AR25" s="93"/>
      <c r="AS25" s="93"/>
      <c r="AT25" s="93"/>
      <c r="AU25" s="93"/>
      <c r="AV25" s="93"/>
      <c r="AW25" s="93"/>
      <c r="AX25" s="93"/>
      <c r="AY25" s="93"/>
      <c r="AZ25" s="93"/>
      <c r="BA25" s="93"/>
      <c r="BB25" s="93"/>
      <c r="BC25" s="93"/>
      <c r="BD25" s="93"/>
      <c r="BE25" s="93"/>
      <c r="BF25" s="93"/>
      <c r="BG25" s="93"/>
      <c r="BH25" s="93"/>
      <c r="BI25" s="93"/>
      <c r="BJ25" s="93"/>
      <c r="BK25" s="93"/>
      <c r="BL25" s="93"/>
      <c r="BM25" s="93"/>
      <c r="BN25" s="93"/>
      <c r="BO25" s="93"/>
      <c r="BP25" s="93"/>
      <c r="BQ25" s="93"/>
      <c r="BR25" s="93"/>
      <c r="BS25" s="93"/>
      <c r="BT25" s="93"/>
      <c r="BU25" s="93"/>
      <c r="BV25" s="93"/>
      <c r="BW25" s="93"/>
      <c r="BX25" s="93"/>
      <c r="BY25" s="93"/>
      <c r="BZ25" s="93"/>
    </row>
    <row r="26" spans="1:78">
      <c r="A26" s="134" t="s">
        <v>676</v>
      </c>
      <c r="B26" s="134">
        <f>MIN(5,VLOOKUP(B15,drill_centres,2))</f>
        <v>3</v>
      </c>
      <c r="C26" s="167" t="s">
        <v>169</v>
      </c>
      <c r="D26" s="167"/>
      <c r="E26" s="167"/>
      <c r="F26" s="167"/>
      <c r="G26" s="93"/>
      <c r="H26" s="93"/>
      <c r="I26" s="93"/>
      <c r="J26" s="93"/>
      <c r="K26" s="93"/>
      <c r="L26" s="93"/>
      <c r="M26" s="93"/>
      <c r="N26" s="93"/>
      <c r="O26" s="93"/>
      <c r="P26" s="93"/>
      <c r="Q26" s="93"/>
      <c r="R26" s="93"/>
      <c r="S26" s="93"/>
      <c r="T26" s="93"/>
      <c r="U26" s="93"/>
      <c r="V26" s="93"/>
      <c r="W26" s="93"/>
      <c r="X26" s="93"/>
      <c r="Y26" s="93"/>
      <c r="Z26" s="93"/>
      <c r="AA26" s="93"/>
      <c r="AB26" s="93"/>
      <c r="AC26" s="93"/>
      <c r="AD26" s="93"/>
      <c r="AE26" s="93"/>
      <c r="AF26" s="93"/>
      <c r="AG26" s="93"/>
      <c r="AH26" s="93"/>
      <c r="AI26" s="93"/>
      <c r="AJ26" s="93"/>
      <c r="AK26" s="93"/>
      <c r="AL26" s="93"/>
      <c r="AM26" s="93"/>
      <c r="AN26" s="93"/>
      <c r="AO26" s="93"/>
      <c r="AP26" s="93"/>
      <c r="AQ26" s="93"/>
      <c r="AR26" s="93"/>
      <c r="AS26" s="93"/>
      <c r="AT26" s="93"/>
      <c r="AU26" s="93"/>
      <c r="AV26" s="93"/>
      <c r="AW26" s="93"/>
      <c r="AX26" s="93"/>
      <c r="AY26" s="93"/>
      <c r="AZ26" s="93"/>
      <c r="BA26" s="93"/>
      <c r="BB26" s="93"/>
      <c r="BC26" s="93"/>
      <c r="BD26" s="93"/>
      <c r="BE26" s="93"/>
      <c r="BF26" s="93"/>
      <c r="BG26" s="93"/>
      <c r="BH26" s="93"/>
      <c r="BI26" s="93"/>
      <c r="BJ26" s="93"/>
      <c r="BK26" s="93"/>
      <c r="BL26" s="93"/>
      <c r="BM26" s="93"/>
      <c r="BN26" s="93"/>
      <c r="BO26" s="93"/>
      <c r="BP26" s="93"/>
      <c r="BQ26" s="93"/>
      <c r="BR26" s="93"/>
      <c r="BS26" s="93"/>
      <c r="BT26" s="93"/>
      <c r="BU26" s="93"/>
      <c r="BV26" s="93"/>
      <c r="BW26" s="93"/>
      <c r="BX26" s="93"/>
      <c r="BY26" s="93"/>
      <c r="BZ26" s="93"/>
    </row>
    <row r="27" spans="1:78">
      <c r="A27" s="134" t="s">
        <v>677</v>
      </c>
      <c r="B27" s="134">
        <f>IF(OR(Input!B14=Fixed_Platform),1,0)</f>
        <v>0</v>
      </c>
      <c r="C27" s="134">
        <f>MAX(0,MIN(B15,IF(B27=0,0,ROUNDUP((B15-B18)/B26,0))))</f>
        <v>0</v>
      </c>
      <c r="D27" s="169"/>
      <c r="E27" s="169"/>
      <c r="F27" s="169"/>
      <c r="G27" s="93"/>
      <c r="H27" s="93"/>
      <c r="I27" s="93"/>
      <c r="J27" s="93"/>
      <c r="K27" s="93"/>
      <c r="L27" s="93" t="s">
        <v>918</v>
      </c>
      <c r="M27" s="93"/>
      <c r="N27" s="93"/>
      <c r="O27" s="93"/>
      <c r="P27" s="93"/>
      <c r="Q27" s="93"/>
      <c r="R27" s="93"/>
      <c r="S27" s="93"/>
      <c r="T27" s="93"/>
      <c r="U27" s="93"/>
      <c r="V27" s="93"/>
      <c r="W27" s="93"/>
      <c r="X27" s="93"/>
      <c r="Y27" s="93"/>
      <c r="Z27" s="93"/>
      <c r="AA27" s="93"/>
      <c r="AB27" s="93"/>
      <c r="AC27" s="93"/>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D27" s="93"/>
      <c r="BE27" s="93"/>
      <c r="BF27" s="93"/>
      <c r="BG27" s="93"/>
      <c r="BH27" s="93"/>
      <c r="BI27" s="93"/>
      <c r="BJ27" s="93"/>
      <c r="BK27" s="93"/>
      <c r="BL27" s="93"/>
      <c r="BM27" s="93"/>
      <c r="BN27" s="93"/>
      <c r="BO27" s="93"/>
      <c r="BP27" s="93"/>
      <c r="BQ27" s="93"/>
      <c r="BR27" s="93"/>
      <c r="BS27" s="93"/>
      <c r="BT27" s="93"/>
      <c r="BU27" s="93"/>
      <c r="BV27" s="93"/>
      <c r="BW27" s="93"/>
      <c r="BX27" s="93"/>
      <c r="BY27" s="93"/>
      <c r="BZ27" s="93"/>
    </row>
    <row r="28" spans="1:78">
      <c r="A28" s="134" t="s">
        <v>678</v>
      </c>
      <c r="B28" s="134">
        <f>IF(B27=B26,IF(B18&gt;0,1,0),B26-B27)</f>
        <v>3</v>
      </c>
      <c r="C28" s="134">
        <f>IF($B$28=0,0,MAX(0,MIN($B$15-$C$27,ROUNDUP(($B$15-$C$27)/$B$28,0))))</f>
        <v>10</v>
      </c>
      <c r="D28" s="134">
        <f>IF($B$28=0,0,MAX(0,MIN($B$15-$C$27-SUM(C28:$C28),ROUNDUP(($B$15-$C$27)/$B$28,0))))</f>
        <v>10</v>
      </c>
      <c r="E28" s="134">
        <f>IF($B$28=0,0,MAX(0,MIN($B$15-$C$27-SUM($C28:D28),ROUNDUP(($B$15-$C$27)/$B$28,0))))</f>
        <v>9</v>
      </c>
      <c r="F28" s="134">
        <f>IF($B$28=0,0,MAX(0,MIN($B$15-$C$27-SUM($C28:E28),ROUNDUP(($B$15-$C$27)/$B$28,0))))</f>
        <v>0</v>
      </c>
      <c r="G28" s="134">
        <f>IF($B$28=0,0,MAX(0,MIN($B$15-$C$27-SUM($C28:F28),ROUNDUP(($B$15-$C$27)/$B$28,0))))</f>
        <v>0</v>
      </c>
      <c r="H28" s="93"/>
      <c r="I28" s="93"/>
      <c r="J28" s="93"/>
      <c r="K28" s="93"/>
      <c r="L28" s="93"/>
      <c r="M28" s="93"/>
      <c r="N28" s="93"/>
      <c r="O28" s="93"/>
      <c r="P28" s="93"/>
      <c r="Q28" s="93"/>
      <c r="R28" s="93"/>
      <c r="S28" s="93"/>
      <c r="T28" s="93"/>
      <c r="U28" s="93"/>
      <c r="V28" s="93"/>
      <c r="W28" s="93"/>
      <c r="X28" s="93"/>
      <c r="Y28" s="93"/>
      <c r="Z28" s="93"/>
      <c r="AA28" s="93"/>
      <c r="AB28" s="93"/>
      <c r="AC28" s="93"/>
      <c r="AD28" s="93"/>
      <c r="AE28" s="93"/>
      <c r="AF28" s="93"/>
      <c r="AG28" s="93"/>
      <c r="AH28" s="93"/>
      <c r="AI28" s="93"/>
      <c r="AJ28" s="93"/>
      <c r="AK28" s="93"/>
      <c r="AL28" s="93"/>
      <c r="AM28" s="93"/>
      <c r="AN28" s="93"/>
      <c r="AO28" s="93"/>
      <c r="AP28" s="93"/>
      <c r="AQ28" s="93"/>
      <c r="AR28" s="93"/>
      <c r="AS28" s="93"/>
      <c r="AT28" s="93"/>
      <c r="AU28" s="93"/>
      <c r="AV28" s="93"/>
      <c r="AW28" s="93"/>
      <c r="AX28" s="93"/>
      <c r="AY28" s="93"/>
      <c r="AZ28" s="93"/>
      <c r="BA28" s="93"/>
      <c r="BB28" s="93"/>
      <c r="BC28" s="93"/>
      <c r="BD28" s="93"/>
      <c r="BE28" s="93"/>
      <c r="BF28" s="93"/>
      <c r="BG28" s="93"/>
      <c r="BH28" s="93"/>
      <c r="BI28" s="93"/>
      <c r="BJ28" s="93"/>
      <c r="BK28" s="93"/>
      <c r="BL28" s="93"/>
      <c r="BM28" s="93"/>
      <c r="BN28" s="93"/>
      <c r="BO28" s="93"/>
      <c r="BP28" s="93"/>
      <c r="BQ28" s="93"/>
      <c r="BR28" s="93"/>
      <c r="BS28" s="93"/>
      <c r="BT28" s="93"/>
      <c r="BU28" s="93"/>
      <c r="BV28" s="93"/>
      <c r="BW28" s="93"/>
      <c r="BX28" s="93"/>
      <c r="BY28" s="93"/>
      <c r="BZ28" s="93"/>
    </row>
    <row r="29" spans="1:78">
      <c r="A29" s="134" t="s">
        <v>242</v>
      </c>
      <c r="B29" s="134"/>
      <c r="C29" s="134">
        <f>IF(B26-B27=0,B18,IF($B$28=0,0,ROUNDUP($B$18/$B$28,0)))</f>
        <v>0</v>
      </c>
      <c r="D29" s="134">
        <f>IF($B$28=0,0,MAX(0,MIN($B$18-SUM(C29:$C29),ROUNDUP($B$18/$B$28,0))))</f>
        <v>0</v>
      </c>
      <c r="E29" s="134">
        <f>IF($B$28=0,0,MAX(0,MIN($B$18-SUM($C29:D29),ROUNDUP($B$18/$B$28,0))))</f>
        <v>0</v>
      </c>
      <c r="F29" s="134">
        <f>IF($B$28=0,0,MAX(0,MIN($B$18-SUM($C29:E29),ROUNDUP($B$18/$B$28,0))))</f>
        <v>0</v>
      </c>
      <c r="G29" s="134">
        <f>IF($B$28=0,0,MAX(0,MIN($B$18-SUM($C29:F29),ROUNDUP($B$18/$B$28,0))))</f>
        <v>0</v>
      </c>
      <c r="H29" s="93"/>
      <c r="I29" s="93"/>
      <c r="J29" s="93"/>
      <c r="K29" s="93"/>
      <c r="L29" s="93"/>
      <c r="M29" s="93"/>
      <c r="N29" s="93"/>
      <c r="O29" s="93"/>
      <c r="P29" s="93"/>
      <c r="Q29" s="93"/>
      <c r="R29" s="93"/>
      <c r="S29" s="93"/>
      <c r="T29" s="93"/>
      <c r="U29" s="93"/>
      <c r="V29" s="93"/>
      <c r="W29" s="93"/>
      <c r="X29" s="93"/>
      <c r="Y29" s="93"/>
      <c r="Z29" s="93"/>
      <c r="AA29" s="93"/>
      <c r="AB29" s="93"/>
      <c r="AC29" s="93"/>
      <c r="AD29" s="93"/>
      <c r="AE29" s="93"/>
      <c r="AF29" s="93"/>
      <c r="AG29" s="93"/>
      <c r="AH29" s="93"/>
      <c r="AI29" s="93"/>
      <c r="AJ29" s="93"/>
      <c r="AK29" s="93"/>
      <c r="AL29" s="93"/>
      <c r="AM29" s="93"/>
      <c r="AN29" s="93"/>
      <c r="AO29" s="93"/>
      <c r="AP29" s="93"/>
      <c r="AQ29" s="93"/>
      <c r="AR29" s="93"/>
      <c r="AS29" s="93"/>
      <c r="AT29" s="93"/>
      <c r="AU29" s="93"/>
      <c r="AV29" s="93"/>
      <c r="AW29" s="93"/>
      <c r="AX29" s="93"/>
      <c r="AY29" s="93"/>
      <c r="AZ29" s="93"/>
      <c r="BA29" s="93"/>
      <c r="BB29" s="93"/>
      <c r="BC29" s="93"/>
      <c r="BD29" s="93"/>
      <c r="BE29" s="93"/>
      <c r="BF29" s="93"/>
      <c r="BG29" s="93"/>
      <c r="BH29" s="93"/>
      <c r="BI29" s="93"/>
      <c r="BJ29" s="93"/>
      <c r="BK29" s="93"/>
      <c r="BL29" s="93"/>
      <c r="BM29" s="93"/>
      <c r="BN29" s="93"/>
      <c r="BO29" s="93"/>
      <c r="BP29" s="93"/>
      <c r="BQ29" s="93"/>
      <c r="BR29" s="93"/>
      <c r="BS29" s="93"/>
      <c r="BT29" s="93"/>
      <c r="BU29" s="93"/>
      <c r="BV29" s="93"/>
      <c r="BW29" s="93"/>
      <c r="BX29" s="93"/>
      <c r="BY29" s="93"/>
      <c r="BZ29" s="93"/>
    </row>
    <row r="30" spans="1:78">
      <c r="A30" s="133" t="s">
        <v>247</v>
      </c>
      <c r="B30" s="93"/>
      <c r="C30" s="93"/>
      <c r="D30" s="93"/>
      <c r="E30" s="93"/>
      <c r="F30" s="93"/>
      <c r="G30" s="93"/>
      <c r="H30" s="93"/>
      <c r="I30" s="93"/>
      <c r="J30" s="93"/>
      <c r="K30" s="93"/>
      <c r="L30" s="93"/>
      <c r="M30" s="93"/>
      <c r="N30" s="93"/>
      <c r="O30" s="93"/>
      <c r="P30" s="93"/>
      <c r="Q30" s="93"/>
      <c r="R30" s="93"/>
      <c r="S30" s="93"/>
      <c r="T30" s="93"/>
      <c r="U30" s="93"/>
      <c r="V30" s="93"/>
      <c r="W30" s="93"/>
      <c r="X30" s="93"/>
      <c r="Y30" s="93"/>
      <c r="Z30" s="93"/>
      <c r="AA30" s="93"/>
      <c r="AB30" s="93"/>
      <c r="AC30" s="93"/>
      <c r="AD30" s="93"/>
      <c r="AE30" s="93"/>
      <c r="AF30" s="93"/>
      <c r="AG30" s="93"/>
      <c r="AH30" s="93"/>
      <c r="AI30" s="93"/>
      <c r="AJ30" s="93"/>
      <c r="AK30" s="93"/>
      <c r="AL30" s="93"/>
      <c r="AM30" s="93"/>
      <c r="AN30" s="93"/>
      <c r="AO30" s="93"/>
      <c r="AP30" s="93"/>
      <c r="AQ30" s="93"/>
      <c r="AR30" s="93"/>
      <c r="AS30" s="93"/>
      <c r="AT30" s="93"/>
      <c r="AU30" s="93"/>
      <c r="AV30" s="93"/>
      <c r="AW30" s="93"/>
      <c r="AX30" s="93"/>
      <c r="AY30" s="93"/>
      <c r="AZ30" s="93"/>
      <c r="BA30" s="93"/>
      <c r="BB30" s="93"/>
      <c r="BC30" s="93"/>
      <c r="BD30" s="93"/>
      <c r="BE30" s="93"/>
      <c r="BF30" s="93"/>
      <c r="BG30" s="93"/>
      <c r="BH30" s="93"/>
      <c r="BI30" s="93"/>
      <c r="BJ30" s="93"/>
      <c r="BK30" s="93"/>
      <c r="BL30" s="93"/>
      <c r="BM30" s="93"/>
      <c r="BN30" s="93"/>
      <c r="BO30" s="93"/>
      <c r="BP30" s="93"/>
      <c r="BQ30" s="93"/>
      <c r="BR30" s="93"/>
      <c r="BS30" s="93"/>
      <c r="BT30" s="93"/>
      <c r="BU30" s="93"/>
      <c r="BV30" s="93"/>
      <c r="BW30" s="93"/>
      <c r="BX30" s="93"/>
      <c r="BY30" s="93"/>
      <c r="BZ30" s="93"/>
    </row>
    <row r="31" spans="1:78">
      <c r="A31" s="93"/>
      <c r="B31" s="93"/>
      <c r="C31" s="93"/>
      <c r="D31" s="93"/>
      <c r="E31" s="93"/>
      <c r="F31" s="93"/>
      <c r="G31" s="93"/>
      <c r="H31" s="93"/>
      <c r="I31" s="93"/>
      <c r="J31" s="93"/>
      <c r="K31" s="93"/>
      <c r="L31" s="93"/>
      <c r="M31" s="93"/>
      <c r="N31" s="93"/>
      <c r="O31" s="93"/>
      <c r="P31" s="93"/>
      <c r="Q31" s="93"/>
      <c r="R31" s="93"/>
      <c r="S31" s="93"/>
      <c r="T31" s="93"/>
      <c r="U31" s="93"/>
      <c r="V31" s="93"/>
      <c r="W31" s="93"/>
      <c r="X31" s="93"/>
      <c r="Y31" s="93"/>
      <c r="Z31" s="93"/>
      <c r="AA31" s="93"/>
      <c r="AB31" s="93"/>
      <c r="AC31" s="93"/>
      <c r="AD31" s="93"/>
      <c r="AE31" s="93"/>
      <c r="AF31" s="93"/>
      <c r="AG31" s="93"/>
      <c r="AH31" s="93"/>
      <c r="AI31" s="93"/>
      <c r="AJ31" s="93"/>
      <c r="AK31" s="93"/>
      <c r="AL31" s="93"/>
      <c r="AM31" s="93"/>
      <c r="AN31" s="93"/>
      <c r="AO31" s="93"/>
      <c r="AP31" s="93"/>
      <c r="AQ31" s="93"/>
      <c r="AR31" s="93"/>
      <c r="AS31" s="93"/>
      <c r="AT31" s="93"/>
      <c r="AU31" s="93"/>
      <c r="AV31" s="93"/>
      <c r="AW31" s="93"/>
      <c r="AX31" s="93"/>
      <c r="AY31" s="93"/>
      <c r="AZ31" s="93"/>
      <c r="BA31" s="93"/>
      <c r="BB31" s="93"/>
      <c r="BC31" s="93"/>
      <c r="BD31" s="93"/>
      <c r="BE31" s="93"/>
      <c r="BF31" s="93"/>
      <c r="BG31" s="93"/>
      <c r="BH31" s="93"/>
      <c r="BI31" s="93"/>
      <c r="BJ31" s="93"/>
      <c r="BK31" s="93"/>
      <c r="BL31" s="93"/>
      <c r="BM31" s="93"/>
      <c r="BN31" s="93"/>
      <c r="BO31" s="93"/>
      <c r="BP31" s="93"/>
      <c r="BQ31" s="93"/>
      <c r="BR31" s="93"/>
      <c r="BS31" s="93"/>
      <c r="BT31" s="93"/>
      <c r="BU31" s="93"/>
      <c r="BV31" s="93"/>
      <c r="BW31" s="93"/>
      <c r="BX31" s="93"/>
      <c r="BY31" s="93"/>
      <c r="BZ31" s="93"/>
    </row>
    <row r="32" spans="1:78">
      <c r="A32" s="134" t="s">
        <v>725</v>
      </c>
      <c r="B32" s="141">
        <f>INDEX('Sched &amp; Prod Assumptions'!B48:B50,MATCH(Input!B26,'Sched &amp; Prod Assumptions'!A48:A50,0),1)*(Thresholds!E3-Input!B13)</f>
        <v>2400</v>
      </c>
      <c r="C32" s="134" t="s">
        <v>248</v>
      </c>
      <c r="D32" s="93"/>
      <c r="E32" s="93"/>
      <c r="F32" s="93"/>
      <c r="G32" s="93"/>
      <c r="H32" s="93"/>
      <c r="I32" s="93"/>
      <c r="J32" s="93"/>
      <c r="K32" s="93"/>
      <c r="L32" s="93"/>
      <c r="M32" s="93"/>
      <c r="N32" s="93"/>
      <c r="O32" s="93"/>
      <c r="P32" s="93"/>
      <c r="Q32" s="93"/>
      <c r="R32" s="93"/>
      <c r="S32" s="93"/>
      <c r="T32" s="93"/>
      <c r="U32" s="93"/>
      <c r="V32" s="93"/>
      <c r="W32" s="93"/>
      <c r="X32" s="93"/>
      <c r="Y32" s="93"/>
      <c r="Z32" s="93"/>
      <c r="AA32" s="93"/>
      <c r="AB32" s="93"/>
      <c r="AC32" s="93"/>
      <c r="AD32" s="93"/>
      <c r="AE32" s="93"/>
      <c r="AF32" s="93"/>
      <c r="AG32" s="93"/>
      <c r="AH32" s="93"/>
      <c r="AI32" s="93"/>
      <c r="AJ32" s="93"/>
      <c r="AK32" s="93"/>
      <c r="AL32" s="93"/>
      <c r="AM32" s="93"/>
      <c r="AN32" s="93"/>
      <c r="AO32" s="93"/>
      <c r="AP32" s="93"/>
      <c r="AQ32" s="93"/>
      <c r="AR32" s="93"/>
      <c r="AS32" s="93"/>
      <c r="AT32" s="93"/>
      <c r="AU32" s="93"/>
      <c r="AV32" s="93"/>
      <c r="AW32" s="93"/>
      <c r="AX32" s="93"/>
      <c r="AY32" s="93"/>
      <c r="AZ32" s="93"/>
      <c r="BA32" s="93"/>
      <c r="BB32" s="93"/>
      <c r="BC32" s="93"/>
      <c r="BD32" s="93"/>
      <c r="BE32" s="93"/>
      <c r="BF32" s="93"/>
      <c r="BG32" s="93"/>
      <c r="BH32" s="93"/>
      <c r="BI32" s="93"/>
      <c r="BJ32" s="93"/>
      <c r="BK32" s="93"/>
      <c r="BL32" s="93"/>
      <c r="BM32" s="93"/>
      <c r="BN32" s="93"/>
      <c r="BO32" s="93"/>
      <c r="BP32" s="93"/>
      <c r="BQ32" s="93"/>
      <c r="BR32" s="93"/>
      <c r="BS32" s="93"/>
      <c r="BT32" s="93"/>
      <c r="BU32" s="93"/>
      <c r="BV32" s="93"/>
      <c r="BW32" s="93"/>
      <c r="BX32" s="93"/>
      <c r="BY32" s="93"/>
      <c r="BZ32" s="93"/>
    </row>
    <row r="33" spans="1:78">
      <c r="A33" s="134" t="s">
        <v>726</v>
      </c>
      <c r="B33" s="141">
        <f>Thresholds!E3-Input!B13</f>
        <v>1500</v>
      </c>
      <c r="C33" s="134" t="s">
        <v>248</v>
      </c>
      <c r="D33" s="93"/>
      <c r="E33" s="93"/>
      <c r="F33" s="93"/>
      <c r="G33" s="93"/>
      <c r="H33" s="93"/>
      <c r="I33" s="93"/>
      <c r="J33" s="93"/>
      <c r="K33" s="93"/>
      <c r="L33" s="93"/>
      <c r="M33" s="93"/>
      <c r="N33" s="93"/>
      <c r="O33" s="93"/>
      <c r="P33" s="93"/>
      <c r="Q33" s="93"/>
      <c r="R33" s="93"/>
      <c r="S33" s="93"/>
      <c r="T33" s="93"/>
      <c r="U33" s="93"/>
      <c r="V33" s="93"/>
      <c r="W33" s="93"/>
      <c r="X33" s="93"/>
      <c r="Y33" s="93"/>
      <c r="Z33" s="93"/>
      <c r="AA33" s="93"/>
      <c r="AB33" s="93"/>
      <c r="AC33" s="93"/>
      <c r="AD33" s="93"/>
      <c r="AE33" s="93"/>
      <c r="AF33" s="93"/>
      <c r="AG33" s="93"/>
      <c r="AH33" s="93"/>
      <c r="AI33" s="93"/>
      <c r="AJ33" s="93"/>
      <c r="AK33" s="93"/>
      <c r="AL33" s="93"/>
      <c r="AM33" s="93"/>
      <c r="AN33" s="93"/>
      <c r="AO33" s="93"/>
      <c r="AP33" s="93"/>
      <c r="AQ33" s="93"/>
      <c r="AR33" s="93"/>
      <c r="AS33" s="93"/>
      <c r="AT33" s="93"/>
      <c r="AU33" s="93"/>
      <c r="AV33" s="93"/>
      <c r="AW33" s="93"/>
      <c r="AX33" s="93"/>
      <c r="AY33" s="93"/>
      <c r="AZ33" s="93"/>
      <c r="BA33" s="93"/>
      <c r="BB33" s="93"/>
      <c r="BC33" s="93"/>
      <c r="BD33" s="93"/>
      <c r="BE33" s="93"/>
      <c r="BF33" s="93"/>
      <c r="BG33" s="93"/>
      <c r="BH33" s="93"/>
      <c r="BI33" s="93"/>
      <c r="BJ33" s="93"/>
      <c r="BK33" s="93"/>
      <c r="BL33" s="93"/>
      <c r="BM33" s="93"/>
      <c r="BN33" s="93"/>
      <c r="BO33" s="93"/>
      <c r="BP33" s="93"/>
      <c r="BQ33" s="93"/>
      <c r="BR33" s="93"/>
      <c r="BS33" s="93"/>
      <c r="BT33" s="93"/>
      <c r="BU33" s="93"/>
      <c r="BV33" s="93"/>
      <c r="BW33" s="93"/>
      <c r="BX33" s="93"/>
      <c r="BY33" s="93"/>
      <c r="BZ33" s="93"/>
    </row>
    <row r="34" spans="1:78">
      <c r="A34" s="134" t="s">
        <v>249</v>
      </c>
      <c r="B34" s="141">
        <f>INDEX('Sched &amp; Prod Assumptions'!B75:B77,MATCH(Input!B26,'Sched &amp; Prod Assumptions'!A55:A57,0),1)</f>
        <v>8</v>
      </c>
      <c r="C34" s="134" t="s">
        <v>250</v>
      </c>
      <c r="D34" s="93"/>
      <c r="E34" s="93"/>
      <c r="F34" s="93"/>
      <c r="G34" s="93"/>
      <c r="H34" s="93"/>
      <c r="I34" s="93"/>
      <c r="J34" s="93"/>
      <c r="K34" s="93"/>
      <c r="L34" s="93"/>
      <c r="M34" s="93"/>
      <c r="N34" s="93"/>
      <c r="O34" s="93"/>
      <c r="P34" s="93"/>
      <c r="Q34" s="93"/>
      <c r="R34" s="93"/>
      <c r="S34" s="93"/>
      <c r="T34" s="93"/>
      <c r="U34" s="93"/>
      <c r="V34" s="93"/>
      <c r="W34" s="93"/>
      <c r="X34" s="93"/>
      <c r="Y34" s="93"/>
      <c r="Z34" s="93"/>
      <c r="AA34" s="93"/>
      <c r="AB34" s="93"/>
      <c r="AC34" s="93"/>
      <c r="AD34" s="93"/>
      <c r="AE34" s="93"/>
      <c r="AF34" s="93"/>
      <c r="AG34" s="93"/>
      <c r="AH34" s="93"/>
      <c r="AI34" s="93"/>
      <c r="AJ34" s="93"/>
      <c r="AK34" s="93"/>
      <c r="AL34" s="93"/>
      <c r="AM34" s="93"/>
      <c r="AN34" s="93"/>
      <c r="AO34" s="93"/>
      <c r="AP34" s="93"/>
      <c r="AQ34" s="93"/>
      <c r="AR34" s="93"/>
      <c r="AS34" s="93"/>
      <c r="AT34" s="93"/>
      <c r="AU34" s="93"/>
      <c r="AV34" s="93"/>
      <c r="AW34" s="93"/>
      <c r="AX34" s="93"/>
      <c r="AY34" s="93"/>
      <c r="AZ34" s="93"/>
      <c r="BA34" s="93"/>
      <c r="BB34" s="93"/>
      <c r="BC34" s="93"/>
      <c r="BD34" s="93"/>
      <c r="BE34" s="93"/>
      <c r="BF34" s="93"/>
      <c r="BG34" s="93"/>
      <c r="BH34" s="93"/>
      <c r="BI34" s="93"/>
      <c r="BJ34" s="93"/>
      <c r="BK34" s="93"/>
      <c r="BL34" s="93"/>
      <c r="BM34" s="93"/>
      <c r="BN34" s="93"/>
      <c r="BO34" s="93"/>
      <c r="BP34" s="93"/>
      <c r="BQ34" s="93"/>
      <c r="BR34" s="93"/>
      <c r="BS34" s="93"/>
      <c r="BT34" s="93"/>
      <c r="BU34" s="93"/>
      <c r="BV34" s="93"/>
      <c r="BW34" s="93"/>
      <c r="BX34" s="93"/>
      <c r="BY34" s="93"/>
      <c r="BZ34" s="93"/>
    </row>
    <row r="35" spans="1:78">
      <c r="A35" s="134" t="s">
        <v>727</v>
      </c>
      <c r="B35" s="141">
        <v>10</v>
      </c>
      <c r="C35" s="134" t="s">
        <v>250</v>
      </c>
      <c r="D35" s="93"/>
      <c r="E35" s="93"/>
      <c r="F35" s="93"/>
      <c r="G35" s="93"/>
      <c r="H35" s="93"/>
      <c r="I35" s="93"/>
      <c r="J35" s="93"/>
      <c r="K35" s="93"/>
      <c r="L35" s="93"/>
      <c r="M35" s="93"/>
      <c r="N35" s="93"/>
      <c r="O35" s="93"/>
      <c r="P35" s="93"/>
      <c r="Q35" s="93"/>
      <c r="R35" s="93"/>
      <c r="S35" s="93"/>
      <c r="T35" s="93"/>
      <c r="U35" s="93"/>
      <c r="V35" s="93"/>
      <c r="W35" s="93"/>
      <c r="X35" s="93"/>
      <c r="Y35" s="93"/>
      <c r="Z35" s="93"/>
      <c r="AA35" s="93"/>
      <c r="AB35" s="93"/>
      <c r="AC35" s="93"/>
      <c r="AD35" s="93"/>
      <c r="AE35" s="93"/>
      <c r="AF35" s="93"/>
      <c r="AG35" s="93"/>
      <c r="AH35" s="93"/>
      <c r="AI35" s="93"/>
      <c r="AJ35" s="93"/>
      <c r="AK35" s="93"/>
      <c r="AL35" s="93"/>
      <c r="AM35" s="93"/>
      <c r="AN35" s="93"/>
      <c r="AO35" s="93"/>
      <c r="AP35" s="93"/>
      <c r="AQ35" s="93"/>
      <c r="AR35" s="93"/>
      <c r="AS35" s="93"/>
      <c r="AT35" s="93"/>
      <c r="AU35" s="93"/>
      <c r="AV35" s="93"/>
      <c r="AW35" s="93"/>
      <c r="AX35" s="93"/>
      <c r="AY35" s="93"/>
      <c r="AZ35" s="93"/>
      <c r="BA35" s="93"/>
      <c r="BB35" s="93"/>
      <c r="BC35" s="93"/>
      <c r="BD35" s="93"/>
      <c r="BE35" s="93"/>
      <c r="BF35" s="93"/>
      <c r="BG35" s="93"/>
      <c r="BH35" s="93"/>
      <c r="BI35" s="93"/>
      <c r="BJ35" s="93"/>
      <c r="BK35" s="93"/>
      <c r="BL35" s="93"/>
      <c r="BM35" s="93"/>
      <c r="BN35" s="93"/>
      <c r="BO35" s="93"/>
      <c r="BP35" s="93"/>
      <c r="BQ35" s="93"/>
      <c r="BR35" s="93"/>
      <c r="BS35" s="93"/>
      <c r="BT35" s="93"/>
      <c r="BU35" s="93"/>
      <c r="BV35" s="93"/>
      <c r="BW35" s="93"/>
      <c r="BX35" s="93"/>
      <c r="BY35" s="93"/>
      <c r="BZ35" s="93"/>
    </row>
    <row r="36" spans="1:78">
      <c r="A36" s="134" t="s">
        <v>251</v>
      </c>
      <c r="B36" s="141">
        <f>Input!B16</f>
        <v>250</v>
      </c>
      <c r="C36" s="134" t="s">
        <v>250</v>
      </c>
      <c r="D36" s="93"/>
      <c r="E36" s="93"/>
      <c r="F36" s="93"/>
      <c r="G36" s="93"/>
      <c r="H36" s="93"/>
      <c r="I36" s="93"/>
      <c r="J36" s="93"/>
      <c r="K36" s="93"/>
      <c r="L36" s="93"/>
      <c r="M36" s="93"/>
      <c r="N36" s="93"/>
      <c r="O36" s="93"/>
      <c r="P36" s="93"/>
      <c r="Q36" s="93"/>
      <c r="R36" s="93"/>
      <c r="S36" s="93"/>
      <c r="T36" s="93"/>
      <c r="U36" s="93"/>
      <c r="V36" s="93"/>
      <c r="W36" s="93"/>
      <c r="X36" s="93"/>
      <c r="Y36" s="93"/>
      <c r="Z36" s="93"/>
      <c r="AA36" s="93"/>
      <c r="AB36" s="93"/>
      <c r="AC36" s="93"/>
      <c r="AD36" s="93"/>
      <c r="AE36" s="93"/>
      <c r="AF36" s="93"/>
      <c r="AG36" s="93"/>
      <c r="AH36" s="93"/>
      <c r="AI36" s="93"/>
      <c r="AJ36" s="93"/>
      <c r="AK36" s="93"/>
      <c r="AL36" s="93"/>
      <c r="AM36" s="93"/>
      <c r="AN36" s="93"/>
      <c r="AO36" s="93"/>
      <c r="AP36" s="93"/>
      <c r="AQ36" s="93"/>
      <c r="AR36" s="93"/>
      <c r="AS36" s="93"/>
      <c r="AT36" s="93"/>
      <c r="AU36" s="93"/>
      <c r="AV36" s="93"/>
      <c r="AW36" s="93"/>
      <c r="AX36" s="93"/>
      <c r="AY36" s="93"/>
      <c r="AZ36" s="93"/>
      <c r="BA36" s="93"/>
      <c r="BB36" s="93"/>
      <c r="BC36" s="93"/>
      <c r="BD36" s="93"/>
      <c r="BE36" s="93"/>
      <c r="BF36" s="93"/>
      <c r="BG36" s="93"/>
      <c r="BH36" s="93"/>
      <c r="BI36" s="93"/>
      <c r="BJ36" s="93"/>
      <c r="BK36" s="93"/>
      <c r="BL36" s="93"/>
      <c r="BM36" s="93"/>
      <c r="BN36" s="93"/>
      <c r="BO36" s="93"/>
      <c r="BP36" s="93"/>
      <c r="BQ36" s="93"/>
      <c r="BR36" s="93"/>
      <c r="BS36" s="93"/>
      <c r="BT36" s="93"/>
      <c r="BU36" s="93"/>
      <c r="BV36" s="93"/>
      <c r="BW36" s="93"/>
      <c r="BX36" s="93"/>
      <c r="BY36" s="93"/>
      <c r="BZ36" s="93"/>
    </row>
    <row r="37" spans="1:78">
      <c r="A37" s="93"/>
      <c r="B37" s="93"/>
      <c r="C37" s="93"/>
      <c r="D37" s="93"/>
      <c r="E37" s="93" t="s">
        <v>752</v>
      </c>
      <c r="F37" s="93"/>
      <c r="G37" s="170">
        <f>IF(Input!B11="Gas",'Sched &amp; Prod Assumptions'!B23,'Sched &amp; Prod Assumptions'!B22)</f>
        <v>0.5</v>
      </c>
      <c r="H37" s="93"/>
      <c r="I37" s="93"/>
      <c r="J37" s="93"/>
      <c r="K37" s="93"/>
      <c r="L37" s="93"/>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row>
    <row r="38" spans="1:78">
      <c r="A38" s="133" t="s">
        <v>252</v>
      </c>
      <c r="B38" s="93"/>
      <c r="C38" s="166"/>
      <c r="D38" s="166"/>
      <c r="E38" s="166"/>
      <c r="F38" s="166"/>
      <c r="G38" s="93"/>
      <c r="H38" s="93"/>
      <c r="I38" s="93"/>
      <c r="J38" s="93"/>
      <c r="K38" s="93"/>
      <c r="L38" s="93"/>
      <c r="M38" s="93"/>
      <c r="N38" s="93"/>
      <c r="O38" s="93"/>
      <c r="P38" s="93"/>
      <c r="Q38" s="93"/>
      <c r="R38" s="93"/>
      <c r="S38" s="93"/>
      <c r="T38" s="93"/>
      <c r="U38" s="93"/>
      <c r="V38" s="93"/>
      <c r="W38" s="93"/>
      <c r="X38" s="93"/>
      <c r="Y38" s="93"/>
      <c r="Z38" s="93"/>
      <c r="AA38" s="93"/>
      <c r="AB38" s="93"/>
      <c r="AC38" s="93"/>
      <c r="AD38" s="93"/>
      <c r="AE38" s="93"/>
      <c r="AF38" s="93"/>
      <c r="AG38" s="93"/>
      <c r="AH38" s="93"/>
      <c r="AI38" s="93"/>
      <c r="AJ38" s="93"/>
      <c r="AK38" s="93"/>
      <c r="AL38" s="93"/>
      <c r="AM38" s="93"/>
      <c r="AN38" s="93"/>
      <c r="AO38" s="93"/>
      <c r="AP38" s="93"/>
      <c r="AQ38" s="93"/>
      <c r="AR38" s="93"/>
      <c r="AS38" s="93"/>
      <c r="AT38" s="93"/>
      <c r="AU38" s="93"/>
      <c r="AV38" s="93"/>
      <c r="AW38" s="93"/>
      <c r="AX38" s="93"/>
      <c r="AY38" s="93"/>
      <c r="AZ38" s="93"/>
      <c r="BA38" s="93"/>
      <c r="BB38" s="93"/>
      <c r="BC38" s="93"/>
      <c r="BD38" s="93"/>
      <c r="BE38" s="93"/>
      <c r="BF38" s="93"/>
      <c r="BG38" s="93"/>
      <c r="BH38" s="93"/>
      <c r="BI38" s="93"/>
      <c r="BJ38" s="93"/>
      <c r="BK38" s="93"/>
      <c r="BL38" s="93"/>
      <c r="BM38" s="93"/>
      <c r="BN38" s="93"/>
      <c r="BO38" s="93"/>
      <c r="BP38" s="93"/>
      <c r="BQ38" s="93"/>
      <c r="BR38" s="93"/>
      <c r="BS38" s="93"/>
      <c r="BT38" s="93"/>
      <c r="BU38" s="93"/>
      <c r="BV38" s="93"/>
      <c r="BW38" s="93"/>
      <c r="BX38" s="93"/>
      <c r="BY38" s="93"/>
      <c r="BZ38" s="93"/>
    </row>
    <row r="39" spans="1:78">
      <c r="A39" s="93"/>
      <c r="B39" s="139" t="s">
        <v>683</v>
      </c>
      <c r="C39" s="139" t="s">
        <v>253</v>
      </c>
      <c r="D39" s="139" t="s">
        <v>239</v>
      </c>
      <c r="E39" s="139" t="s">
        <v>79</v>
      </c>
      <c r="F39" s="139" t="s">
        <v>201</v>
      </c>
      <c r="G39" s="139" t="s">
        <v>254</v>
      </c>
      <c r="H39" s="139" t="s">
        <v>255</v>
      </c>
      <c r="I39" s="139" t="s">
        <v>256</v>
      </c>
      <c r="J39" s="139" t="s">
        <v>257</v>
      </c>
      <c r="K39" s="139" t="s">
        <v>258</v>
      </c>
      <c r="L39" s="139" t="s">
        <v>259</v>
      </c>
      <c r="M39" s="139" t="s">
        <v>688</v>
      </c>
      <c r="N39" s="139" t="s">
        <v>689</v>
      </c>
      <c r="O39" s="139" t="s">
        <v>42</v>
      </c>
      <c r="P39" s="139" t="s">
        <v>42</v>
      </c>
      <c r="Q39" s="139" t="s">
        <v>42</v>
      </c>
      <c r="R39" s="139" t="s">
        <v>42</v>
      </c>
      <c r="S39" s="139" t="s">
        <v>42</v>
      </c>
      <c r="T39" s="139" t="s">
        <v>42</v>
      </c>
      <c r="U39" s="139" t="s">
        <v>42</v>
      </c>
      <c r="V39" s="93" t="s">
        <v>13</v>
      </c>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row>
    <row r="40" spans="1:78">
      <c r="A40" s="134"/>
      <c r="B40" s="134"/>
      <c r="C40" s="134"/>
      <c r="D40" s="134"/>
      <c r="E40" s="134"/>
      <c r="F40" s="134"/>
      <c r="G40" s="155" t="s">
        <v>260</v>
      </c>
      <c r="H40" s="134"/>
      <c r="I40" s="134"/>
      <c r="J40" s="134"/>
      <c r="K40" s="134"/>
      <c r="L40" s="134"/>
      <c r="M40" s="134"/>
      <c r="N40" s="134"/>
      <c r="O40" s="134"/>
      <c r="P40" s="134"/>
      <c r="Q40" s="134"/>
      <c r="R40" s="134"/>
      <c r="S40" s="134"/>
      <c r="T40" s="134"/>
      <c r="U40" s="134"/>
      <c r="V40" s="93"/>
      <c r="W40" s="93"/>
      <c r="X40" s="93"/>
      <c r="Y40" s="93"/>
      <c r="Z40" s="93"/>
      <c r="AA40" s="93"/>
      <c r="AB40" s="93"/>
      <c r="AC40" s="93"/>
      <c r="AD40" s="93"/>
      <c r="AE40" s="93"/>
      <c r="AF40" s="93"/>
      <c r="AG40" s="93"/>
      <c r="AH40" s="93"/>
      <c r="AI40" s="93"/>
      <c r="AJ40" s="93"/>
      <c r="AK40" s="93"/>
      <c r="AL40" s="93"/>
      <c r="AM40" s="93"/>
      <c r="AN40" s="93"/>
      <c r="AO40" s="93"/>
      <c r="AP40" s="93"/>
      <c r="AQ40" s="93"/>
      <c r="AR40" s="93"/>
      <c r="AS40" s="93"/>
      <c r="AT40" s="93"/>
      <c r="AU40" s="93"/>
      <c r="AV40" s="93"/>
      <c r="AW40" s="93"/>
      <c r="AX40" s="93"/>
      <c r="AY40" s="93"/>
      <c r="AZ40" s="93"/>
      <c r="BA40" s="93"/>
      <c r="BB40" s="93"/>
      <c r="BC40" s="93"/>
      <c r="BD40" s="93"/>
      <c r="BE40" s="93"/>
      <c r="BF40" s="93"/>
      <c r="BG40" s="93"/>
      <c r="BH40" s="93"/>
      <c r="BI40" s="93"/>
      <c r="BJ40" s="93"/>
      <c r="BK40" s="93"/>
      <c r="BL40" s="93"/>
      <c r="BM40" s="93"/>
      <c r="BN40" s="93"/>
      <c r="BO40" s="93"/>
      <c r="BP40" s="93"/>
      <c r="BQ40" s="93"/>
      <c r="BR40" s="93"/>
      <c r="BS40" s="93"/>
      <c r="BT40" s="93"/>
      <c r="BU40" s="93"/>
      <c r="BV40" s="93"/>
      <c r="BW40" s="93"/>
      <c r="BX40" s="93"/>
      <c r="BY40" s="93"/>
      <c r="BZ40" s="93"/>
    </row>
    <row r="41" spans="1:78">
      <c r="A41" s="134" t="s">
        <v>261</v>
      </c>
      <c r="B41" s="141">
        <f>B21</f>
        <v>0</v>
      </c>
      <c r="C41" s="141">
        <f>B21*E21</f>
        <v>0</v>
      </c>
      <c r="D41" s="141">
        <f>B21*F21</f>
        <v>0</v>
      </c>
      <c r="E41" s="171">
        <f>H75</f>
        <v>42815</v>
      </c>
      <c r="F41" s="171">
        <f t="shared" ref="F41:F46" si="0">E41+C41</f>
        <v>42815</v>
      </c>
      <c r="G41" s="150">
        <f>ROUNDDOWN(MAX(0,IF(F41&lt;$F$75,1,IF(C41=0,0,($F$75-E41)/(F41-E41))))*B21,0)</f>
        <v>0</v>
      </c>
      <c r="H41" s="150">
        <f t="shared" ref="H41:H46" si="1">YEAR(E41)</f>
        <v>2017</v>
      </c>
      <c r="I41" s="150">
        <f t="shared" ref="I41:N42" si="2">H41+1</f>
        <v>2018</v>
      </c>
      <c r="J41" s="150">
        <f t="shared" si="2"/>
        <v>2019</v>
      </c>
      <c r="K41" s="150">
        <f t="shared" si="2"/>
        <v>2020</v>
      </c>
      <c r="L41" s="150">
        <f t="shared" si="2"/>
        <v>2021</v>
      </c>
      <c r="M41" s="150">
        <f t="shared" si="2"/>
        <v>2022</v>
      </c>
      <c r="N41" s="150">
        <f t="shared" si="2"/>
        <v>2023</v>
      </c>
      <c r="O41" s="141">
        <f t="shared" ref="O41:O52" si="3">IF(YEAR($E41)&gt;H41,0,IF(YEAR($E41)&lt;H41,IF(YEAR($F41)=H41,($F41-DATE(H41,1,1))/$C41*$D41,IF(YEAR($F41)&lt;H41,0,(DATE(H41+1,1,1)-DATE(H41,1,1))/$C41*$D41)),IF(YEAR($E41)=H41,IF(YEAR($F41)=H41,$D41,(DATE(H41+1,1,1)-$E41)/$C41*$D41))))</f>
        <v>0</v>
      </c>
      <c r="P41" s="141">
        <f t="shared" ref="P41:P52" si="4">IF(YEAR($E41)&gt;I41,0,IF(YEAR($E41)&lt;I41,IF(YEAR($F41)=I41,($F41-DATE(I41,1,1))/$C41*$D41,IF(YEAR($F41)&lt;I41,0,(DATE(I41+1,1,1)-DATE(I41,1,1))/$C41*$D41)),IF(YEAR($E41)=I41,IF(YEAR($F41)=I41,$D41,(DATE(I41+1,1,1)-$E41)/$C41*$D41))))</f>
        <v>0</v>
      </c>
      <c r="Q41" s="141">
        <f t="shared" ref="Q41:Q52" si="5">IF(YEAR($E41)&gt;J41,0,IF(YEAR($E41)&lt;J41,IF(YEAR($F41)=J41,($F41-DATE(J41,1,1))/$C41*$D41,IF(YEAR($F41)&lt;J41,0,(DATE(J41+1,1,1)-DATE(J41,1,1))/$C41*$D41)),IF(YEAR($E41)=J41,IF(YEAR($F41)=J41,$D41,(DATE(J41+1,1,1)-$E41)/$C41*$D41))))</f>
        <v>0</v>
      </c>
      <c r="R41" s="141">
        <f t="shared" ref="R41:R52" si="6">IF(YEAR($E41)&gt;K41,0,IF(YEAR($E41)&lt;K41,IF(YEAR($F41)=K41,($F41-DATE(K41,1,1))/$C41*$D41,IF(YEAR($F41)&lt;K41,0,(DATE(K41+1,1,1)-DATE(K41,1,1))/$C41*$D41)),IF(YEAR($E41)=K41,IF(YEAR($F41)=K41,$D41,(DATE(K41+1,1,1)-$E41)/$C41*$D41))))</f>
        <v>0</v>
      </c>
      <c r="S41" s="141">
        <f t="shared" ref="S41:S52" si="7">IF(YEAR($E41)&gt;L41,0,IF(YEAR($E41)&lt;L41,IF(YEAR($F41)=L41,($F41-DATE(L41,1,1))/$C41*$D41,IF(YEAR($F41)&lt;L41,0,(DATE(L41+1,1,1)-DATE(L41,1,1))/$C41*$D41)),IF(YEAR($E41)=L41,IF(YEAR($F41)=L41,$D41,(DATE(L41+1,1,1)-$E41)/$C41*$D41))))</f>
        <v>0</v>
      </c>
      <c r="T41" s="141">
        <f t="shared" ref="T41:T52" si="8">IF(YEAR($E41)&gt;M41,0,IF(YEAR($E41)&lt;M41,IF(YEAR($F41)=M41,($F41-DATE(M41,1,1))/$C41*$D41,IF(YEAR($F41)&lt;M41,0,(DATE(M41+1,1,1)-DATE(M41,1,1))/$C41*$D41)),IF(YEAR($E41)=M41,IF(YEAR($F41)=M41,$D41,(DATE(M41+1,1,1)-$E41)/$C41*$D41))))</f>
        <v>0</v>
      </c>
      <c r="U41" s="141">
        <f t="shared" ref="U41:U52" si="9">IF(YEAR($E41)&gt;N41,0,IF(YEAR($E41)&lt;N41,IF(YEAR($F41)=N41,($F41-DATE(N41,1,1))/$C41*$D41,IF(YEAR($F41)&lt;N41,0,(DATE(N41+1,1,1)-DATE(N41,1,1))/$C41*$D41)),IF(YEAR($E41)=N41,IF(YEAR($F41)=N41,$D41,(DATE(N41+1,1,1)-$E41)/$C41*$D41))))</f>
        <v>0</v>
      </c>
      <c r="V41" s="172">
        <f>SUM(O41:U41)</f>
        <v>0</v>
      </c>
      <c r="W41" s="172"/>
      <c r="X41" s="172"/>
      <c r="Y41" s="172"/>
      <c r="Z41" s="172"/>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93"/>
      <c r="BF41" s="93"/>
      <c r="BG41" s="93"/>
      <c r="BH41" s="93"/>
      <c r="BI41" s="93"/>
      <c r="BJ41" s="93"/>
      <c r="BK41" s="93"/>
      <c r="BL41" s="93"/>
      <c r="BM41" s="93"/>
      <c r="BN41" s="93"/>
      <c r="BO41" s="93"/>
      <c r="BP41" s="93"/>
      <c r="BQ41" s="93"/>
      <c r="BR41" s="93"/>
      <c r="BS41" s="93"/>
      <c r="BT41" s="93"/>
      <c r="BU41" s="93"/>
      <c r="BV41" s="93"/>
      <c r="BW41" s="93"/>
      <c r="BX41" s="93"/>
      <c r="BY41" s="93"/>
      <c r="BZ41" s="93"/>
    </row>
    <row r="42" spans="1:78">
      <c r="A42" s="134" t="s">
        <v>241</v>
      </c>
      <c r="B42" s="141">
        <f>B17</f>
        <v>0</v>
      </c>
      <c r="C42" s="141">
        <f>B17*E17</f>
        <v>0</v>
      </c>
      <c r="D42" s="141">
        <f>B17*F17</f>
        <v>0</v>
      </c>
      <c r="E42" s="171">
        <f>F41</f>
        <v>42815</v>
      </c>
      <c r="F42" s="171">
        <f t="shared" si="0"/>
        <v>42815</v>
      </c>
      <c r="G42" s="150">
        <f>ROUNDDOWN(MAX(0,IF(F42&lt;$F$75,1,IF(C42=0,0,($F$75-E42)/(F42-E42))))*B17,0)</f>
        <v>0</v>
      </c>
      <c r="H42" s="150">
        <f t="shared" si="1"/>
        <v>2017</v>
      </c>
      <c r="I42" s="150">
        <f t="shared" si="2"/>
        <v>2018</v>
      </c>
      <c r="J42" s="150">
        <f t="shared" si="2"/>
        <v>2019</v>
      </c>
      <c r="K42" s="150">
        <f t="shared" si="2"/>
        <v>2020</v>
      </c>
      <c r="L42" s="150">
        <f t="shared" si="2"/>
        <v>2021</v>
      </c>
      <c r="M42" s="150">
        <f t="shared" si="2"/>
        <v>2022</v>
      </c>
      <c r="N42" s="150">
        <f t="shared" si="2"/>
        <v>2023</v>
      </c>
      <c r="O42" s="141">
        <f t="shared" si="3"/>
        <v>0</v>
      </c>
      <c r="P42" s="141">
        <f t="shared" si="4"/>
        <v>0</v>
      </c>
      <c r="Q42" s="141">
        <f t="shared" si="5"/>
        <v>0</v>
      </c>
      <c r="R42" s="141">
        <f t="shared" si="6"/>
        <v>0</v>
      </c>
      <c r="S42" s="141">
        <f t="shared" si="7"/>
        <v>0</v>
      </c>
      <c r="T42" s="141">
        <f t="shared" si="8"/>
        <v>0</v>
      </c>
      <c r="U42" s="141">
        <f t="shared" si="9"/>
        <v>0</v>
      </c>
      <c r="V42" s="172">
        <f>SUM(O42:U42)</f>
        <v>0</v>
      </c>
      <c r="W42" s="172"/>
      <c r="X42" s="172"/>
      <c r="Y42" s="172"/>
      <c r="Z42" s="172"/>
      <c r="AA42" s="93"/>
      <c r="AB42" s="93"/>
      <c r="AC42" s="93"/>
      <c r="AD42" s="93"/>
      <c r="AE42" s="93"/>
      <c r="AF42" s="93"/>
      <c r="AG42" s="93"/>
      <c r="AH42" s="93"/>
      <c r="AI42" s="93"/>
      <c r="AJ42" s="93"/>
      <c r="AK42" s="93"/>
      <c r="AL42" s="93"/>
      <c r="AM42" s="93"/>
      <c r="AN42" s="93"/>
      <c r="AO42" s="93"/>
      <c r="AP42" s="93"/>
      <c r="AQ42" s="93"/>
      <c r="AR42" s="93"/>
      <c r="AS42" s="93"/>
      <c r="AT42" s="93"/>
      <c r="AU42" s="93"/>
      <c r="AV42" s="93"/>
      <c r="AW42" s="93"/>
      <c r="AX42" s="93"/>
      <c r="AY42" s="93"/>
      <c r="AZ42" s="93"/>
      <c r="BA42" s="93"/>
      <c r="BB42" s="93"/>
      <c r="BC42" s="93"/>
      <c r="BD42" s="93"/>
      <c r="BE42" s="93"/>
      <c r="BF42" s="93"/>
      <c r="BG42" s="93"/>
      <c r="BH42" s="93"/>
      <c r="BI42" s="93"/>
      <c r="BJ42" s="93"/>
      <c r="BK42" s="93"/>
      <c r="BL42" s="93"/>
      <c r="BM42" s="93"/>
      <c r="BN42" s="93"/>
      <c r="BO42" s="93"/>
      <c r="BP42" s="93"/>
      <c r="BQ42" s="93"/>
      <c r="BR42" s="93"/>
      <c r="BS42" s="93"/>
      <c r="BT42" s="93"/>
      <c r="BU42" s="93"/>
      <c r="BV42" s="93"/>
      <c r="BW42" s="93"/>
      <c r="BX42" s="93"/>
      <c r="BY42" s="93"/>
      <c r="BZ42" s="93"/>
    </row>
    <row r="43" spans="1:78">
      <c r="A43" s="134" t="s">
        <v>262</v>
      </c>
      <c r="B43" s="141">
        <f>B20</f>
        <v>0</v>
      </c>
      <c r="C43" s="141">
        <f>(C20+E20)*B43</f>
        <v>0</v>
      </c>
      <c r="D43" s="141">
        <f>(D20+F20)*B43</f>
        <v>0</v>
      </c>
      <c r="E43" s="171">
        <f>F42</f>
        <v>42815</v>
      </c>
      <c r="F43" s="171">
        <f t="shared" si="0"/>
        <v>42815</v>
      </c>
      <c r="G43" s="150">
        <f>ROUNDDOWN(MAX(0,IF(F43&lt;$F$75,1,IF(C43=0,0,($F$75-E43)/(F43-E43))))*B20,0)</f>
        <v>0</v>
      </c>
      <c r="H43" s="150">
        <f t="shared" si="1"/>
        <v>2017</v>
      </c>
      <c r="I43" s="150">
        <f t="shared" ref="I43:N43" si="10">H43+1</f>
        <v>2018</v>
      </c>
      <c r="J43" s="150">
        <f t="shared" si="10"/>
        <v>2019</v>
      </c>
      <c r="K43" s="150">
        <f t="shared" si="10"/>
        <v>2020</v>
      </c>
      <c r="L43" s="150">
        <f t="shared" si="10"/>
        <v>2021</v>
      </c>
      <c r="M43" s="150">
        <f t="shared" si="10"/>
        <v>2022</v>
      </c>
      <c r="N43" s="150">
        <f t="shared" si="10"/>
        <v>2023</v>
      </c>
      <c r="O43" s="141">
        <f t="shared" si="3"/>
        <v>0</v>
      </c>
      <c r="P43" s="141">
        <f t="shared" si="4"/>
        <v>0</v>
      </c>
      <c r="Q43" s="141">
        <f t="shared" si="5"/>
        <v>0</v>
      </c>
      <c r="R43" s="141">
        <f t="shared" si="6"/>
        <v>0</v>
      </c>
      <c r="S43" s="141">
        <f t="shared" si="7"/>
        <v>0</v>
      </c>
      <c r="T43" s="141">
        <f t="shared" si="8"/>
        <v>0</v>
      </c>
      <c r="U43" s="141">
        <f t="shared" si="9"/>
        <v>0</v>
      </c>
      <c r="V43" s="172">
        <f>SUM(O43:U43)</f>
        <v>0</v>
      </c>
      <c r="W43" s="172"/>
      <c r="X43" s="172"/>
      <c r="Y43" s="172"/>
      <c r="Z43" s="172"/>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row>
    <row r="44" spans="1:78">
      <c r="A44" s="134" t="s">
        <v>263</v>
      </c>
      <c r="B44" s="141">
        <f>B21</f>
        <v>0</v>
      </c>
      <c r="C44" s="141">
        <f>B21*C21</f>
        <v>0</v>
      </c>
      <c r="D44" s="141">
        <f>B21*D21</f>
        <v>0</v>
      </c>
      <c r="E44" s="171">
        <f>MIN(MAX(E74,F74-C44),F74-C44)</f>
        <v>42785</v>
      </c>
      <c r="F44" s="171">
        <f t="shared" si="0"/>
        <v>42785</v>
      </c>
      <c r="G44" s="150">
        <f>ROUNDDOWN(MAX(0,IF(F44&lt;$F$75,1,IF(C44=0,0,($F$75-E44)/(F44-E44))))*B21,0)</f>
        <v>0</v>
      </c>
      <c r="H44" s="150">
        <f t="shared" si="1"/>
        <v>2017</v>
      </c>
      <c r="I44" s="150">
        <f t="shared" ref="I44:N46" si="11">H44+1</f>
        <v>2018</v>
      </c>
      <c r="J44" s="150">
        <f t="shared" si="11"/>
        <v>2019</v>
      </c>
      <c r="K44" s="150">
        <f t="shared" si="11"/>
        <v>2020</v>
      </c>
      <c r="L44" s="150">
        <f t="shared" si="11"/>
        <v>2021</v>
      </c>
      <c r="M44" s="150">
        <f t="shared" si="11"/>
        <v>2022</v>
      </c>
      <c r="N44" s="150">
        <f t="shared" si="11"/>
        <v>2023</v>
      </c>
      <c r="O44" s="141">
        <f t="shared" si="3"/>
        <v>0</v>
      </c>
      <c r="P44" s="141">
        <f t="shared" si="4"/>
        <v>0</v>
      </c>
      <c r="Q44" s="141">
        <f t="shared" si="5"/>
        <v>0</v>
      </c>
      <c r="R44" s="141">
        <f t="shared" si="6"/>
        <v>0</v>
      </c>
      <c r="S44" s="141">
        <f t="shared" si="7"/>
        <v>0</v>
      </c>
      <c r="T44" s="141">
        <f t="shared" si="8"/>
        <v>0</v>
      </c>
      <c r="U44" s="141">
        <f t="shared" si="9"/>
        <v>0</v>
      </c>
      <c r="V44" s="172">
        <f>SUM(O44:U44)</f>
        <v>0</v>
      </c>
      <c r="W44" s="172"/>
      <c r="X44" s="172"/>
      <c r="Y44" s="172"/>
      <c r="Z44" s="172"/>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3"/>
      <c r="BI44" s="93"/>
      <c r="BJ44" s="93"/>
      <c r="BK44" s="93"/>
      <c r="BL44" s="93"/>
      <c r="BM44" s="93"/>
      <c r="BN44" s="93"/>
      <c r="BO44" s="93"/>
      <c r="BP44" s="93"/>
      <c r="BQ44" s="93"/>
      <c r="BR44" s="93"/>
      <c r="BS44" s="93"/>
      <c r="BT44" s="93"/>
      <c r="BU44" s="93"/>
      <c r="BV44" s="93"/>
      <c r="BW44" s="93"/>
      <c r="BX44" s="93"/>
      <c r="BY44" s="93"/>
      <c r="BZ44" s="93"/>
    </row>
    <row r="45" spans="1:78">
      <c r="A45" s="134" t="s">
        <v>679</v>
      </c>
      <c r="B45" s="141">
        <f>C29</f>
        <v>0</v>
      </c>
      <c r="C45" s="141">
        <f>B45*E$18</f>
        <v>0</v>
      </c>
      <c r="D45" s="141">
        <f>B45*F$18</f>
        <v>0</v>
      </c>
      <c r="E45" s="171">
        <f>MAX($B$8,$B$57-C45-$G$37*C46)</f>
        <v>42580.384615384617</v>
      </c>
      <c r="F45" s="171">
        <f t="shared" si="0"/>
        <v>42580.384615384617</v>
      </c>
      <c r="G45" s="150">
        <f t="shared" ref="G45:G52" si="12">ROUNDDOWN(MAX(0,IF(F45&lt;$F$75,1,IF(C45=0,0,($F$75-E45)/(F45-E45))))*B45,0)</f>
        <v>0</v>
      </c>
      <c r="H45" s="150">
        <f t="shared" si="1"/>
        <v>2016</v>
      </c>
      <c r="I45" s="150">
        <f t="shared" si="11"/>
        <v>2017</v>
      </c>
      <c r="J45" s="150">
        <f t="shared" si="11"/>
        <v>2018</v>
      </c>
      <c r="K45" s="150">
        <f t="shared" si="11"/>
        <v>2019</v>
      </c>
      <c r="L45" s="150">
        <f t="shared" si="11"/>
        <v>2020</v>
      </c>
      <c r="M45" s="150">
        <f t="shared" si="11"/>
        <v>2021</v>
      </c>
      <c r="N45" s="150">
        <f t="shared" si="11"/>
        <v>2022</v>
      </c>
      <c r="O45" s="141">
        <f t="shared" si="3"/>
        <v>0</v>
      </c>
      <c r="P45" s="141">
        <f t="shared" si="4"/>
        <v>0</v>
      </c>
      <c r="Q45" s="141">
        <f t="shared" si="5"/>
        <v>0</v>
      </c>
      <c r="R45" s="141">
        <f t="shared" si="6"/>
        <v>0</v>
      </c>
      <c r="S45" s="141">
        <f t="shared" si="7"/>
        <v>0</v>
      </c>
      <c r="T45" s="141">
        <f t="shared" si="8"/>
        <v>0</v>
      </c>
      <c r="U45" s="141">
        <f t="shared" si="9"/>
        <v>0</v>
      </c>
      <c r="V45" s="172"/>
      <c r="W45" s="172"/>
      <c r="X45" s="172"/>
      <c r="Y45" s="172"/>
      <c r="Z45" s="172"/>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c r="BH45" s="93"/>
      <c r="BI45" s="93"/>
      <c r="BJ45" s="93"/>
      <c r="BK45" s="93"/>
      <c r="BL45" s="93"/>
      <c r="BM45" s="93"/>
      <c r="BN45" s="93"/>
      <c r="BO45" s="93"/>
      <c r="BP45" s="93"/>
      <c r="BQ45" s="93"/>
      <c r="BR45" s="93"/>
      <c r="BS45" s="93"/>
      <c r="BT45" s="93"/>
      <c r="BU45" s="93"/>
      <c r="BV45" s="93"/>
      <c r="BW45" s="93"/>
      <c r="BX45" s="93"/>
      <c r="BY45" s="93"/>
      <c r="BZ45" s="93"/>
    </row>
    <row r="46" spans="1:78">
      <c r="A46" s="134" t="s">
        <v>245</v>
      </c>
      <c r="B46" s="141">
        <f>C28-C29</f>
        <v>10</v>
      </c>
      <c r="C46" s="141">
        <f>B46*(C$22+E$22)</f>
        <v>469.23076923076917</v>
      </c>
      <c r="D46" s="141">
        <f>B46*(D$22+F$22)</f>
        <v>434237.23076923075</v>
      </c>
      <c r="E46" s="171">
        <f>F45</f>
        <v>42580.384615384617</v>
      </c>
      <c r="F46" s="171">
        <f t="shared" si="0"/>
        <v>43049.615384615383</v>
      </c>
      <c r="G46" s="150">
        <f t="shared" si="12"/>
        <v>5</v>
      </c>
      <c r="H46" s="150">
        <f t="shared" si="1"/>
        <v>2016</v>
      </c>
      <c r="I46" s="150">
        <f t="shared" si="11"/>
        <v>2017</v>
      </c>
      <c r="J46" s="150">
        <f t="shared" si="11"/>
        <v>2018</v>
      </c>
      <c r="K46" s="150">
        <f t="shared" si="11"/>
        <v>2019</v>
      </c>
      <c r="L46" s="150">
        <f t="shared" si="11"/>
        <v>2020</v>
      </c>
      <c r="M46" s="150">
        <f t="shared" si="11"/>
        <v>2021</v>
      </c>
      <c r="N46" s="150">
        <f t="shared" si="11"/>
        <v>2022</v>
      </c>
      <c r="O46" s="141">
        <f t="shared" si="3"/>
        <v>144010.15046658105</v>
      </c>
      <c r="P46" s="141">
        <f t="shared" si="4"/>
        <v>290227.08030264662</v>
      </c>
      <c r="Q46" s="141">
        <f t="shared" si="5"/>
        <v>0</v>
      </c>
      <c r="R46" s="141">
        <f t="shared" si="6"/>
        <v>0</v>
      </c>
      <c r="S46" s="141">
        <f t="shared" si="7"/>
        <v>0</v>
      </c>
      <c r="T46" s="141">
        <f t="shared" si="8"/>
        <v>0</v>
      </c>
      <c r="U46" s="141">
        <f t="shared" si="9"/>
        <v>0</v>
      </c>
      <c r="V46" s="172"/>
      <c r="W46" s="172"/>
      <c r="X46" s="172"/>
      <c r="Y46" s="172"/>
      <c r="Z46" s="172"/>
      <c r="AA46" s="93"/>
      <c r="AB46" s="93"/>
      <c r="AC46" s="93"/>
      <c r="AD46" s="93"/>
      <c r="AE46" s="93"/>
      <c r="AF46" s="93"/>
      <c r="AG46" s="93"/>
      <c r="AH46" s="93"/>
      <c r="AI46" s="93"/>
      <c r="AJ46" s="93"/>
      <c r="AK46" s="93"/>
      <c r="AL46" s="93"/>
      <c r="AM46" s="93"/>
      <c r="AN46" s="93"/>
      <c r="AO46" s="93"/>
      <c r="AP46" s="93"/>
      <c r="AQ46" s="93"/>
      <c r="AR46" s="93"/>
      <c r="AS46" s="93"/>
      <c r="AT46" s="93"/>
      <c r="AU46" s="93"/>
      <c r="AV46" s="93"/>
      <c r="AW46" s="93"/>
      <c r="AX46" s="93"/>
      <c r="AY46" s="93"/>
      <c r="AZ46" s="93"/>
      <c r="BA46" s="93"/>
      <c r="BB46" s="93"/>
      <c r="BC46" s="93"/>
      <c r="BD46" s="93"/>
      <c r="BE46" s="93"/>
      <c r="BF46" s="93"/>
      <c r="BG46" s="93"/>
      <c r="BH46" s="93"/>
      <c r="BI46" s="93"/>
      <c r="BJ46" s="93"/>
      <c r="BK46" s="93"/>
      <c r="BL46" s="93"/>
      <c r="BM46" s="93"/>
      <c r="BN46" s="93"/>
      <c r="BO46" s="93"/>
      <c r="BP46" s="93"/>
      <c r="BQ46" s="93"/>
      <c r="BR46" s="93"/>
      <c r="BS46" s="93"/>
      <c r="BT46" s="93"/>
      <c r="BU46" s="93"/>
      <c r="BV46" s="93"/>
      <c r="BW46" s="93"/>
      <c r="BX46" s="93"/>
      <c r="BY46" s="93"/>
      <c r="BZ46" s="93"/>
    </row>
    <row r="47" spans="1:78">
      <c r="A47" s="134" t="s">
        <v>680</v>
      </c>
      <c r="B47" s="141">
        <f>D29</f>
        <v>0</v>
      </c>
      <c r="C47" s="141">
        <f>B47*E$18</f>
        <v>0</v>
      </c>
      <c r="D47" s="141">
        <f>B47*F$18</f>
        <v>0</v>
      </c>
      <c r="E47" s="171">
        <f>MAX($B$8,$B$57-C47-$G$37*C48)</f>
        <v>42580.384615384617</v>
      </c>
      <c r="F47" s="171">
        <f t="shared" ref="F47:F52" si="13">E47+C47</f>
        <v>42580.384615384617</v>
      </c>
      <c r="G47" s="150">
        <f t="shared" si="12"/>
        <v>0</v>
      </c>
      <c r="H47" s="150">
        <f t="shared" ref="H47:H52" si="14">YEAR(E47)</f>
        <v>2016</v>
      </c>
      <c r="I47" s="150">
        <f t="shared" ref="I47:I52" si="15">H47+1</f>
        <v>2017</v>
      </c>
      <c r="J47" s="150">
        <f t="shared" ref="J47:J52" si="16">I47+1</f>
        <v>2018</v>
      </c>
      <c r="K47" s="150">
        <f t="shared" ref="K47:K52" si="17">J47+1</f>
        <v>2019</v>
      </c>
      <c r="L47" s="150">
        <f t="shared" ref="L47:N52" si="18">K47+1</f>
        <v>2020</v>
      </c>
      <c r="M47" s="150">
        <f t="shared" si="18"/>
        <v>2021</v>
      </c>
      <c r="N47" s="150">
        <f t="shared" si="18"/>
        <v>2022</v>
      </c>
      <c r="O47" s="141">
        <f t="shared" si="3"/>
        <v>0</v>
      </c>
      <c r="P47" s="141">
        <f t="shared" si="4"/>
        <v>0</v>
      </c>
      <c r="Q47" s="141">
        <f t="shared" si="5"/>
        <v>0</v>
      </c>
      <c r="R47" s="141">
        <f t="shared" si="6"/>
        <v>0</v>
      </c>
      <c r="S47" s="141">
        <f t="shared" si="7"/>
        <v>0</v>
      </c>
      <c r="T47" s="141">
        <f t="shared" si="8"/>
        <v>0</v>
      </c>
      <c r="U47" s="141">
        <f t="shared" si="9"/>
        <v>0</v>
      </c>
      <c r="V47" s="172"/>
      <c r="W47" s="172"/>
      <c r="X47" s="172"/>
      <c r="Y47" s="172"/>
      <c r="Z47" s="172"/>
      <c r="AA47" s="93"/>
      <c r="AB47" s="93"/>
      <c r="AC47" s="93"/>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c r="BE47" s="93"/>
      <c r="BF47" s="93"/>
      <c r="BG47" s="93"/>
      <c r="BH47" s="93"/>
      <c r="BI47" s="93"/>
      <c r="BJ47" s="93"/>
      <c r="BK47" s="93"/>
      <c r="BL47" s="93"/>
      <c r="BM47" s="93"/>
      <c r="BN47" s="93"/>
      <c r="BO47" s="93"/>
      <c r="BP47" s="93"/>
      <c r="BQ47" s="93"/>
      <c r="BR47" s="93"/>
      <c r="BS47" s="93"/>
      <c r="BT47" s="93"/>
      <c r="BU47" s="93"/>
      <c r="BV47" s="93"/>
      <c r="BW47" s="93"/>
      <c r="BX47" s="93"/>
      <c r="BY47" s="93"/>
      <c r="BZ47" s="93"/>
    </row>
    <row r="48" spans="1:78">
      <c r="A48" s="134" t="s">
        <v>245</v>
      </c>
      <c r="B48" s="141">
        <f>D28-D29</f>
        <v>10</v>
      </c>
      <c r="C48" s="141">
        <f>B48*(C$22+E$22)</f>
        <v>469.23076923076917</v>
      </c>
      <c r="D48" s="141">
        <f>B48*(D$22+F$22)</f>
        <v>434237.23076923075</v>
      </c>
      <c r="E48" s="171">
        <f>F47</f>
        <v>42580.384615384617</v>
      </c>
      <c r="F48" s="171">
        <f t="shared" si="13"/>
        <v>43049.615384615383</v>
      </c>
      <c r="G48" s="150">
        <f t="shared" si="12"/>
        <v>5</v>
      </c>
      <c r="H48" s="150">
        <f t="shared" si="14"/>
        <v>2016</v>
      </c>
      <c r="I48" s="150">
        <f t="shared" si="15"/>
        <v>2017</v>
      </c>
      <c r="J48" s="150">
        <f t="shared" si="16"/>
        <v>2018</v>
      </c>
      <c r="K48" s="150">
        <f t="shared" si="17"/>
        <v>2019</v>
      </c>
      <c r="L48" s="150">
        <f t="shared" si="18"/>
        <v>2020</v>
      </c>
      <c r="M48" s="150">
        <f t="shared" si="18"/>
        <v>2021</v>
      </c>
      <c r="N48" s="150">
        <f t="shared" si="18"/>
        <v>2022</v>
      </c>
      <c r="O48" s="141">
        <f t="shared" si="3"/>
        <v>144010.15046658105</v>
      </c>
      <c r="P48" s="141">
        <f t="shared" si="4"/>
        <v>290227.08030264662</v>
      </c>
      <c r="Q48" s="141">
        <f t="shared" si="5"/>
        <v>0</v>
      </c>
      <c r="R48" s="141">
        <f t="shared" si="6"/>
        <v>0</v>
      </c>
      <c r="S48" s="141">
        <f t="shared" si="7"/>
        <v>0</v>
      </c>
      <c r="T48" s="141">
        <f t="shared" si="8"/>
        <v>0</v>
      </c>
      <c r="U48" s="141">
        <f t="shared" si="9"/>
        <v>0</v>
      </c>
      <c r="V48" s="172"/>
      <c r="W48" s="172"/>
      <c r="X48" s="172"/>
      <c r="Y48" s="172"/>
      <c r="Z48" s="172"/>
      <c r="AA48" s="93"/>
      <c r="AB48" s="93"/>
      <c r="AC48" s="93"/>
      <c r="AD48" s="93"/>
      <c r="AE48" s="93"/>
      <c r="AF48" s="93"/>
      <c r="AG48" s="93"/>
      <c r="AH48" s="93"/>
      <c r="AI48" s="93"/>
      <c r="AJ48" s="93"/>
      <c r="AK48" s="93"/>
      <c r="AL48" s="93"/>
      <c r="AM48" s="93"/>
      <c r="AN48" s="93"/>
      <c r="AO48" s="93"/>
      <c r="AP48" s="93"/>
      <c r="AQ48" s="93"/>
      <c r="AR48" s="93"/>
      <c r="AS48" s="93"/>
      <c r="AT48" s="93"/>
      <c r="AU48" s="93"/>
      <c r="AV48" s="93"/>
      <c r="AW48" s="93"/>
      <c r="AX48" s="93"/>
      <c r="AY48" s="93"/>
      <c r="AZ48" s="93"/>
      <c r="BA48" s="93"/>
      <c r="BB48" s="93"/>
      <c r="BC48" s="93"/>
      <c r="BD48" s="93"/>
      <c r="BE48" s="93"/>
      <c r="BF48" s="93"/>
      <c r="BG48" s="93"/>
      <c r="BH48" s="93"/>
      <c r="BI48" s="93"/>
      <c r="BJ48" s="93"/>
      <c r="BK48" s="93"/>
      <c r="BL48" s="93"/>
      <c r="BM48" s="93"/>
      <c r="BN48" s="93"/>
      <c r="BO48" s="93"/>
      <c r="BP48" s="93"/>
      <c r="BQ48" s="93"/>
      <c r="BR48" s="93"/>
      <c r="BS48" s="93"/>
      <c r="BT48" s="93"/>
      <c r="BU48" s="93"/>
      <c r="BV48" s="93"/>
      <c r="BW48" s="93"/>
      <c r="BX48" s="93"/>
      <c r="BY48" s="93"/>
      <c r="BZ48" s="93"/>
    </row>
    <row r="49" spans="1:78">
      <c r="A49" s="134" t="s">
        <v>681</v>
      </c>
      <c r="B49" s="141">
        <f>E29</f>
        <v>0</v>
      </c>
      <c r="C49" s="141">
        <f>B49*E$18</f>
        <v>0</v>
      </c>
      <c r="D49" s="141">
        <f>B49*F$18</f>
        <v>0</v>
      </c>
      <c r="E49" s="171">
        <f>MAX($B$8,$B$57-C49-$G$37*C50)</f>
        <v>42603.846153846156</v>
      </c>
      <c r="F49" s="171">
        <f t="shared" si="13"/>
        <v>42603.846153846156</v>
      </c>
      <c r="G49" s="150">
        <f t="shared" si="12"/>
        <v>0</v>
      </c>
      <c r="H49" s="150">
        <f t="shared" si="14"/>
        <v>2016</v>
      </c>
      <c r="I49" s="150">
        <f t="shared" si="15"/>
        <v>2017</v>
      </c>
      <c r="J49" s="150">
        <f t="shared" si="16"/>
        <v>2018</v>
      </c>
      <c r="K49" s="150">
        <f t="shared" si="17"/>
        <v>2019</v>
      </c>
      <c r="L49" s="150">
        <f t="shared" si="18"/>
        <v>2020</v>
      </c>
      <c r="M49" s="150">
        <f t="shared" si="18"/>
        <v>2021</v>
      </c>
      <c r="N49" s="150">
        <f t="shared" si="18"/>
        <v>2022</v>
      </c>
      <c r="O49" s="141">
        <f t="shared" si="3"/>
        <v>0</v>
      </c>
      <c r="P49" s="141">
        <f t="shared" si="4"/>
        <v>0</v>
      </c>
      <c r="Q49" s="141">
        <f t="shared" si="5"/>
        <v>0</v>
      </c>
      <c r="R49" s="141">
        <f t="shared" si="6"/>
        <v>0</v>
      </c>
      <c r="S49" s="141">
        <f t="shared" si="7"/>
        <v>0</v>
      </c>
      <c r="T49" s="141">
        <f t="shared" si="8"/>
        <v>0</v>
      </c>
      <c r="U49" s="141">
        <f t="shared" si="9"/>
        <v>0</v>
      </c>
      <c r="V49" s="172"/>
      <c r="W49" s="172"/>
      <c r="X49" s="172"/>
      <c r="Y49" s="172"/>
      <c r="Z49" s="172"/>
      <c r="AA49" s="93"/>
      <c r="AB49" s="93"/>
      <c r="AC49" s="93"/>
      <c r="AD49" s="93"/>
      <c r="AE49" s="93"/>
      <c r="AF49" s="93"/>
      <c r="AG49" s="93"/>
      <c r="AH49" s="93"/>
      <c r="AI49" s="93"/>
      <c r="AJ49" s="93"/>
      <c r="AK49" s="93"/>
      <c r="AL49" s="93"/>
      <c r="AM49" s="93"/>
      <c r="AN49" s="93"/>
      <c r="AO49" s="93"/>
      <c r="AP49" s="93"/>
      <c r="AQ49" s="93"/>
      <c r="AR49" s="93"/>
      <c r="AS49" s="93"/>
      <c r="AT49" s="93"/>
      <c r="AU49" s="93"/>
      <c r="AV49" s="93"/>
      <c r="AW49" s="93"/>
      <c r="AX49" s="93"/>
      <c r="AY49" s="93"/>
      <c r="AZ49" s="93"/>
      <c r="BA49" s="93"/>
      <c r="BB49" s="93"/>
      <c r="BC49" s="93"/>
      <c r="BD49" s="93"/>
      <c r="BE49" s="93"/>
      <c r="BF49" s="93"/>
      <c r="BG49" s="93"/>
      <c r="BH49" s="93"/>
      <c r="BI49" s="93"/>
      <c r="BJ49" s="93"/>
      <c r="BK49" s="93"/>
      <c r="BL49" s="93"/>
      <c r="BM49" s="93"/>
      <c r="BN49" s="93"/>
      <c r="BO49" s="93"/>
      <c r="BP49" s="93"/>
      <c r="BQ49" s="93"/>
      <c r="BR49" s="93"/>
      <c r="BS49" s="93"/>
      <c r="BT49" s="93"/>
      <c r="BU49" s="93"/>
      <c r="BV49" s="93"/>
      <c r="BW49" s="93"/>
      <c r="BX49" s="93"/>
      <c r="BY49" s="93"/>
      <c r="BZ49" s="93"/>
    </row>
    <row r="50" spans="1:78">
      <c r="A50" s="134" t="s">
        <v>245</v>
      </c>
      <c r="B50" s="141">
        <f>E28-E29</f>
        <v>9</v>
      </c>
      <c r="C50" s="141">
        <f>B50*(C$22+E$22)</f>
        <v>422.30769230769226</v>
      </c>
      <c r="D50" s="141">
        <f>B50*(D$22+F$22)</f>
        <v>390813.50769230764</v>
      </c>
      <c r="E50" s="171">
        <f>F49</f>
        <v>42603.846153846156</v>
      </c>
      <c r="F50" s="171">
        <f t="shared" si="13"/>
        <v>43026.153846153851</v>
      </c>
      <c r="G50" s="150">
        <f t="shared" si="12"/>
        <v>4</v>
      </c>
      <c r="H50" s="150">
        <f t="shared" si="14"/>
        <v>2016</v>
      </c>
      <c r="I50" s="150">
        <f t="shared" si="15"/>
        <v>2017</v>
      </c>
      <c r="J50" s="150">
        <f t="shared" si="16"/>
        <v>2018</v>
      </c>
      <c r="K50" s="150">
        <f t="shared" si="17"/>
        <v>2019</v>
      </c>
      <c r="L50" s="150">
        <f t="shared" si="18"/>
        <v>2020</v>
      </c>
      <c r="M50" s="150">
        <f t="shared" si="18"/>
        <v>2021</v>
      </c>
      <c r="N50" s="150">
        <f t="shared" si="18"/>
        <v>2022</v>
      </c>
      <c r="O50" s="141">
        <f t="shared" si="3"/>
        <v>122298.28892811897</v>
      </c>
      <c r="P50" s="141">
        <f t="shared" si="4"/>
        <v>268515.21876419126</v>
      </c>
      <c r="Q50" s="141">
        <f t="shared" si="5"/>
        <v>0</v>
      </c>
      <c r="R50" s="141">
        <f t="shared" si="6"/>
        <v>0</v>
      </c>
      <c r="S50" s="141">
        <f t="shared" si="7"/>
        <v>0</v>
      </c>
      <c r="T50" s="141">
        <f t="shared" si="8"/>
        <v>0</v>
      </c>
      <c r="U50" s="141">
        <f t="shared" si="9"/>
        <v>0</v>
      </c>
      <c r="V50" s="172"/>
      <c r="W50" s="172"/>
      <c r="X50" s="172"/>
      <c r="Y50" s="172"/>
      <c r="Z50" s="172"/>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3"/>
      <c r="BR50" s="93"/>
      <c r="BS50" s="93"/>
      <c r="BT50" s="93"/>
      <c r="BU50" s="93"/>
      <c r="BV50" s="93"/>
      <c r="BW50" s="93"/>
      <c r="BX50" s="93"/>
      <c r="BY50" s="93"/>
      <c r="BZ50" s="93"/>
    </row>
    <row r="51" spans="1:78">
      <c r="A51" s="134" t="s">
        <v>682</v>
      </c>
      <c r="B51" s="141">
        <f>F29</f>
        <v>0</v>
      </c>
      <c r="C51" s="141">
        <f>B51*E$18</f>
        <v>0</v>
      </c>
      <c r="D51" s="141">
        <f>B51*F$18</f>
        <v>0</v>
      </c>
      <c r="E51" s="171">
        <f>MAX($B$8,$B$57-C51-$G$37*C52)</f>
        <v>42815</v>
      </c>
      <c r="F51" s="171">
        <f t="shared" si="13"/>
        <v>42815</v>
      </c>
      <c r="G51" s="150">
        <f t="shared" si="12"/>
        <v>0</v>
      </c>
      <c r="H51" s="150">
        <f t="shared" si="14"/>
        <v>2017</v>
      </c>
      <c r="I51" s="150">
        <f t="shared" si="15"/>
        <v>2018</v>
      </c>
      <c r="J51" s="150">
        <f t="shared" si="16"/>
        <v>2019</v>
      </c>
      <c r="K51" s="150">
        <f t="shared" si="17"/>
        <v>2020</v>
      </c>
      <c r="L51" s="150">
        <f t="shared" si="18"/>
        <v>2021</v>
      </c>
      <c r="M51" s="150">
        <f t="shared" si="18"/>
        <v>2022</v>
      </c>
      <c r="N51" s="150">
        <f t="shared" si="18"/>
        <v>2023</v>
      </c>
      <c r="O51" s="141">
        <f t="shared" si="3"/>
        <v>0</v>
      </c>
      <c r="P51" s="141">
        <f t="shared" si="4"/>
        <v>0</v>
      </c>
      <c r="Q51" s="141">
        <f t="shared" si="5"/>
        <v>0</v>
      </c>
      <c r="R51" s="141">
        <f t="shared" si="6"/>
        <v>0</v>
      </c>
      <c r="S51" s="141">
        <f t="shared" si="7"/>
        <v>0</v>
      </c>
      <c r="T51" s="141">
        <f t="shared" si="8"/>
        <v>0</v>
      </c>
      <c r="U51" s="141">
        <f t="shared" si="9"/>
        <v>0</v>
      </c>
      <c r="V51" s="172"/>
      <c r="W51" s="172"/>
      <c r="X51" s="172"/>
      <c r="Y51" s="172"/>
      <c r="Z51" s="172"/>
      <c r="AA51" s="93"/>
      <c r="AB51" s="93"/>
      <c r="AC51" s="93"/>
      <c r="AD51" s="93"/>
      <c r="AE51" s="93"/>
      <c r="AF51" s="93"/>
      <c r="AG51" s="93"/>
      <c r="AH51" s="93"/>
      <c r="AI51" s="93"/>
      <c r="AJ51" s="93"/>
      <c r="AK51" s="93"/>
      <c r="AL51" s="93"/>
      <c r="AM51" s="93"/>
      <c r="AN51" s="93"/>
      <c r="AO51" s="93"/>
      <c r="AP51" s="93"/>
      <c r="AQ51" s="93"/>
      <c r="AR51" s="93"/>
      <c r="AS51" s="93"/>
      <c r="AT51" s="93"/>
      <c r="AU51" s="93"/>
      <c r="AV51" s="93"/>
      <c r="AW51" s="93"/>
      <c r="AX51" s="93"/>
      <c r="AY51" s="93"/>
      <c r="AZ51" s="93"/>
      <c r="BA51" s="93"/>
      <c r="BB51" s="93"/>
      <c r="BC51" s="93"/>
      <c r="BD51" s="93"/>
      <c r="BE51" s="93"/>
      <c r="BF51" s="93"/>
      <c r="BG51" s="93"/>
      <c r="BH51" s="93"/>
      <c r="BI51" s="93"/>
      <c r="BJ51" s="93"/>
      <c r="BK51" s="93"/>
      <c r="BL51" s="93"/>
      <c r="BM51" s="93"/>
      <c r="BN51" s="93"/>
      <c r="BO51" s="93"/>
      <c r="BP51" s="93"/>
      <c r="BQ51" s="93"/>
      <c r="BR51" s="93"/>
      <c r="BS51" s="93"/>
      <c r="BT51" s="93"/>
      <c r="BU51" s="93"/>
      <c r="BV51" s="93"/>
      <c r="BW51" s="93"/>
      <c r="BX51" s="93"/>
      <c r="BY51" s="93"/>
      <c r="BZ51" s="93"/>
    </row>
    <row r="52" spans="1:78">
      <c r="A52" s="134" t="s">
        <v>245</v>
      </c>
      <c r="B52" s="141">
        <f>F28-F29</f>
        <v>0</v>
      </c>
      <c r="C52" s="141">
        <f>B52*(C$22+E$22)</f>
        <v>0</v>
      </c>
      <c r="D52" s="141">
        <f>B52*(D$22+F$22)</f>
        <v>0</v>
      </c>
      <c r="E52" s="171">
        <f>F51</f>
        <v>42815</v>
      </c>
      <c r="F52" s="171">
        <f t="shared" si="13"/>
        <v>42815</v>
      </c>
      <c r="G52" s="150">
        <f t="shared" si="12"/>
        <v>0</v>
      </c>
      <c r="H52" s="150">
        <f t="shared" si="14"/>
        <v>2017</v>
      </c>
      <c r="I52" s="150">
        <f t="shared" si="15"/>
        <v>2018</v>
      </c>
      <c r="J52" s="150">
        <f t="shared" si="16"/>
        <v>2019</v>
      </c>
      <c r="K52" s="150">
        <f t="shared" si="17"/>
        <v>2020</v>
      </c>
      <c r="L52" s="150">
        <f t="shared" si="18"/>
        <v>2021</v>
      </c>
      <c r="M52" s="150">
        <f t="shared" si="18"/>
        <v>2022</v>
      </c>
      <c r="N52" s="150">
        <f t="shared" si="18"/>
        <v>2023</v>
      </c>
      <c r="O52" s="141">
        <f t="shared" si="3"/>
        <v>0</v>
      </c>
      <c r="P52" s="141">
        <f t="shared" si="4"/>
        <v>0</v>
      </c>
      <c r="Q52" s="141">
        <f t="shared" si="5"/>
        <v>0</v>
      </c>
      <c r="R52" s="141">
        <f t="shared" si="6"/>
        <v>0</v>
      </c>
      <c r="S52" s="141">
        <f t="shared" si="7"/>
        <v>0</v>
      </c>
      <c r="T52" s="141">
        <f t="shared" si="8"/>
        <v>0</v>
      </c>
      <c r="U52" s="141">
        <f t="shared" si="9"/>
        <v>0</v>
      </c>
      <c r="V52" s="172"/>
      <c r="W52" s="172"/>
      <c r="X52" s="172"/>
      <c r="Y52" s="172"/>
      <c r="Z52" s="172"/>
      <c r="AA52" s="93"/>
      <c r="AB52" s="93"/>
      <c r="AC52" s="93"/>
      <c r="AD52" s="93"/>
      <c r="AE52" s="93"/>
      <c r="AF52" s="93"/>
      <c r="AG52" s="93"/>
      <c r="AH52" s="93"/>
      <c r="AI52" s="93"/>
      <c r="AJ52" s="93"/>
      <c r="AK52" s="93"/>
      <c r="AL52" s="93"/>
      <c r="AM52" s="93"/>
      <c r="AN52" s="93"/>
      <c r="AO52" s="93"/>
      <c r="AP52" s="93"/>
      <c r="AQ52" s="93"/>
      <c r="AR52" s="93"/>
      <c r="AS52" s="93"/>
      <c r="AT52" s="93"/>
      <c r="AU52" s="93"/>
      <c r="AV52" s="93"/>
      <c r="AW52" s="93"/>
      <c r="AX52" s="93"/>
      <c r="AY52" s="93"/>
      <c r="AZ52" s="93"/>
      <c r="BA52" s="93"/>
      <c r="BB52" s="93"/>
      <c r="BC52" s="93"/>
      <c r="BD52" s="93"/>
      <c r="BE52" s="93"/>
      <c r="BF52" s="93"/>
      <c r="BG52" s="93"/>
      <c r="BH52" s="93"/>
      <c r="BI52" s="93"/>
      <c r="BJ52" s="93"/>
      <c r="BK52" s="93"/>
      <c r="BL52" s="93"/>
      <c r="BM52" s="93"/>
      <c r="BN52" s="93"/>
      <c r="BO52" s="93"/>
      <c r="BP52" s="93"/>
      <c r="BQ52" s="93"/>
      <c r="BR52" s="93"/>
      <c r="BS52" s="93"/>
      <c r="BT52" s="93"/>
      <c r="BU52" s="93"/>
      <c r="BV52" s="93"/>
      <c r="BW52" s="93"/>
      <c r="BX52" s="93"/>
      <c r="BY52" s="93"/>
      <c r="BZ52" s="93"/>
    </row>
    <row r="53" spans="1:78">
      <c r="A53" s="134" t="s">
        <v>690</v>
      </c>
      <c r="B53" s="141">
        <f>G29</f>
        <v>0</v>
      </c>
      <c r="C53" s="141">
        <f>B53*E$18</f>
        <v>0</v>
      </c>
      <c r="D53" s="141">
        <f>B53*F$18</f>
        <v>0</v>
      </c>
      <c r="E53" s="171">
        <f>MAX($B$8,$B$57-C53-$G$37*C54)</f>
        <v>42815</v>
      </c>
      <c r="F53" s="171">
        <f>E53+C53</f>
        <v>42815</v>
      </c>
      <c r="G53" s="150">
        <f>ROUNDDOWN(MAX(0,IF(F53&lt;$F$75,1,IF(C53=0,0,($F$75-E53)/(F53-E53))))*B53,0)</f>
        <v>0</v>
      </c>
      <c r="H53" s="150">
        <f>YEAR(E53)</f>
        <v>2017</v>
      </c>
      <c r="I53" s="150">
        <f t="shared" ref="I53:N54" si="19">H53+1</f>
        <v>2018</v>
      </c>
      <c r="J53" s="150">
        <f t="shared" si="19"/>
        <v>2019</v>
      </c>
      <c r="K53" s="150">
        <f t="shared" si="19"/>
        <v>2020</v>
      </c>
      <c r="L53" s="150">
        <f t="shared" si="19"/>
        <v>2021</v>
      </c>
      <c r="M53" s="150">
        <f t="shared" si="19"/>
        <v>2022</v>
      </c>
      <c r="N53" s="150">
        <f t="shared" si="19"/>
        <v>2023</v>
      </c>
      <c r="O53" s="141">
        <f t="shared" ref="O53:U54" si="20">IF(YEAR($E53)&gt;H53,0,IF(YEAR($E53)&lt;H53,IF(YEAR($F53)=H53,($F53-DATE(H53,1,1))/$C53*$D53,IF(YEAR($F53)&lt;H53,0,(DATE(H53+1,1,1)-DATE(H53,1,1))/$C53*$D53)),IF(YEAR($E53)=H53,IF(YEAR($F53)=H53,$D53,(DATE(H53+1,1,1)-$E53)/$C53*$D53))))</f>
        <v>0</v>
      </c>
      <c r="P53" s="141">
        <f t="shared" si="20"/>
        <v>0</v>
      </c>
      <c r="Q53" s="141">
        <f t="shared" si="20"/>
        <v>0</v>
      </c>
      <c r="R53" s="141">
        <f t="shared" si="20"/>
        <v>0</v>
      </c>
      <c r="S53" s="141">
        <f t="shared" si="20"/>
        <v>0</v>
      </c>
      <c r="T53" s="141">
        <f t="shared" si="20"/>
        <v>0</v>
      </c>
      <c r="U53" s="141">
        <f t="shared" si="20"/>
        <v>0</v>
      </c>
      <c r="V53" s="172"/>
      <c r="W53" s="172"/>
      <c r="X53" s="172"/>
      <c r="Y53" s="172"/>
      <c r="Z53" s="172"/>
      <c r="AA53" s="93"/>
      <c r="AB53" s="93"/>
      <c r="AC53" s="93"/>
      <c r="AD53" s="93"/>
      <c r="AE53" s="93"/>
      <c r="AF53" s="93"/>
      <c r="AG53" s="93"/>
      <c r="AH53" s="93"/>
      <c r="AI53" s="93"/>
      <c r="AJ53" s="93"/>
      <c r="AK53" s="93"/>
      <c r="AL53" s="93"/>
      <c r="AM53" s="93"/>
      <c r="AN53" s="93"/>
      <c r="AO53" s="93"/>
      <c r="AP53" s="93"/>
      <c r="AQ53" s="93"/>
      <c r="AR53" s="93"/>
      <c r="AS53" s="93"/>
      <c r="AT53" s="93"/>
      <c r="AU53" s="93"/>
      <c r="AV53" s="93"/>
      <c r="AW53" s="93"/>
      <c r="AX53" s="93"/>
      <c r="AY53" s="93"/>
      <c r="AZ53" s="93"/>
      <c r="BA53" s="93"/>
      <c r="BB53" s="93"/>
      <c r="BC53" s="93"/>
      <c r="BD53" s="93"/>
      <c r="BE53" s="93"/>
      <c r="BF53" s="93"/>
      <c r="BG53" s="93"/>
      <c r="BH53" s="93"/>
      <c r="BI53" s="93"/>
      <c r="BJ53" s="93"/>
      <c r="BK53" s="93"/>
      <c r="BL53" s="93"/>
      <c r="BM53" s="93"/>
      <c r="BN53" s="93"/>
      <c r="BO53" s="93"/>
      <c r="BP53" s="93"/>
      <c r="BQ53" s="93"/>
      <c r="BR53" s="93"/>
      <c r="BS53" s="93"/>
      <c r="BT53" s="93"/>
      <c r="BU53" s="93"/>
      <c r="BV53" s="93"/>
      <c r="BW53" s="93"/>
      <c r="BX53" s="93"/>
      <c r="BY53" s="93"/>
      <c r="BZ53" s="93"/>
    </row>
    <row r="54" spans="1:78">
      <c r="A54" s="134" t="s">
        <v>245</v>
      </c>
      <c r="B54" s="141">
        <f>G28</f>
        <v>0</v>
      </c>
      <c r="C54" s="141">
        <f>B54*(C$22+E$22)</f>
        <v>0</v>
      </c>
      <c r="D54" s="141">
        <f>B54*(D$22+F$22)</f>
        <v>0</v>
      </c>
      <c r="E54" s="171">
        <f>F53</f>
        <v>42815</v>
      </c>
      <c r="F54" s="171">
        <f>E54+C54</f>
        <v>42815</v>
      </c>
      <c r="G54" s="150">
        <f>ROUNDDOWN(MAX(0,IF(F54&lt;$F$75,1,IF(C54=0,0,($F$75-E54)/(F54-E54))))*B54,0)</f>
        <v>0</v>
      </c>
      <c r="H54" s="150">
        <f>YEAR(E54)</f>
        <v>2017</v>
      </c>
      <c r="I54" s="150">
        <f t="shared" si="19"/>
        <v>2018</v>
      </c>
      <c r="J54" s="150">
        <f t="shared" si="19"/>
        <v>2019</v>
      </c>
      <c r="K54" s="150">
        <f t="shared" si="19"/>
        <v>2020</v>
      </c>
      <c r="L54" s="150">
        <f t="shared" si="19"/>
        <v>2021</v>
      </c>
      <c r="M54" s="150">
        <f t="shared" si="19"/>
        <v>2022</v>
      </c>
      <c r="N54" s="150">
        <f t="shared" si="19"/>
        <v>2023</v>
      </c>
      <c r="O54" s="141">
        <f t="shared" si="20"/>
        <v>0</v>
      </c>
      <c r="P54" s="141">
        <f t="shared" si="20"/>
        <v>0</v>
      </c>
      <c r="Q54" s="141">
        <f t="shared" si="20"/>
        <v>0</v>
      </c>
      <c r="R54" s="141">
        <f t="shared" si="20"/>
        <v>0</v>
      </c>
      <c r="S54" s="141">
        <f t="shared" si="20"/>
        <v>0</v>
      </c>
      <c r="T54" s="141">
        <f t="shared" si="20"/>
        <v>0</v>
      </c>
      <c r="U54" s="141">
        <f t="shared" si="20"/>
        <v>0</v>
      </c>
      <c r="V54" s="172"/>
      <c r="W54" s="172"/>
      <c r="X54" s="172"/>
      <c r="Y54" s="172"/>
      <c r="Z54" s="172"/>
      <c r="AA54" s="93"/>
      <c r="AB54" s="93"/>
      <c r="AC54" s="93"/>
      <c r="AD54" s="93"/>
      <c r="AE54" s="93"/>
      <c r="AF54" s="93"/>
      <c r="AG54" s="93"/>
      <c r="AH54" s="93"/>
      <c r="AI54" s="93"/>
      <c r="AJ54" s="93"/>
      <c r="AK54" s="93"/>
      <c r="AL54" s="93"/>
      <c r="AM54" s="93"/>
      <c r="AN54" s="93"/>
      <c r="AO54" s="93"/>
      <c r="AP54" s="93"/>
      <c r="AQ54" s="93"/>
      <c r="AR54" s="93"/>
      <c r="AS54" s="93"/>
      <c r="AT54" s="93"/>
      <c r="AU54" s="93"/>
      <c r="AV54" s="93"/>
      <c r="AW54" s="93"/>
      <c r="AX54" s="93"/>
      <c r="AY54" s="93"/>
      <c r="AZ54" s="93"/>
      <c r="BA54" s="93"/>
      <c r="BB54" s="93"/>
      <c r="BC54" s="93"/>
      <c r="BD54" s="93"/>
      <c r="BE54" s="93"/>
      <c r="BF54" s="93"/>
      <c r="BG54" s="93"/>
      <c r="BH54" s="93"/>
      <c r="BI54" s="93"/>
      <c r="BJ54" s="93"/>
      <c r="BK54" s="93"/>
      <c r="BL54" s="93"/>
      <c r="BM54" s="93"/>
      <c r="BN54" s="93"/>
      <c r="BO54" s="93"/>
      <c r="BP54" s="93"/>
      <c r="BQ54" s="93"/>
      <c r="BR54" s="93"/>
      <c r="BS54" s="93"/>
      <c r="BT54" s="93"/>
      <c r="BU54" s="93"/>
      <c r="BV54" s="93"/>
      <c r="BW54" s="93"/>
      <c r="BX54" s="93"/>
      <c r="BY54" s="93"/>
      <c r="BZ54" s="93"/>
    </row>
    <row r="55" spans="1:78">
      <c r="A55" s="134" t="s">
        <v>13</v>
      </c>
      <c r="B55" s="141"/>
      <c r="C55" s="141">
        <f>SUM(C40:C54)</f>
        <v>1360.7692307692305</v>
      </c>
      <c r="D55" s="141">
        <f>SUM(D40:D54)</f>
        <v>1259287.9692307692</v>
      </c>
      <c r="E55" s="134"/>
      <c r="F55" s="134"/>
      <c r="G55" s="152">
        <f>SUM(G40:G54)</f>
        <v>14</v>
      </c>
      <c r="H55" s="173"/>
      <c r="I55" s="173"/>
      <c r="J55" s="173"/>
      <c r="K55" s="93"/>
      <c r="L55" s="93"/>
      <c r="M55" s="93"/>
      <c r="N55" s="93"/>
      <c r="O55" s="93"/>
      <c r="P55" s="93"/>
      <c r="Q55" s="93"/>
      <c r="R55" s="93"/>
      <c r="S55" s="93"/>
      <c r="T55" s="93"/>
      <c r="U55" s="93"/>
      <c r="V55" s="93"/>
      <c r="W55" s="93"/>
      <c r="X55" s="93"/>
      <c r="Y55" s="93"/>
      <c r="Z55" s="93"/>
      <c r="AA55" s="93"/>
      <c r="AB55" s="93"/>
      <c r="AC55" s="93"/>
      <c r="AD55" s="93"/>
      <c r="AE55" s="93"/>
      <c r="AF55" s="93"/>
      <c r="AG55" s="93"/>
      <c r="AH55" s="93"/>
      <c r="AI55" s="93"/>
      <c r="AJ55" s="93"/>
      <c r="AK55" s="93"/>
      <c r="AL55" s="93"/>
      <c r="AM55" s="93"/>
      <c r="AN55" s="93"/>
      <c r="AO55" s="93"/>
      <c r="AP55" s="93"/>
      <c r="AQ55" s="93"/>
      <c r="AR55" s="93"/>
      <c r="AS55" s="93"/>
      <c r="AT55" s="93"/>
      <c r="AU55" s="93"/>
      <c r="AV55" s="93"/>
      <c r="AW55" s="93"/>
      <c r="AX55" s="93"/>
      <c r="AY55" s="93"/>
      <c r="AZ55" s="93"/>
      <c r="BA55" s="93"/>
      <c r="BB55" s="93"/>
      <c r="BC55" s="93"/>
      <c r="BD55" s="93"/>
      <c r="BE55" s="93"/>
      <c r="BF55" s="93"/>
      <c r="BG55" s="93"/>
      <c r="BH55" s="93"/>
      <c r="BI55" s="93"/>
      <c r="BJ55" s="93"/>
      <c r="BK55" s="93"/>
      <c r="BL55" s="93"/>
      <c r="BM55" s="93"/>
      <c r="BN55" s="93"/>
      <c r="BO55" s="93"/>
      <c r="BP55" s="93"/>
      <c r="BQ55" s="93"/>
      <c r="BR55" s="93"/>
      <c r="BS55" s="93"/>
      <c r="BT55" s="93"/>
      <c r="BU55" s="93"/>
      <c r="BV55" s="93"/>
      <c r="BW55" s="93"/>
      <c r="BX55" s="93"/>
      <c r="BY55" s="93"/>
      <c r="BZ55" s="93"/>
    </row>
    <row r="56" spans="1:78">
      <c r="A56" s="93"/>
      <c r="B56" s="93"/>
      <c r="C56" s="174"/>
      <c r="D56" s="93"/>
      <c r="E56" s="93"/>
      <c r="F56" s="93"/>
      <c r="G56" s="93"/>
      <c r="H56" s="173"/>
      <c r="I56" s="173"/>
      <c r="J56" s="93"/>
      <c r="K56" s="93"/>
      <c r="L56" s="173"/>
      <c r="M56" s="93"/>
      <c r="N56" s="93"/>
      <c r="O56" s="93"/>
      <c r="P56" s="93"/>
      <c r="Q56" s="93"/>
      <c r="R56" s="93"/>
      <c r="S56" s="93"/>
      <c r="T56" s="93"/>
      <c r="U56" s="93"/>
      <c r="V56" s="93"/>
      <c r="W56" s="93"/>
      <c r="X56" s="93"/>
      <c r="Y56" s="93"/>
      <c r="Z56" s="93"/>
      <c r="AA56" s="93"/>
      <c r="AB56" s="93"/>
      <c r="AC56" s="93"/>
      <c r="AD56" s="93"/>
      <c r="AE56" s="93"/>
      <c r="AF56" s="93"/>
      <c r="AG56" s="93"/>
      <c r="AH56" s="93"/>
      <c r="AI56" s="93"/>
      <c r="AJ56" s="93"/>
      <c r="AK56" s="93"/>
      <c r="AL56" s="93"/>
      <c r="AM56" s="93"/>
      <c r="AN56" s="93"/>
      <c r="AO56" s="93"/>
      <c r="AP56" s="93"/>
      <c r="AQ56" s="93"/>
      <c r="AR56" s="93"/>
      <c r="AS56" s="93"/>
      <c r="AT56" s="93"/>
      <c r="AU56" s="93"/>
      <c r="AV56" s="93"/>
      <c r="AW56" s="93"/>
      <c r="AX56" s="93"/>
      <c r="AY56" s="93"/>
      <c r="AZ56" s="93"/>
      <c r="BA56" s="93"/>
      <c r="BB56" s="93"/>
      <c r="BC56" s="93"/>
      <c r="BD56" s="93"/>
      <c r="BE56" s="93"/>
      <c r="BF56" s="93"/>
      <c r="BG56" s="93"/>
      <c r="BH56" s="93"/>
      <c r="BI56" s="93"/>
      <c r="BJ56" s="93"/>
      <c r="BK56" s="93"/>
      <c r="BL56" s="93"/>
      <c r="BM56" s="93"/>
      <c r="BN56" s="93"/>
      <c r="BO56" s="93"/>
      <c r="BP56" s="93"/>
      <c r="BQ56" s="93"/>
      <c r="BR56" s="93"/>
      <c r="BS56" s="93"/>
      <c r="BT56" s="93"/>
      <c r="BU56" s="93"/>
      <c r="BV56" s="93"/>
      <c r="BW56" s="93"/>
      <c r="BX56" s="93"/>
      <c r="BY56" s="93"/>
      <c r="BZ56" s="93"/>
    </row>
    <row r="57" spans="1:78">
      <c r="A57" s="175" t="s">
        <v>264</v>
      </c>
      <c r="B57" s="176">
        <f>F42</f>
        <v>42815</v>
      </c>
      <c r="C57" s="174"/>
      <c r="D57" s="93"/>
      <c r="E57" s="93"/>
      <c r="F57" s="93"/>
      <c r="G57" s="93"/>
      <c r="H57" s="173"/>
      <c r="I57" s="173"/>
      <c r="J57" s="93"/>
      <c r="K57" s="93"/>
      <c r="L57" s="93"/>
      <c r="M57" s="93"/>
      <c r="N57" s="93"/>
      <c r="O57" s="93" t="s">
        <v>876</v>
      </c>
      <c r="P57" s="93"/>
      <c r="Q57" s="93"/>
      <c r="R57" s="93"/>
      <c r="S57" s="93"/>
      <c r="T57" s="93"/>
      <c r="U57" s="93"/>
      <c r="V57" s="93"/>
      <c r="W57" s="93"/>
      <c r="X57" s="93"/>
      <c r="Y57" s="93"/>
      <c r="Z57" s="93"/>
      <c r="AA57" s="93"/>
      <c r="AB57" s="93"/>
      <c r="AC57" s="93"/>
      <c r="AD57" s="93"/>
      <c r="AE57" s="93"/>
      <c r="AF57" s="93"/>
      <c r="AG57" s="93"/>
      <c r="AH57" s="93"/>
      <c r="AI57" s="93"/>
      <c r="AJ57" s="93"/>
      <c r="AK57" s="93"/>
      <c r="AL57" s="93"/>
      <c r="AM57" s="93"/>
      <c r="AN57" s="93"/>
      <c r="AO57" s="93"/>
      <c r="AP57" s="93"/>
      <c r="AQ57" s="93"/>
      <c r="AR57" s="93"/>
      <c r="AS57" s="93"/>
      <c r="AT57" s="93"/>
      <c r="AU57" s="93"/>
      <c r="AV57" s="93"/>
      <c r="AW57" s="93"/>
      <c r="AX57" s="93"/>
      <c r="AY57" s="93"/>
      <c r="AZ57" s="93"/>
      <c r="BA57" s="93"/>
      <c r="BB57" s="93"/>
      <c r="BC57" s="93"/>
      <c r="BD57" s="93"/>
      <c r="BE57" s="93"/>
      <c r="BF57" s="93"/>
      <c r="BG57" s="93"/>
      <c r="BH57" s="93"/>
      <c r="BI57" s="93"/>
      <c r="BJ57" s="93"/>
      <c r="BK57" s="93"/>
      <c r="BL57" s="93"/>
      <c r="BM57" s="93"/>
      <c r="BN57" s="93"/>
      <c r="BO57" s="93"/>
      <c r="BP57" s="93"/>
      <c r="BQ57" s="93"/>
      <c r="BR57" s="93"/>
      <c r="BS57" s="93"/>
      <c r="BT57" s="93"/>
      <c r="BU57" s="93"/>
      <c r="BV57" s="93"/>
      <c r="BW57" s="93"/>
      <c r="BX57" s="93"/>
      <c r="BY57" s="93"/>
      <c r="BZ57" s="93"/>
    </row>
    <row r="58" spans="1:78">
      <c r="A58" s="175" t="s">
        <v>265</v>
      </c>
      <c r="B58" s="177">
        <f>G55</f>
        <v>14</v>
      </c>
      <c r="C58" s="174"/>
      <c r="D58" s="93"/>
      <c r="E58" s="93"/>
      <c r="F58" s="93"/>
      <c r="G58" s="93"/>
      <c r="H58" s="173"/>
      <c r="I58" s="173"/>
      <c r="J58" s="93"/>
      <c r="K58" s="93"/>
      <c r="L58" s="93"/>
      <c r="M58" s="93"/>
      <c r="N58" s="134" t="s">
        <v>457</v>
      </c>
      <c r="O58" s="134">
        <v>80</v>
      </c>
      <c r="P58" s="134">
        <v>160</v>
      </c>
      <c r="Q58" s="134">
        <v>1000</v>
      </c>
      <c r="R58" s="93"/>
      <c r="S58" s="93"/>
      <c r="T58" s="93"/>
      <c r="U58" s="93"/>
      <c r="V58" s="93"/>
      <c r="W58" s="93"/>
      <c r="X58" s="93"/>
      <c r="Y58" s="93"/>
      <c r="Z58" s="93"/>
      <c r="AA58" s="93"/>
      <c r="AB58" s="93"/>
      <c r="AC58" s="93"/>
      <c r="AD58" s="93"/>
      <c r="AE58" s="93"/>
      <c r="AF58" s="93"/>
      <c r="AG58" s="93"/>
      <c r="AH58" s="93"/>
      <c r="AI58" s="93"/>
      <c r="AJ58" s="93"/>
      <c r="AK58" s="93"/>
      <c r="AL58" s="93"/>
      <c r="AM58" s="93"/>
      <c r="AN58" s="93"/>
      <c r="AO58" s="93"/>
      <c r="AP58" s="93"/>
      <c r="AQ58" s="93"/>
      <c r="AR58" s="93"/>
      <c r="AS58" s="93"/>
      <c r="AT58" s="93"/>
      <c r="AU58" s="93"/>
      <c r="AV58" s="93"/>
      <c r="AW58" s="93"/>
      <c r="AX58" s="93"/>
      <c r="AY58" s="93"/>
      <c r="AZ58" s="93"/>
      <c r="BA58" s="93"/>
      <c r="BB58" s="93"/>
      <c r="BC58" s="93"/>
      <c r="BD58" s="93"/>
      <c r="BE58" s="93"/>
      <c r="BF58" s="93"/>
      <c r="BG58" s="93"/>
      <c r="BH58" s="93"/>
      <c r="BI58" s="93"/>
      <c r="BJ58" s="93"/>
      <c r="BK58" s="93"/>
      <c r="BL58" s="93"/>
      <c r="BM58" s="93"/>
      <c r="BN58" s="93"/>
      <c r="BO58" s="93"/>
      <c r="BP58" s="93"/>
      <c r="BQ58" s="93"/>
      <c r="BR58" s="93"/>
      <c r="BS58" s="93"/>
      <c r="BT58" s="93"/>
      <c r="BU58" s="93"/>
      <c r="BV58" s="93"/>
      <c r="BW58" s="93"/>
      <c r="BX58" s="93"/>
      <c r="BY58" s="93"/>
      <c r="BZ58" s="93"/>
    </row>
    <row r="59" spans="1:78">
      <c r="A59" s="175" t="s">
        <v>266</v>
      </c>
      <c r="B59" s="176">
        <f>MAX(F41:F54)</f>
        <v>43049.615384615383</v>
      </c>
      <c r="C59" s="174"/>
      <c r="D59" s="93"/>
      <c r="E59" s="93"/>
      <c r="F59" s="93"/>
      <c r="G59" s="93"/>
      <c r="H59" s="178" t="s">
        <v>714</v>
      </c>
      <c r="I59" s="146"/>
      <c r="J59" s="141">
        <f>IF(Input!B14=Subsea,0,IF(Input!B14=Fixed_Platform,'Cost Assumptions'!O54,IF(Input!B14=Jack_up,'Cost Assumptions'!O58,IF(Input!B14=FPSU,'Cost Assumptions'!O77,IF(Input!B14=Tethered___Semi,'Cost Assumptions'!O64+'Cost Assumptions'!O65*IF(Input!B11="Oil",Input!B12,Production!B10),IF(Input!B14=Lists!O38,'Cost Assumptions'!O61,0))))))</f>
        <v>590000</v>
      </c>
      <c r="K59" s="93"/>
      <c r="L59" s="93"/>
      <c r="M59" s="93"/>
      <c r="N59" s="134">
        <v>0</v>
      </c>
      <c r="O59" s="150">
        <v>16</v>
      </c>
      <c r="P59" s="150">
        <v>18</v>
      </c>
      <c r="Q59" s="150">
        <v>18</v>
      </c>
      <c r="R59" s="93"/>
      <c r="S59" s="93"/>
      <c r="T59" s="93"/>
      <c r="U59" s="93"/>
      <c r="V59" s="93"/>
      <c r="W59" s="93"/>
      <c r="X59" s="93"/>
      <c r="Y59" s="93"/>
      <c r="Z59" s="93"/>
      <c r="AA59" s="93"/>
      <c r="AB59" s="93"/>
      <c r="AC59" s="93"/>
      <c r="AD59" s="93"/>
      <c r="AE59" s="93"/>
      <c r="AF59" s="93"/>
      <c r="AG59" s="93"/>
      <c r="AH59" s="93"/>
      <c r="AI59" s="93"/>
      <c r="AJ59" s="93"/>
      <c r="AK59" s="93"/>
      <c r="AL59" s="93"/>
      <c r="AM59" s="93"/>
      <c r="AN59" s="93"/>
      <c r="AO59" s="93"/>
      <c r="AP59" s="93"/>
      <c r="AQ59" s="93"/>
      <c r="AR59" s="93"/>
      <c r="AS59" s="93"/>
      <c r="AT59" s="93"/>
      <c r="AU59" s="93"/>
      <c r="AV59" s="93"/>
      <c r="AW59" s="93"/>
      <c r="AX59" s="93"/>
      <c r="AY59" s="93"/>
      <c r="AZ59" s="93"/>
      <c r="BA59" s="93"/>
      <c r="BB59" s="93"/>
      <c r="BC59" s="93"/>
      <c r="BD59" s="93"/>
      <c r="BE59" s="93"/>
      <c r="BF59" s="93"/>
      <c r="BG59" s="93"/>
      <c r="BH59" s="93"/>
      <c r="BI59" s="93"/>
      <c r="BJ59" s="93"/>
      <c r="BK59" s="93"/>
      <c r="BL59" s="93"/>
      <c r="BM59" s="93"/>
      <c r="BN59" s="93"/>
      <c r="BO59" s="93"/>
      <c r="BP59" s="93"/>
      <c r="BQ59" s="93"/>
      <c r="BR59" s="93"/>
      <c r="BS59" s="93"/>
      <c r="BT59" s="93"/>
      <c r="BU59" s="93"/>
      <c r="BV59" s="93"/>
      <c r="BW59" s="93"/>
      <c r="BX59" s="93"/>
      <c r="BY59" s="93"/>
      <c r="BZ59" s="93"/>
    </row>
    <row r="60" spans="1:78">
      <c r="A60" s="93"/>
      <c r="B60" s="93"/>
      <c r="C60" s="174"/>
      <c r="D60" s="93"/>
      <c r="E60" s="93"/>
      <c r="F60" s="93"/>
      <c r="G60" s="93"/>
      <c r="H60" s="144" t="s">
        <v>715</v>
      </c>
      <c r="I60" s="146"/>
      <c r="J60" s="141">
        <f>IF(Input!B14=Subsea,0,IF(Input!B14=Fixed_Platform,'Cost Assumptions'!O55,IF(Input!B14=Jack_up,0,IF(Input!B14=FPSU,'Cost Assumptions'!O78,IF(Input!B14=Tethered___Semi,'Cost Assumptions'!O66,IF(Input!B14=Lists!O38,'Cost Assumptions'!O62,0))))))</f>
        <v>100</v>
      </c>
      <c r="K60" s="93"/>
      <c r="L60" s="93"/>
      <c r="M60" s="164" t="s">
        <v>875</v>
      </c>
      <c r="N60" s="150">
        <v>200</v>
      </c>
      <c r="O60" s="150">
        <v>16</v>
      </c>
      <c r="P60" s="150">
        <v>18</v>
      </c>
      <c r="Q60" s="150">
        <v>18</v>
      </c>
      <c r="R60" s="93"/>
      <c r="S60" s="93"/>
      <c r="T60" s="93"/>
      <c r="U60" s="93"/>
      <c r="V60" s="93"/>
      <c r="W60" s="93"/>
      <c r="X60" s="93"/>
      <c r="Y60" s="93"/>
      <c r="Z60" s="93"/>
      <c r="AA60" s="93"/>
      <c r="AB60" s="93"/>
      <c r="AC60" s="93"/>
      <c r="AD60" s="93"/>
      <c r="AE60" s="93"/>
      <c r="AF60" s="93"/>
      <c r="AG60" s="93"/>
      <c r="AH60" s="93"/>
      <c r="AI60" s="93"/>
      <c r="AJ60" s="93"/>
      <c r="AK60" s="93"/>
      <c r="AL60" s="93"/>
      <c r="AM60" s="93"/>
      <c r="AN60" s="93"/>
      <c r="AO60" s="93"/>
      <c r="AP60" s="93"/>
      <c r="AQ60" s="93"/>
      <c r="AR60" s="93"/>
      <c r="AS60" s="93"/>
      <c r="AT60" s="93"/>
      <c r="AU60" s="93"/>
      <c r="AV60" s="93"/>
      <c r="AW60" s="93"/>
      <c r="AX60" s="93"/>
      <c r="AY60" s="93"/>
      <c r="AZ60" s="93"/>
      <c r="BA60" s="93"/>
      <c r="BB60" s="93"/>
      <c r="BC60" s="93"/>
      <c r="BD60" s="93"/>
      <c r="BE60" s="93"/>
      <c r="BF60" s="93"/>
      <c r="BG60" s="93"/>
      <c r="BH60" s="93"/>
      <c r="BI60" s="93"/>
      <c r="BJ60" s="93"/>
      <c r="BK60" s="93"/>
      <c r="BL60" s="93"/>
      <c r="BM60" s="93"/>
      <c r="BN60" s="93"/>
      <c r="BO60" s="93"/>
      <c r="BP60" s="93"/>
      <c r="BQ60" s="93"/>
      <c r="BR60" s="93"/>
      <c r="BS60" s="93"/>
      <c r="BT60" s="93"/>
      <c r="BU60" s="93"/>
      <c r="BV60" s="93"/>
      <c r="BW60" s="93"/>
      <c r="BX60" s="93"/>
      <c r="BY60" s="93"/>
      <c r="BZ60" s="93"/>
    </row>
    <row r="61" spans="1:78">
      <c r="A61" s="179" t="s">
        <v>267</v>
      </c>
      <c r="B61" s="155" t="s">
        <v>268</v>
      </c>
      <c r="C61" s="155" t="s">
        <v>269</v>
      </c>
      <c r="D61" s="93"/>
      <c r="E61" s="93"/>
      <c r="F61" s="93"/>
      <c r="G61" s="93"/>
      <c r="H61" s="144" t="s">
        <v>712</v>
      </c>
      <c r="I61" s="146"/>
      <c r="J61" s="141">
        <f>IF(Input!B14=Subsea,0,IF(Input!B14=Fixed_Platform,'Cost Assumptions'!O56,IF(Input!B14=Jack_up,'Cost Assumptions'!O59,IF(Input!B14=FPSU,'Cost Assumptions'!O79,IF(Input!B14=Tethered___Semi,'Cost Assumptions'!O67,0)))))</f>
        <v>375000</v>
      </c>
      <c r="K61" s="93"/>
      <c r="L61" s="93"/>
      <c r="M61" s="93"/>
      <c r="N61" s="150">
        <v>400</v>
      </c>
      <c r="O61" s="150">
        <v>18</v>
      </c>
      <c r="P61" s="150">
        <v>20</v>
      </c>
      <c r="Q61" s="150">
        <v>20</v>
      </c>
      <c r="R61" s="93"/>
      <c r="S61" s="93"/>
      <c r="T61" s="93"/>
      <c r="U61" s="93"/>
      <c r="V61" s="93"/>
      <c r="W61" s="93"/>
      <c r="X61" s="93"/>
      <c r="Y61" s="93"/>
      <c r="Z61" s="93"/>
      <c r="AA61" s="93"/>
      <c r="AB61" s="93"/>
      <c r="AC61" s="93"/>
      <c r="AD61" s="93"/>
      <c r="AE61" s="93"/>
      <c r="AF61" s="93"/>
      <c r="AG61" s="93"/>
      <c r="AH61" s="93"/>
      <c r="AI61" s="93"/>
      <c r="AJ61" s="93"/>
      <c r="AK61" s="93"/>
      <c r="AL61" s="93"/>
      <c r="AM61" s="93"/>
      <c r="AN61" s="93"/>
      <c r="AO61" s="93"/>
      <c r="AP61" s="93"/>
      <c r="AQ61" s="93"/>
      <c r="AR61" s="93"/>
      <c r="AS61" s="93"/>
      <c r="AT61" s="93"/>
      <c r="AU61" s="93"/>
      <c r="AV61" s="93"/>
      <c r="AW61" s="93"/>
      <c r="AX61" s="93"/>
      <c r="AY61" s="93"/>
      <c r="AZ61" s="93"/>
      <c r="BA61" s="93"/>
      <c r="BB61" s="93"/>
      <c r="BC61" s="93"/>
      <c r="BD61" s="93"/>
      <c r="BE61" s="93"/>
      <c r="BF61" s="93"/>
      <c r="BG61" s="93"/>
      <c r="BH61" s="93"/>
      <c r="BI61" s="93"/>
      <c r="BJ61" s="93"/>
      <c r="BK61" s="93"/>
      <c r="BL61" s="93"/>
      <c r="BM61" s="93"/>
      <c r="BN61" s="93"/>
      <c r="BO61" s="93"/>
      <c r="BP61" s="93"/>
      <c r="BQ61" s="93"/>
      <c r="BR61" s="93"/>
      <c r="BS61" s="93"/>
      <c r="BT61" s="93"/>
      <c r="BU61" s="93"/>
      <c r="BV61" s="93"/>
      <c r="BW61" s="93"/>
      <c r="BX61" s="93"/>
      <c r="BY61" s="93"/>
      <c r="BZ61" s="93"/>
    </row>
    <row r="62" spans="1:78">
      <c r="A62" s="134" t="s">
        <v>270</v>
      </c>
      <c r="B62" s="150">
        <f>'Sched &amp; Prod Assumptions'!B94</f>
        <v>650</v>
      </c>
      <c r="C62" s="150">
        <f>'Sched &amp; Prod Assumptions'!E94</f>
        <v>20</v>
      </c>
      <c r="D62" s="93"/>
      <c r="E62" s="93"/>
      <c r="F62" s="93"/>
      <c r="G62" s="93"/>
      <c r="H62" s="144" t="s">
        <v>713</v>
      </c>
      <c r="I62" s="146"/>
      <c r="J62" s="141">
        <f>IF(Input!B14=Subsea,0,IF(Input!B14=Fixed_Platform,'Cost Assumptions'!O57,IF(Input!B14=Jack_up,'Cost Assumptions'!O60,IF(Input!B14=FPSU,'Cost Assumptions'!O80,IF(Input!B14=Tethered___Semi,'Cost Assumptions'!O68,IF(Input!B14=Lists!O38,'Cost Assumptions'!O63,0))))))</f>
        <v>1400</v>
      </c>
      <c r="K62" s="93"/>
      <c r="L62" s="93"/>
      <c r="M62" s="93"/>
      <c r="N62" s="150">
        <v>500</v>
      </c>
      <c r="O62" s="150">
        <v>24</v>
      </c>
      <c r="P62" s="150">
        <v>24</v>
      </c>
      <c r="Q62" s="150">
        <v>24</v>
      </c>
      <c r="R62" s="93"/>
      <c r="S62" s="93"/>
      <c r="T62" s="93"/>
      <c r="U62" s="93"/>
      <c r="V62" s="93"/>
      <c r="W62" s="93"/>
      <c r="X62" s="93"/>
      <c r="Y62" s="93"/>
      <c r="Z62" s="93"/>
      <c r="AA62" s="93"/>
      <c r="AB62" s="93"/>
      <c r="AC62" s="93"/>
      <c r="AD62" s="93"/>
      <c r="AE62" s="93"/>
      <c r="AF62" s="93"/>
      <c r="AG62" s="93"/>
      <c r="AH62" s="93"/>
      <c r="AI62" s="93"/>
      <c r="AJ62" s="93"/>
      <c r="AK62" s="93"/>
      <c r="AL62" s="93"/>
      <c r="AM62" s="93"/>
      <c r="AN62" s="93"/>
      <c r="AO62" s="93"/>
      <c r="AP62" s="93"/>
      <c r="AQ62" s="93"/>
      <c r="AR62" s="93"/>
      <c r="AS62" s="93"/>
      <c r="AT62" s="93"/>
      <c r="AU62" s="93"/>
      <c r="AV62" s="93"/>
      <c r="AW62" s="93"/>
      <c r="AX62" s="93"/>
      <c r="AY62" s="93"/>
      <c r="AZ62" s="93"/>
      <c r="BA62" s="93"/>
      <c r="BB62" s="93"/>
      <c r="BC62" s="93"/>
      <c r="BD62" s="93"/>
      <c r="BE62" s="93"/>
      <c r="BF62" s="93"/>
      <c r="BG62" s="93"/>
      <c r="BH62" s="93"/>
      <c r="BI62" s="93"/>
      <c r="BJ62" s="93"/>
      <c r="BK62" s="93"/>
      <c r="BL62" s="93"/>
      <c r="BM62" s="93"/>
      <c r="BN62" s="93"/>
      <c r="BO62" s="93"/>
      <c r="BP62" s="93"/>
      <c r="BQ62" s="93"/>
      <c r="BR62" s="93"/>
      <c r="BS62" s="93"/>
      <c r="BT62" s="93"/>
      <c r="BU62" s="93"/>
      <c r="BV62" s="93"/>
      <c r="BW62" s="93"/>
      <c r="BX62" s="93"/>
      <c r="BY62" s="93"/>
      <c r="BZ62" s="93"/>
    </row>
    <row r="63" spans="1:78">
      <c r="A63" s="134" t="s">
        <v>271</v>
      </c>
      <c r="B63" s="150">
        <f>'Sched &amp; Prod Assumptions'!B95+Input!B13*'Sched &amp; Prod Assumptions'!C95</f>
        <v>3250</v>
      </c>
      <c r="C63" s="150">
        <f>'Sched &amp; Prod Assumptions'!E95</f>
        <v>30</v>
      </c>
      <c r="D63" s="93"/>
      <c r="E63" s="93"/>
      <c r="F63" s="93"/>
      <c r="G63" s="93"/>
      <c r="H63" s="144" t="s">
        <v>874</v>
      </c>
      <c r="I63" s="146"/>
      <c r="J63" s="134">
        <f>IF(Input!B11="Oil",'Cost Assumptions'!O81,0)</f>
        <v>286.2</v>
      </c>
      <c r="K63" s="93"/>
      <c r="L63" s="93"/>
      <c r="M63" s="93"/>
      <c r="N63" s="150">
        <v>800</v>
      </c>
      <c r="O63" s="150">
        <v>24</v>
      </c>
      <c r="P63" s="150">
        <v>30</v>
      </c>
      <c r="Q63" s="150">
        <v>30</v>
      </c>
      <c r="R63" s="93"/>
      <c r="S63" s="93"/>
      <c r="T63" s="93"/>
      <c r="U63" s="93"/>
      <c r="V63" s="93"/>
      <c r="W63" s="93"/>
      <c r="X63" s="93"/>
      <c r="Y63" s="93"/>
      <c r="Z63" s="93"/>
      <c r="AA63" s="93"/>
      <c r="AB63" s="93"/>
      <c r="AC63" s="93"/>
      <c r="AD63" s="93"/>
      <c r="AE63" s="93"/>
      <c r="AF63" s="93"/>
      <c r="AG63" s="93"/>
      <c r="AH63" s="93"/>
      <c r="AI63" s="93"/>
      <c r="AJ63" s="93"/>
      <c r="AK63" s="93"/>
      <c r="AL63" s="93"/>
      <c r="AM63" s="93"/>
      <c r="AN63" s="93"/>
      <c r="AO63" s="93"/>
      <c r="AP63" s="93"/>
      <c r="AQ63" s="93"/>
      <c r="AR63" s="93"/>
      <c r="AS63" s="93"/>
      <c r="AT63" s="93"/>
      <c r="AU63" s="93"/>
      <c r="AV63" s="93"/>
      <c r="AW63" s="93"/>
      <c r="AX63" s="93"/>
      <c r="AY63" s="93"/>
      <c r="AZ63" s="93"/>
      <c r="BA63" s="93"/>
      <c r="BB63" s="93"/>
      <c r="BC63" s="93"/>
      <c r="BD63" s="93"/>
      <c r="BE63" s="93"/>
      <c r="BF63" s="93"/>
      <c r="BG63" s="93"/>
      <c r="BH63" s="93"/>
      <c r="BI63" s="93"/>
      <c r="BJ63" s="93"/>
      <c r="BK63" s="93"/>
      <c r="BL63" s="93"/>
      <c r="BM63" s="93"/>
      <c r="BN63" s="93"/>
      <c r="BO63" s="93"/>
      <c r="BP63" s="93"/>
      <c r="BQ63" s="93"/>
      <c r="BR63" s="93"/>
      <c r="BS63" s="93"/>
      <c r="BT63" s="93"/>
      <c r="BU63" s="93"/>
      <c r="BV63" s="93"/>
      <c r="BW63" s="93"/>
      <c r="BX63" s="93"/>
      <c r="BY63" s="93"/>
      <c r="BZ63" s="93"/>
    </row>
    <row r="64" spans="1:78">
      <c r="A64" s="134" t="s">
        <v>732</v>
      </c>
      <c r="B64" s="150">
        <f>'Sched &amp; Prod Assumptions'!B96</f>
        <v>650</v>
      </c>
      <c r="C64" s="150">
        <f>'Sched &amp; Prod Assumptions'!E96</f>
        <v>30</v>
      </c>
      <c r="D64" s="93"/>
      <c r="E64" s="93"/>
      <c r="F64" s="93"/>
      <c r="G64" s="93"/>
      <c r="H64" s="144" t="s">
        <v>842</v>
      </c>
      <c r="I64" s="146"/>
      <c r="J64" s="141">
        <f>B28*'Cost Assumptions'!O73+('Cost Assumptions'!O74+'Cost Assumptions'!O71)*Development!B23</f>
        <v>345666</v>
      </c>
      <c r="K64" s="93"/>
      <c r="L64" s="93"/>
      <c r="M64" s="93"/>
      <c r="N64" s="150">
        <v>10000</v>
      </c>
      <c r="O64" s="150"/>
      <c r="P64" s="150"/>
      <c r="Q64" s="150"/>
      <c r="R64" s="93"/>
      <c r="S64" s="93"/>
      <c r="T64" s="93"/>
      <c r="U64" s="93"/>
      <c r="V64" s="93"/>
      <c r="W64" s="93"/>
      <c r="X64" s="93"/>
      <c r="Y64" s="93"/>
      <c r="Z64" s="93"/>
      <c r="AA64" s="93"/>
      <c r="AB64" s="93"/>
      <c r="AC64" s="93"/>
      <c r="AD64" s="93"/>
      <c r="AE64" s="93"/>
      <c r="AF64" s="93"/>
      <c r="AG64" s="93"/>
      <c r="AH64" s="93"/>
      <c r="AI64" s="93"/>
      <c r="AJ64" s="93"/>
      <c r="AK64" s="93"/>
      <c r="AL64" s="93"/>
      <c r="AM64" s="93"/>
      <c r="AN64" s="93"/>
      <c r="AO64" s="93"/>
      <c r="AP64" s="93"/>
      <c r="AQ64" s="93"/>
      <c r="AR64" s="93"/>
      <c r="AS64" s="93"/>
      <c r="AT64" s="93"/>
      <c r="AU64" s="93"/>
      <c r="AV64" s="93"/>
      <c r="AW64" s="93"/>
      <c r="AX64" s="93"/>
      <c r="AY64" s="93"/>
      <c r="AZ64" s="93"/>
      <c r="BA64" s="93"/>
      <c r="BB64" s="93"/>
      <c r="BC64" s="93"/>
      <c r="BD64" s="93"/>
      <c r="BE64" s="93"/>
      <c r="BF64" s="93"/>
      <c r="BG64" s="93"/>
      <c r="BH64" s="93"/>
      <c r="BI64" s="93"/>
      <c r="BJ64" s="93"/>
      <c r="BK64" s="93"/>
      <c r="BL64" s="93"/>
      <c r="BM64" s="93"/>
      <c r="BN64" s="93"/>
      <c r="BO64" s="93"/>
      <c r="BP64" s="93"/>
      <c r="BQ64" s="93"/>
      <c r="BR64" s="93"/>
      <c r="BS64" s="93"/>
      <c r="BT64" s="93"/>
      <c r="BU64" s="93"/>
      <c r="BV64" s="93"/>
      <c r="BW64" s="93"/>
      <c r="BX64" s="93"/>
      <c r="BY64" s="93"/>
      <c r="BZ64" s="93"/>
    </row>
    <row r="65" spans="1:78">
      <c r="A65" s="134" t="s">
        <v>734</v>
      </c>
      <c r="B65" s="150">
        <f>'Sched &amp; Prod Assumptions'!B97</f>
        <v>650</v>
      </c>
      <c r="C65" s="150">
        <f>'Sched &amp; Prod Assumptions'!E97</f>
        <v>50</v>
      </c>
      <c r="D65" s="93"/>
      <c r="E65" s="93"/>
      <c r="F65" s="93"/>
      <c r="G65" s="93"/>
      <c r="H65" s="144" t="s">
        <v>718</v>
      </c>
      <c r="I65" s="146"/>
      <c r="J65" s="141">
        <f>(IF(P25="Deviated",0,B22)+(B23-B22))*B34*'Cost Assumptions'!O72</f>
        <v>0</v>
      </c>
      <c r="K65" s="93"/>
      <c r="L65" s="93"/>
      <c r="M65" s="93"/>
      <c r="N65" s="172"/>
      <c r="O65" s="172"/>
      <c r="P65" s="172"/>
      <c r="Q65" s="172"/>
      <c r="R65" s="93"/>
      <c r="S65" s="93"/>
      <c r="T65" s="93"/>
      <c r="U65" s="93"/>
      <c r="V65" s="93"/>
      <c r="W65" s="93"/>
      <c r="X65" s="93"/>
      <c r="Y65" s="93"/>
      <c r="Z65" s="93"/>
      <c r="AA65" s="93"/>
      <c r="AB65" s="93"/>
      <c r="AC65" s="93"/>
      <c r="AD65" s="93"/>
      <c r="AE65" s="93"/>
      <c r="AF65" s="93"/>
      <c r="AG65" s="93"/>
      <c r="AH65" s="93"/>
      <c r="AI65" s="93"/>
      <c r="AJ65" s="93"/>
      <c r="AK65" s="93"/>
      <c r="AL65" s="93"/>
      <c r="AM65" s="93"/>
      <c r="AN65" s="93"/>
      <c r="AO65" s="93"/>
      <c r="AP65" s="93"/>
      <c r="AQ65" s="93"/>
      <c r="AR65" s="93"/>
      <c r="AS65" s="93"/>
      <c r="AT65" s="93"/>
      <c r="AU65" s="93"/>
      <c r="AV65" s="93"/>
      <c r="AW65" s="93"/>
      <c r="AX65" s="93"/>
      <c r="AY65" s="93"/>
      <c r="AZ65" s="93"/>
      <c r="BA65" s="93"/>
      <c r="BB65" s="93"/>
      <c r="BC65" s="93"/>
      <c r="BD65" s="93"/>
      <c r="BE65" s="93"/>
      <c r="BF65" s="93"/>
      <c r="BG65" s="93"/>
      <c r="BH65" s="93"/>
      <c r="BI65" s="93"/>
      <c r="BJ65" s="93"/>
      <c r="BK65" s="93"/>
      <c r="BL65" s="93"/>
      <c r="BM65" s="93"/>
      <c r="BN65" s="93"/>
      <c r="BO65" s="93"/>
      <c r="BP65" s="93"/>
      <c r="BQ65" s="93"/>
      <c r="BR65" s="93"/>
      <c r="BS65" s="93"/>
      <c r="BT65" s="93"/>
      <c r="BU65" s="93"/>
      <c r="BV65" s="93"/>
      <c r="BW65" s="93"/>
      <c r="BX65" s="93"/>
      <c r="BY65" s="93"/>
      <c r="BZ65" s="93"/>
    </row>
    <row r="66" spans="1:78">
      <c r="A66" s="134" t="s">
        <v>272</v>
      </c>
      <c r="B66" s="150">
        <f>'Sched &amp; Prod Assumptions'!B98</f>
        <v>180</v>
      </c>
      <c r="C66" s="150">
        <f>'Sched &amp; Prod Assumptions'!E98</f>
        <v>20</v>
      </c>
      <c r="D66" s="93"/>
      <c r="E66" s="93"/>
      <c r="F66" s="93"/>
      <c r="G66" s="93"/>
      <c r="H66" s="144" t="s">
        <v>716</v>
      </c>
      <c r="I66" s="146"/>
      <c r="J66" s="141">
        <f>MAX(0,B26-1)*B35*IF(Input!B30=Sweet,'Cost Assumptions'!O95,'Cost Assumptions'!O97)+MAX(0,B26-1)*IF(Input!B30=Sweet,'Cost Assumptions'!O94,'Cost Assumptions'!O96)</f>
        <v>159000</v>
      </c>
      <c r="K66" s="93"/>
      <c r="L66" s="93"/>
      <c r="M66" s="93"/>
      <c r="N66" s="93"/>
      <c r="O66" s="93"/>
      <c r="P66" s="93"/>
      <c r="Q66" s="93"/>
      <c r="R66" s="93"/>
      <c r="S66" s="93"/>
      <c r="T66" s="93"/>
      <c r="U66" s="93"/>
      <c r="V66" s="93"/>
      <c r="W66" s="93"/>
      <c r="X66" s="93"/>
      <c r="Y66" s="93"/>
      <c r="Z66" s="93"/>
      <c r="AA66" s="93"/>
      <c r="AB66" s="93"/>
      <c r="AC66" s="93"/>
      <c r="AD66" s="93"/>
      <c r="AE66" s="93"/>
      <c r="AF66" s="93"/>
      <c r="AG66" s="93"/>
      <c r="AH66" s="93"/>
      <c r="AI66" s="93"/>
      <c r="AJ66" s="93"/>
      <c r="AK66" s="93"/>
      <c r="AL66" s="93"/>
      <c r="AM66" s="93"/>
      <c r="AN66" s="93"/>
      <c r="AO66" s="93"/>
      <c r="AP66" s="93"/>
      <c r="AQ66" s="93"/>
      <c r="AR66" s="93"/>
      <c r="AS66" s="93"/>
      <c r="AT66" s="93"/>
      <c r="AU66" s="93"/>
      <c r="AV66" s="93"/>
      <c r="AW66" s="93"/>
      <c r="AX66" s="93"/>
      <c r="AY66" s="93"/>
      <c r="AZ66" s="93"/>
      <c r="BA66" s="93"/>
      <c r="BB66" s="93"/>
      <c r="BC66" s="93"/>
      <c r="BD66" s="93"/>
      <c r="BE66" s="93"/>
      <c r="BF66" s="93"/>
      <c r="BG66" s="93"/>
      <c r="BH66" s="93"/>
      <c r="BI66" s="93"/>
      <c r="BJ66" s="93"/>
      <c r="BK66" s="93"/>
      <c r="BL66" s="93"/>
      <c r="BM66" s="93"/>
      <c r="BN66" s="93"/>
      <c r="BO66" s="93"/>
      <c r="BP66" s="93"/>
      <c r="BQ66" s="93"/>
      <c r="BR66" s="93"/>
      <c r="BS66" s="93"/>
      <c r="BT66" s="93"/>
      <c r="BU66" s="93"/>
      <c r="BV66" s="93"/>
      <c r="BW66" s="93"/>
      <c r="BX66" s="93"/>
      <c r="BY66" s="93"/>
      <c r="BZ66" s="93"/>
    </row>
    <row r="67" spans="1:78">
      <c r="A67" s="134" t="s">
        <v>273</v>
      </c>
      <c r="B67" s="150">
        <f>'Sched &amp; Prod Assumptions'!B99+'Sched &amp; Prod Assumptions'!C99*Production!B10</f>
        <v>415.89041095890411</v>
      </c>
      <c r="C67" s="150">
        <f>'Sched &amp; Prod Assumptions'!E99</f>
        <v>60</v>
      </c>
      <c r="D67" s="93"/>
      <c r="E67" s="93"/>
      <c r="F67" s="93"/>
      <c r="G67" s="93"/>
      <c r="H67" s="144" t="s">
        <v>880</v>
      </c>
      <c r="I67" s="146"/>
      <c r="J67" s="180">
        <f>VLOOKUP(K68,N59:Q64,IF(Input!B16&lt;Development!O58,2,IF(Input!B16&lt;Development!P58,3,4)))</f>
        <v>18</v>
      </c>
      <c r="K67" s="93"/>
      <c r="L67" s="93"/>
      <c r="M67" s="93"/>
      <c r="N67" s="93"/>
      <c r="O67" s="93"/>
      <c r="P67" s="93"/>
      <c r="Q67" s="93"/>
      <c r="R67" s="93"/>
      <c r="S67" s="93"/>
      <c r="T67" s="93"/>
      <c r="U67" s="93"/>
      <c r="V67" s="93"/>
      <c r="W67" s="93"/>
      <c r="X67" s="93"/>
      <c r="Y67" s="93"/>
      <c r="Z67" s="93"/>
      <c r="AA67" s="93"/>
      <c r="AB67" s="93"/>
      <c r="AC67" s="93"/>
      <c r="AD67" s="93"/>
      <c r="AE67" s="93"/>
      <c r="AF67" s="93"/>
      <c r="AG67" s="93"/>
      <c r="AH67" s="93"/>
      <c r="AI67" s="93"/>
      <c r="AJ67" s="93"/>
      <c r="AK67" s="93"/>
      <c r="AL67" s="93"/>
      <c r="AM67" s="93"/>
      <c r="AN67" s="93"/>
      <c r="AO67" s="93"/>
      <c r="AP67" s="93"/>
      <c r="AQ67" s="93"/>
      <c r="AR67" s="93"/>
      <c r="AS67" s="93"/>
      <c r="AT67" s="93"/>
      <c r="AU67" s="93"/>
      <c r="AV67" s="93"/>
      <c r="AW67" s="93"/>
      <c r="AX67" s="93"/>
      <c r="AY67" s="93"/>
      <c r="AZ67" s="93"/>
      <c r="BA67" s="93"/>
      <c r="BB67" s="93"/>
      <c r="BC67" s="93"/>
      <c r="BD67" s="93"/>
      <c r="BE67" s="93"/>
      <c r="BF67" s="93"/>
      <c r="BG67" s="93"/>
      <c r="BH67" s="93"/>
      <c r="BI67" s="93"/>
      <c r="BJ67" s="93"/>
      <c r="BK67" s="93"/>
      <c r="BL67" s="93"/>
      <c r="BM67" s="93"/>
      <c r="BN67" s="93"/>
      <c r="BO67" s="93"/>
      <c r="BP67" s="93"/>
      <c r="BQ67" s="93"/>
      <c r="BR67" s="93"/>
      <c r="BS67" s="93"/>
      <c r="BT67" s="93"/>
      <c r="BU67" s="93"/>
      <c r="BV67" s="93"/>
      <c r="BW67" s="93"/>
      <c r="BX67" s="93"/>
      <c r="BY67" s="93"/>
      <c r="BZ67" s="93"/>
    </row>
    <row r="68" spans="1:78">
      <c r="A68" s="134" t="s">
        <v>743</v>
      </c>
      <c r="B68" s="150">
        <f>'Sched &amp; Prod Assumptions'!B100+'Sched &amp; Prod Assumptions'!C100*Production!B10</f>
        <v>415.89041095890411</v>
      </c>
      <c r="C68" s="150">
        <f>'Sched &amp; Prod Assumptions'!E100</f>
        <v>0</v>
      </c>
      <c r="D68" s="93"/>
      <c r="E68" s="93"/>
      <c r="F68" s="93"/>
      <c r="G68" s="93"/>
      <c r="H68" s="144" t="s">
        <v>844</v>
      </c>
      <c r="I68" s="146"/>
      <c r="J68" s="181">
        <f>IF('Cost Assumptions'!O6="Shallow Water",1,Input!B17)</f>
        <v>0.3</v>
      </c>
      <c r="K68" s="152">
        <f>IF(Input!B11="Oil",MAX(Production!K31:K70),Production!B10)</f>
        <v>264.83753424657533</v>
      </c>
      <c r="L68" s="93"/>
      <c r="M68" s="93"/>
      <c r="N68" s="93"/>
      <c r="O68" s="93"/>
      <c r="P68" s="93"/>
      <c r="Q68" s="93"/>
      <c r="R68" s="93"/>
      <c r="S68" s="93"/>
      <c r="T68" s="93"/>
      <c r="U68" s="93"/>
      <c r="V68" s="93"/>
      <c r="W68" s="93"/>
      <c r="X68" s="93"/>
      <c r="Y68" s="93"/>
      <c r="Z68" s="93"/>
      <c r="AA68" s="93"/>
      <c r="AB68" s="93"/>
      <c r="AC68" s="93"/>
      <c r="AD68" s="93"/>
      <c r="AE68" s="93"/>
      <c r="AF68" s="93"/>
      <c r="AG68" s="93"/>
      <c r="AH68" s="93"/>
      <c r="AI68" s="93"/>
      <c r="AJ68" s="93"/>
      <c r="AK68" s="93"/>
      <c r="AL68" s="93"/>
      <c r="AM68" s="93"/>
      <c r="AN68" s="93"/>
      <c r="AO68" s="93"/>
      <c r="AP68" s="93"/>
      <c r="AQ68" s="93"/>
      <c r="AR68" s="93"/>
      <c r="AS68" s="93"/>
      <c r="AT68" s="93"/>
      <c r="AU68" s="93"/>
      <c r="AV68" s="93"/>
      <c r="AW68" s="93"/>
      <c r="AX68" s="93"/>
      <c r="AY68" s="93"/>
      <c r="AZ68" s="93"/>
      <c r="BA68" s="93"/>
      <c r="BB68" s="93"/>
      <c r="BC68" s="93"/>
      <c r="BD68" s="93"/>
      <c r="BE68" s="93"/>
      <c r="BF68" s="93"/>
      <c r="BG68" s="93"/>
      <c r="BH68" s="93"/>
      <c r="BI68" s="93"/>
      <c r="BJ68" s="93"/>
      <c r="BK68" s="93"/>
      <c r="BL68" s="93"/>
      <c r="BM68" s="93"/>
      <c r="BN68" s="93"/>
      <c r="BO68" s="93"/>
      <c r="BP68" s="93"/>
      <c r="BQ68" s="93"/>
      <c r="BR68" s="93"/>
      <c r="BS68" s="93"/>
      <c r="BT68" s="93"/>
      <c r="BU68" s="93"/>
      <c r="BV68" s="93"/>
      <c r="BW68" s="93"/>
      <c r="BX68" s="93"/>
      <c r="BY68" s="93"/>
      <c r="BZ68" s="93"/>
    </row>
    <row r="69" spans="1:78">
      <c r="A69" s="182" t="s">
        <v>274</v>
      </c>
      <c r="B69" s="150">
        <f>'Sched &amp; Prod Assumptions'!B101+'Sched &amp; Prod Assumptions'!C101*B23</f>
        <v>295</v>
      </c>
      <c r="C69" s="150">
        <f>'Sched &amp; Prod Assumptions'!E101+'Sched &amp; Prod Assumptions'!F101*B23</f>
        <v>145</v>
      </c>
      <c r="D69" s="93"/>
      <c r="E69" s="93"/>
      <c r="F69" s="93"/>
      <c r="G69" s="93"/>
      <c r="H69" s="144" t="s">
        <v>846</v>
      </c>
      <c r="I69" s="146"/>
      <c r="J69" s="141">
        <f>IF(Input!B14=Subsea,IF(Input!B30=Sweet,'Cost Assumptions'!O94+'Cost Assumptions'!O95*B36,'Cost Assumptions'!O96+'Cost Assumptions'!O97*B36),IF(Input!B14=Lists!$O$38,IF(Input!B30=Sweet,'Cost Assumptions'!O90+'Cost Assumptions'!O91*B36,'Cost Assumptions'!O92+'Cost Assumptions'!O93*B36),IF(Input!B15=Lists!Q36,0,'Cost Assumptions'!O87+'Cost Assumptions'!O88*B36*J67)))*J68</f>
        <v>223395</v>
      </c>
      <c r="K69" s="93"/>
      <c r="L69" s="93"/>
      <c r="M69" s="93"/>
      <c r="N69" s="93"/>
      <c r="O69" s="93"/>
      <c r="P69" s="93"/>
      <c r="Q69" s="93"/>
      <c r="R69" s="93"/>
      <c r="S69" s="93"/>
      <c r="T69" s="93"/>
      <c r="U69" s="93"/>
      <c r="V69" s="93"/>
      <c r="W69" s="93"/>
      <c r="X69" s="93"/>
      <c r="Y69" s="93"/>
      <c r="Z69" s="93"/>
      <c r="AA69" s="93"/>
      <c r="AB69" s="93"/>
      <c r="AC69" s="93"/>
      <c r="AD69" s="93"/>
      <c r="AE69" s="93"/>
      <c r="AF69" s="93"/>
      <c r="AG69" s="93"/>
      <c r="AH69" s="93"/>
      <c r="AI69" s="93"/>
      <c r="AJ69" s="93"/>
      <c r="AK69" s="93"/>
      <c r="AL69" s="93"/>
      <c r="AM69" s="93"/>
      <c r="AN69" s="93"/>
      <c r="AO69" s="93"/>
      <c r="AP69" s="93"/>
      <c r="AQ69" s="93"/>
      <c r="AR69" s="93"/>
      <c r="AS69" s="93"/>
      <c r="AT69" s="93"/>
      <c r="AU69" s="93"/>
      <c r="AV69" s="93"/>
      <c r="AW69" s="93"/>
      <c r="AX69" s="93"/>
      <c r="AY69" s="93"/>
      <c r="AZ69" s="93"/>
      <c r="BA69" s="93"/>
      <c r="BB69" s="93"/>
      <c r="BC69" s="93"/>
      <c r="BD69" s="93"/>
      <c r="BE69" s="93"/>
      <c r="BF69" s="93"/>
      <c r="BG69" s="93"/>
      <c r="BH69" s="93"/>
      <c r="BI69" s="93"/>
      <c r="BJ69" s="93"/>
      <c r="BK69" s="93"/>
      <c r="BL69" s="93"/>
      <c r="BM69" s="93"/>
      <c r="BN69" s="93"/>
      <c r="BO69" s="93"/>
      <c r="BP69" s="93"/>
      <c r="BQ69" s="93"/>
      <c r="BR69" s="93"/>
      <c r="BS69" s="93"/>
      <c r="BT69" s="93"/>
      <c r="BU69" s="93"/>
      <c r="BV69" s="93"/>
      <c r="BW69" s="93"/>
      <c r="BX69" s="93"/>
      <c r="BY69" s="93"/>
      <c r="BZ69" s="93"/>
    </row>
    <row r="70" spans="1:78">
      <c r="A70" s="182" t="s">
        <v>275</v>
      </c>
      <c r="B70" s="150">
        <f>'Sched &amp; Prod Assumptions'!B102+'Sched &amp; Prod Assumptions'!C102*B36</f>
        <v>175</v>
      </c>
      <c r="C70" s="150">
        <f>'Sched &amp; Prod Assumptions'!E102+'Sched &amp; Prod Assumptions'!F102*B36</f>
        <v>145</v>
      </c>
      <c r="D70" s="93"/>
      <c r="E70" s="93"/>
      <c r="F70" s="93"/>
      <c r="G70" s="93"/>
      <c r="H70" s="144" t="s">
        <v>847</v>
      </c>
      <c r="I70" s="146"/>
      <c r="J70" s="141">
        <f>IF(Input!B14=Subsea,IF(Input!B30=Sweet,'Cost Assumptions'!P94+'Cost Assumptions'!P95*B36,'Cost Assumptions'!P96+'Cost Assumptions'!P97*B36),IF(Input!B14=Lists!O38,IF(Input!B30=Sweet,'Cost Assumptions'!P90+'Cost Assumptions'!P91*B36,'Cost Assumptions'!P92+'Cost Assumptions'!P93*B36),IF(Input!B15=Lists!Q36,0,'Cost Assumptions'!P87+'Cost Assumptions'!P88*B36*J67)))*(1-J68)</f>
        <v>362838</v>
      </c>
      <c r="K70" s="93"/>
      <c r="L70" s="93"/>
      <c r="M70" s="93"/>
      <c r="N70" s="93"/>
      <c r="O70" s="93"/>
      <c r="P70" s="93"/>
      <c r="Q70" s="93"/>
      <c r="R70" s="93"/>
      <c r="S70" s="93"/>
      <c r="T70" s="93"/>
      <c r="U70" s="93"/>
      <c r="V70" s="93"/>
      <c r="W70" s="93"/>
      <c r="X70" s="93"/>
      <c r="Y70" s="93"/>
      <c r="Z70" s="93"/>
      <c r="AA70" s="93"/>
      <c r="AB70" s="93"/>
      <c r="AC70" s="93"/>
      <c r="AD70" s="93"/>
      <c r="AE70" s="93"/>
      <c r="AF70" s="93"/>
      <c r="AG70" s="93"/>
      <c r="AH70" s="93"/>
      <c r="AI70" s="93"/>
      <c r="AJ70" s="93"/>
      <c r="AK70" s="93"/>
      <c r="AL70" s="93"/>
      <c r="AM70" s="93"/>
      <c r="AN70" s="93"/>
      <c r="AO70" s="93"/>
      <c r="AP70" s="93"/>
      <c r="AQ70" s="93"/>
      <c r="AR70" s="93"/>
      <c r="AS70" s="93"/>
      <c r="AT70" s="93"/>
      <c r="AU70" s="93"/>
      <c r="AV70" s="93"/>
      <c r="AW70" s="93"/>
      <c r="AX70" s="93"/>
      <c r="AY70" s="93"/>
      <c r="AZ70" s="93"/>
      <c r="BA70" s="93"/>
      <c r="BB70" s="93"/>
      <c r="BC70" s="93"/>
      <c r="BD70" s="93"/>
      <c r="BE70" s="93"/>
      <c r="BF70" s="93"/>
      <c r="BG70" s="93"/>
      <c r="BH70" s="93"/>
      <c r="BI70" s="93"/>
      <c r="BJ70" s="93"/>
      <c r="BK70" s="93"/>
      <c r="BL70" s="93"/>
      <c r="BM70" s="93"/>
      <c r="BN70" s="93"/>
      <c r="BO70" s="93"/>
      <c r="BP70" s="93"/>
      <c r="BQ70" s="93"/>
      <c r="BR70" s="93"/>
      <c r="BS70" s="93"/>
      <c r="BT70" s="93"/>
      <c r="BU70" s="93"/>
      <c r="BV70" s="93"/>
      <c r="BW70" s="93"/>
      <c r="BX70" s="93"/>
      <c r="BY70" s="93"/>
      <c r="BZ70" s="93"/>
    </row>
    <row r="71" spans="1:78">
      <c r="A71" s="133" t="s">
        <v>276</v>
      </c>
      <c r="B71" s="93"/>
      <c r="C71" s="93"/>
      <c r="D71" s="93"/>
      <c r="E71" s="183"/>
      <c r="F71" s="93"/>
      <c r="G71" s="93"/>
      <c r="H71" s="173"/>
      <c r="I71" s="93"/>
      <c r="J71" s="93"/>
      <c r="K71" s="93"/>
      <c r="L71" s="93"/>
      <c r="M71" s="93"/>
      <c r="N71" s="93"/>
      <c r="O71" s="93"/>
      <c r="P71" s="93"/>
      <c r="Q71" s="93"/>
      <c r="R71" s="93"/>
      <c r="S71" s="93"/>
      <c r="T71" s="93"/>
      <c r="U71" s="93"/>
      <c r="V71" s="93"/>
      <c r="W71" s="93"/>
      <c r="X71" s="93"/>
      <c r="Y71" s="93"/>
      <c r="Z71" s="93"/>
      <c r="AA71" s="93"/>
      <c r="AB71" s="93"/>
      <c r="AC71" s="93" t="s">
        <v>881</v>
      </c>
      <c r="AD71" s="93" t="s">
        <v>882</v>
      </c>
      <c r="AE71" s="93"/>
      <c r="AF71" s="93"/>
      <c r="AG71" s="93"/>
      <c r="AH71" s="93"/>
      <c r="AI71" s="93"/>
      <c r="AJ71" s="93"/>
      <c r="AK71" s="93"/>
      <c r="AL71" s="93"/>
      <c r="AM71" s="93"/>
      <c r="AN71" s="93"/>
      <c r="AO71" s="93"/>
      <c r="AP71" s="93"/>
      <c r="AQ71" s="93"/>
      <c r="AR71" s="93"/>
      <c r="AS71" s="93"/>
      <c r="AT71" s="93"/>
      <c r="AU71" s="93"/>
      <c r="AV71" s="93"/>
      <c r="AW71" s="93"/>
      <c r="AX71" s="93"/>
      <c r="AY71" s="93"/>
      <c r="AZ71" s="93"/>
      <c r="BA71" s="93"/>
      <c r="BB71" s="93"/>
      <c r="BC71" s="93"/>
      <c r="BD71" s="93"/>
      <c r="BE71" s="93"/>
      <c r="BF71" s="93"/>
      <c r="BG71" s="93"/>
      <c r="BH71" s="93"/>
      <c r="BI71" s="93"/>
      <c r="BJ71" s="93"/>
      <c r="BK71" s="93"/>
      <c r="BL71" s="93"/>
      <c r="BM71" s="93"/>
      <c r="BN71" s="93"/>
      <c r="BO71" s="93"/>
      <c r="BP71" s="93"/>
      <c r="BQ71" s="93"/>
      <c r="BR71" s="93"/>
      <c r="BS71" s="93"/>
      <c r="BT71" s="93"/>
      <c r="BU71" s="93"/>
      <c r="BV71" s="93"/>
      <c r="BW71" s="93"/>
      <c r="BX71" s="93"/>
      <c r="BY71" s="93"/>
      <c r="BZ71" s="93"/>
    </row>
    <row r="72" spans="1:78">
      <c r="A72" s="93"/>
      <c r="B72" s="93"/>
      <c r="C72" s="93"/>
      <c r="D72" s="599" t="s">
        <v>277</v>
      </c>
      <c r="E72" s="600"/>
      <c r="F72" s="601"/>
      <c r="G72" s="599" t="s">
        <v>278</v>
      </c>
      <c r="H72" s="601"/>
      <c r="I72" s="139" t="s">
        <v>279</v>
      </c>
      <c r="J72" s="93"/>
      <c r="K72" s="93"/>
      <c r="L72" s="93"/>
      <c r="M72" s="93"/>
      <c r="N72" s="184">
        <v>0.25</v>
      </c>
      <c r="O72" s="184">
        <v>0.35</v>
      </c>
      <c r="P72" s="184">
        <v>0.4</v>
      </c>
      <c r="Q72" s="93"/>
      <c r="R72" s="93"/>
      <c r="S72" s="93"/>
      <c r="T72" s="93"/>
      <c r="U72" s="93"/>
      <c r="V72" s="93"/>
      <c r="W72" s="93"/>
      <c r="X72" s="93"/>
      <c r="Y72" s="93"/>
      <c r="Z72" s="93"/>
      <c r="AA72" s="93"/>
      <c r="AB72" s="93"/>
      <c r="AC72" s="93">
        <v>364</v>
      </c>
      <c r="AD72" s="173">
        <f>AB77/AA77</f>
        <v>0.91793313069908811</v>
      </c>
      <c r="AE72" s="173"/>
      <c r="AF72" s="93"/>
      <c r="AG72" s="93"/>
      <c r="AH72" s="93"/>
      <c r="AI72" s="93"/>
      <c r="AJ72" s="93"/>
      <c r="AK72" s="93"/>
      <c r="AL72" s="93"/>
      <c r="AM72" s="93"/>
      <c r="AN72" s="93"/>
      <c r="AO72" s="93"/>
      <c r="AP72" s="93"/>
      <c r="AQ72" s="93"/>
      <c r="AR72" s="93"/>
      <c r="AS72" s="93"/>
      <c r="AT72" s="93"/>
      <c r="AU72" s="93"/>
      <c r="AV72" s="93"/>
      <c r="AW72" s="93"/>
      <c r="AX72" s="93"/>
      <c r="AY72" s="93"/>
      <c r="AZ72" s="93"/>
      <c r="BA72" s="93"/>
      <c r="BB72" s="93"/>
      <c r="BC72" s="93"/>
      <c r="BD72" s="93"/>
      <c r="BE72" s="93"/>
      <c r="BF72" s="93"/>
      <c r="BG72" s="93"/>
      <c r="BH72" s="93"/>
      <c r="BI72" s="93"/>
      <c r="BJ72" s="93"/>
      <c r="BK72" s="93"/>
      <c r="BL72" s="93"/>
      <c r="BM72" s="93"/>
      <c r="BN72" s="93"/>
      <c r="BO72" s="93"/>
      <c r="BP72" s="93"/>
      <c r="BQ72" s="93"/>
      <c r="BR72" s="93"/>
      <c r="BS72" s="93"/>
      <c r="BT72" s="93"/>
      <c r="BU72" s="93"/>
      <c r="BV72" s="93"/>
      <c r="BW72" s="93"/>
      <c r="BX72" s="93"/>
      <c r="BY72" s="93"/>
      <c r="BZ72" s="93"/>
    </row>
    <row r="73" spans="1:78">
      <c r="A73" s="133" t="s">
        <v>280</v>
      </c>
      <c r="B73" s="93"/>
      <c r="C73" s="93"/>
      <c r="D73" s="155" t="s">
        <v>268</v>
      </c>
      <c r="E73" s="155" t="s">
        <v>79</v>
      </c>
      <c r="F73" s="155" t="s">
        <v>201</v>
      </c>
      <c r="G73" s="155" t="s">
        <v>268</v>
      </c>
      <c r="H73" s="155" t="s">
        <v>201</v>
      </c>
      <c r="I73" s="148" t="s">
        <v>281</v>
      </c>
      <c r="J73" s="93"/>
      <c r="K73" s="155" t="s">
        <v>282</v>
      </c>
      <c r="L73" s="155" t="s">
        <v>283</v>
      </c>
      <c r="M73" s="155" t="s">
        <v>201</v>
      </c>
      <c r="N73" s="155">
        <v>1</v>
      </c>
      <c r="O73" s="155">
        <v>2</v>
      </c>
      <c r="P73" s="155">
        <v>3</v>
      </c>
      <c r="Q73" s="93"/>
      <c r="R73" s="155" t="s">
        <v>255</v>
      </c>
      <c r="S73" s="155" t="s">
        <v>256</v>
      </c>
      <c r="T73" s="155" t="s">
        <v>257</v>
      </c>
      <c r="U73" s="155" t="s">
        <v>258</v>
      </c>
      <c r="V73" s="155" t="s">
        <v>42</v>
      </c>
      <c r="W73" s="155" t="s">
        <v>42</v>
      </c>
      <c r="X73" s="155" t="s">
        <v>42</v>
      </c>
      <c r="Y73" s="155" t="s">
        <v>42</v>
      </c>
      <c r="Z73" s="155" t="s">
        <v>13</v>
      </c>
      <c r="AA73" s="93"/>
      <c r="AB73" s="93"/>
      <c r="AC73" s="93"/>
      <c r="AD73" s="93">
        <f>$AC$72+$AD$72*AA75</f>
        <v>1168.1094224924013</v>
      </c>
      <c r="AE73" s="93"/>
      <c r="AF73" s="93"/>
      <c r="AG73" s="93"/>
      <c r="AH73" s="93"/>
      <c r="AI73" s="93"/>
      <c r="AJ73" s="93"/>
      <c r="AK73" s="93"/>
      <c r="AL73" s="93"/>
      <c r="AM73" s="93"/>
      <c r="AN73" s="93"/>
      <c r="AO73" s="93"/>
      <c r="AP73" s="93"/>
      <c r="AQ73" s="93"/>
      <c r="AR73" s="93"/>
      <c r="AS73" s="93"/>
      <c r="AT73" s="93"/>
      <c r="AU73" s="93"/>
      <c r="AV73" s="93"/>
      <c r="AW73" s="93"/>
      <c r="AX73" s="93"/>
      <c r="AY73" s="93"/>
      <c r="AZ73" s="93"/>
      <c r="BA73" s="93"/>
      <c r="BB73" s="93"/>
      <c r="BC73" s="93"/>
      <c r="BD73" s="93"/>
      <c r="BE73" s="93"/>
      <c r="BF73" s="93"/>
      <c r="BG73" s="93"/>
      <c r="BH73" s="93"/>
      <c r="BI73" s="93"/>
      <c r="BJ73" s="93"/>
      <c r="BK73" s="93"/>
      <c r="BL73" s="93"/>
      <c r="BM73" s="93"/>
      <c r="BN73" s="93"/>
      <c r="BO73" s="93"/>
      <c r="BP73" s="93"/>
      <c r="BQ73" s="93"/>
      <c r="BR73" s="93"/>
      <c r="BS73" s="93"/>
      <c r="BT73" s="93"/>
      <c r="BU73" s="93"/>
      <c r="BV73" s="93"/>
      <c r="BW73" s="93"/>
      <c r="BX73" s="93"/>
      <c r="BY73" s="93"/>
      <c r="BZ73" s="93"/>
    </row>
    <row r="74" spans="1:78">
      <c r="A74" s="134" t="s">
        <v>284</v>
      </c>
      <c r="B74" s="141">
        <f>J59+J60*IF(Input!B11="Oil",Input!B13,Production!B10)</f>
        <v>890000</v>
      </c>
      <c r="C74" s="134" t="s">
        <v>2</v>
      </c>
      <c r="D74" s="150">
        <f>IF(Input!B14=Subsea,0,IF(Input!B14=Fixed_Platform,Development!B63,IF(Input!B14=Jack_up,Development!B62,IF(OR(Input!B14=FPSU,Input!B14=Rented_FPSU),Development!B64,Development!B65))))*(1+'Sched &amp; Prod Assumptions'!$B$103)</f>
        <v>780</v>
      </c>
      <c r="E74" s="149">
        <f>B8</f>
        <v>42005</v>
      </c>
      <c r="F74" s="149">
        <f>I78+B8</f>
        <v>42785</v>
      </c>
      <c r="G74" s="150">
        <f>IF(Input!B14=Subsea,0,IF(Input!B14=Fixed_Platform,Development!C63,IF(Input!B14=Jack_up,Development!C62,IF(OR(Input!B14=FPSU,Input!B14=Rented_FPSU),Development!C64,Development!C65))))</f>
        <v>30</v>
      </c>
      <c r="H74" s="171">
        <f>G74+F74</f>
        <v>42815</v>
      </c>
      <c r="I74" s="150">
        <f>D74</f>
        <v>780</v>
      </c>
      <c r="J74" s="93"/>
      <c r="K74" s="149">
        <f>E74+D74/3</f>
        <v>42265</v>
      </c>
      <c r="L74" s="149">
        <f>K74+D74/3</f>
        <v>42525</v>
      </c>
      <c r="M74" s="171">
        <f>E74+D74</f>
        <v>42785</v>
      </c>
      <c r="N74" s="141">
        <f t="shared" ref="N74:P77" si="21">N$72*$B74</f>
        <v>222500</v>
      </c>
      <c r="O74" s="141">
        <f t="shared" si="21"/>
        <v>311500</v>
      </c>
      <c r="P74" s="141">
        <f t="shared" si="21"/>
        <v>356000</v>
      </c>
      <c r="Q74" s="93"/>
      <c r="R74" s="134">
        <f>YEAR(E74)</f>
        <v>2015</v>
      </c>
      <c r="S74" s="134">
        <f t="shared" ref="S74:U77" si="22">R74+1</f>
        <v>2016</v>
      </c>
      <c r="T74" s="134">
        <f t="shared" si="22"/>
        <v>2017</v>
      </c>
      <c r="U74" s="134">
        <f t="shared" si="22"/>
        <v>2018</v>
      </c>
      <c r="V74" s="141">
        <f t="shared" ref="V74:Y77" si="23">IF(AND(YEAR($E74)=R74,YEAR($K74)=R74),$N74,IF(OR(YEAR($K74)&lt;R74,YEAR($E74)&gt;R74),0,IF(YEAR($E74)&lt;R74,($K74-DATE(R74-1,12,31)),(DATE(R74,12,31)-$E74))/($K74-$E74)*$N74))+IF(AND(YEAR($K74)=R74,YEAR($L74)=R74),$O74,IF(OR(YEAR($L74)&lt;R74,YEAR($K74)&gt;R74),0,IF(YEAR($K74)&lt;R74,($L74-DATE(R74-1,12,31)),(DATE(R74,12,31)-$K74))/($L74-$K74)*$O74))+IF(AND(YEAR($L74)=R74,YEAR($M74)=R74),$P74,IF(OR(YEAR($M74)&lt;R74,YEAR($L74)&gt;R74),0,IF(YEAR($L74)&lt;R74,($M74-DATE(R74-1,12,31)),(DATE(R74,12,31)-$L74))/($M74-$L74)*$P74))</f>
        <v>347100</v>
      </c>
      <c r="W74" s="141">
        <f t="shared" si="23"/>
        <v>474438.46153846156</v>
      </c>
      <c r="X74" s="141">
        <f t="shared" si="23"/>
        <v>68461.538461538468</v>
      </c>
      <c r="Y74" s="141">
        <f t="shared" si="23"/>
        <v>0</v>
      </c>
      <c r="Z74" s="141">
        <f>SUM(V74:Y74)</f>
        <v>890000</v>
      </c>
      <c r="AA74" s="93"/>
      <c r="AB74" s="93"/>
      <c r="AC74" s="93"/>
      <c r="AD74" s="93">
        <f>$AC$72+$AD$72*AA76</f>
        <v>866.10942249240122</v>
      </c>
      <c r="AE74" s="93"/>
      <c r="AF74" s="93"/>
      <c r="AG74" s="93"/>
      <c r="AH74" s="93"/>
      <c r="AI74" s="93"/>
      <c r="AJ74" s="93"/>
      <c r="AK74" s="93"/>
      <c r="AL74" s="93"/>
      <c r="AM74" s="174"/>
      <c r="AN74" s="93"/>
      <c r="AO74" s="93"/>
      <c r="AP74" s="93"/>
      <c r="AQ74" s="93"/>
      <c r="AR74" s="93"/>
      <c r="AS74" s="93"/>
      <c r="AT74" s="93"/>
      <c r="AU74" s="93"/>
      <c r="AV74" s="93"/>
      <c r="AW74" s="93"/>
      <c r="AX74" s="93"/>
      <c r="AY74" s="93"/>
      <c r="AZ74" s="93"/>
      <c r="BA74" s="93"/>
      <c r="BB74" s="93"/>
      <c r="BC74" s="93"/>
      <c r="BD74" s="93"/>
      <c r="BE74" s="93"/>
      <c r="BF74" s="93"/>
      <c r="BG74" s="93"/>
      <c r="BH74" s="93"/>
      <c r="BI74" s="93"/>
      <c r="BJ74" s="93"/>
      <c r="BK74" s="93"/>
      <c r="BL74" s="93"/>
      <c r="BM74" s="93"/>
      <c r="BN74" s="93"/>
      <c r="BO74" s="93"/>
      <c r="BP74" s="93"/>
      <c r="BQ74" s="93"/>
      <c r="BR74" s="93"/>
      <c r="BS74" s="93"/>
      <c r="BT74" s="93"/>
      <c r="BU74" s="93"/>
      <c r="BV74" s="93"/>
      <c r="BW74" s="93"/>
      <c r="BX74" s="93"/>
      <c r="BY74" s="93"/>
      <c r="BZ74" s="93"/>
    </row>
    <row r="75" spans="1:78">
      <c r="A75" s="134" t="s">
        <v>285</v>
      </c>
      <c r="B75" s="141">
        <f>J61+J62*Production!B10+IF(Input!B30=Sour,'Cost Assumptions'!O69+'Cost Assumptions'!O70*Production!$B$10)+J63*M15</f>
        <v>762890.11011232878</v>
      </c>
      <c r="C75" s="134" t="s">
        <v>2</v>
      </c>
      <c r="D75" s="150">
        <f>IF(Input!B14=Subsea,0,IF(Input!B14=Fixed_Platform,Development!B67,Development!B68))*(1+'Sched &amp; Prod Assumptions'!$B$103)</f>
        <v>499.0684931506849</v>
      </c>
      <c r="E75" s="149">
        <f>F75-D75</f>
        <v>42315.931506849316</v>
      </c>
      <c r="F75" s="149">
        <f>H74</f>
        <v>42815</v>
      </c>
      <c r="G75" s="150">
        <f>IF(Input!B14=Subsea,0,IF(Input!B14=Fixed_Platform,Development!C67,Development!C68))</f>
        <v>0</v>
      </c>
      <c r="H75" s="171">
        <f>G75+F75</f>
        <v>42815</v>
      </c>
      <c r="I75" s="150">
        <f>MAX(0,D75-G74)</f>
        <v>469.0684931506849</v>
      </c>
      <c r="J75" s="93"/>
      <c r="K75" s="149">
        <f>E75+D75/3</f>
        <v>42482.28767123288</v>
      </c>
      <c r="L75" s="149">
        <f>K75+D75/3</f>
        <v>42648.643835616444</v>
      </c>
      <c r="M75" s="171">
        <f>E75+D75</f>
        <v>42815</v>
      </c>
      <c r="N75" s="141">
        <f t="shared" si="21"/>
        <v>190722.5275280822</v>
      </c>
      <c r="O75" s="141">
        <f t="shared" si="21"/>
        <v>267011.53853931505</v>
      </c>
      <c r="P75" s="141">
        <f t="shared" si="21"/>
        <v>305156.04404493154</v>
      </c>
      <c r="Q75" s="93"/>
      <c r="R75" s="134">
        <f>YEAR(E75)</f>
        <v>2015</v>
      </c>
      <c r="S75" s="134">
        <f t="shared" si="22"/>
        <v>2016</v>
      </c>
      <c r="T75" s="134">
        <f t="shared" si="22"/>
        <v>2017</v>
      </c>
      <c r="U75" s="134">
        <f t="shared" si="22"/>
        <v>2018</v>
      </c>
      <c r="V75" s="141">
        <f t="shared" si="23"/>
        <v>60841.491406766079</v>
      </c>
      <c r="W75" s="141">
        <f t="shared" si="23"/>
        <v>555300.32347973471</v>
      </c>
      <c r="X75" s="141">
        <f t="shared" si="23"/>
        <v>146748.29522582804</v>
      </c>
      <c r="Y75" s="141">
        <f t="shared" si="23"/>
        <v>0</v>
      </c>
      <c r="Z75" s="141">
        <f>SUM(V75:Y75)</f>
        <v>762890.1101123289</v>
      </c>
      <c r="AA75" s="93">
        <v>876</v>
      </c>
      <c r="AB75" s="93">
        <v>1169</v>
      </c>
      <c r="AC75" s="93"/>
      <c r="AD75" s="93"/>
      <c r="AE75" s="93"/>
      <c r="AF75" s="93"/>
      <c r="AG75" s="93"/>
      <c r="AH75" s="93"/>
      <c r="AI75" s="93"/>
      <c r="AJ75" s="93"/>
      <c r="AK75" s="93"/>
      <c r="AL75" s="93"/>
      <c r="AM75" s="174"/>
      <c r="AN75" s="93"/>
      <c r="AO75" s="93"/>
      <c r="AP75" s="93"/>
      <c r="AQ75" s="93"/>
      <c r="AR75" s="93"/>
      <c r="AS75" s="93"/>
      <c r="AT75" s="93"/>
      <c r="AU75" s="93"/>
      <c r="AV75" s="93"/>
      <c r="AW75" s="93"/>
      <c r="AX75" s="93"/>
      <c r="AY75" s="93"/>
      <c r="AZ75" s="93"/>
      <c r="BA75" s="93"/>
      <c r="BB75" s="93"/>
      <c r="BC75" s="93"/>
      <c r="BD75" s="93"/>
      <c r="BE75" s="93"/>
      <c r="BF75" s="93"/>
      <c r="BG75" s="93"/>
      <c r="BH75" s="93"/>
      <c r="BI75" s="93"/>
      <c r="BJ75" s="93"/>
      <c r="BK75" s="93"/>
      <c r="BL75" s="93"/>
      <c r="BM75" s="93"/>
      <c r="BN75" s="93"/>
      <c r="BO75" s="93"/>
      <c r="BP75" s="93"/>
      <c r="BQ75" s="93"/>
      <c r="BR75" s="93"/>
      <c r="BS75" s="93"/>
      <c r="BT75" s="93"/>
      <c r="BU75" s="93"/>
      <c r="BV75" s="93"/>
      <c r="BW75" s="93"/>
      <c r="BX75" s="93"/>
      <c r="BY75" s="93"/>
      <c r="BZ75" s="93"/>
    </row>
    <row r="76" spans="1:78">
      <c r="A76" s="134" t="s">
        <v>286</v>
      </c>
      <c r="B76" s="141">
        <f>SUM(J64:J66)</f>
        <v>504666</v>
      </c>
      <c r="C76" s="134" t="s">
        <v>2</v>
      </c>
      <c r="D76" s="150">
        <f>B69</f>
        <v>295</v>
      </c>
      <c r="E76" s="149">
        <f>F76-D76</f>
        <v>42316</v>
      </c>
      <c r="F76" s="149">
        <f>H76-G76</f>
        <v>42611</v>
      </c>
      <c r="G76" s="150">
        <f>C69*(1+'Sched &amp; Prod Assumptions'!B103)</f>
        <v>174</v>
      </c>
      <c r="H76" s="171">
        <f>F74</f>
        <v>42785</v>
      </c>
      <c r="I76" s="150">
        <f>G76+D76</f>
        <v>469</v>
      </c>
      <c r="J76" s="93"/>
      <c r="K76" s="149">
        <f>E76+D76/3</f>
        <v>42414.333333333336</v>
      </c>
      <c r="L76" s="149">
        <f>K76+D76/3</f>
        <v>42512.666666666672</v>
      </c>
      <c r="M76" s="171">
        <f>E76+D76</f>
        <v>42611</v>
      </c>
      <c r="N76" s="141">
        <f t="shared" si="21"/>
        <v>126166.5</v>
      </c>
      <c r="O76" s="141">
        <f t="shared" si="21"/>
        <v>176633.09999999998</v>
      </c>
      <c r="P76" s="141">
        <f t="shared" si="21"/>
        <v>201866.40000000002</v>
      </c>
      <c r="Q76" s="93"/>
      <c r="R76" s="134">
        <f>YEAR(E76)</f>
        <v>2015</v>
      </c>
      <c r="S76" s="134">
        <f t="shared" si="22"/>
        <v>2016</v>
      </c>
      <c r="T76" s="134">
        <f t="shared" si="22"/>
        <v>2017</v>
      </c>
      <c r="U76" s="134">
        <f t="shared" si="22"/>
        <v>2018</v>
      </c>
      <c r="V76" s="141">
        <f t="shared" si="23"/>
        <v>68001.605084744093</v>
      </c>
      <c r="W76" s="141">
        <f t="shared" si="23"/>
        <v>436664.39491525595</v>
      </c>
      <c r="X76" s="141">
        <f t="shared" si="23"/>
        <v>0</v>
      </c>
      <c r="Y76" s="141">
        <f t="shared" si="23"/>
        <v>0</v>
      </c>
      <c r="Z76" s="141">
        <f>SUM(V76:Y76)</f>
        <v>504666.00000000006</v>
      </c>
      <c r="AA76" s="93">
        <v>547</v>
      </c>
      <c r="AB76" s="93">
        <v>867</v>
      </c>
      <c r="AC76" s="93">
        <f>(AA75-AA76)/(AB75-AB76)</f>
        <v>1.0894039735099337</v>
      </c>
      <c r="AD76" s="93">
        <f>AB76-AA76*AD72</f>
        <v>364.89057750759878</v>
      </c>
      <c r="AE76" s="93"/>
      <c r="AF76" s="93"/>
      <c r="AG76" s="93"/>
      <c r="AH76" s="93"/>
      <c r="AI76" s="93"/>
      <c r="AJ76" s="93"/>
      <c r="AK76" s="93"/>
      <c r="AL76" s="93"/>
      <c r="AM76" s="174"/>
      <c r="AN76" s="93"/>
      <c r="AO76" s="93"/>
      <c r="AP76" s="93"/>
      <c r="AQ76" s="93"/>
      <c r="AR76" s="93"/>
      <c r="AS76" s="93"/>
      <c r="AT76" s="93"/>
      <c r="AU76" s="93"/>
      <c r="AV76" s="93"/>
      <c r="AW76" s="93"/>
      <c r="AX76" s="93"/>
      <c r="AY76" s="93"/>
      <c r="AZ76" s="93"/>
      <c r="BA76" s="93"/>
      <c r="BB76" s="93"/>
      <c r="BC76" s="93"/>
      <c r="BD76" s="93"/>
      <c r="BE76" s="93"/>
      <c r="BF76" s="93"/>
      <c r="BG76" s="93"/>
      <c r="BH76" s="93"/>
      <c r="BI76" s="93"/>
      <c r="BJ76" s="93"/>
      <c r="BK76" s="93"/>
      <c r="BL76" s="93"/>
      <c r="BM76" s="93"/>
      <c r="BN76" s="93"/>
      <c r="BO76" s="93"/>
      <c r="BP76" s="93"/>
      <c r="BQ76" s="93"/>
      <c r="BR76" s="93"/>
      <c r="BS76" s="93"/>
      <c r="BT76" s="93"/>
      <c r="BU76" s="93"/>
      <c r="BV76" s="93"/>
      <c r="BW76" s="93"/>
      <c r="BX76" s="93"/>
      <c r="BY76" s="93"/>
      <c r="BZ76" s="93"/>
    </row>
    <row r="77" spans="1:78">
      <c r="A77" s="134" t="s">
        <v>717</v>
      </c>
      <c r="B77" s="141">
        <f>J69+J70</f>
        <v>586233</v>
      </c>
      <c r="C77" s="134" t="s">
        <v>2</v>
      </c>
      <c r="D77" s="150">
        <f>B70</f>
        <v>175</v>
      </c>
      <c r="E77" s="149">
        <f>F77-D77</f>
        <v>42465</v>
      </c>
      <c r="F77" s="149">
        <f>H77-G77</f>
        <v>42640</v>
      </c>
      <c r="G77" s="150">
        <f>C70</f>
        <v>145</v>
      </c>
      <c r="H77" s="171">
        <f>IF(Input!B14=Lists!A27,Development!F74,Development!F74)</f>
        <v>42785</v>
      </c>
      <c r="I77" s="150">
        <f>G77+D77</f>
        <v>320</v>
      </c>
      <c r="J77" s="93"/>
      <c r="K77" s="149">
        <f>E77+D77/3</f>
        <v>42523.333333333336</v>
      </c>
      <c r="L77" s="149">
        <f>K77+D77/3</f>
        <v>42581.666666666672</v>
      </c>
      <c r="M77" s="171">
        <f>E77+D77</f>
        <v>42640</v>
      </c>
      <c r="N77" s="141">
        <f t="shared" si="21"/>
        <v>146558.25</v>
      </c>
      <c r="O77" s="141">
        <f t="shared" si="21"/>
        <v>205181.55</v>
      </c>
      <c r="P77" s="141">
        <f t="shared" si="21"/>
        <v>234493.2</v>
      </c>
      <c r="Q77" s="93"/>
      <c r="R77" s="134">
        <f>YEAR(E77)</f>
        <v>2016</v>
      </c>
      <c r="S77" s="134">
        <f t="shared" si="22"/>
        <v>2017</v>
      </c>
      <c r="T77" s="134">
        <f t="shared" si="22"/>
        <v>2018</v>
      </c>
      <c r="U77" s="134">
        <f t="shared" si="22"/>
        <v>2019</v>
      </c>
      <c r="V77" s="141">
        <f t="shared" si="23"/>
        <v>586233</v>
      </c>
      <c r="W77" s="141">
        <f t="shared" si="23"/>
        <v>0</v>
      </c>
      <c r="X77" s="141">
        <f t="shared" si="23"/>
        <v>0</v>
      </c>
      <c r="Y77" s="141">
        <f t="shared" si="23"/>
        <v>0</v>
      </c>
      <c r="Z77" s="141">
        <f>SUM(V77:Y77)</f>
        <v>586233</v>
      </c>
      <c r="AA77" s="93">
        <f>AA75-AA76</f>
        <v>329</v>
      </c>
      <c r="AB77" s="93">
        <f>AB75-AB76</f>
        <v>302</v>
      </c>
      <c r="AC77" s="93"/>
      <c r="AD77" s="93"/>
      <c r="AE77" s="93"/>
      <c r="AF77" s="93"/>
      <c r="AG77" s="93"/>
      <c r="AH77" s="93"/>
      <c r="AI77" s="93"/>
      <c r="AJ77" s="93"/>
      <c r="AK77" s="93"/>
      <c r="AL77" s="93"/>
      <c r="AM77" s="174"/>
      <c r="AN77" s="93"/>
      <c r="AO77" s="93"/>
      <c r="AP77" s="93"/>
      <c r="AQ77" s="93"/>
      <c r="AR77" s="93"/>
      <c r="AS77" s="93"/>
      <c r="AT77" s="93"/>
      <c r="AU77" s="93"/>
      <c r="AV77" s="93"/>
      <c r="AW77" s="93"/>
      <c r="AX77" s="93"/>
      <c r="AY77" s="93"/>
      <c r="AZ77" s="93"/>
      <c r="BA77" s="93"/>
      <c r="BB77" s="93"/>
      <c r="BC77" s="93"/>
      <c r="BD77" s="93"/>
      <c r="BE77" s="93"/>
      <c r="BF77" s="93"/>
      <c r="BG77" s="93"/>
      <c r="BH77" s="93"/>
      <c r="BI77" s="93"/>
      <c r="BJ77" s="93"/>
      <c r="BK77" s="93"/>
      <c r="BL77" s="93"/>
      <c r="BM77" s="93"/>
      <c r="BN77" s="93"/>
      <c r="BO77" s="93"/>
      <c r="BP77" s="93"/>
      <c r="BQ77" s="93"/>
      <c r="BR77" s="93"/>
      <c r="BS77" s="93"/>
      <c r="BT77" s="93"/>
      <c r="BU77" s="93"/>
      <c r="BV77" s="93"/>
      <c r="BW77" s="93"/>
      <c r="BX77" s="93"/>
      <c r="BY77" s="93"/>
      <c r="BZ77" s="93"/>
    </row>
    <row r="78" spans="1:78">
      <c r="A78" s="134" t="s">
        <v>287</v>
      </c>
      <c r="B78" s="141">
        <f>SUM(B74:B77)*'Cost Assumptions'!O99</f>
        <v>301816.80211235618</v>
      </c>
      <c r="C78" s="134" t="s">
        <v>2</v>
      </c>
      <c r="D78" s="93"/>
      <c r="E78" s="93"/>
      <c r="F78" s="93"/>
      <c r="G78" s="93"/>
      <c r="H78" s="134" t="s">
        <v>288</v>
      </c>
      <c r="I78" s="150">
        <f>MAX(I74:I77,)</f>
        <v>780</v>
      </c>
      <c r="J78" s="93"/>
      <c r="K78" s="164"/>
      <c r="L78" s="93"/>
      <c r="M78" s="164"/>
      <c r="N78" s="93"/>
      <c r="O78" s="93"/>
      <c r="P78" s="93"/>
      <c r="Q78" s="93"/>
      <c r="R78" s="93"/>
      <c r="S78" s="93"/>
      <c r="T78" s="93"/>
      <c r="U78" s="93"/>
      <c r="V78" s="93"/>
      <c r="W78" s="93"/>
      <c r="X78" s="93"/>
      <c r="Y78" s="93"/>
      <c r="Z78" s="93"/>
      <c r="AA78" s="93"/>
      <c r="AB78" s="93"/>
      <c r="AC78" s="93"/>
      <c r="AD78" s="93"/>
      <c r="AE78" s="93"/>
      <c r="AF78" s="174"/>
      <c r="AG78" s="174"/>
      <c r="AH78" s="174"/>
      <c r="AI78" s="174"/>
      <c r="AJ78" s="174"/>
      <c r="AK78" s="174"/>
      <c r="AL78" s="174"/>
      <c r="AM78" s="174"/>
      <c r="AN78" s="93"/>
      <c r="AO78" s="93"/>
      <c r="AP78" s="93"/>
      <c r="AQ78" s="93"/>
      <c r="AR78" s="93"/>
      <c r="AS78" s="93"/>
      <c r="AT78" s="93"/>
      <c r="AU78" s="93"/>
      <c r="AV78" s="93"/>
      <c r="AW78" s="93"/>
      <c r="AX78" s="93"/>
      <c r="AY78" s="93"/>
      <c r="AZ78" s="93"/>
      <c r="BA78" s="93"/>
      <c r="BB78" s="93"/>
      <c r="BC78" s="93"/>
      <c r="BD78" s="93"/>
      <c r="BE78" s="93"/>
      <c r="BF78" s="93"/>
      <c r="BG78" s="93"/>
      <c r="BH78" s="93"/>
      <c r="BI78" s="93"/>
      <c r="BJ78" s="93"/>
      <c r="BK78" s="93"/>
      <c r="BL78" s="93"/>
      <c r="BM78" s="93"/>
      <c r="BN78" s="93"/>
      <c r="BO78" s="93"/>
      <c r="BP78" s="93"/>
      <c r="BQ78" s="93"/>
      <c r="BR78" s="93"/>
      <c r="BS78" s="93"/>
      <c r="BT78" s="93"/>
      <c r="BU78" s="93"/>
      <c r="BV78" s="93"/>
      <c r="BW78" s="93"/>
      <c r="BX78" s="93"/>
      <c r="BY78" s="93"/>
      <c r="BZ78" s="93"/>
    </row>
    <row r="79" spans="1:78">
      <c r="A79" s="159" t="s">
        <v>728</v>
      </c>
      <c r="B79" s="185">
        <f>IF(AND(Input!B11="Oil",Input!B14=FPSU),IF(Input!B12&lt;150,1,2)*'Cost Assumptions'!O82,0)</f>
        <v>212000</v>
      </c>
      <c r="C79" s="134" t="s">
        <v>2</v>
      </c>
      <c r="D79" s="93"/>
      <c r="E79" s="93"/>
      <c r="F79" s="93"/>
      <c r="G79" s="93"/>
      <c r="H79" s="93"/>
      <c r="I79" s="93"/>
      <c r="J79" s="93"/>
      <c r="K79" s="164"/>
      <c r="L79" s="93"/>
      <c r="M79" s="164"/>
      <c r="N79" s="93"/>
      <c r="O79" s="93"/>
      <c r="P79" s="93"/>
      <c r="Q79" s="93"/>
      <c r="R79" s="93"/>
      <c r="S79" s="93"/>
      <c r="T79" s="93"/>
      <c r="U79" s="93"/>
      <c r="V79" s="93"/>
      <c r="W79" s="93"/>
      <c r="X79" s="93"/>
      <c r="Y79" s="93"/>
      <c r="Z79" s="93"/>
      <c r="AA79" s="93"/>
      <c r="AB79" s="93"/>
      <c r="AC79" s="93"/>
      <c r="AD79" s="93"/>
      <c r="AE79" s="93"/>
      <c r="AF79" s="174"/>
      <c r="AG79" s="174"/>
      <c r="AH79" s="174"/>
      <c r="AI79" s="174"/>
      <c r="AJ79" s="174"/>
      <c r="AK79" s="174"/>
      <c r="AL79" s="174"/>
      <c r="AM79" s="93"/>
      <c r="AN79" s="93"/>
      <c r="AO79" s="93"/>
      <c r="AP79" s="93"/>
      <c r="AQ79" s="93"/>
      <c r="AR79" s="93"/>
      <c r="AS79" s="93"/>
      <c r="AT79" s="93"/>
      <c r="AU79" s="93"/>
      <c r="AV79" s="93"/>
      <c r="AW79" s="93"/>
      <c r="AX79" s="93"/>
      <c r="AY79" s="93"/>
      <c r="AZ79" s="93"/>
      <c r="BA79" s="93"/>
      <c r="BB79" s="93"/>
      <c r="BC79" s="93"/>
      <c r="BD79" s="93"/>
      <c r="BE79" s="93"/>
      <c r="BF79" s="93"/>
      <c r="BG79" s="93"/>
      <c r="BH79" s="93"/>
      <c r="BI79" s="93"/>
      <c r="BJ79" s="93"/>
      <c r="BK79" s="93"/>
      <c r="BL79" s="93"/>
      <c r="BM79" s="93"/>
      <c r="BN79" s="93"/>
      <c r="BO79" s="93"/>
      <c r="BP79" s="93"/>
      <c r="BQ79" s="93"/>
      <c r="BR79" s="93"/>
      <c r="BS79" s="93"/>
      <c r="BT79" s="93"/>
      <c r="BU79" s="93"/>
      <c r="BV79" s="93"/>
      <c r="BW79" s="93"/>
      <c r="BX79" s="93"/>
      <c r="BY79" s="93"/>
      <c r="BZ79" s="93"/>
    </row>
    <row r="80" spans="1:78">
      <c r="A80" s="134" t="s">
        <v>13</v>
      </c>
      <c r="B80" s="141">
        <f>SUM(B74:B78)</f>
        <v>3045605.9122246853</v>
      </c>
      <c r="C80" s="134" t="s">
        <v>2</v>
      </c>
      <c r="D80" s="93"/>
      <c r="E80" s="186"/>
      <c r="F80" s="93"/>
      <c r="G80" s="93"/>
      <c r="H80" s="164"/>
      <c r="I80" s="164"/>
      <c r="J80" s="164"/>
      <c r="K80" s="164"/>
      <c r="L80" s="164"/>
      <c r="M80" s="164"/>
      <c r="N80" s="164"/>
      <c r="O80" s="93"/>
      <c r="P80" s="93"/>
      <c r="Q80" s="93"/>
      <c r="R80" s="93"/>
      <c r="S80" s="93"/>
      <c r="T80" s="93"/>
      <c r="U80" s="93"/>
      <c r="V80" s="93"/>
      <c r="W80" s="93"/>
      <c r="X80" s="93"/>
      <c r="Y80" s="93"/>
      <c r="Z80" s="93"/>
      <c r="AA80" s="93"/>
      <c r="AB80" s="93"/>
      <c r="AC80" s="93"/>
      <c r="AD80" s="93"/>
      <c r="AE80" s="93"/>
      <c r="AF80" s="93"/>
      <c r="AG80" s="93"/>
      <c r="AH80" s="93"/>
      <c r="AI80" s="93"/>
      <c r="AJ80" s="93"/>
      <c r="AK80" s="93"/>
      <c r="AL80" s="93"/>
      <c r="AM80" s="93"/>
      <c r="AN80" s="93"/>
      <c r="AO80" s="93"/>
      <c r="AP80" s="93"/>
      <c r="AQ80" s="93"/>
      <c r="AR80" s="93"/>
      <c r="AS80" s="93"/>
      <c r="AT80" s="93"/>
      <c r="AU80" s="93"/>
      <c r="AV80" s="93"/>
      <c r="AW80" s="93"/>
      <c r="AX80" s="93"/>
      <c r="AY80" s="93"/>
      <c r="AZ80" s="93"/>
      <c r="BA80" s="93"/>
      <c r="BB80" s="93"/>
      <c r="BC80" s="93"/>
      <c r="BD80" s="93"/>
      <c r="BE80" s="93"/>
      <c r="BF80" s="93"/>
      <c r="BG80" s="93"/>
      <c r="BH80" s="93"/>
      <c r="BI80" s="93"/>
      <c r="BJ80" s="93"/>
      <c r="BK80" s="93"/>
      <c r="BL80" s="93"/>
      <c r="BM80" s="93"/>
      <c r="BN80" s="93"/>
      <c r="BO80" s="93"/>
      <c r="BP80" s="93"/>
      <c r="BQ80" s="93"/>
      <c r="BR80" s="93"/>
      <c r="BS80" s="93"/>
      <c r="BT80" s="93"/>
      <c r="BU80" s="93"/>
      <c r="BV80" s="93"/>
      <c r="BW80" s="93"/>
      <c r="BX80" s="93"/>
      <c r="BY80" s="93"/>
      <c r="BZ80" s="93"/>
    </row>
    <row r="81" spans="1:78">
      <c r="A81" s="187"/>
      <c r="B81" s="93"/>
      <c r="C81" s="93"/>
      <c r="D81" s="93"/>
      <c r="E81" s="93"/>
      <c r="F81" s="93"/>
      <c r="G81" s="93"/>
      <c r="H81" s="164"/>
      <c r="I81" s="164"/>
      <c r="J81" s="164"/>
      <c r="K81" s="164"/>
      <c r="L81" s="164"/>
      <c r="M81" s="164"/>
      <c r="N81" s="164"/>
      <c r="O81" s="93"/>
      <c r="P81" s="93"/>
      <c r="Q81" s="93"/>
      <c r="R81" s="93"/>
      <c r="S81" s="93"/>
      <c r="T81" s="93"/>
      <c r="U81" s="93"/>
      <c r="V81" s="93"/>
      <c r="W81" s="93"/>
      <c r="X81" s="93"/>
      <c r="Y81" s="93"/>
      <c r="Z81" s="93"/>
      <c r="AA81" s="93"/>
      <c r="AB81" s="93"/>
      <c r="AC81" s="93"/>
      <c r="AD81" s="93"/>
      <c r="AE81" s="93"/>
      <c r="AF81" s="93"/>
      <c r="AG81" s="93"/>
      <c r="AH81" s="93"/>
      <c r="AI81" s="93"/>
      <c r="AJ81" s="93"/>
      <c r="AK81" s="93"/>
      <c r="AL81" s="93"/>
      <c r="AM81" s="93"/>
      <c r="AN81" s="93"/>
      <c r="AO81" s="93"/>
      <c r="AP81" s="93"/>
      <c r="AQ81" s="93"/>
      <c r="AR81" s="93"/>
      <c r="AS81" s="93"/>
      <c r="AT81" s="93"/>
      <c r="AU81" s="93"/>
      <c r="AV81" s="93"/>
      <c r="AW81" s="93"/>
      <c r="AX81" s="93"/>
      <c r="AY81" s="93"/>
      <c r="AZ81" s="93"/>
      <c r="BA81" s="93"/>
      <c r="BB81" s="93"/>
      <c r="BC81" s="93"/>
      <c r="BD81" s="93"/>
      <c r="BE81" s="93"/>
      <c r="BF81" s="93"/>
      <c r="BG81" s="93"/>
      <c r="BH81" s="93"/>
      <c r="BI81" s="93"/>
      <c r="BJ81" s="93"/>
      <c r="BK81" s="93"/>
      <c r="BL81" s="93"/>
      <c r="BM81" s="93"/>
      <c r="BN81" s="93"/>
      <c r="BO81" s="93"/>
      <c r="BP81" s="93"/>
      <c r="BQ81" s="93"/>
      <c r="BR81" s="93"/>
      <c r="BS81" s="93"/>
      <c r="BT81" s="93"/>
      <c r="BU81" s="93"/>
      <c r="BV81" s="93"/>
      <c r="BW81" s="93"/>
      <c r="BX81" s="93"/>
      <c r="BY81" s="93"/>
      <c r="BZ81" s="93"/>
    </row>
    <row r="82" spans="1:78">
      <c r="A82" s="93"/>
      <c r="B82" s="93"/>
      <c r="C82" s="93"/>
      <c r="D82" s="93"/>
      <c r="E82" s="93"/>
      <c r="F82" s="93"/>
      <c r="G82" s="93"/>
      <c r="H82" s="164"/>
      <c r="I82" s="164"/>
      <c r="J82" s="164"/>
      <c r="K82" s="164"/>
      <c r="L82" s="164"/>
      <c r="M82" s="164"/>
      <c r="N82" s="164"/>
      <c r="O82" s="164"/>
      <c r="P82" s="164"/>
      <c r="Q82" s="164"/>
      <c r="R82" s="164"/>
      <c r="S82" s="164"/>
      <c r="T82" s="164"/>
      <c r="U82" s="164"/>
      <c r="V82" s="93"/>
      <c r="W82" s="93"/>
      <c r="X82" s="93"/>
      <c r="Y82" s="93"/>
      <c r="Z82" s="133" t="s">
        <v>289</v>
      </c>
      <c r="AA82" s="93"/>
      <c r="AB82" s="93"/>
      <c r="AC82" s="93"/>
      <c r="AD82" s="93"/>
      <c r="AE82" s="93"/>
      <c r="AF82" s="93"/>
      <c r="AG82" s="93"/>
      <c r="AH82" s="93"/>
      <c r="AI82" s="93"/>
      <c r="AJ82" s="133" t="s">
        <v>290</v>
      </c>
      <c r="AK82" s="93"/>
      <c r="AL82" s="93"/>
      <c r="AM82" s="93"/>
      <c r="AN82" s="93"/>
      <c r="AO82" s="93"/>
      <c r="AP82" s="93"/>
      <c r="AQ82" s="93"/>
      <c r="AR82" s="93"/>
      <c r="AS82" s="93"/>
      <c r="AT82" s="93"/>
      <c r="AU82" s="133" t="s">
        <v>291</v>
      </c>
      <c r="AV82" s="93"/>
      <c r="AW82" s="93"/>
      <c r="AX82" s="93"/>
      <c r="AY82" s="93"/>
      <c r="AZ82" s="93"/>
      <c r="BA82" s="93"/>
      <c r="BB82" s="93"/>
      <c r="BC82" s="93"/>
      <c r="BD82" s="93"/>
      <c r="BE82" s="93"/>
      <c r="BF82" s="133" t="s">
        <v>292</v>
      </c>
      <c r="BG82" s="93"/>
      <c r="BH82" s="93"/>
      <c r="BI82" s="93"/>
      <c r="BJ82" s="93"/>
      <c r="BK82" s="133" t="s">
        <v>293</v>
      </c>
      <c r="BL82" s="133"/>
      <c r="BM82" s="133"/>
      <c r="BN82" s="133" t="s">
        <v>294</v>
      </c>
      <c r="BO82" s="133"/>
      <c r="BP82" s="133"/>
      <c r="BQ82" s="93"/>
      <c r="BR82" s="93"/>
      <c r="BS82" s="93"/>
      <c r="BT82" s="93"/>
      <c r="BU82" s="93"/>
      <c r="BV82" s="93"/>
      <c r="BW82" s="93"/>
      <c r="BX82" s="93"/>
      <c r="BY82" s="93"/>
      <c r="BZ82" s="93"/>
    </row>
    <row r="83" spans="1:78">
      <c r="A83" s="93"/>
      <c r="B83" s="133" t="s">
        <v>295</v>
      </c>
      <c r="C83" s="93"/>
      <c r="D83" s="93"/>
      <c r="E83" s="93"/>
      <c r="F83" s="93"/>
      <c r="G83" s="93"/>
      <c r="H83" s="93"/>
      <c r="I83" s="164"/>
      <c r="J83" s="93"/>
      <c r="K83" s="93"/>
      <c r="L83" s="93"/>
      <c r="M83" s="93"/>
      <c r="N83" s="93"/>
      <c r="O83" s="93"/>
      <c r="P83" s="93"/>
      <c r="Q83" s="93"/>
      <c r="R83" s="93"/>
      <c r="S83" s="93"/>
      <c r="T83" s="93"/>
      <c r="U83" s="93"/>
      <c r="V83" s="93"/>
      <c r="W83" s="93"/>
      <c r="X83" s="93"/>
      <c r="Y83" s="93"/>
      <c r="Z83" s="93"/>
      <c r="AA83" s="93"/>
      <c r="AB83" s="93"/>
      <c r="AC83" s="93"/>
      <c r="AD83" s="93"/>
      <c r="AE83" s="93"/>
      <c r="AF83" s="93"/>
      <c r="AG83" s="93"/>
      <c r="AH83" s="93"/>
      <c r="AI83" s="93"/>
      <c r="AJ83" s="93"/>
      <c r="AK83" s="93"/>
      <c r="AL83" s="93"/>
      <c r="AM83" s="93"/>
      <c r="AN83" s="93"/>
      <c r="AO83" s="93"/>
      <c r="AP83" s="93"/>
      <c r="AQ83" s="93"/>
      <c r="AR83" s="93"/>
      <c r="AS83" s="93"/>
      <c r="AT83" s="93"/>
      <c r="AU83" s="93"/>
      <c r="AV83" s="93"/>
      <c r="AW83" s="93"/>
      <c r="AX83" s="93"/>
      <c r="AY83" s="93"/>
      <c r="AZ83" s="93"/>
      <c r="BA83" s="93"/>
      <c r="BB83" s="93"/>
      <c r="BC83" s="93"/>
      <c r="BD83" s="93"/>
      <c r="BE83" s="93"/>
      <c r="BF83" s="93"/>
      <c r="BG83" s="93"/>
      <c r="BH83" s="93"/>
      <c r="BI83" s="93"/>
      <c r="BJ83" s="93"/>
      <c r="BK83" s="93"/>
      <c r="BL83" s="93"/>
      <c r="BM83" s="93"/>
      <c r="BN83" s="93"/>
      <c r="BO83" s="93"/>
      <c r="BP83" s="93"/>
      <c r="BQ83" s="93"/>
      <c r="BR83" s="93"/>
      <c r="BS83" s="93"/>
      <c r="BT83" s="93"/>
      <c r="BU83" s="93"/>
      <c r="BV83" s="93"/>
      <c r="BW83" s="93"/>
      <c r="BX83" s="93"/>
      <c r="BY83" s="93"/>
      <c r="BZ83" s="93"/>
    </row>
    <row r="84" spans="1:78">
      <c r="A84" s="93"/>
      <c r="B84" s="93"/>
      <c r="C84" s="93"/>
      <c r="D84" s="93"/>
      <c r="E84" s="93"/>
      <c r="F84" s="93"/>
      <c r="G84" s="93"/>
      <c r="H84" s="93"/>
      <c r="I84" s="93"/>
      <c r="J84" s="93"/>
      <c r="K84" s="93"/>
      <c r="L84" s="93"/>
      <c r="M84" s="93"/>
      <c r="N84" s="93"/>
      <c r="O84" s="93"/>
      <c r="P84" s="93"/>
      <c r="Q84" s="93"/>
      <c r="R84" s="93"/>
      <c r="S84" s="93"/>
      <c r="T84" s="93"/>
      <c r="U84" s="93"/>
      <c r="V84" s="93"/>
      <c r="W84" s="93"/>
      <c r="X84" s="93"/>
      <c r="Y84" s="93"/>
      <c r="Z84" s="134" t="s">
        <v>296</v>
      </c>
      <c r="AA84" s="134">
        <f>IF(Overrides!C38=Lists!A36,0,1)</f>
        <v>0</v>
      </c>
      <c r="AB84" s="93"/>
      <c r="AC84" s="93"/>
      <c r="AD84" s="93"/>
      <c r="AE84" s="93"/>
      <c r="AF84" s="93"/>
      <c r="AG84" s="93"/>
      <c r="AH84" s="93"/>
      <c r="AI84" s="93"/>
      <c r="AJ84" s="93"/>
      <c r="AK84" s="93"/>
      <c r="AL84" s="93"/>
      <c r="AM84" s="93"/>
      <c r="AN84" s="93"/>
      <c r="AO84" s="93"/>
      <c r="AP84" s="93"/>
      <c r="AQ84" s="93"/>
      <c r="AR84" s="93"/>
      <c r="AS84" s="93"/>
      <c r="AT84" s="93"/>
      <c r="AU84" s="93"/>
      <c r="AV84" s="93"/>
      <c r="AW84" s="93"/>
      <c r="AX84" s="93"/>
      <c r="AY84" s="93"/>
      <c r="AZ84" s="93"/>
      <c r="BA84" s="93"/>
      <c r="BB84" s="93"/>
      <c r="BC84" s="93"/>
      <c r="BD84" s="93"/>
      <c r="BE84" s="93"/>
      <c r="BF84" s="93"/>
      <c r="BG84" s="93"/>
      <c r="BH84" s="93"/>
      <c r="BI84" s="93"/>
      <c r="BJ84" s="93"/>
      <c r="BK84" s="93"/>
      <c r="BL84" s="93"/>
      <c r="BM84" s="93"/>
      <c r="BN84" s="93"/>
      <c r="BO84" s="93"/>
      <c r="BP84" s="93"/>
      <c r="BQ84" s="93"/>
      <c r="BR84" s="93"/>
      <c r="BS84" s="93"/>
      <c r="BT84" s="93"/>
      <c r="BU84" s="93"/>
      <c r="BV84" s="93"/>
      <c r="BW84" s="93"/>
      <c r="BX84" s="93"/>
      <c r="BY84" s="93"/>
      <c r="BZ84" s="93"/>
    </row>
    <row r="85" spans="1:78">
      <c r="A85" s="93"/>
      <c r="B85" s="93"/>
      <c r="C85" s="93"/>
      <c r="D85" s="93"/>
      <c r="E85" s="93"/>
      <c r="F85" s="93"/>
      <c r="G85" s="93"/>
      <c r="H85" s="93"/>
      <c r="I85" s="93"/>
      <c r="J85" s="93"/>
      <c r="K85" s="93"/>
      <c r="L85" s="93"/>
      <c r="M85" s="93"/>
      <c r="N85" s="93"/>
      <c r="O85" s="93"/>
      <c r="P85" s="93"/>
      <c r="Q85" s="93"/>
      <c r="R85" s="93"/>
      <c r="S85" s="93"/>
      <c r="T85" s="93"/>
      <c r="U85" s="93"/>
      <c r="V85" s="93"/>
      <c r="W85" s="93"/>
      <c r="X85" s="93"/>
      <c r="Y85" s="93"/>
      <c r="Z85" s="134" t="s">
        <v>297</v>
      </c>
      <c r="AA85" s="477">
        <f>(DATE(INDEX(A91:A130,MATCH(1,AA91:AA130,0),1),12,31)-B8+1)/(DATE(YEAR(B8)+1,1,1)-DATE(YEAR(B8),1,1))</f>
        <v>1</v>
      </c>
      <c r="AB85" s="93"/>
      <c r="AC85" s="93"/>
      <c r="AD85" s="93"/>
      <c r="AE85" s="93"/>
      <c r="AF85" s="93"/>
      <c r="AG85" s="93"/>
      <c r="AH85" s="93"/>
      <c r="AI85" s="93"/>
      <c r="AJ85" s="93"/>
      <c r="AK85" s="93"/>
      <c r="AL85" s="93"/>
      <c r="AM85" s="93"/>
      <c r="AN85" s="93"/>
      <c r="AO85" s="93"/>
      <c r="AP85" s="93"/>
      <c r="AQ85" s="93"/>
      <c r="AR85" s="93"/>
      <c r="AS85" s="93"/>
      <c r="AT85" s="93"/>
      <c r="AU85" s="93"/>
      <c r="AV85" s="93"/>
      <c r="AW85" s="93"/>
      <c r="AX85" s="93"/>
      <c r="AY85" s="93"/>
      <c r="AZ85" s="93"/>
      <c r="BA85" s="93"/>
      <c r="BB85" s="93"/>
      <c r="BC85" s="93"/>
      <c r="BD85" s="93"/>
      <c r="BE85" s="93"/>
      <c r="BF85" s="93"/>
      <c r="BG85" s="93"/>
      <c r="BH85" s="93"/>
      <c r="BI85" s="93"/>
      <c r="BJ85" s="93"/>
      <c r="BK85" s="93"/>
      <c r="BL85" s="93"/>
      <c r="BM85" s="93"/>
      <c r="BN85" s="93"/>
      <c r="BO85" s="93"/>
      <c r="BP85" s="93"/>
      <c r="BQ85" s="93"/>
      <c r="BR85" s="93"/>
      <c r="BS85" s="93"/>
      <c r="BT85" s="93"/>
      <c r="BU85" s="93"/>
      <c r="BV85" s="93"/>
      <c r="BW85" s="93"/>
      <c r="BX85" s="93"/>
      <c r="BY85" s="93"/>
      <c r="BZ85" s="93"/>
    </row>
    <row r="86" spans="1:78">
      <c r="A86" s="93"/>
      <c r="B86" s="93"/>
      <c r="C86" s="134">
        <v>1</v>
      </c>
      <c r="D86" s="134">
        <v>2</v>
      </c>
      <c r="E86" s="134">
        <v>3</v>
      </c>
      <c r="F86" s="134">
        <v>4</v>
      </c>
      <c r="G86" s="134">
        <v>5</v>
      </c>
      <c r="H86" s="134">
        <v>6</v>
      </c>
      <c r="I86" s="134">
        <v>7</v>
      </c>
      <c r="J86" s="134">
        <v>8</v>
      </c>
      <c r="K86" s="134">
        <v>9</v>
      </c>
      <c r="L86" s="134">
        <v>10</v>
      </c>
      <c r="M86" s="134">
        <v>11</v>
      </c>
      <c r="N86" s="134">
        <v>12</v>
      </c>
      <c r="O86" s="134">
        <v>13</v>
      </c>
      <c r="P86" s="134">
        <v>14</v>
      </c>
      <c r="Q86" s="134"/>
      <c r="R86" s="134">
        <v>1</v>
      </c>
      <c r="S86" s="134">
        <v>2</v>
      </c>
      <c r="T86" s="134">
        <v>3</v>
      </c>
      <c r="U86" s="134">
        <v>4</v>
      </c>
      <c r="V86" s="134">
        <v>5</v>
      </c>
      <c r="W86" s="134">
        <v>6</v>
      </c>
      <c r="X86" s="134">
        <f>7</f>
        <v>7</v>
      </c>
      <c r="Y86" s="93"/>
      <c r="Z86" s="93"/>
      <c r="AA86" s="134" t="s">
        <v>298</v>
      </c>
      <c r="AB86" s="188">
        <f>1-AA85</f>
        <v>0</v>
      </c>
      <c r="AC86" s="93"/>
      <c r="AD86" s="93"/>
      <c r="AE86" s="93"/>
      <c r="AF86" s="93"/>
      <c r="AG86" s="93"/>
      <c r="AH86" s="93"/>
      <c r="AI86" s="93"/>
      <c r="AJ86" s="93"/>
      <c r="AK86" s="93"/>
      <c r="AL86" s="93"/>
      <c r="AM86" s="93"/>
      <c r="AN86" s="93"/>
      <c r="AO86" s="93"/>
      <c r="AP86" s="93"/>
      <c r="AQ86" s="93"/>
      <c r="AR86" s="93"/>
      <c r="AS86" s="93"/>
      <c r="AT86" s="93"/>
      <c r="AU86" s="93"/>
      <c r="AV86" s="93"/>
      <c r="AW86" s="93"/>
      <c r="AX86" s="93"/>
      <c r="AY86" s="93"/>
      <c r="AZ86" s="93"/>
      <c r="BA86" s="93"/>
      <c r="BB86" s="93"/>
      <c r="BC86" s="93"/>
      <c r="BD86" s="93"/>
      <c r="BE86" s="93"/>
      <c r="BF86" s="93"/>
      <c r="BG86" s="93"/>
      <c r="BH86" s="93"/>
      <c r="BI86" s="93"/>
      <c r="BJ86" s="93"/>
      <c r="BK86" s="93"/>
      <c r="BL86" s="93"/>
      <c r="BM86" s="93"/>
      <c r="BN86" s="93"/>
      <c r="BO86" s="93"/>
      <c r="BP86" s="93"/>
      <c r="BQ86" s="93"/>
      <c r="BR86" s="93"/>
      <c r="BS86" s="93"/>
      <c r="BT86" s="93"/>
      <c r="BU86" s="93"/>
      <c r="BV86" s="93"/>
      <c r="BW86" s="93"/>
      <c r="BX86" s="93"/>
      <c r="BY86" s="93"/>
      <c r="BZ86" s="93"/>
    </row>
    <row r="87" spans="1:78" ht="58">
      <c r="A87" s="93"/>
      <c r="B87" s="93"/>
      <c r="C87" s="189" t="s">
        <v>261</v>
      </c>
      <c r="D87" s="189" t="s">
        <v>241</v>
      </c>
      <c r="E87" s="189" t="s">
        <v>262</v>
      </c>
      <c r="F87" s="189" t="s">
        <v>263</v>
      </c>
      <c r="G87" s="189" t="s">
        <v>684</v>
      </c>
      <c r="H87" s="189" t="s">
        <v>245</v>
      </c>
      <c r="I87" s="189" t="s">
        <v>685</v>
      </c>
      <c r="J87" s="189" t="s">
        <v>245</v>
      </c>
      <c r="K87" s="189" t="s">
        <v>686</v>
      </c>
      <c r="L87" s="189" t="s">
        <v>245</v>
      </c>
      <c r="M87" s="189" t="s">
        <v>687</v>
      </c>
      <c r="N87" s="189" t="s">
        <v>245</v>
      </c>
      <c r="O87" s="189" t="s">
        <v>693</v>
      </c>
      <c r="P87" s="189" t="s">
        <v>245</v>
      </c>
      <c r="Q87" s="189" t="s">
        <v>169</v>
      </c>
      <c r="R87" s="189" t="s">
        <v>299</v>
      </c>
      <c r="S87" s="189" t="s">
        <v>163</v>
      </c>
      <c r="T87" s="189" t="s">
        <v>300</v>
      </c>
      <c r="U87" s="189" t="s">
        <v>275</v>
      </c>
      <c r="V87" s="189" t="s">
        <v>301</v>
      </c>
      <c r="W87" s="189" t="s">
        <v>728</v>
      </c>
      <c r="X87" s="189" t="s">
        <v>167</v>
      </c>
      <c r="Y87" s="189" t="s">
        <v>13</v>
      </c>
      <c r="Z87" s="93"/>
      <c r="AA87" s="189" t="s">
        <v>302</v>
      </c>
      <c r="AB87" s="155" t="s">
        <v>169</v>
      </c>
      <c r="AC87" s="190" t="s">
        <v>299</v>
      </c>
      <c r="AD87" s="190" t="s">
        <v>163</v>
      </c>
      <c r="AE87" s="190" t="s">
        <v>300</v>
      </c>
      <c r="AF87" s="190" t="s">
        <v>275</v>
      </c>
      <c r="AG87" s="190" t="s">
        <v>301</v>
      </c>
      <c r="AH87" s="189" t="s">
        <v>728</v>
      </c>
      <c r="AI87" s="190" t="s">
        <v>167</v>
      </c>
      <c r="AJ87" s="93"/>
      <c r="AK87" s="155" t="s">
        <v>303</v>
      </c>
      <c r="AL87" s="155" t="s">
        <v>169</v>
      </c>
      <c r="AM87" s="190" t="s">
        <v>299</v>
      </c>
      <c r="AN87" s="190" t="s">
        <v>163</v>
      </c>
      <c r="AO87" s="190" t="s">
        <v>300</v>
      </c>
      <c r="AP87" s="190" t="s">
        <v>275</v>
      </c>
      <c r="AQ87" s="190" t="s">
        <v>301</v>
      </c>
      <c r="AR87" s="189" t="s">
        <v>728</v>
      </c>
      <c r="AS87" s="190" t="s">
        <v>167</v>
      </c>
      <c r="AT87" s="155" t="s">
        <v>13</v>
      </c>
      <c r="AU87" s="159"/>
      <c r="AV87" s="191" t="s">
        <v>303</v>
      </c>
      <c r="AW87" s="155" t="s">
        <v>169</v>
      </c>
      <c r="AX87" s="189" t="s">
        <v>299</v>
      </c>
      <c r="AY87" s="189" t="s">
        <v>163</v>
      </c>
      <c r="AZ87" s="189" t="s">
        <v>300</v>
      </c>
      <c r="BA87" s="189" t="s">
        <v>275</v>
      </c>
      <c r="BB87" s="189" t="s">
        <v>301</v>
      </c>
      <c r="BC87" s="189" t="s">
        <v>728</v>
      </c>
      <c r="BD87" s="189" t="s">
        <v>167</v>
      </c>
      <c r="BE87" s="155" t="s">
        <v>13</v>
      </c>
      <c r="BF87" s="93"/>
      <c r="BG87" s="189" t="s">
        <v>304</v>
      </c>
      <c r="BH87" s="189" t="s">
        <v>305</v>
      </c>
      <c r="BI87" s="189" t="s">
        <v>306</v>
      </c>
      <c r="BJ87" s="93"/>
      <c r="BK87" s="93"/>
      <c r="BL87" s="192" t="s">
        <v>307</v>
      </c>
      <c r="BM87" s="193"/>
      <c r="BN87" s="93"/>
      <c r="BO87" s="155" t="s">
        <v>303</v>
      </c>
      <c r="BP87" s="139" t="s">
        <v>169</v>
      </c>
      <c r="BQ87" s="194" t="s">
        <v>299</v>
      </c>
      <c r="BR87" s="194" t="s">
        <v>163</v>
      </c>
      <c r="BS87" s="194" t="s">
        <v>300</v>
      </c>
      <c r="BT87" s="194" t="s">
        <v>275</v>
      </c>
      <c r="BU87" s="194" t="s">
        <v>301</v>
      </c>
      <c r="BV87" s="194" t="s">
        <v>728</v>
      </c>
      <c r="BW87" s="194" t="s">
        <v>167</v>
      </c>
      <c r="BX87" s="155" t="s">
        <v>13</v>
      </c>
      <c r="BY87" s="93"/>
      <c r="BZ87" s="189" t="s">
        <v>308</v>
      </c>
    </row>
    <row r="88" spans="1:78">
      <c r="A88" s="93"/>
      <c r="B88" s="189" t="s">
        <v>303</v>
      </c>
      <c r="C88" s="195"/>
      <c r="D88" s="93"/>
      <c r="E88" s="93"/>
      <c r="F88" s="93"/>
      <c r="G88" s="93"/>
      <c r="H88" s="93"/>
      <c r="I88" s="93"/>
      <c r="J88" s="93"/>
      <c r="K88" s="93"/>
      <c r="L88" s="93"/>
      <c r="M88" s="93"/>
      <c r="N88" s="93"/>
      <c r="O88" s="93"/>
      <c r="P88" s="93"/>
      <c r="Q88" s="93"/>
      <c r="R88" s="93"/>
      <c r="S88" s="93"/>
      <c r="T88" s="93"/>
      <c r="U88" s="93"/>
      <c r="V88" s="93"/>
      <c r="W88" s="93"/>
      <c r="X88" s="93"/>
      <c r="Y88" s="93"/>
      <c r="Z88" s="93"/>
      <c r="AA88" s="93"/>
      <c r="AB88" s="93"/>
      <c r="AC88" s="93"/>
      <c r="AD88" s="93"/>
      <c r="AE88" s="93"/>
      <c r="AF88" s="93"/>
      <c r="AG88" s="93"/>
      <c r="AH88" s="93"/>
      <c r="AI88" s="93"/>
      <c r="AJ88" s="93"/>
      <c r="AK88" s="196"/>
      <c r="AL88" s="196"/>
      <c r="AM88" s="196"/>
      <c r="AN88" s="196"/>
      <c r="AO88" s="196"/>
      <c r="AP88" s="196"/>
      <c r="AQ88" s="196"/>
      <c r="AR88" s="196"/>
      <c r="AS88" s="196"/>
      <c r="AT88" s="93"/>
      <c r="AU88" s="93"/>
      <c r="AV88" s="93"/>
      <c r="AW88" s="93"/>
      <c r="AX88" s="93"/>
      <c r="AY88" s="93"/>
      <c r="AZ88" s="93"/>
      <c r="BA88" s="93"/>
      <c r="BB88" s="93"/>
      <c r="BC88" s="93"/>
      <c r="BD88" s="93"/>
      <c r="BE88" s="93"/>
      <c r="BF88" s="93"/>
      <c r="BG88" s="93"/>
      <c r="BH88" s="93"/>
      <c r="BI88" s="93"/>
      <c r="BJ88" s="93"/>
      <c r="BK88" s="134" t="s">
        <v>309</v>
      </c>
      <c r="BL88" s="197">
        <v>0.01</v>
      </c>
      <c r="BM88" s="198"/>
      <c r="BN88" s="134" t="s">
        <v>126</v>
      </c>
      <c r="BO88" s="147">
        <f>Exploration!C8</f>
        <v>0</v>
      </c>
      <c r="BP88" s="147">
        <f>Exploration!C9</f>
        <v>1</v>
      </c>
      <c r="BQ88" s="147">
        <f t="shared" ref="BQ88:BV88" si="24">BP88</f>
        <v>1</v>
      </c>
      <c r="BR88" s="147">
        <f t="shared" si="24"/>
        <v>1</v>
      </c>
      <c r="BS88" s="147">
        <f t="shared" si="24"/>
        <v>1</v>
      </c>
      <c r="BT88" s="147">
        <f t="shared" si="24"/>
        <v>1</v>
      </c>
      <c r="BU88" s="147">
        <f t="shared" si="24"/>
        <v>1</v>
      </c>
      <c r="BV88" s="147">
        <f t="shared" si="24"/>
        <v>1</v>
      </c>
      <c r="BW88" s="147">
        <f>BU88</f>
        <v>1</v>
      </c>
      <c r="BX88" s="93"/>
      <c r="BY88" s="93"/>
      <c r="BZ88" s="93"/>
    </row>
    <row r="89" spans="1:78">
      <c r="A89" s="93"/>
      <c r="B89" s="93"/>
      <c r="C89" s="93"/>
      <c r="D89" s="93"/>
      <c r="E89" s="93"/>
      <c r="F89" s="93"/>
      <c r="G89" s="93"/>
      <c r="H89" s="93"/>
      <c r="I89" s="93"/>
      <c r="J89" s="93"/>
      <c r="K89" s="93"/>
      <c r="L89" s="93"/>
      <c r="M89" s="93"/>
      <c r="N89" s="93"/>
      <c r="O89" s="93"/>
      <c r="P89" s="93"/>
      <c r="Q89" s="93"/>
      <c r="R89" s="93"/>
      <c r="S89" s="199"/>
      <c r="T89" s="93"/>
      <c r="U89" s="93"/>
      <c r="V89" s="93"/>
      <c r="W89" s="93"/>
      <c r="X89" s="93"/>
      <c r="Y89" s="93"/>
      <c r="Z89" s="93"/>
      <c r="AA89" s="186"/>
      <c r="AB89" s="93"/>
      <c r="AC89" s="93"/>
      <c r="AD89" s="93"/>
      <c r="AE89" s="93"/>
      <c r="AF89" s="93"/>
      <c r="AG89" s="93"/>
      <c r="AH89" s="93"/>
      <c r="AI89" s="93"/>
      <c r="AJ89" s="93"/>
      <c r="AK89" s="196"/>
      <c r="AL89" s="196"/>
      <c r="AM89" s="93"/>
      <c r="AN89" s="93"/>
      <c r="AO89" s="93"/>
      <c r="AP89" s="93"/>
      <c r="AQ89" s="93"/>
      <c r="AR89" s="93"/>
      <c r="AS89" s="93"/>
      <c r="AT89" s="93"/>
      <c r="AU89" s="93"/>
      <c r="AV89" s="196"/>
      <c r="AW89" s="196"/>
      <c r="AX89" s="93"/>
      <c r="AY89" s="93"/>
      <c r="AZ89" s="93"/>
      <c r="BA89" s="93"/>
      <c r="BB89" s="93"/>
      <c r="BC89" s="93"/>
      <c r="BD89" s="93"/>
      <c r="BE89" s="93"/>
      <c r="BF89" s="93"/>
      <c r="BG89" s="93"/>
      <c r="BH89" s="93"/>
      <c r="BI89" s="93"/>
      <c r="BJ89" s="93"/>
      <c r="BK89" s="93"/>
      <c r="BL89" s="93"/>
      <c r="BM89" s="93"/>
      <c r="BN89" s="93"/>
      <c r="BO89" s="196"/>
      <c r="BP89" s="196"/>
      <c r="BQ89" s="93"/>
      <c r="BR89" s="93"/>
      <c r="BS89" s="93"/>
      <c r="BT89" s="93"/>
      <c r="BU89" s="93"/>
      <c r="BV89" s="93"/>
      <c r="BW89" s="93"/>
      <c r="BX89" s="93"/>
      <c r="BY89" s="93"/>
      <c r="BZ89" s="93"/>
    </row>
    <row r="90" spans="1:78">
      <c r="A90" s="155" t="s">
        <v>13</v>
      </c>
      <c r="B90" s="151">
        <f>SUM(B91:B130)</f>
        <v>0</v>
      </c>
      <c r="C90" s="151">
        <f t="shared" ref="C90:H90" si="25">SUM(C91:C130)</f>
        <v>0</v>
      </c>
      <c r="D90" s="151">
        <f t="shared" si="25"/>
        <v>0</v>
      </c>
      <c r="E90" s="151">
        <f t="shared" si="25"/>
        <v>0</v>
      </c>
      <c r="F90" s="151">
        <f t="shared" si="25"/>
        <v>0</v>
      </c>
      <c r="G90" s="151">
        <f t="shared" si="25"/>
        <v>0</v>
      </c>
      <c r="H90" s="151">
        <f t="shared" si="25"/>
        <v>434.23723076922772</v>
      </c>
      <c r="I90" s="151">
        <f t="shared" ref="I90:N90" si="26">SUM(I91:I130)</f>
        <v>0</v>
      </c>
      <c r="J90" s="151">
        <f t="shared" si="26"/>
        <v>434.23723076922772</v>
      </c>
      <c r="K90" s="151">
        <f t="shared" si="26"/>
        <v>0</v>
      </c>
      <c r="L90" s="151">
        <f t="shared" si="26"/>
        <v>390.81350769231022</v>
      </c>
      <c r="M90" s="151">
        <f t="shared" si="26"/>
        <v>0</v>
      </c>
      <c r="N90" s="151">
        <f t="shared" si="26"/>
        <v>0</v>
      </c>
      <c r="O90" s="151">
        <f t="shared" ref="O90:W90" si="27">SUM(O91:O130)</f>
        <v>0</v>
      </c>
      <c r="P90" s="151">
        <f t="shared" si="27"/>
        <v>0</v>
      </c>
      <c r="Q90" s="151">
        <f t="shared" si="27"/>
        <v>1259.2879692307656</v>
      </c>
      <c r="R90" s="151">
        <f t="shared" si="27"/>
        <v>890.00000000000011</v>
      </c>
      <c r="S90" s="151">
        <f t="shared" si="27"/>
        <v>762.89011011232878</v>
      </c>
      <c r="T90" s="151">
        <f t="shared" si="27"/>
        <v>504.66600000000005</v>
      </c>
      <c r="U90" s="151">
        <f t="shared" si="27"/>
        <v>586.23299999999995</v>
      </c>
      <c r="V90" s="151">
        <f t="shared" si="27"/>
        <v>301.81680211235619</v>
      </c>
      <c r="W90" s="151">
        <f t="shared" si="27"/>
        <v>212</v>
      </c>
      <c r="X90" s="151">
        <f>SUM(X91:X130)</f>
        <v>609.12118244493695</v>
      </c>
      <c r="Y90" s="151">
        <f>SUM(Y91:Y130)</f>
        <v>5126.0150639003878</v>
      </c>
      <c r="Z90" s="199"/>
      <c r="AA90" s="93"/>
      <c r="AB90" s="182">
        <f t="shared" ref="AB90:AI90" si="28">SUM(AB91:AB130)</f>
        <v>0</v>
      </c>
      <c r="AC90" s="182">
        <f t="shared" si="28"/>
        <v>0</v>
      </c>
      <c r="AD90" s="182">
        <f t="shared" si="28"/>
        <v>0</v>
      </c>
      <c r="AE90" s="182">
        <f t="shared" si="28"/>
        <v>0</v>
      </c>
      <c r="AF90" s="182">
        <f t="shared" si="28"/>
        <v>0</v>
      </c>
      <c r="AG90" s="182">
        <f t="shared" si="28"/>
        <v>0</v>
      </c>
      <c r="AH90" s="182">
        <f t="shared" si="28"/>
        <v>0</v>
      </c>
      <c r="AI90" s="182">
        <f t="shared" si="28"/>
        <v>0</v>
      </c>
      <c r="AJ90" s="93"/>
      <c r="AK90" s="151">
        <f t="shared" ref="AK90:AT90" si="29">SUM(AK91:AK130)</f>
        <v>0</v>
      </c>
      <c r="AL90" s="151">
        <f t="shared" si="29"/>
        <v>1312.5250088078778</v>
      </c>
      <c r="AM90" s="151">
        <f t="shared" si="29"/>
        <v>905.32682692307696</v>
      </c>
      <c r="AN90" s="151">
        <f t="shared" si="29"/>
        <v>784.20175064512966</v>
      </c>
      <c r="AO90" s="151">
        <f t="shared" si="29"/>
        <v>515.58260987288145</v>
      </c>
      <c r="AP90" s="151">
        <f t="shared" si="29"/>
        <v>600.88882499999988</v>
      </c>
      <c r="AQ90" s="151">
        <f t="shared" si="29"/>
        <v>308.66000136851966</v>
      </c>
      <c r="AR90" s="151">
        <f t="shared" si="29"/>
        <v>222.73249999999999</v>
      </c>
      <c r="AS90" s="151">
        <f t="shared" si="29"/>
        <v>622.93200276192158</v>
      </c>
      <c r="AT90" s="151">
        <f t="shared" si="29"/>
        <v>5272.8495253794072</v>
      </c>
      <c r="AU90" s="93"/>
      <c r="AV90" s="151">
        <f t="shared" ref="AV90:BE90" si="30">SUM(AV91:AV130)</f>
        <v>0</v>
      </c>
      <c r="AW90" s="151">
        <f t="shared" si="30"/>
        <v>1312.5250088078778</v>
      </c>
      <c r="AX90" s="151">
        <f t="shared" si="30"/>
        <v>905.32682692307696</v>
      </c>
      <c r="AY90" s="151">
        <f t="shared" si="30"/>
        <v>784.20175064512966</v>
      </c>
      <c r="AZ90" s="151">
        <f t="shared" si="30"/>
        <v>515.58260987288145</v>
      </c>
      <c r="BA90" s="151">
        <f t="shared" si="30"/>
        <v>600.88882499999988</v>
      </c>
      <c r="BB90" s="151">
        <f t="shared" si="30"/>
        <v>308.66000136851966</v>
      </c>
      <c r="BC90" s="151">
        <f>SUM(BC91:BC130)</f>
        <v>222.73249999999999</v>
      </c>
      <c r="BD90" s="151">
        <f t="shared" si="30"/>
        <v>622.93200276192158</v>
      </c>
      <c r="BE90" s="151">
        <f t="shared" si="30"/>
        <v>5272.8495253794072</v>
      </c>
      <c r="BF90" s="93"/>
      <c r="BG90" s="151">
        <f>SUM(BG91:BG130)</f>
        <v>1312.5250088078778</v>
      </c>
      <c r="BH90" s="151">
        <f>SUM(BH91:BH130)</f>
        <v>3960.3245165715298</v>
      </c>
      <c r="BI90" s="151">
        <f>SUM(BI91:BI130)</f>
        <v>0</v>
      </c>
      <c r="BJ90" s="156"/>
      <c r="BK90" s="156"/>
      <c r="BL90" s="151">
        <f>SUM(BL91:BL130)</f>
        <v>5325.578020633202</v>
      </c>
      <c r="BM90" s="200"/>
      <c r="BN90" s="156"/>
      <c r="BO90" s="151">
        <f t="shared" ref="BO90:BX90" si="31">SUM(BO91:BO130)</f>
        <v>0</v>
      </c>
      <c r="BP90" s="151">
        <f t="shared" si="31"/>
        <v>1312.5250088078778</v>
      </c>
      <c r="BQ90" s="151">
        <f t="shared" si="31"/>
        <v>905.32682692307696</v>
      </c>
      <c r="BR90" s="151">
        <f t="shared" si="31"/>
        <v>784.20175064512966</v>
      </c>
      <c r="BS90" s="151">
        <f t="shared" si="31"/>
        <v>515.58260987288145</v>
      </c>
      <c r="BT90" s="151">
        <f t="shared" si="31"/>
        <v>600.88882499999988</v>
      </c>
      <c r="BU90" s="151">
        <f t="shared" si="31"/>
        <v>308.66000136851966</v>
      </c>
      <c r="BV90" s="151">
        <f t="shared" si="31"/>
        <v>222.73249999999999</v>
      </c>
      <c r="BW90" s="151">
        <f t="shared" si="31"/>
        <v>622.93200276192158</v>
      </c>
      <c r="BX90" s="151">
        <f t="shared" si="31"/>
        <v>5272.8495253794072</v>
      </c>
      <c r="BY90" s="156"/>
      <c r="BZ90" s="151">
        <f>SUM(BZ91:BZ130)</f>
        <v>3960.3245165715298</v>
      </c>
    </row>
    <row r="91" spans="1:78">
      <c r="A91" s="139">
        <f>'Success Cash Flow'!A10</f>
        <v>2015</v>
      </c>
      <c r="B91" s="158">
        <f t="shared" ref="B91:B130" si="32">IF(A91=$D$10,$F$10,IF(A91=$E$10,$G$10,0))/1000</f>
        <v>0</v>
      </c>
      <c r="C91" s="158">
        <f t="shared" ref="C91:P100" si="33">IF($A91=INDEX($H$41:$N$54,C$86,1),INDEX($O$41:$Y$54,C$86,1),IF($A91=INDEX($H$41:$N$54,C$86,2),INDEX($O$41:$Y$54,C$86,2),IF($A91=INDEX($H$41:$N$54,C$86,3),INDEX($O$41:$Y$54,C$86,3),IF($A91=INDEX($H$41:$N$54,C$86,4),INDEX($O$41:$Y$54,C$86,4),IF($A91=INDEX($H$41:$N$54,C$86,5),INDEX($O$41:$Y$54,C$86,5),IF($A91=INDEX($H$41:$N$54,C$86,6),INDEX($O$41:$Y$54,C$86,6),IF($A91=INDEX($H$41:$N$54,C$86,7),INDEX($O$41:$Y$54,C$86,7),0)))))))/1000</f>
        <v>0</v>
      </c>
      <c r="D91" s="158">
        <f t="shared" si="33"/>
        <v>0</v>
      </c>
      <c r="E91" s="158">
        <f t="shared" si="33"/>
        <v>0</v>
      </c>
      <c r="F91" s="158">
        <f t="shared" si="33"/>
        <v>0</v>
      </c>
      <c r="G91" s="158">
        <f t="shared" si="33"/>
        <v>0</v>
      </c>
      <c r="H91" s="158">
        <f t="shared" si="33"/>
        <v>0</v>
      </c>
      <c r="I91" s="158">
        <f t="shared" si="33"/>
        <v>0</v>
      </c>
      <c r="J91" s="158">
        <f t="shared" si="33"/>
        <v>0</v>
      </c>
      <c r="K91" s="158">
        <f t="shared" si="33"/>
        <v>0</v>
      </c>
      <c r="L91" s="158">
        <f t="shared" si="33"/>
        <v>0</v>
      </c>
      <c r="M91" s="158">
        <f t="shared" si="33"/>
        <v>0</v>
      </c>
      <c r="N91" s="158">
        <f t="shared" si="33"/>
        <v>0</v>
      </c>
      <c r="O91" s="158">
        <f t="shared" si="33"/>
        <v>0</v>
      </c>
      <c r="P91" s="158">
        <f t="shared" si="33"/>
        <v>0</v>
      </c>
      <c r="Q91" s="158">
        <f>SUM(C91:P91)</f>
        <v>0</v>
      </c>
      <c r="R91" s="158">
        <f t="shared" ref="R91:U110" si="34">IF($A91=INDEX($R$74:$U$77,R$86,1),INDEX($V$74:$Y$77,R$86,1),IF($A91=INDEX($R$74:$U$77,R$86,2),INDEX($V$74:$Y$77,R$86,2),IF($A91=INDEX($R$74:$U$77,R$86,3),INDEX($V$74:$Y$77,R$86,3),IF($A91=INDEX($R$74:$U$77,R$86,4),INDEX($V$74:$Y$77,R$86,4),0))))/1000</f>
        <v>347.1</v>
      </c>
      <c r="S91" s="158">
        <f t="shared" si="34"/>
        <v>60.841491406766082</v>
      </c>
      <c r="T91" s="158">
        <f t="shared" si="34"/>
        <v>68.001605084744099</v>
      </c>
      <c r="U91" s="158">
        <f t="shared" si="34"/>
        <v>0</v>
      </c>
      <c r="V91" s="158">
        <f>'Cost Assumptions'!$O$99*SUM(Development!R91:U91)</f>
        <v>52.353740614066119</v>
      </c>
      <c r="W91" s="160">
        <f>IF(A91=YEAR($B$57),$B$79/1000,0)</f>
        <v>0</v>
      </c>
      <c r="X91" s="158">
        <f>'Cost Assumptions'!$O$100*SUM(Development!R91:V91)</f>
        <v>105.65936742111526</v>
      </c>
      <c r="Y91" s="158">
        <f t="shared" ref="Y91:Y130" si="35">SUM(Q91:X91)+B91</f>
        <v>633.95620452669152</v>
      </c>
      <c r="Z91" s="173"/>
      <c r="AA91" s="201">
        <f t="shared" ref="AA91:AA130" si="36">IF(A91=YEAR($B$8),1,IF(A91&gt;YEAR($B$8),1+AA90,0))</f>
        <v>1</v>
      </c>
      <c r="AB91" s="474">
        <f>IF(OR($AA91=0,$AA91&gt;40),0,INDEX(Overrides!C$47:C$87,$AA91+1,1)*$AA$85+INDEX(Overrides!C$47:C$87,$AA91,1)*$AB$86)</f>
        <v>0</v>
      </c>
      <c r="AC91" s="474">
        <f>IF(OR($AA91=0,$AA91&gt;40),0,INDEX(Overrides!D$47:D$87,$AA91+1,1)*$AA$85+INDEX(Overrides!D$47:D$87,$AA91,1)*$AB$86)</f>
        <v>0</v>
      </c>
      <c r="AD91" s="474">
        <f>IF(OR($AA91=0,$AA91&gt;40),0,INDEX(Overrides!E$47:E$87,$AA91+1,1)*$AA$85+INDEX(Overrides!E$47:E$87,$AA91,1)*$AB$86)</f>
        <v>0</v>
      </c>
      <c r="AE91" s="474">
        <f>IF(OR($AA91=0,$AA91&gt;40),0,INDEX(Overrides!F$47:F$87,$AA91+1,1)*$AA$85+INDEX(Overrides!F$47:F$87,$AA91,1)*$AB$86)</f>
        <v>0</v>
      </c>
      <c r="AF91" s="474">
        <f>IF(OR($AA91=0,$AA91&gt;40),0,INDEX(Overrides!G$47:G$87,$AA91+1,1)*$AA$85+INDEX(Overrides!G$47:G$87,$AA91,1)*$AB$86)</f>
        <v>0</v>
      </c>
      <c r="AG91" s="474">
        <f>IF(OR($AA91=0,$AA91&gt;40),0,INDEX(Overrides!H$47:H$87,$AA91+1,1)*$AA$85+INDEX(Overrides!H$47:H$87,$AA91,1)*$AB$86)</f>
        <v>0</v>
      </c>
      <c r="AH91" s="474">
        <f>IF(OR($AA91=0,$AA91&gt;40),0,INDEX(Overrides!I$47:I$87,$AA91+1,1)*$AA$85+INDEX(Overrides!I$47:I$87,$AA91,1)*$AB$86)</f>
        <v>0</v>
      </c>
      <c r="AI91" s="474">
        <f>IF(OR($AA91=0,$AA91&gt;40),0,INDEX(Overrides!J$47:J$87,$AA91+1,1)*$AA$85+INDEX(Overrides!J$47:J$87,$AA91,1)*$AB$86)</f>
        <v>0</v>
      </c>
      <c r="AJ91" s="93"/>
      <c r="AK91" s="158">
        <f>B91*'Selected Economics'!$I11*'Sensitivity Ranges'!$F$43</f>
        <v>0</v>
      </c>
      <c r="AL91" s="158">
        <f>IF($AA$84=1,AB91,Q91)*'Selected Economics'!$I11*'Sensitivity Ranges'!$F$43</f>
        <v>0</v>
      </c>
      <c r="AM91" s="158">
        <f>IF($AA$84=1,AC91,R91)*'Selected Economics'!$I11*'Sensitivity Ranges'!$F$43</f>
        <v>347.1</v>
      </c>
      <c r="AN91" s="158">
        <f>IF($AA$84=1,AD91,S91)*'Selected Economics'!$I11*'Sensitivity Ranges'!$F$43</f>
        <v>60.841491406766082</v>
      </c>
      <c r="AO91" s="158">
        <f>IF($AA$84=1,AE91,T91)*'Selected Economics'!$I11*'Sensitivity Ranges'!$F$43</f>
        <v>68.001605084744099</v>
      </c>
      <c r="AP91" s="158">
        <f>IF($AA$84=1,AF91,U91)*'Selected Economics'!$I11*'Sensitivity Ranges'!$F$43</f>
        <v>0</v>
      </c>
      <c r="AQ91" s="158">
        <f>IF($AA$84=1,AG91,V91)*'Selected Economics'!$I11*'Sensitivity Ranges'!$F$43</f>
        <v>52.353740614066119</v>
      </c>
      <c r="AR91" s="158">
        <f>IF($AA$84=1,AH91,W91)*'Selected Economics'!$I11*'Sensitivity Ranges'!$F$43</f>
        <v>0</v>
      </c>
      <c r="AS91" s="158">
        <f>IF($AA$84=1,AI91,X91)*'Selected Economics'!$I11*'Sensitivity Ranges'!$F$43</f>
        <v>105.65936742111526</v>
      </c>
      <c r="AT91" s="158">
        <f>SUM(AK91:AS91)</f>
        <v>633.95620452669152</v>
      </c>
      <c r="AU91" s="173"/>
      <c r="AV91" s="158">
        <f>AK91</f>
        <v>0</v>
      </c>
      <c r="AW91" s="158">
        <f>AL91*Abandonment!$H16</f>
        <v>0</v>
      </c>
      <c r="AX91" s="158">
        <f>AM91*Abandonment!$H16</f>
        <v>347.1</v>
      </c>
      <c r="AY91" s="158">
        <f>AN91*Abandonment!$H16</f>
        <v>60.841491406766082</v>
      </c>
      <c r="AZ91" s="158">
        <f>AO91*Abandonment!$H16</f>
        <v>68.001605084744099</v>
      </c>
      <c r="BA91" s="158">
        <f>AP91*Abandonment!$H16</f>
        <v>0</v>
      </c>
      <c r="BB91" s="158">
        <f>AQ91*Abandonment!$H16</f>
        <v>52.353740614066119</v>
      </c>
      <c r="BC91" s="158">
        <f>AR91*Abandonment!$H16</f>
        <v>0</v>
      </c>
      <c r="BD91" s="158">
        <f>AS91*Abandonment!$H16</f>
        <v>105.65936742111526</v>
      </c>
      <c r="BE91" s="158">
        <f>SUM(AV91:BD91)</f>
        <v>633.95620452669152</v>
      </c>
      <c r="BF91" s="173"/>
      <c r="BG91" s="158">
        <f>AW91+Exploration!R35</f>
        <v>0</v>
      </c>
      <c r="BH91" s="160">
        <f>AV91+(AX91+AY91+AZ91+IF(Input!$B$15="Shore",0,Development!BA91)+BB91)*(1+'Cost Assumptions'!$O$100)+BC91</f>
        <v>633.95620452669152</v>
      </c>
      <c r="BI91" s="158">
        <f>IF(Input!$B$15="Shore",Development!BA91,0)*(1+'Cost Assumptions'!$O$100)</f>
        <v>0</v>
      </c>
      <c r="BJ91" s="156"/>
      <c r="BK91" s="156"/>
      <c r="BL91" s="158">
        <f t="shared" ref="BL91:BL130" si="37">BE91*(1+$BL$88)</f>
        <v>640.29576657195844</v>
      </c>
      <c r="BM91" s="200"/>
      <c r="BN91" s="156"/>
      <c r="BO91" s="160">
        <f t="shared" ref="BO91:BO130" si="38">AV91*BO$88</f>
        <v>0</v>
      </c>
      <c r="BP91" s="160">
        <f t="shared" ref="BP91:BP130" si="39">AW91*BP$88</f>
        <v>0</v>
      </c>
      <c r="BQ91" s="160">
        <f t="shared" ref="BQ91:BQ130" si="40">AX91*BQ$88</f>
        <v>347.1</v>
      </c>
      <c r="BR91" s="160">
        <f t="shared" ref="BR91:BR130" si="41">AY91*BR$88</f>
        <v>60.841491406766082</v>
      </c>
      <c r="BS91" s="160">
        <f t="shared" ref="BS91:BS130" si="42">AZ91*BS$88</f>
        <v>68.001605084744099</v>
      </c>
      <c r="BT91" s="160">
        <f t="shared" ref="BT91:BT130" si="43">BA91*BT$88</f>
        <v>0</v>
      </c>
      <c r="BU91" s="160">
        <f t="shared" ref="BU91:BU130" si="44">BB91*BU$88</f>
        <v>52.353740614066119</v>
      </c>
      <c r="BV91" s="160">
        <f t="shared" ref="BV91:BV130" si="45">BC91*BV$88</f>
        <v>0</v>
      </c>
      <c r="BW91" s="160">
        <f t="shared" ref="BW91:BW130" si="46">BD91*BW$88</f>
        <v>105.65936742111526</v>
      </c>
      <c r="BX91" s="158">
        <f>SUM(BO91:BW91)</f>
        <v>633.95620452669152</v>
      </c>
      <c r="BY91" s="156"/>
      <c r="BZ91" s="158">
        <f>SUM(AX91:BD91)</f>
        <v>633.95620452669152</v>
      </c>
    </row>
    <row r="92" spans="1:78">
      <c r="A92" s="140">
        <f>A91+1</f>
        <v>2016</v>
      </c>
      <c r="B92" s="160">
        <f t="shared" si="32"/>
        <v>0</v>
      </c>
      <c r="C92" s="160">
        <f t="shared" si="33"/>
        <v>0</v>
      </c>
      <c r="D92" s="160">
        <f t="shared" si="33"/>
        <v>0</v>
      </c>
      <c r="E92" s="160">
        <f t="shared" si="33"/>
        <v>0</v>
      </c>
      <c r="F92" s="160">
        <f t="shared" si="33"/>
        <v>0</v>
      </c>
      <c r="G92" s="160">
        <f t="shared" si="33"/>
        <v>0</v>
      </c>
      <c r="H92" s="160">
        <f t="shared" si="33"/>
        <v>144.01015046658105</v>
      </c>
      <c r="I92" s="160">
        <f t="shared" si="33"/>
        <v>0</v>
      </c>
      <c r="J92" s="160">
        <f t="shared" si="33"/>
        <v>144.01015046658105</v>
      </c>
      <c r="K92" s="160">
        <f t="shared" si="33"/>
        <v>0</v>
      </c>
      <c r="L92" s="160">
        <f t="shared" si="33"/>
        <v>122.29828892811896</v>
      </c>
      <c r="M92" s="160">
        <f t="shared" si="33"/>
        <v>0</v>
      </c>
      <c r="N92" s="160">
        <f t="shared" si="33"/>
        <v>0</v>
      </c>
      <c r="O92" s="160">
        <f t="shared" si="33"/>
        <v>0</v>
      </c>
      <c r="P92" s="160">
        <f t="shared" si="33"/>
        <v>0</v>
      </c>
      <c r="Q92" s="160">
        <f t="shared" ref="Q92:Q130" si="47">SUM(C92:P92)</f>
        <v>410.31858986128105</v>
      </c>
      <c r="R92" s="160">
        <f t="shared" si="34"/>
        <v>474.43846153846158</v>
      </c>
      <c r="S92" s="160">
        <f t="shared" si="34"/>
        <v>555.30032347973474</v>
      </c>
      <c r="T92" s="160">
        <f t="shared" si="34"/>
        <v>436.66439491525597</v>
      </c>
      <c r="U92" s="160">
        <f t="shared" si="34"/>
        <v>586.23299999999995</v>
      </c>
      <c r="V92" s="160">
        <f>'Cost Assumptions'!$O$99*SUM(Development!R92:U92)</f>
        <v>225.78997979267976</v>
      </c>
      <c r="W92" s="160">
        <f>IF(A92=YEAR($B$57),$B$79/1000,0)</f>
        <v>0</v>
      </c>
      <c r="X92" s="160">
        <f>'Cost Assumptions'!$O$100*SUM(Development!R92:V92)</f>
        <v>455.68523194522641</v>
      </c>
      <c r="Y92" s="160">
        <f t="shared" si="35"/>
        <v>3144.4299815326394</v>
      </c>
      <c r="Z92" s="173"/>
      <c r="AA92" s="203">
        <f t="shared" si="36"/>
        <v>2</v>
      </c>
      <c r="AB92" s="475">
        <f>IF(OR($AA92=0,$AA92&gt;40),0,INDEX(Overrides!C$47:C$87,$AA92+1,1)*$AA$85+INDEX(Overrides!C$47:C$87,$AA92,1)*$AB$86)</f>
        <v>0</v>
      </c>
      <c r="AC92" s="475">
        <f>IF(OR($AA92=0,$AA92&gt;40),0,INDEX(Overrides!D$47:D$87,$AA92+1,1)*$AA$85+INDEX(Overrides!D$47:D$87,$AA92,1)*$AB$86)</f>
        <v>0</v>
      </c>
      <c r="AD92" s="475">
        <f>IF(OR($AA92=0,$AA92&gt;40),0,INDEX(Overrides!E$47:E$87,$AA92+1,1)*$AA$85+INDEX(Overrides!E$47:E$87,$AA92,1)*$AB$86)</f>
        <v>0</v>
      </c>
      <c r="AE92" s="475">
        <f>IF(OR($AA92=0,$AA92&gt;40),0,INDEX(Overrides!F$47:F$87,$AA92+1,1)*$AA$85+INDEX(Overrides!F$47:F$87,$AA92,1)*$AB$86)</f>
        <v>0</v>
      </c>
      <c r="AF92" s="475">
        <f>IF(OR($AA92=0,$AA92&gt;40),0,INDEX(Overrides!G$47:G$87,$AA92+1,1)*$AA$85+INDEX(Overrides!G$47:G$87,$AA92,1)*$AB$86)</f>
        <v>0</v>
      </c>
      <c r="AG92" s="475">
        <f>IF(OR($AA92=0,$AA92&gt;40),0,INDEX(Overrides!H$47:H$87,$AA92+1,1)*$AA$85+INDEX(Overrides!H$47:H$87,$AA92,1)*$AB$86)</f>
        <v>0</v>
      </c>
      <c r="AH92" s="475">
        <f>IF(OR($AA92=0,$AA92&gt;40),0,INDEX(Overrides!I$47:I$87,$AA92+1,1)*$AA$85+INDEX(Overrides!I$47:I$87,$AA92,1)*$AB$86)</f>
        <v>0</v>
      </c>
      <c r="AI92" s="475">
        <f>IF(OR($AA92=0,$AA92&gt;40),0,INDEX(Overrides!J$47:J$87,$AA92+1,1)*$AA$85+INDEX(Overrides!J$47:J$87,$AA92,1)*$AB$86)</f>
        <v>0</v>
      </c>
      <c r="AJ92" s="93"/>
      <c r="AK92" s="160">
        <f>B92*'Selected Economics'!$I12*'Sensitivity Ranges'!$F$43</f>
        <v>0</v>
      </c>
      <c r="AL92" s="160">
        <f>IF($AA$84=1,AB92,Q92)*'Selected Economics'!$I12*'Sensitivity Ranges'!$F$43</f>
        <v>420.57655460781302</v>
      </c>
      <c r="AM92" s="160">
        <f>IF($AA$84=1,AC92,R92)*'Selected Economics'!$I12*'Sensitivity Ranges'!$F$43</f>
        <v>486.29942307692306</v>
      </c>
      <c r="AN92" s="160">
        <f>IF($AA$84=1,AD92,S92)*'Selected Economics'!$I12*'Sensitivity Ranges'!$F$43</f>
        <v>569.18283156672805</v>
      </c>
      <c r="AO92" s="160">
        <f>IF($AA$84=1,AE92,T92)*'Selected Economics'!$I12*'Sensitivity Ranges'!$F$43</f>
        <v>447.58100478813731</v>
      </c>
      <c r="AP92" s="160">
        <f>IF($AA$84=1,AF92,U92)*'Selected Economics'!$I12*'Sensitivity Ranges'!$F$43</f>
        <v>600.88882499999988</v>
      </c>
      <c r="AQ92" s="160">
        <f>IF($AA$84=1,AG92,V92)*'Selected Economics'!$I12*'Sensitivity Ranges'!$F$43</f>
        <v>231.43472928749674</v>
      </c>
      <c r="AR92" s="160">
        <f>IF($AA$84=1,AH92,W92)*'Selected Economics'!$I12*'Sensitivity Ranges'!$F$43</f>
        <v>0</v>
      </c>
      <c r="AS92" s="160">
        <f>IF($AA$84=1,AI92,X92)*'Selected Economics'!$I12*'Sensitivity Ranges'!$F$43</f>
        <v>467.07736274385701</v>
      </c>
      <c r="AT92" s="160">
        <f t="shared" ref="AT92:AT130" si="48">SUM(AK92:AS92)</f>
        <v>3223.0407310709552</v>
      </c>
      <c r="AU92" s="173"/>
      <c r="AV92" s="160">
        <f>AK92</f>
        <v>0</v>
      </c>
      <c r="AW92" s="160">
        <f>AL92*Abandonment!$H17</f>
        <v>420.57655460781302</v>
      </c>
      <c r="AX92" s="160">
        <f>AM92*Abandonment!$H17</f>
        <v>486.29942307692306</v>
      </c>
      <c r="AY92" s="160">
        <f>AN92*Abandonment!$H17</f>
        <v>569.18283156672805</v>
      </c>
      <c r="AZ92" s="160">
        <f>AO92*Abandonment!$H17</f>
        <v>447.58100478813731</v>
      </c>
      <c r="BA92" s="160">
        <f>AP92*Abandonment!$H17</f>
        <v>600.88882499999988</v>
      </c>
      <c r="BB92" s="160">
        <f>AQ92*Abandonment!$H17</f>
        <v>231.43472928749674</v>
      </c>
      <c r="BC92" s="160">
        <f>AR92*Abandonment!$H17</f>
        <v>0</v>
      </c>
      <c r="BD92" s="160">
        <f>AS92*Abandonment!$H17</f>
        <v>467.07736274385701</v>
      </c>
      <c r="BE92" s="160">
        <f t="shared" ref="BE92:BE130" si="49">SUM(AV92:BD92)</f>
        <v>3223.0407310709552</v>
      </c>
      <c r="BF92" s="173"/>
      <c r="BG92" s="160">
        <f>AW92+Exploration!R36</f>
        <v>420.57655460781302</v>
      </c>
      <c r="BH92" s="160">
        <f>AV92+(AX92+AY92+AZ92+IF(Input!$B$15="Shore",0,Development!BA92)+BB92)*(1+'Cost Assumptions'!$O$100)+BC92</f>
        <v>2802.4641764631424</v>
      </c>
      <c r="BI92" s="160">
        <f>IF(Input!$B$15="Shore",Development!BA92,0)*(1+'Cost Assumptions'!$O$100)</f>
        <v>0</v>
      </c>
      <c r="BJ92" s="156"/>
      <c r="BK92" s="156"/>
      <c r="BL92" s="160">
        <f t="shared" si="37"/>
        <v>3255.271138381665</v>
      </c>
      <c r="BM92" s="200"/>
      <c r="BN92" s="156"/>
      <c r="BO92" s="160">
        <f t="shared" si="38"/>
        <v>0</v>
      </c>
      <c r="BP92" s="160">
        <f t="shared" si="39"/>
        <v>420.57655460781302</v>
      </c>
      <c r="BQ92" s="160">
        <f t="shared" si="40"/>
        <v>486.29942307692306</v>
      </c>
      <c r="BR92" s="160">
        <f t="shared" si="41"/>
        <v>569.18283156672805</v>
      </c>
      <c r="BS92" s="160">
        <f t="shared" si="42"/>
        <v>447.58100478813731</v>
      </c>
      <c r="BT92" s="160">
        <f t="shared" si="43"/>
        <v>600.88882499999988</v>
      </c>
      <c r="BU92" s="160">
        <f t="shared" si="44"/>
        <v>231.43472928749674</v>
      </c>
      <c r="BV92" s="160">
        <f t="shared" si="45"/>
        <v>0</v>
      </c>
      <c r="BW92" s="160">
        <f t="shared" si="46"/>
        <v>467.07736274385701</v>
      </c>
      <c r="BX92" s="160">
        <f t="shared" ref="BX92:BX130" si="50">SUM(BO92:BW92)</f>
        <v>3223.0407310709552</v>
      </c>
      <c r="BY92" s="156"/>
      <c r="BZ92" s="160">
        <f t="shared" ref="BZ92:BZ130" si="51">SUM(AX92:BD92)</f>
        <v>2802.4641764631424</v>
      </c>
    </row>
    <row r="93" spans="1:78">
      <c r="A93" s="140">
        <f t="shared" ref="A93:A130" si="52">A92+1</f>
        <v>2017</v>
      </c>
      <c r="B93" s="160">
        <f t="shared" si="32"/>
        <v>0</v>
      </c>
      <c r="C93" s="160">
        <f t="shared" si="33"/>
        <v>0</v>
      </c>
      <c r="D93" s="160">
        <f t="shared" si="33"/>
        <v>0</v>
      </c>
      <c r="E93" s="160">
        <f t="shared" si="33"/>
        <v>0</v>
      </c>
      <c r="F93" s="160">
        <f t="shared" si="33"/>
        <v>0</v>
      </c>
      <c r="G93" s="160">
        <f t="shared" si="33"/>
        <v>0</v>
      </c>
      <c r="H93" s="160">
        <f t="shared" si="33"/>
        <v>290.22708030264664</v>
      </c>
      <c r="I93" s="160">
        <f t="shared" si="33"/>
        <v>0</v>
      </c>
      <c r="J93" s="160">
        <f t="shared" si="33"/>
        <v>290.22708030264664</v>
      </c>
      <c r="K93" s="160">
        <f t="shared" si="33"/>
        <v>0</v>
      </c>
      <c r="L93" s="160">
        <f t="shared" si="33"/>
        <v>268.51521876419127</v>
      </c>
      <c r="M93" s="160">
        <f t="shared" si="33"/>
        <v>0</v>
      </c>
      <c r="N93" s="160">
        <f t="shared" si="33"/>
        <v>0</v>
      </c>
      <c r="O93" s="160">
        <f t="shared" si="33"/>
        <v>0</v>
      </c>
      <c r="P93" s="160">
        <f t="shared" si="33"/>
        <v>0</v>
      </c>
      <c r="Q93" s="160">
        <f t="shared" si="47"/>
        <v>848.96937936948461</v>
      </c>
      <c r="R93" s="160">
        <f t="shared" si="34"/>
        <v>68.461538461538467</v>
      </c>
      <c r="S93" s="160">
        <f t="shared" si="34"/>
        <v>146.74829522582803</v>
      </c>
      <c r="T93" s="160">
        <f t="shared" si="34"/>
        <v>0</v>
      </c>
      <c r="U93" s="160">
        <f t="shared" si="34"/>
        <v>0</v>
      </c>
      <c r="V93" s="160">
        <f>'Cost Assumptions'!$O$99*SUM(Development!R93:U93)</f>
        <v>23.673081705610315</v>
      </c>
      <c r="W93" s="160">
        <f t="shared" ref="W93:W130" si="53">IF(A93=YEAR($B$57),$B$79/1000,0)</f>
        <v>212</v>
      </c>
      <c r="X93" s="160">
        <f>'Cost Assumptions'!$O$100*SUM(Development!R93:V93)</f>
        <v>47.776583078595365</v>
      </c>
      <c r="Y93" s="160">
        <f t="shared" si="35"/>
        <v>1347.6288778410567</v>
      </c>
      <c r="Z93" s="173"/>
      <c r="AA93" s="203">
        <f t="shared" si="36"/>
        <v>3</v>
      </c>
      <c r="AB93" s="475">
        <f>IF(OR($AA93=0,$AA93&gt;40),0,INDEX(Overrides!C$47:C$87,$AA93+1,1)*$AA$85+INDEX(Overrides!C$47:C$87,$AA93,1)*$AB$86)</f>
        <v>0</v>
      </c>
      <c r="AC93" s="475">
        <f>IF(OR($AA93=0,$AA93&gt;40),0,INDEX(Overrides!D$47:D$87,$AA93+1,1)*$AA$85+INDEX(Overrides!D$47:D$87,$AA93,1)*$AB$86)</f>
        <v>0</v>
      </c>
      <c r="AD93" s="475">
        <f>IF(OR($AA93=0,$AA93&gt;40),0,INDEX(Overrides!E$47:E$87,$AA93+1,1)*$AA$85+INDEX(Overrides!E$47:E$87,$AA93,1)*$AB$86)</f>
        <v>0</v>
      </c>
      <c r="AE93" s="475">
        <f>IF(OR($AA93=0,$AA93&gt;40),0,INDEX(Overrides!F$47:F$87,$AA93+1,1)*$AA$85+INDEX(Overrides!F$47:F$87,$AA93,1)*$AB$86)</f>
        <v>0</v>
      </c>
      <c r="AF93" s="475">
        <f>IF(OR($AA93=0,$AA93&gt;40),0,INDEX(Overrides!G$47:G$87,$AA93+1,1)*$AA$85+INDEX(Overrides!G$47:G$87,$AA93,1)*$AB$86)</f>
        <v>0</v>
      </c>
      <c r="AG93" s="475">
        <f>IF(OR($AA93=0,$AA93&gt;40),0,INDEX(Overrides!H$47:H$87,$AA93+1,1)*$AA$85+INDEX(Overrides!H$47:H$87,$AA93,1)*$AB$86)</f>
        <v>0</v>
      </c>
      <c r="AH93" s="475">
        <f>IF(OR($AA93=0,$AA93&gt;40),0,INDEX(Overrides!I$47:I$87,$AA93+1,1)*$AA$85+INDEX(Overrides!I$47:I$87,$AA93,1)*$AB$86)</f>
        <v>0</v>
      </c>
      <c r="AI93" s="475">
        <f>IF(OR($AA93=0,$AA93&gt;40),0,INDEX(Overrides!J$47:J$87,$AA93+1,1)*$AA$85+INDEX(Overrides!J$47:J$87,$AA93,1)*$AB$86)</f>
        <v>0</v>
      </c>
      <c r="AJ93" s="93"/>
      <c r="AK93" s="160">
        <f>B93*'Selected Economics'!$I13*'Sensitivity Ranges'!$F$43</f>
        <v>0</v>
      </c>
      <c r="AL93" s="160">
        <f>IF($AA$84=1,AB93,Q93)*'Selected Economics'!$I13*'Sensitivity Ranges'!$F$43</f>
        <v>891.9484542000647</v>
      </c>
      <c r="AM93" s="160">
        <f>IF($AA$84=1,AC93,R93)*'Selected Economics'!$I13*'Sensitivity Ranges'!$F$43</f>
        <v>71.927403846153851</v>
      </c>
      <c r="AN93" s="160">
        <f>IF($AA$84=1,AD93,S93)*'Selected Economics'!$I13*'Sensitivity Ranges'!$F$43</f>
        <v>154.17742767163557</v>
      </c>
      <c r="AO93" s="160">
        <f>IF($AA$84=1,AE93,T93)*'Selected Economics'!$I13*'Sensitivity Ranges'!$F$43</f>
        <v>0</v>
      </c>
      <c r="AP93" s="160">
        <f>IF($AA$84=1,AF93,U93)*'Selected Economics'!$I13*'Sensitivity Ranges'!$F$43</f>
        <v>0</v>
      </c>
      <c r="AQ93" s="160">
        <f>IF($AA$84=1,AG93,V93)*'Selected Economics'!$I13*'Sensitivity Ranges'!$F$43</f>
        <v>24.871531466956835</v>
      </c>
      <c r="AR93" s="160">
        <f>IF($AA$84=1,AH93,W93)*'Selected Economics'!$I13*'Sensitivity Ranges'!$F$43</f>
        <v>222.73249999999999</v>
      </c>
      <c r="AS93" s="160">
        <f>IF($AA$84=1,AI93,X93)*'Selected Economics'!$I13*'Sensitivity Ranges'!$F$43</f>
        <v>50.195272596949252</v>
      </c>
      <c r="AT93" s="160">
        <f t="shared" si="48"/>
        <v>1415.8525897817603</v>
      </c>
      <c r="AU93" s="173"/>
      <c r="AV93" s="160">
        <f>AK93</f>
        <v>0</v>
      </c>
      <c r="AW93" s="160">
        <f>AL93*Abandonment!$H18</f>
        <v>891.9484542000647</v>
      </c>
      <c r="AX93" s="160">
        <f>AM93*Abandonment!$H18</f>
        <v>71.927403846153851</v>
      </c>
      <c r="AY93" s="160">
        <f>AN93*Abandonment!$H18</f>
        <v>154.17742767163557</v>
      </c>
      <c r="AZ93" s="160">
        <f>AO93*Abandonment!$H18</f>
        <v>0</v>
      </c>
      <c r="BA93" s="160">
        <f>AP93*Abandonment!$H18</f>
        <v>0</v>
      </c>
      <c r="BB93" s="160">
        <f>AQ93*Abandonment!$H18</f>
        <v>24.871531466956835</v>
      </c>
      <c r="BC93" s="160">
        <f>AR93*Abandonment!$H18</f>
        <v>222.73249999999999</v>
      </c>
      <c r="BD93" s="160">
        <f>AS93*Abandonment!$H18</f>
        <v>50.195272596949252</v>
      </c>
      <c r="BE93" s="160">
        <f t="shared" si="49"/>
        <v>1415.8525897817603</v>
      </c>
      <c r="BF93" s="173"/>
      <c r="BG93" s="160">
        <f>AW93+Exploration!R37</f>
        <v>891.9484542000647</v>
      </c>
      <c r="BH93" s="160">
        <f>AV93+(AX93+AY93+AZ93+IF(Input!$B$15="Shore",0,Development!BA93)+BB93)*(1+'Cost Assumptions'!$O$100)+BC93</f>
        <v>523.90413558169553</v>
      </c>
      <c r="BI93" s="160">
        <f>IF(Input!$B$15="Shore",Development!BA93,0)*(1+'Cost Assumptions'!$O$100)</f>
        <v>0</v>
      </c>
      <c r="BJ93" s="156"/>
      <c r="BK93" s="156"/>
      <c r="BL93" s="160">
        <f t="shared" si="37"/>
        <v>1430.0111156795779</v>
      </c>
      <c r="BM93" s="200"/>
      <c r="BN93" s="156"/>
      <c r="BO93" s="160">
        <f t="shared" si="38"/>
        <v>0</v>
      </c>
      <c r="BP93" s="160">
        <f t="shared" si="39"/>
        <v>891.9484542000647</v>
      </c>
      <c r="BQ93" s="160">
        <f t="shared" si="40"/>
        <v>71.927403846153851</v>
      </c>
      <c r="BR93" s="160">
        <f t="shared" si="41"/>
        <v>154.17742767163557</v>
      </c>
      <c r="BS93" s="160">
        <f t="shared" si="42"/>
        <v>0</v>
      </c>
      <c r="BT93" s="160">
        <f t="shared" si="43"/>
        <v>0</v>
      </c>
      <c r="BU93" s="160">
        <f t="shared" si="44"/>
        <v>24.871531466956835</v>
      </c>
      <c r="BV93" s="160">
        <f t="shared" si="45"/>
        <v>222.73249999999999</v>
      </c>
      <c r="BW93" s="160">
        <f t="shared" si="46"/>
        <v>50.195272596949252</v>
      </c>
      <c r="BX93" s="160">
        <f t="shared" si="50"/>
        <v>1415.8525897817603</v>
      </c>
      <c r="BY93" s="156"/>
      <c r="BZ93" s="160">
        <f t="shared" si="51"/>
        <v>523.90413558169553</v>
      </c>
    </row>
    <row r="94" spans="1:78">
      <c r="A94" s="140">
        <f t="shared" si="52"/>
        <v>2018</v>
      </c>
      <c r="B94" s="160">
        <f t="shared" si="32"/>
        <v>0</v>
      </c>
      <c r="C94" s="160">
        <f t="shared" si="33"/>
        <v>0</v>
      </c>
      <c r="D94" s="160">
        <f t="shared" si="33"/>
        <v>0</v>
      </c>
      <c r="E94" s="160">
        <f t="shared" si="33"/>
        <v>0</v>
      </c>
      <c r="F94" s="160">
        <f t="shared" si="33"/>
        <v>0</v>
      </c>
      <c r="G94" s="160">
        <f t="shared" si="33"/>
        <v>0</v>
      </c>
      <c r="H94" s="160">
        <f t="shared" si="33"/>
        <v>0</v>
      </c>
      <c r="I94" s="160">
        <f t="shared" si="33"/>
        <v>0</v>
      </c>
      <c r="J94" s="160">
        <f t="shared" si="33"/>
        <v>0</v>
      </c>
      <c r="K94" s="160">
        <f t="shared" si="33"/>
        <v>0</v>
      </c>
      <c r="L94" s="160">
        <f t="shared" si="33"/>
        <v>0</v>
      </c>
      <c r="M94" s="160">
        <f t="shared" si="33"/>
        <v>0</v>
      </c>
      <c r="N94" s="160">
        <f t="shared" si="33"/>
        <v>0</v>
      </c>
      <c r="O94" s="160">
        <f t="shared" si="33"/>
        <v>0</v>
      </c>
      <c r="P94" s="160">
        <f t="shared" si="33"/>
        <v>0</v>
      </c>
      <c r="Q94" s="160">
        <f t="shared" si="47"/>
        <v>0</v>
      </c>
      <c r="R94" s="160">
        <f t="shared" si="34"/>
        <v>0</v>
      </c>
      <c r="S94" s="160">
        <f t="shared" si="34"/>
        <v>0</v>
      </c>
      <c r="T94" s="160">
        <f t="shared" si="34"/>
        <v>0</v>
      </c>
      <c r="U94" s="160">
        <f t="shared" si="34"/>
        <v>0</v>
      </c>
      <c r="V94" s="160">
        <f>'Cost Assumptions'!$O$99*SUM(Development!R94:U94)</f>
        <v>0</v>
      </c>
      <c r="W94" s="160">
        <f t="shared" si="53"/>
        <v>0</v>
      </c>
      <c r="X94" s="160">
        <f>'Cost Assumptions'!$O$100*SUM(Development!R94:V94)</f>
        <v>0</v>
      </c>
      <c r="Y94" s="160">
        <f t="shared" si="35"/>
        <v>0</v>
      </c>
      <c r="Z94" s="173"/>
      <c r="AA94" s="203">
        <f t="shared" si="36"/>
        <v>4</v>
      </c>
      <c r="AB94" s="475">
        <f>IF(OR($AA94=0,$AA94&gt;40),0,INDEX(Overrides!C$47:C$87,$AA94+1,1)*$AA$85+INDEX(Overrides!C$47:C$87,$AA94,1)*$AB$86)</f>
        <v>0</v>
      </c>
      <c r="AC94" s="475">
        <f>IF(OR($AA94=0,$AA94&gt;40),0,INDEX(Overrides!D$47:D$87,$AA94+1,1)*$AA$85+INDEX(Overrides!D$47:D$87,$AA94,1)*$AB$86)</f>
        <v>0</v>
      </c>
      <c r="AD94" s="475">
        <f>IF(OR($AA94=0,$AA94&gt;40),0,INDEX(Overrides!E$47:E$87,$AA94+1,1)*$AA$85+INDEX(Overrides!E$47:E$87,$AA94,1)*$AB$86)</f>
        <v>0</v>
      </c>
      <c r="AE94" s="475">
        <f>IF(OR($AA94=0,$AA94&gt;40),0,INDEX(Overrides!F$47:F$87,$AA94+1,1)*$AA$85+INDEX(Overrides!F$47:F$87,$AA94,1)*$AB$86)</f>
        <v>0</v>
      </c>
      <c r="AF94" s="475">
        <f>IF(OR($AA94=0,$AA94&gt;40),0,INDEX(Overrides!G$47:G$87,$AA94+1,1)*$AA$85+INDEX(Overrides!G$47:G$87,$AA94,1)*$AB$86)</f>
        <v>0</v>
      </c>
      <c r="AG94" s="475">
        <f>IF(OR($AA94=0,$AA94&gt;40),0,INDEX(Overrides!H$47:H$87,$AA94+1,1)*$AA$85+INDEX(Overrides!H$47:H$87,$AA94,1)*$AB$86)</f>
        <v>0</v>
      </c>
      <c r="AH94" s="475">
        <f>IF(OR($AA94=0,$AA94&gt;40),0,INDEX(Overrides!I$47:I$87,$AA94+1,1)*$AA$85+INDEX(Overrides!I$47:I$87,$AA94,1)*$AB$86)</f>
        <v>0</v>
      </c>
      <c r="AI94" s="475">
        <f>IF(OR($AA94=0,$AA94&gt;40),0,INDEX(Overrides!J$47:J$87,$AA94+1,1)*$AA$85+INDEX(Overrides!J$47:J$87,$AA94,1)*$AB$86)</f>
        <v>0</v>
      </c>
      <c r="AJ94" s="93"/>
      <c r="AK94" s="160">
        <f>B94*'Selected Economics'!$I14*'Sensitivity Ranges'!$F$43</f>
        <v>0</v>
      </c>
      <c r="AL94" s="160">
        <f>IF($AA$84=1,AB94,Q94)*'Selected Economics'!$I14*'Sensitivity Ranges'!$F$43</f>
        <v>0</v>
      </c>
      <c r="AM94" s="160">
        <f>IF($AA$84=1,AC94,R94)*'Selected Economics'!$I14*'Sensitivity Ranges'!$F$43</f>
        <v>0</v>
      </c>
      <c r="AN94" s="160">
        <f>IF($AA$84=1,AD94,S94)*'Selected Economics'!$I14*'Sensitivity Ranges'!$F$43</f>
        <v>0</v>
      </c>
      <c r="AO94" s="160">
        <f>IF($AA$84=1,AE94,T94)*'Selected Economics'!$I14*'Sensitivity Ranges'!$F$43</f>
        <v>0</v>
      </c>
      <c r="AP94" s="160">
        <f>IF($AA$84=1,AF94,U94)*'Selected Economics'!$I14*'Sensitivity Ranges'!$F$43</f>
        <v>0</v>
      </c>
      <c r="AQ94" s="160">
        <f>IF($AA$84=1,AG94,V94)*'Selected Economics'!$I14*'Sensitivity Ranges'!$F$43</f>
        <v>0</v>
      </c>
      <c r="AR94" s="160">
        <f>IF($AA$84=1,AH94,W94)*'Selected Economics'!$I14*'Sensitivity Ranges'!$F$43</f>
        <v>0</v>
      </c>
      <c r="AS94" s="160">
        <f>IF($AA$84=1,AI94,X94)*'Selected Economics'!$I14*'Sensitivity Ranges'!$F$43</f>
        <v>0</v>
      </c>
      <c r="AT94" s="160">
        <f t="shared" si="48"/>
        <v>0</v>
      </c>
      <c r="AU94" s="173"/>
      <c r="AV94" s="160">
        <f t="shared" ref="AV94:AV130" si="54">AK94</f>
        <v>0</v>
      </c>
      <c r="AW94" s="160">
        <f>AL94*Abandonment!$H19</f>
        <v>0</v>
      </c>
      <c r="AX94" s="160">
        <f>AM94*Abandonment!$H19</f>
        <v>0</v>
      </c>
      <c r="AY94" s="160">
        <f>AN94*Abandonment!$H19</f>
        <v>0</v>
      </c>
      <c r="AZ94" s="160">
        <f>AO94*Abandonment!$H19</f>
        <v>0</v>
      </c>
      <c r="BA94" s="160">
        <f>AP94*Abandonment!$H19</f>
        <v>0</v>
      </c>
      <c r="BB94" s="160">
        <f>AQ94*Abandonment!$H19</f>
        <v>0</v>
      </c>
      <c r="BC94" s="160">
        <f>AR94*Abandonment!$H19</f>
        <v>0</v>
      </c>
      <c r="BD94" s="160">
        <f>AS94*Abandonment!$H19</f>
        <v>0</v>
      </c>
      <c r="BE94" s="160">
        <f t="shared" si="49"/>
        <v>0</v>
      </c>
      <c r="BF94" s="173"/>
      <c r="BG94" s="160">
        <f>AW94+Exploration!R38</f>
        <v>0</v>
      </c>
      <c r="BH94" s="160">
        <f>AV94+(AX94+AY94+AZ94+IF(Input!$B$15="Shore",0,Development!BA94)+BB94)*(1+'Cost Assumptions'!$O$100)+BC94</f>
        <v>0</v>
      </c>
      <c r="BI94" s="160">
        <f>IF(Input!$B$15="Shore",Development!BA94,0)*(1+'Cost Assumptions'!$O$100)</f>
        <v>0</v>
      </c>
      <c r="BJ94" s="156"/>
      <c r="BK94" s="156"/>
      <c r="BL94" s="160">
        <f t="shared" si="37"/>
        <v>0</v>
      </c>
      <c r="BM94" s="200"/>
      <c r="BN94" s="156"/>
      <c r="BO94" s="160">
        <f t="shared" si="38"/>
        <v>0</v>
      </c>
      <c r="BP94" s="160">
        <f t="shared" si="39"/>
        <v>0</v>
      </c>
      <c r="BQ94" s="160">
        <f t="shared" si="40"/>
        <v>0</v>
      </c>
      <c r="BR94" s="160">
        <f t="shared" si="41"/>
        <v>0</v>
      </c>
      <c r="BS94" s="160">
        <f t="shared" si="42"/>
        <v>0</v>
      </c>
      <c r="BT94" s="160">
        <f t="shared" si="43"/>
        <v>0</v>
      </c>
      <c r="BU94" s="160">
        <f t="shared" si="44"/>
        <v>0</v>
      </c>
      <c r="BV94" s="160">
        <f t="shared" si="45"/>
        <v>0</v>
      </c>
      <c r="BW94" s="160">
        <f t="shared" si="46"/>
        <v>0</v>
      </c>
      <c r="BX94" s="160">
        <f t="shared" si="50"/>
        <v>0</v>
      </c>
      <c r="BY94" s="156"/>
      <c r="BZ94" s="160">
        <f t="shared" si="51"/>
        <v>0</v>
      </c>
    </row>
    <row r="95" spans="1:78">
      <c r="A95" s="140">
        <f t="shared" si="52"/>
        <v>2019</v>
      </c>
      <c r="B95" s="160">
        <f t="shared" si="32"/>
        <v>0</v>
      </c>
      <c r="C95" s="160">
        <f t="shared" si="33"/>
        <v>0</v>
      </c>
      <c r="D95" s="160">
        <f t="shared" si="33"/>
        <v>0</v>
      </c>
      <c r="E95" s="160">
        <f t="shared" si="33"/>
        <v>0</v>
      </c>
      <c r="F95" s="160">
        <f t="shared" si="33"/>
        <v>0</v>
      </c>
      <c r="G95" s="160">
        <f t="shared" si="33"/>
        <v>0</v>
      </c>
      <c r="H95" s="160">
        <f t="shared" si="33"/>
        <v>0</v>
      </c>
      <c r="I95" s="160">
        <f t="shared" si="33"/>
        <v>0</v>
      </c>
      <c r="J95" s="160">
        <f t="shared" si="33"/>
        <v>0</v>
      </c>
      <c r="K95" s="160">
        <f t="shared" si="33"/>
        <v>0</v>
      </c>
      <c r="L95" s="160">
        <f t="shared" si="33"/>
        <v>0</v>
      </c>
      <c r="M95" s="160">
        <f t="shared" si="33"/>
        <v>0</v>
      </c>
      <c r="N95" s="160">
        <f t="shared" si="33"/>
        <v>0</v>
      </c>
      <c r="O95" s="160">
        <f t="shared" si="33"/>
        <v>0</v>
      </c>
      <c r="P95" s="160">
        <f t="shared" si="33"/>
        <v>0</v>
      </c>
      <c r="Q95" s="160">
        <f t="shared" si="47"/>
        <v>0</v>
      </c>
      <c r="R95" s="160">
        <f t="shared" si="34"/>
        <v>0</v>
      </c>
      <c r="S95" s="160">
        <f t="shared" si="34"/>
        <v>0</v>
      </c>
      <c r="T95" s="160">
        <f t="shared" si="34"/>
        <v>0</v>
      </c>
      <c r="U95" s="160">
        <f t="shared" si="34"/>
        <v>0</v>
      </c>
      <c r="V95" s="160">
        <f>'Cost Assumptions'!$O$99*SUM(Development!R95:U95)</f>
        <v>0</v>
      </c>
      <c r="W95" s="160">
        <f t="shared" si="53"/>
        <v>0</v>
      </c>
      <c r="X95" s="160">
        <f>'Cost Assumptions'!$O$100*SUM(Development!R95:V95)</f>
        <v>0</v>
      </c>
      <c r="Y95" s="160">
        <f t="shared" si="35"/>
        <v>0</v>
      </c>
      <c r="Z95" s="173"/>
      <c r="AA95" s="203">
        <f t="shared" si="36"/>
        <v>5</v>
      </c>
      <c r="AB95" s="475">
        <f>IF(OR($AA95=0,$AA95&gt;40),0,INDEX(Overrides!C$47:C$87,$AA95+1,1)*$AA$85+INDEX(Overrides!C$47:C$87,$AA95,1)*$AB$86)</f>
        <v>0</v>
      </c>
      <c r="AC95" s="475">
        <f>IF(OR($AA95=0,$AA95&gt;40),0,INDEX(Overrides!D$47:D$87,$AA95+1,1)*$AA$85+INDEX(Overrides!D$47:D$87,$AA95,1)*$AB$86)</f>
        <v>0</v>
      </c>
      <c r="AD95" s="475">
        <f>IF(OR($AA95=0,$AA95&gt;40),0,INDEX(Overrides!E$47:E$87,$AA95+1,1)*$AA$85+INDEX(Overrides!E$47:E$87,$AA95,1)*$AB$86)</f>
        <v>0</v>
      </c>
      <c r="AE95" s="475">
        <f>IF(OR($AA95=0,$AA95&gt;40),0,INDEX(Overrides!F$47:F$87,$AA95+1,1)*$AA$85+INDEX(Overrides!F$47:F$87,$AA95,1)*$AB$86)</f>
        <v>0</v>
      </c>
      <c r="AF95" s="475">
        <f>IF(OR($AA95=0,$AA95&gt;40),0,INDEX(Overrides!G$47:G$87,$AA95+1,1)*$AA$85+INDEX(Overrides!G$47:G$87,$AA95,1)*$AB$86)</f>
        <v>0</v>
      </c>
      <c r="AG95" s="475">
        <f>IF(OR($AA95=0,$AA95&gt;40),0,INDEX(Overrides!H$47:H$87,$AA95+1,1)*$AA$85+INDEX(Overrides!H$47:H$87,$AA95,1)*$AB$86)</f>
        <v>0</v>
      </c>
      <c r="AH95" s="475">
        <f>IF(OR($AA95=0,$AA95&gt;40),0,INDEX(Overrides!I$47:I$87,$AA95+1,1)*$AA$85+INDEX(Overrides!I$47:I$87,$AA95,1)*$AB$86)</f>
        <v>0</v>
      </c>
      <c r="AI95" s="475">
        <f>IF(OR($AA95=0,$AA95&gt;40),0,INDEX(Overrides!J$47:J$87,$AA95+1,1)*$AA$85+INDEX(Overrides!J$47:J$87,$AA95,1)*$AB$86)</f>
        <v>0</v>
      </c>
      <c r="AJ95" s="93"/>
      <c r="AK95" s="160">
        <f>B95*'Selected Economics'!$I15*'Sensitivity Ranges'!$F$43</f>
        <v>0</v>
      </c>
      <c r="AL95" s="160">
        <f>IF($AA$84=1,AB95,Q95)*'Selected Economics'!$I15*'Sensitivity Ranges'!$F$43</f>
        <v>0</v>
      </c>
      <c r="AM95" s="160">
        <f>IF($AA$84=1,AC95,R95)*'Selected Economics'!$I15*'Sensitivity Ranges'!$F$43</f>
        <v>0</v>
      </c>
      <c r="AN95" s="160">
        <f>IF($AA$84=1,AD95,S95)*'Selected Economics'!$I15*'Sensitivity Ranges'!$F$43</f>
        <v>0</v>
      </c>
      <c r="AO95" s="160">
        <f>IF($AA$84=1,AE95,T95)*'Selected Economics'!$I15*'Sensitivity Ranges'!$F$43</f>
        <v>0</v>
      </c>
      <c r="AP95" s="160">
        <f>IF($AA$84=1,AF95,U95)*'Selected Economics'!$I15*'Sensitivity Ranges'!$F$43</f>
        <v>0</v>
      </c>
      <c r="AQ95" s="160">
        <f>IF($AA$84=1,AG95,V95)*'Selected Economics'!$I15*'Sensitivity Ranges'!$F$43</f>
        <v>0</v>
      </c>
      <c r="AR95" s="160">
        <f>IF($AA$84=1,AH95,W95)*'Selected Economics'!$I15*'Sensitivity Ranges'!$F$43</f>
        <v>0</v>
      </c>
      <c r="AS95" s="160">
        <f>IF($AA$84=1,AI95,X95)*'Selected Economics'!$I15*'Sensitivity Ranges'!$F$43</f>
        <v>0</v>
      </c>
      <c r="AT95" s="160">
        <f t="shared" si="48"/>
        <v>0</v>
      </c>
      <c r="AU95" s="173"/>
      <c r="AV95" s="160">
        <f t="shared" si="54"/>
        <v>0</v>
      </c>
      <c r="AW95" s="160">
        <f>AL95*Abandonment!$H20</f>
        <v>0</v>
      </c>
      <c r="AX95" s="160">
        <f>AM95*Abandonment!$H20</f>
        <v>0</v>
      </c>
      <c r="AY95" s="160">
        <f>AN95*Abandonment!$H20</f>
        <v>0</v>
      </c>
      <c r="AZ95" s="160">
        <f>AO95*Abandonment!$H20</f>
        <v>0</v>
      </c>
      <c r="BA95" s="160">
        <f>AP95*Abandonment!$H20</f>
        <v>0</v>
      </c>
      <c r="BB95" s="160">
        <f>AQ95*Abandonment!$H20</f>
        <v>0</v>
      </c>
      <c r="BC95" s="160">
        <f>AR95*Abandonment!$H20</f>
        <v>0</v>
      </c>
      <c r="BD95" s="160">
        <f>AS95*Abandonment!$H20</f>
        <v>0</v>
      </c>
      <c r="BE95" s="160">
        <f t="shared" si="49"/>
        <v>0</v>
      </c>
      <c r="BF95" s="173"/>
      <c r="BG95" s="160">
        <f>AW95+Exploration!R39</f>
        <v>0</v>
      </c>
      <c r="BH95" s="160">
        <f>AV95+(AX95+AY95+AZ95+IF(Input!$B$15="Shore",0,Development!BA95)+BB95)*(1+'Cost Assumptions'!$O$100)+BC95</f>
        <v>0</v>
      </c>
      <c r="BI95" s="160">
        <f>IF(Input!$B$15="Shore",Development!BA95,0)*(1+'Cost Assumptions'!$O$100)</f>
        <v>0</v>
      </c>
      <c r="BJ95" s="156"/>
      <c r="BK95" s="156"/>
      <c r="BL95" s="160">
        <f t="shared" si="37"/>
        <v>0</v>
      </c>
      <c r="BM95" s="200"/>
      <c r="BN95" s="156"/>
      <c r="BO95" s="160">
        <f t="shared" si="38"/>
        <v>0</v>
      </c>
      <c r="BP95" s="160">
        <f t="shared" si="39"/>
        <v>0</v>
      </c>
      <c r="BQ95" s="160">
        <f t="shared" si="40"/>
        <v>0</v>
      </c>
      <c r="BR95" s="160">
        <f t="shared" si="41"/>
        <v>0</v>
      </c>
      <c r="BS95" s="160">
        <f t="shared" si="42"/>
        <v>0</v>
      </c>
      <c r="BT95" s="160">
        <f t="shared" si="43"/>
        <v>0</v>
      </c>
      <c r="BU95" s="160">
        <f t="shared" si="44"/>
        <v>0</v>
      </c>
      <c r="BV95" s="160">
        <f t="shared" si="45"/>
        <v>0</v>
      </c>
      <c r="BW95" s="160">
        <f t="shared" si="46"/>
        <v>0</v>
      </c>
      <c r="BX95" s="160">
        <f t="shared" si="50"/>
        <v>0</v>
      </c>
      <c r="BY95" s="160"/>
      <c r="BZ95" s="160">
        <f t="shared" si="51"/>
        <v>0</v>
      </c>
    </row>
    <row r="96" spans="1:78">
      <c r="A96" s="140">
        <f t="shared" si="52"/>
        <v>2020</v>
      </c>
      <c r="B96" s="160">
        <f t="shared" si="32"/>
        <v>0</v>
      </c>
      <c r="C96" s="160">
        <f t="shared" si="33"/>
        <v>0</v>
      </c>
      <c r="D96" s="160">
        <f t="shared" si="33"/>
        <v>0</v>
      </c>
      <c r="E96" s="160">
        <f t="shared" si="33"/>
        <v>0</v>
      </c>
      <c r="F96" s="160">
        <f t="shared" si="33"/>
        <v>0</v>
      </c>
      <c r="G96" s="160">
        <f t="shared" si="33"/>
        <v>0</v>
      </c>
      <c r="H96" s="160">
        <f t="shared" si="33"/>
        <v>0</v>
      </c>
      <c r="I96" s="160">
        <f t="shared" si="33"/>
        <v>0</v>
      </c>
      <c r="J96" s="160">
        <f t="shared" si="33"/>
        <v>0</v>
      </c>
      <c r="K96" s="160">
        <f t="shared" si="33"/>
        <v>0</v>
      </c>
      <c r="L96" s="160">
        <f t="shared" si="33"/>
        <v>0</v>
      </c>
      <c r="M96" s="160">
        <f t="shared" si="33"/>
        <v>0</v>
      </c>
      <c r="N96" s="160">
        <f t="shared" si="33"/>
        <v>0</v>
      </c>
      <c r="O96" s="160">
        <f t="shared" si="33"/>
        <v>0</v>
      </c>
      <c r="P96" s="160">
        <f t="shared" si="33"/>
        <v>0</v>
      </c>
      <c r="Q96" s="160">
        <f t="shared" si="47"/>
        <v>0</v>
      </c>
      <c r="R96" s="160">
        <f t="shared" si="34"/>
        <v>0</v>
      </c>
      <c r="S96" s="160">
        <f t="shared" si="34"/>
        <v>0</v>
      </c>
      <c r="T96" s="160">
        <f t="shared" si="34"/>
        <v>0</v>
      </c>
      <c r="U96" s="160">
        <f t="shared" si="34"/>
        <v>0</v>
      </c>
      <c r="V96" s="160">
        <f>'Cost Assumptions'!$O$99*SUM(Development!R96:U96)</f>
        <v>0</v>
      </c>
      <c r="W96" s="160">
        <f t="shared" si="53"/>
        <v>0</v>
      </c>
      <c r="X96" s="160">
        <f>'Cost Assumptions'!$O$100*SUM(Development!R96:V96)</f>
        <v>0</v>
      </c>
      <c r="Y96" s="160">
        <f t="shared" si="35"/>
        <v>0</v>
      </c>
      <c r="Z96" s="173"/>
      <c r="AA96" s="203">
        <f t="shared" si="36"/>
        <v>6</v>
      </c>
      <c r="AB96" s="475">
        <f>IF(OR($AA96=0,$AA96&gt;40),0,INDEX(Overrides!C$47:C$87,$AA96+1,1)*$AA$85+INDEX(Overrides!C$47:C$87,$AA96,1)*$AB$86)</f>
        <v>0</v>
      </c>
      <c r="AC96" s="475">
        <f>IF(OR($AA96=0,$AA96&gt;40),0,INDEX(Overrides!D$47:D$87,$AA96+1,1)*$AA$85+INDEX(Overrides!D$47:D$87,$AA96,1)*$AB$86)</f>
        <v>0</v>
      </c>
      <c r="AD96" s="475">
        <f>IF(OR($AA96=0,$AA96&gt;40),0,INDEX(Overrides!E$47:E$87,$AA96+1,1)*$AA$85+INDEX(Overrides!E$47:E$87,$AA96,1)*$AB$86)</f>
        <v>0</v>
      </c>
      <c r="AE96" s="475">
        <f>IF(OR($AA96=0,$AA96&gt;40),0,INDEX(Overrides!F$47:F$87,$AA96+1,1)*$AA$85+INDEX(Overrides!F$47:F$87,$AA96,1)*$AB$86)</f>
        <v>0</v>
      </c>
      <c r="AF96" s="475">
        <f>IF(OR($AA96=0,$AA96&gt;40),0,INDEX(Overrides!G$47:G$87,$AA96+1,1)*$AA$85+INDEX(Overrides!G$47:G$87,$AA96,1)*$AB$86)</f>
        <v>0</v>
      </c>
      <c r="AG96" s="475">
        <f>IF(OR($AA96=0,$AA96&gt;40),0,INDEX(Overrides!H$47:H$87,$AA96+1,1)*$AA$85+INDEX(Overrides!H$47:H$87,$AA96,1)*$AB$86)</f>
        <v>0</v>
      </c>
      <c r="AH96" s="475">
        <f>IF(OR($AA96=0,$AA96&gt;40),0,INDEX(Overrides!I$47:I$87,$AA96+1,1)*$AA$85+INDEX(Overrides!I$47:I$87,$AA96,1)*$AB$86)</f>
        <v>0</v>
      </c>
      <c r="AI96" s="475">
        <f>IF(OR($AA96=0,$AA96&gt;40),0,INDEX(Overrides!J$47:J$87,$AA96+1,1)*$AA$85+INDEX(Overrides!J$47:J$87,$AA96,1)*$AB$86)</f>
        <v>0</v>
      </c>
      <c r="AJ96" s="93"/>
      <c r="AK96" s="160">
        <f>B96*'Selected Economics'!$I16*'Sensitivity Ranges'!$F$43</f>
        <v>0</v>
      </c>
      <c r="AL96" s="160">
        <f>IF($AA$84=1,AB96,Q96)*'Selected Economics'!$I16*'Sensitivity Ranges'!$F$43</f>
        <v>0</v>
      </c>
      <c r="AM96" s="160">
        <f>IF($AA$84=1,AC96,R96)*'Selected Economics'!$I16*'Sensitivity Ranges'!$F$43</f>
        <v>0</v>
      </c>
      <c r="AN96" s="160">
        <f>IF($AA$84=1,AD96,S96)*'Selected Economics'!$I16*'Sensitivity Ranges'!$F$43</f>
        <v>0</v>
      </c>
      <c r="AO96" s="160">
        <f>IF($AA$84=1,AE96,T96)*'Selected Economics'!$I16*'Sensitivity Ranges'!$F$43</f>
        <v>0</v>
      </c>
      <c r="AP96" s="160">
        <f>IF($AA$84=1,AF96,U96)*'Selected Economics'!$I16*'Sensitivity Ranges'!$F$43</f>
        <v>0</v>
      </c>
      <c r="AQ96" s="160">
        <f>IF($AA$84=1,AG96,V96)*'Selected Economics'!$I16*'Sensitivity Ranges'!$F$43</f>
        <v>0</v>
      </c>
      <c r="AR96" s="160">
        <f>IF($AA$84=1,AH96,W96)*'Selected Economics'!$I16*'Sensitivity Ranges'!$F$43</f>
        <v>0</v>
      </c>
      <c r="AS96" s="160">
        <f>IF($AA$84=1,AI96,X96)*'Selected Economics'!$I16*'Sensitivity Ranges'!$F$43</f>
        <v>0</v>
      </c>
      <c r="AT96" s="160">
        <f t="shared" si="48"/>
        <v>0</v>
      </c>
      <c r="AU96" s="173"/>
      <c r="AV96" s="160">
        <f t="shared" si="54"/>
        <v>0</v>
      </c>
      <c r="AW96" s="160">
        <f>AL96*Abandonment!$H21</f>
        <v>0</v>
      </c>
      <c r="AX96" s="160">
        <f>AM96*Abandonment!$H21</f>
        <v>0</v>
      </c>
      <c r="AY96" s="160">
        <f>AN96*Abandonment!$H21</f>
        <v>0</v>
      </c>
      <c r="AZ96" s="160">
        <f>AO96*Abandonment!$H21</f>
        <v>0</v>
      </c>
      <c r="BA96" s="160">
        <f>AP96*Abandonment!$H21</f>
        <v>0</v>
      </c>
      <c r="BB96" s="160">
        <f>AQ96*Abandonment!$H21</f>
        <v>0</v>
      </c>
      <c r="BC96" s="160">
        <f>AR96*Abandonment!$H21</f>
        <v>0</v>
      </c>
      <c r="BD96" s="160">
        <f>AS96*Abandonment!$H21</f>
        <v>0</v>
      </c>
      <c r="BE96" s="160">
        <f t="shared" si="49"/>
        <v>0</v>
      </c>
      <c r="BF96" s="173"/>
      <c r="BG96" s="160">
        <f>AW96+Exploration!R40</f>
        <v>0</v>
      </c>
      <c r="BH96" s="160">
        <f>AV96+(AX96+AY96+AZ96+IF(Input!$B$15="Shore",0,Development!BA96)+BB96)*(1+'Cost Assumptions'!$O$100)+BC96</f>
        <v>0</v>
      </c>
      <c r="BI96" s="160">
        <f>IF(Input!$B$15="Shore",Development!BA96,0)*(1+'Cost Assumptions'!$O$100)</f>
        <v>0</v>
      </c>
      <c r="BJ96" s="156"/>
      <c r="BK96" s="156"/>
      <c r="BL96" s="160">
        <f t="shared" si="37"/>
        <v>0</v>
      </c>
      <c r="BM96" s="200"/>
      <c r="BN96" s="156"/>
      <c r="BO96" s="160">
        <f t="shared" si="38"/>
        <v>0</v>
      </c>
      <c r="BP96" s="160">
        <f t="shared" si="39"/>
        <v>0</v>
      </c>
      <c r="BQ96" s="160">
        <f t="shared" si="40"/>
        <v>0</v>
      </c>
      <c r="BR96" s="160">
        <f t="shared" si="41"/>
        <v>0</v>
      </c>
      <c r="BS96" s="160">
        <f t="shared" si="42"/>
        <v>0</v>
      </c>
      <c r="BT96" s="160">
        <f t="shared" si="43"/>
        <v>0</v>
      </c>
      <c r="BU96" s="160">
        <f t="shared" si="44"/>
        <v>0</v>
      </c>
      <c r="BV96" s="160">
        <f t="shared" si="45"/>
        <v>0</v>
      </c>
      <c r="BW96" s="160">
        <f t="shared" si="46"/>
        <v>0</v>
      </c>
      <c r="BX96" s="160">
        <f t="shared" si="50"/>
        <v>0</v>
      </c>
      <c r="BY96" s="160"/>
      <c r="BZ96" s="160">
        <f t="shared" si="51"/>
        <v>0</v>
      </c>
    </row>
    <row r="97" spans="1:78">
      <c r="A97" s="140">
        <f t="shared" si="52"/>
        <v>2021</v>
      </c>
      <c r="B97" s="160">
        <f t="shared" si="32"/>
        <v>0</v>
      </c>
      <c r="C97" s="160">
        <f t="shared" si="33"/>
        <v>0</v>
      </c>
      <c r="D97" s="160">
        <f t="shared" si="33"/>
        <v>0</v>
      </c>
      <c r="E97" s="160">
        <f t="shared" si="33"/>
        <v>0</v>
      </c>
      <c r="F97" s="160">
        <f t="shared" si="33"/>
        <v>0</v>
      </c>
      <c r="G97" s="160">
        <f t="shared" si="33"/>
        <v>0</v>
      </c>
      <c r="H97" s="160">
        <f t="shared" si="33"/>
        <v>0</v>
      </c>
      <c r="I97" s="160">
        <f t="shared" si="33"/>
        <v>0</v>
      </c>
      <c r="J97" s="160">
        <f t="shared" si="33"/>
        <v>0</v>
      </c>
      <c r="K97" s="160">
        <f t="shared" si="33"/>
        <v>0</v>
      </c>
      <c r="L97" s="160">
        <f t="shared" si="33"/>
        <v>0</v>
      </c>
      <c r="M97" s="160">
        <f t="shared" si="33"/>
        <v>0</v>
      </c>
      <c r="N97" s="160">
        <f t="shared" si="33"/>
        <v>0</v>
      </c>
      <c r="O97" s="160">
        <f t="shared" si="33"/>
        <v>0</v>
      </c>
      <c r="P97" s="160">
        <f t="shared" si="33"/>
        <v>0</v>
      </c>
      <c r="Q97" s="160">
        <f t="shared" si="47"/>
        <v>0</v>
      </c>
      <c r="R97" s="160">
        <f t="shared" si="34"/>
        <v>0</v>
      </c>
      <c r="S97" s="160">
        <f t="shared" si="34"/>
        <v>0</v>
      </c>
      <c r="T97" s="160">
        <f t="shared" si="34"/>
        <v>0</v>
      </c>
      <c r="U97" s="160">
        <f t="shared" si="34"/>
        <v>0</v>
      </c>
      <c r="V97" s="160">
        <f>'Cost Assumptions'!$O$99*SUM(Development!R97:U97)</f>
        <v>0</v>
      </c>
      <c r="W97" s="160">
        <f t="shared" si="53"/>
        <v>0</v>
      </c>
      <c r="X97" s="160">
        <f>'Cost Assumptions'!$O$100*SUM(Development!R97:V97)</f>
        <v>0</v>
      </c>
      <c r="Y97" s="160">
        <f t="shared" si="35"/>
        <v>0</v>
      </c>
      <c r="Z97" s="173"/>
      <c r="AA97" s="203">
        <f t="shared" si="36"/>
        <v>7</v>
      </c>
      <c r="AB97" s="475">
        <f>IF(OR($AA97=0,$AA97&gt;40),0,INDEX(Overrides!C$47:C$87,$AA97+1,1)*$AA$85+INDEX(Overrides!C$47:C$87,$AA97,1)*$AB$86)</f>
        <v>0</v>
      </c>
      <c r="AC97" s="475">
        <f>IF(OR($AA97=0,$AA97&gt;40),0,INDEX(Overrides!D$47:D$87,$AA97+1,1)*$AA$85+INDEX(Overrides!D$47:D$87,$AA97,1)*$AB$86)</f>
        <v>0</v>
      </c>
      <c r="AD97" s="475">
        <f>IF(OR($AA97=0,$AA97&gt;40),0,INDEX(Overrides!E$47:E$87,$AA97+1,1)*$AA$85+INDEX(Overrides!E$47:E$87,$AA97,1)*$AB$86)</f>
        <v>0</v>
      </c>
      <c r="AE97" s="475">
        <f>IF(OR($AA97=0,$AA97&gt;40),0,INDEX(Overrides!F$47:F$87,$AA97+1,1)*$AA$85+INDEX(Overrides!F$47:F$87,$AA97,1)*$AB$86)</f>
        <v>0</v>
      </c>
      <c r="AF97" s="475">
        <f>IF(OR($AA97=0,$AA97&gt;40),0,INDEX(Overrides!G$47:G$87,$AA97+1,1)*$AA$85+INDEX(Overrides!G$47:G$87,$AA97,1)*$AB$86)</f>
        <v>0</v>
      </c>
      <c r="AG97" s="475">
        <f>IF(OR($AA97=0,$AA97&gt;40),0,INDEX(Overrides!H$47:H$87,$AA97+1,1)*$AA$85+INDEX(Overrides!H$47:H$87,$AA97,1)*$AB$86)</f>
        <v>0</v>
      </c>
      <c r="AH97" s="475">
        <f>IF(OR($AA97=0,$AA97&gt;40),0,INDEX(Overrides!I$47:I$87,$AA97+1,1)*$AA$85+INDEX(Overrides!I$47:I$87,$AA97,1)*$AB$86)</f>
        <v>0</v>
      </c>
      <c r="AI97" s="475">
        <f>IF(OR($AA97=0,$AA97&gt;40),0,INDEX(Overrides!J$47:J$87,$AA97+1,1)*$AA$85+INDEX(Overrides!J$47:J$87,$AA97,1)*$AB$86)</f>
        <v>0</v>
      </c>
      <c r="AJ97" s="93"/>
      <c r="AK97" s="160">
        <f>B97*'Selected Economics'!$I17*'Sensitivity Ranges'!$F$43</f>
        <v>0</v>
      </c>
      <c r="AL97" s="160">
        <f>IF($AA$84=1,AB97,Q97)*'Selected Economics'!$I17*'Sensitivity Ranges'!$F$43</f>
        <v>0</v>
      </c>
      <c r="AM97" s="160">
        <f>IF($AA$84=1,AC97,R97)*'Selected Economics'!$I17*'Sensitivity Ranges'!$F$43</f>
        <v>0</v>
      </c>
      <c r="AN97" s="160">
        <f>IF($AA$84=1,AD97,S97)*'Selected Economics'!$I17*'Sensitivity Ranges'!$F$43</f>
        <v>0</v>
      </c>
      <c r="AO97" s="160">
        <f>IF($AA$84=1,AE97,T97)*'Selected Economics'!$I17*'Sensitivity Ranges'!$F$43</f>
        <v>0</v>
      </c>
      <c r="AP97" s="160">
        <f>IF($AA$84=1,AF97,U97)*'Selected Economics'!$I17*'Sensitivity Ranges'!$F$43</f>
        <v>0</v>
      </c>
      <c r="AQ97" s="160">
        <f>IF($AA$84=1,AG97,V97)*'Selected Economics'!$I17*'Sensitivity Ranges'!$F$43</f>
        <v>0</v>
      </c>
      <c r="AR97" s="160">
        <f>IF($AA$84=1,AH97,W97)*'Selected Economics'!$I17*'Sensitivity Ranges'!$F$43</f>
        <v>0</v>
      </c>
      <c r="AS97" s="160">
        <f>IF($AA$84=1,AI97,X97)*'Selected Economics'!$I17*'Sensitivity Ranges'!$F$43</f>
        <v>0</v>
      </c>
      <c r="AT97" s="160">
        <f t="shared" si="48"/>
        <v>0</v>
      </c>
      <c r="AU97" s="173"/>
      <c r="AV97" s="160">
        <f t="shared" si="54"/>
        <v>0</v>
      </c>
      <c r="AW97" s="160">
        <f>AL97*Abandonment!$H22</f>
        <v>0</v>
      </c>
      <c r="AX97" s="160">
        <f>AM97*Abandonment!$H22</f>
        <v>0</v>
      </c>
      <c r="AY97" s="160">
        <f>AN97*Abandonment!$H22</f>
        <v>0</v>
      </c>
      <c r="AZ97" s="160">
        <f>AO97*Abandonment!$H22</f>
        <v>0</v>
      </c>
      <c r="BA97" s="160">
        <f>AP97*Abandonment!$H22</f>
        <v>0</v>
      </c>
      <c r="BB97" s="160">
        <f>AQ97*Abandonment!$H22</f>
        <v>0</v>
      </c>
      <c r="BC97" s="160">
        <f>AR97*Abandonment!$H22</f>
        <v>0</v>
      </c>
      <c r="BD97" s="160">
        <f>AS97*Abandonment!$H22</f>
        <v>0</v>
      </c>
      <c r="BE97" s="160">
        <f t="shared" si="49"/>
        <v>0</v>
      </c>
      <c r="BF97" s="173"/>
      <c r="BG97" s="160">
        <f>AW97+Exploration!R41</f>
        <v>0</v>
      </c>
      <c r="BH97" s="160">
        <f>AV97+(AX97+AY97+AZ97+IF(Input!$B$15="Shore",0,Development!BA97)+BB97)*(1+'Cost Assumptions'!$O$100)+BC97</f>
        <v>0</v>
      </c>
      <c r="BI97" s="160">
        <f>IF(Input!$B$15="Shore",Development!BA97,0)*(1+'Cost Assumptions'!$O$100)</f>
        <v>0</v>
      </c>
      <c r="BJ97" s="156"/>
      <c r="BK97" s="156"/>
      <c r="BL97" s="160">
        <f t="shared" si="37"/>
        <v>0</v>
      </c>
      <c r="BM97" s="200"/>
      <c r="BN97" s="156"/>
      <c r="BO97" s="160">
        <f t="shared" si="38"/>
        <v>0</v>
      </c>
      <c r="BP97" s="160">
        <f t="shared" si="39"/>
        <v>0</v>
      </c>
      <c r="BQ97" s="160">
        <f t="shared" si="40"/>
        <v>0</v>
      </c>
      <c r="BR97" s="160">
        <f t="shared" si="41"/>
        <v>0</v>
      </c>
      <c r="BS97" s="160">
        <f t="shared" si="42"/>
        <v>0</v>
      </c>
      <c r="BT97" s="160">
        <f t="shared" si="43"/>
        <v>0</v>
      </c>
      <c r="BU97" s="160">
        <f t="shared" si="44"/>
        <v>0</v>
      </c>
      <c r="BV97" s="160">
        <f t="shared" si="45"/>
        <v>0</v>
      </c>
      <c r="BW97" s="160">
        <f t="shared" si="46"/>
        <v>0</v>
      </c>
      <c r="BX97" s="160">
        <f t="shared" si="50"/>
        <v>0</v>
      </c>
      <c r="BY97" s="160"/>
      <c r="BZ97" s="160">
        <f t="shared" si="51"/>
        <v>0</v>
      </c>
    </row>
    <row r="98" spans="1:78">
      <c r="A98" s="140">
        <f t="shared" si="52"/>
        <v>2022</v>
      </c>
      <c r="B98" s="160">
        <f t="shared" si="32"/>
        <v>0</v>
      </c>
      <c r="C98" s="160">
        <f t="shared" si="33"/>
        <v>0</v>
      </c>
      <c r="D98" s="160">
        <f t="shared" si="33"/>
        <v>0</v>
      </c>
      <c r="E98" s="160">
        <f t="shared" si="33"/>
        <v>0</v>
      </c>
      <c r="F98" s="160">
        <f t="shared" si="33"/>
        <v>0</v>
      </c>
      <c r="G98" s="160">
        <f t="shared" si="33"/>
        <v>0</v>
      </c>
      <c r="H98" s="160">
        <f t="shared" si="33"/>
        <v>0</v>
      </c>
      <c r="I98" s="160">
        <f t="shared" si="33"/>
        <v>0</v>
      </c>
      <c r="J98" s="160">
        <f t="shared" si="33"/>
        <v>0</v>
      </c>
      <c r="K98" s="160">
        <f t="shared" si="33"/>
        <v>0</v>
      </c>
      <c r="L98" s="160">
        <f t="shared" si="33"/>
        <v>0</v>
      </c>
      <c r="M98" s="160">
        <f t="shared" si="33"/>
        <v>0</v>
      </c>
      <c r="N98" s="160">
        <f t="shared" si="33"/>
        <v>0</v>
      </c>
      <c r="O98" s="160">
        <f t="shared" si="33"/>
        <v>0</v>
      </c>
      <c r="P98" s="160">
        <f t="shared" si="33"/>
        <v>0</v>
      </c>
      <c r="Q98" s="160">
        <f t="shared" si="47"/>
        <v>0</v>
      </c>
      <c r="R98" s="160">
        <f t="shared" si="34"/>
        <v>0</v>
      </c>
      <c r="S98" s="160">
        <f t="shared" si="34"/>
        <v>0</v>
      </c>
      <c r="T98" s="160">
        <f t="shared" si="34"/>
        <v>0</v>
      </c>
      <c r="U98" s="160">
        <f t="shared" si="34"/>
        <v>0</v>
      </c>
      <c r="V98" s="160">
        <f>'Cost Assumptions'!$O$99*SUM(Development!R98:U98)</f>
        <v>0</v>
      </c>
      <c r="W98" s="160">
        <f t="shared" si="53"/>
        <v>0</v>
      </c>
      <c r="X98" s="160">
        <f>'Cost Assumptions'!$O$100*SUM(Development!R98:V98)</f>
        <v>0</v>
      </c>
      <c r="Y98" s="160">
        <f t="shared" si="35"/>
        <v>0</v>
      </c>
      <c r="Z98" s="173"/>
      <c r="AA98" s="203">
        <f t="shared" si="36"/>
        <v>8</v>
      </c>
      <c r="AB98" s="475">
        <f>IF(OR($AA98=0,$AA98&gt;40),0,INDEX(Overrides!C$47:C$87,$AA98+1,1)*$AA$85+INDEX(Overrides!C$47:C$87,$AA98,1)*$AB$86)</f>
        <v>0</v>
      </c>
      <c r="AC98" s="475">
        <f>IF(OR($AA98=0,$AA98&gt;40),0,INDEX(Overrides!D$47:D$87,$AA98+1,1)*$AA$85+INDEX(Overrides!D$47:D$87,$AA98,1)*$AB$86)</f>
        <v>0</v>
      </c>
      <c r="AD98" s="475">
        <f>IF(OR($AA98=0,$AA98&gt;40),0,INDEX(Overrides!E$47:E$87,$AA98+1,1)*$AA$85+INDEX(Overrides!E$47:E$87,$AA98,1)*$AB$86)</f>
        <v>0</v>
      </c>
      <c r="AE98" s="475">
        <f>IF(OR($AA98=0,$AA98&gt;40),0,INDEX(Overrides!F$47:F$87,$AA98+1,1)*$AA$85+INDEX(Overrides!F$47:F$87,$AA98,1)*$AB$86)</f>
        <v>0</v>
      </c>
      <c r="AF98" s="475">
        <f>IF(OR($AA98=0,$AA98&gt;40),0,INDEX(Overrides!G$47:G$87,$AA98+1,1)*$AA$85+INDEX(Overrides!G$47:G$87,$AA98,1)*$AB$86)</f>
        <v>0</v>
      </c>
      <c r="AG98" s="475">
        <f>IF(OR($AA98=0,$AA98&gt;40),0,INDEX(Overrides!H$47:H$87,$AA98+1,1)*$AA$85+INDEX(Overrides!H$47:H$87,$AA98,1)*$AB$86)</f>
        <v>0</v>
      </c>
      <c r="AH98" s="475">
        <f>IF(OR($AA98=0,$AA98&gt;40),0,INDEX(Overrides!I$47:I$87,$AA98+1,1)*$AA$85+INDEX(Overrides!I$47:I$87,$AA98,1)*$AB$86)</f>
        <v>0</v>
      </c>
      <c r="AI98" s="475">
        <f>IF(OR($AA98=0,$AA98&gt;40),0,INDEX(Overrides!J$47:J$87,$AA98+1,1)*$AA$85+INDEX(Overrides!J$47:J$87,$AA98,1)*$AB$86)</f>
        <v>0</v>
      </c>
      <c r="AJ98" s="93"/>
      <c r="AK98" s="160">
        <f>B98*'Selected Economics'!$I18*'Sensitivity Ranges'!$F$43</f>
        <v>0</v>
      </c>
      <c r="AL98" s="160">
        <f>IF($AA$84=1,AB98,Q98)*'Selected Economics'!$I18*'Sensitivity Ranges'!$F$43</f>
        <v>0</v>
      </c>
      <c r="AM98" s="160">
        <f>IF($AA$84=1,AC98,R98)*'Selected Economics'!$I18*'Sensitivity Ranges'!$F$43</f>
        <v>0</v>
      </c>
      <c r="AN98" s="160">
        <f>IF($AA$84=1,AD98,S98)*'Selected Economics'!$I18*'Sensitivity Ranges'!$F$43</f>
        <v>0</v>
      </c>
      <c r="AO98" s="160">
        <f>IF($AA$84=1,AE98,T98)*'Selected Economics'!$I18*'Sensitivity Ranges'!$F$43</f>
        <v>0</v>
      </c>
      <c r="AP98" s="160">
        <f>IF($AA$84=1,AF98,U98)*'Selected Economics'!$I18*'Sensitivity Ranges'!$F$43</f>
        <v>0</v>
      </c>
      <c r="AQ98" s="160">
        <f>IF($AA$84=1,AG98,V98)*'Selected Economics'!$I18*'Sensitivity Ranges'!$F$43</f>
        <v>0</v>
      </c>
      <c r="AR98" s="160">
        <f>IF($AA$84=1,AH98,W98)*'Selected Economics'!$I18*'Sensitivity Ranges'!$F$43</f>
        <v>0</v>
      </c>
      <c r="AS98" s="160">
        <f>IF($AA$84=1,AI98,X98)*'Selected Economics'!$I18*'Sensitivity Ranges'!$F$43</f>
        <v>0</v>
      </c>
      <c r="AT98" s="160">
        <f t="shared" si="48"/>
        <v>0</v>
      </c>
      <c r="AU98" s="173"/>
      <c r="AV98" s="160">
        <f t="shared" si="54"/>
        <v>0</v>
      </c>
      <c r="AW98" s="160">
        <f>AL98*Abandonment!$H23</f>
        <v>0</v>
      </c>
      <c r="AX98" s="160">
        <f>AM98*Abandonment!$H23</f>
        <v>0</v>
      </c>
      <c r="AY98" s="160">
        <f>AN98*Abandonment!$H23</f>
        <v>0</v>
      </c>
      <c r="AZ98" s="160">
        <f>AO98*Abandonment!$H23</f>
        <v>0</v>
      </c>
      <c r="BA98" s="160">
        <f>AP98*Abandonment!$H23</f>
        <v>0</v>
      </c>
      <c r="BB98" s="160">
        <f>AQ98*Abandonment!$H23</f>
        <v>0</v>
      </c>
      <c r="BC98" s="160">
        <f>AR98*Abandonment!$H23</f>
        <v>0</v>
      </c>
      <c r="BD98" s="160">
        <f>AS98*Abandonment!$H23</f>
        <v>0</v>
      </c>
      <c r="BE98" s="160">
        <f t="shared" si="49"/>
        <v>0</v>
      </c>
      <c r="BF98" s="173"/>
      <c r="BG98" s="160">
        <f>AW98+Exploration!R42</f>
        <v>0</v>
      </c>
      <c r="BH98" s="160">
        <f>AV98+(AX98+AY98+AZ98+IF(Input!$B$15="Shore",0,Development!BA98)+BB98)*(1+'Cost Assumptions'!$O$100)+BC98</f>
        <v>0</v>
      </c>
      <c r="BI98" s="160">
        <f>IF(Input!$B$15="Shore",Development!BA98,0)*(1+'Cost Assumptions'!$O$100)</f>
        <v>0</v>
      </c>
      <c r="BJ98" s="156"/>
      <c r="BK98" s="156"/>
      <c r="BL98" s="160">
        <f t="shared" si="37"/>
        <v>0</v>
      </c>
      <c r="BM98" s="200"/>
      <c r="BN98" s="156"/>
      <c r="BO98" s="160">
        <f t="shared" si="38"/>
        <v>0</v>
      </c>
      <c r="BP98" s="160">
        <f t="shared" si="39"/>
        <v>0</v>
      </c>
      <c r="BQ98" s="160">
        <f t="shared" si="40"/>
        <v>0</v>
      </c>
      <c r="BR98" s="160">
        <f t="shared" si="41"/>
        <v>0</v>
      </c>
      <c r="BS98" s="160">
        <f t="shared" si="42"/>
        <v>0</v>
      </c>
      <c r="BT98" s="160">
        <f t="shared" si="43"/>
        <v>0</v>
      </c>
      <c r="BU98" s="160">
        <f t="shared" si="44"/>
        <v>0</v>
      </c>
      <c r="BV98" s="160">
        <f t="shared" si="45"/>
        <v>0</v>
      </c>
      <c r="BW98" s="160">
        <f t="shared" si="46"/>
        <v>0</v>
      </c>
      <c r="BX98" s="160">
        <f t="shared" si="50"/>
        <v>0</v>
      </c>
      <c r="BY98" s="160"/>
      <c r="BZ98" s="160">
        <f t="shared" si="51"/>
        <v>0</v>
      </c>
    </row>
    <row r="99" spans="1:78">
      <c r="A99" s="140">
        <f t="shared" si="52"/>
        <v>2023</v>
      </c>
      <c r="B99" s="160">
        <f t="shared" si="32"/>
        <v>0</v>
      </c>
      <c r="C99" s="160">
        <f t="shared" si="33"/>
        <v>0</v>
      </c>
      <c r="D99" s="160">
        <f t="shared" si="33"/>
        <v>0</v>
      </c>
      <c r="E99" s="160">
        <f t="shared" si="33"/>
        <v>0</v>
      </c>
      <c r="F99" s="160">
        <f t="shared" si="33"/>
        <v>0</v>
      </c>
      <c r="G99" s="160">
        <f t="shared" si="33"/>
        <v>0</v>
      </c>
      <c r="H99" s="160">
        <f t="shared" si="33"/>
        <v>0</v>
      </c>
      <c r="I99" s="160">
        <f t="shared" si="33"/>
        <v>0</v>
      </c>
      <c r="J99" s="160">
        <f t="shared" si="33"/>
        <v>0</v>
      </c>
      <c r="K99" s="160">
        <f t="shared" si="33"/>
        <v>0</v>
      </c>
      <c r="L99" s="160">
        <f t="shared" si="33"/>
        <v>0</v>
      </c>
      <c r="M99" s="160">
        <f t="shared" si="33"/>
        <v>0</v>
      </c>
      <c r="N99" s="160">
        <f t="shared" si="33"/>
        <v>0</v>
      </c>
      <c r="O99" s="160">
        <f t="shared" si="33"/>
        <v>0</v>
      </c>
      <c r="P99" s="160">
        <f t="shared" si="33"/>
        <v>0</v>
      </c>
      <c r="Q99" s="160">
        <f t="shared" si="47"/>
        <v>0</v>
      </c>
      <c r="R99" s="160">
        <f t="shared" si="34"/>
        <v>0</v>
      </c>
      <c r="S99" s="160">
        <f t="shared" si="34"/>
        <v>0</v>
      </c>
      <c r="T99" s="160">
        <f t="shared" si="34"/>
        <v>0</v>
      </c>
      <c r="U99" s="160">
        <f t="shared" si="34"/>
        <v>0</v>
      </c>
      <c r="V99" s="160">
        <f>'Cost Assumptions'!$O$99*SUM(Development!R99:U99)</f>
        <v>0</v>
      </c>
      <c r="W99" s="160">
        <f t="shared" si="53"/>
        <v>0</v>
      </c>
      <c r="X99" s="160">
        <f>'Cost Assumptions'!$O$100*SUM(Development!R99:V99)</f>
        <v>0</v>
      </c>
      <c r="Y99" s="160">
        <f t="shared" si="35"/>
        <v>0</v>
      </c>
      <c r="Z99" s="173"/>
      <c r="AA99" s="203">
        <f t="shared" si="36"/>
        <v>9</v>
      </c>
      <c r="AB99" s="475">
        <f>IF(OR($AA99=0,$AA99&gt;40),0,INDEX(Overrides!C$47:C$87,$AA99+1,1)*$AA$85+INDEX(Overrides!C$47:C$87,$AA99,1)*$AB$86)</f>
        <v>0</v>
      </c>
      <c r="AC99" s="475">
        <f>IF(OR($AA99=0,$AA99&gt;40),0,INDEX(Overrides!D$47:D$87,$AA99+1,1)*$AA$85+INDEX(Overrides!D$47:D$87,$AA99,1)*$AB$86)</f>
        <v>0</v>
      </c>
      <c r="AD99" s="475">
        <f>IF(OR($AA99=0,$AA99&gt;40),0,INDEX(Overrides!E$47:E$87,$AA99+1,1)*$AA$85+INDEX(Overrides!E$47:E$87,$AA99,1)*$AB$86)</f>
        <v>0</v>
      </c>
      <c r="AE99" s="475">
        <f>IF(OR($AA99=0,$AA99&gt;40),0,INDEX(Overrides!F$47:F$87,$AA99+1,1)*$AA$85+INDEX(Overrides!F$47:F$87,$AA99,1)*$AB$86)</f>
        <v>0</v>
      </c>
      <c r="AF99" s="475">
        <f>IF(OR($AA99=0,$AA99&gt;40),0,INDEX(Overrides!G$47:G$87,$AA99+1,1)*$AA$85+INDEX(Overrides!G$47:G$87,$AA99,1)*$AB$86)</f>
        <v>0</v>
      </c>
      <c r="AG99" s="475">
        <f>IF(OR($AA99=0,$AA99&gt;40),0,INDEX(Overrides!H$47:H$87,$AA99+1,1)*$AA$85+INDEX(Overrides!H$47:H$87,$AA99,1)*$AB$86)</f>
        <v>0</v>
      </c>
      <c r="AH99" s="475">
        <f>IF(OR($AA99=0,$AA99&gt;40),0,INDEX(Overrides!I$47:I$87,$AA99+1,1)*$AA$85+INDEX(Overrides!I$47:I$87,$AA99,1)*$AB$86)</f>
        <v>0</v>
      </c>
      <c r="AI99" s="475">
        <f>IF(OR($AA99=0,$AA99&gt;40),0,INDEX(Overrides!J$47:J$87,$AA99+1,1)*$AA$85+INDEX(Overrides!J$47:J$87,$AA99,1)*$AB$86)</f>
        <v>0</v>
      </c>
      <c r="AJ99" s="93"/>
      <c r="AK99" s="160">
        <f>B99*'Selected Economics'!$I19*'Sensitivity Ranges'!$F$43</f>
        <v>0</v>
      </c>
      <c r="AL99" s="160">
        <f>IF($AA$84=1,AB99,Q99)*'Selected Economics'!$I19*'Sensitivity Ranges'!$F$43</f>
        <v>0</v>
      </c>
      <c r="AM99" s="160">
        <f>IF($AA$84=1,AC99,R99)*'Selected Economics'!$I19*'Sensitivity Ranges'!$F$43</f>
        <v>0</v>
      </c>
      <c r="AN99" s="160">
        <f>IF($AA$84=1,AD99,S99)*'Selected Economics'!$I19*'Sensitivity Ranges'!$F$43</f>
        <v>0</v>
      </c>
      <c r="AO99" s="160">
        <f>IF($AA$84=1,AE99,T99)*'Selected Economics'!$I19*'Sensitivity Ranges'!$F$43</f>
        <v>0</v>
      </c>
      <c r="AP99" s="160">
        <f>IF($AA$84=1,AF99,U99)*'Selected Economics'!$I19*'Sensitivity Ranges'!$F$43</f>
        <v>0</v>
      </c>
      <c r="AQ99" s="160">
        <f>IF($AA$84=1,AG99,V99)*'Selected Economics'!$I19*'Sensitivity Ranges'!$F$43</f>
        <v>0</v>
      </c>
      <c r="AR99" s="160">
        <f>IF($AA$84=1,AH99,W99)*'Selected Economics'!$I19*'Sensitivity Ranges'!$F$43</f>
        <v>0</v>
      </c>
      <c r="AS99" s="160">
        <f>IF($AA$84=1,AI99,X99)*'Selected Economics'!$I19*'Sensitivity Ranges'!$F$43</f>
        <v>0</v>
      </c>
      <c r="AT99" s="160">
        <f t="shared" si="48"/>
        <v>0</v>
      </c>
      <c r="AU99" s="173"/>
      <c r="AV99" s="160">
        <f t="shared" si="54"/>
        <v>0</v>
      </c>
      <c r="AW99" s="160">
        <f>AL99*Abandonment!$H24</f>
        <v>0</v>
      </c>
      <c r="AX99" s="160">
        <f>AM99*Abandonment!$H24</f>
        <v>0</v>
      </c>
      <c r="AY99" s="160">
        <f>AN99*Abandonment!$H24</f>
        <v>0</v>
      </c>
      <c r="AZ99" s="160">
        <f>AO99*Abandonment!$H24</f>
        <v>0</v>
      </c>
      <c r="BA99" s="160">
        <f>AP99*Abandonment!$H24</f>
        <v>0</v>
      </c>
      <c r="BB99" s="160">
        <f>AQ99*Abandonment!$H24</f>
        <v>0</v>
      </c>
      <c r="BC99" s="160">
        <f>AR99*Abandonment!$H24</f>
        <v>0</v>
      </c>
      <c r="BD99" s="160">
        <f>AS99*Abandonment!$H24</f>
        <v>0</v>
      </c>
      <c r="BE99" s="160">
        <f t="shared" si="49"/>
        <v>0</v>
      </c>
      <c r="BF99" s="173"/>
      <c r="BG99" s="160">
        <f>AW99+Exploration!R43</f>
        <v>0</v>
      </c>
      <c r="BH99" s="160">
        <f>AV99+(AX99+AY99+AZ99+IF(Input!$B$15="Shore",0,Development!BA99)+BB99)*(1+'Cost Assumptions'!$O$100)+BC99</f>
        <v>0</v>
      </c>
      <c r="BI99" s="160">
        <f>IF(Input!$B$15="Shore",Development!BA99,0)*(1+'Cost Assumptions'!$O$100)</f>
        <v>0</v>
      </c>
      <c r="BJ99" s="156"/>
      <c r="BK99" s="156"/>
      <c r="BL99" s="160">
        <f t="shared" si="37"/>
        <v>0</v>
      </c>
      <c r="BM99" s="200"/>
      <c r="BN99" s="156"/>
      <c r="BO99" s="160">
        <f t="shared" si="38"/>
        <v>0</v>
      </c>
      <c r="BP99" s="160">
        <f t="shared" si="39"/>
        <v>0</v>
      </c>
      <c r="BQ99" s="160">
        <f t="shared" si="40"/>
        <v>0</v>
      </c>
      <c r="BR99" s="160">
        <f t="shared" si="41"/>
        <v>0</v>
      </c>
      <c r="BS99" s="160">
        <f t="shared" si="42"/>
        <v>0</v>
      </c>
      <c r="BT99" s="160">
        <f t="shared" si="43"/>
        <v>0</v>
      </c>
      <c r="BU99" s="160">
        <f t="shared" si="44"/>
        <v>0</v>
      </c>
      <c r="BV99" s="160">
        <f t="shared" si="45"/>
        <v>0</v>
      </c>
      <c r="BW99" s="160">
        <f t="shared" si="46"/>
        <v>0</v>
      </c>
      <c r="BX99" s="160">
        <f t="shared" si="50"/>
        <v>0</v>
      </c>
      <c r="BY99" s="160"/>
      <c r="BZ99" s="160">
        <f t="shared" si="51"/>
        <v>0</v>
      </c>
    </row>
    <row r="100" spans="1:78">
      <c r="A100" s="140">
        <f t="shared" si="52"/>
        <v>2024</v>
      </c>
      <c r="B100" s="160">
        <f t="shared" si="32"/>
        <v>0</v>
      </c>
      <c r="C100" s="160">
        <f t="shared" si="33"/>
        <v>0</v>
      </c>
      <c r="D100" s="160">
        <f t="shared" si="33"/>
        <v>0</v>
      </c>
      <c r="E100" s="160">
        <f t="shared" si="33"/>
        <v>0</v>
      </c>
      <c r="F100" s="160">
        <f t="shared" si="33"/>
        <v>0</v>
      </c>
      <c r="G100" s="160">
        <f t="shared" si="33"/>
        <v>0</v>
      </c>
      <c r="H100" s="160">
        <f t="shared" si="33"/>
        <v>0</v>
      </c>
      <c r="I100" s="160">
        <f t="shared" si="33"/>
        <v>0</v>
      </c>
      <c r="J100" s="160">
        <f t="shared" si="33"/>
        <v>0</v>
      </c>
      <c r="K100" s="160">
        <f t="shared" si="33"/>
        <v>0</v>
      </c>
      <c r="L100" s="160">
        <f t="shared" si="33"/>
        <v>0</v>
      </c>
      <c r="M100" s="160">
        <f t="shared" si="33"/>
        <v>0</v>
      </c>
      <c r="N100" s="160">
        <f t="shared" si="33"/>
        <v>0</v>
      </c>
      <c r="O100" s="160">
        <f t="shared" si="33"/>
        <v>0</v>
      </c>
      <c r="P100" s="160">
        <f t="shared" si="33"/>
        <v>0</v>
      </c>
      <c r="Q100" s="160">
        <f t="shared" si="47"/>
        <v>0</v>
      </c>
      <c r="R100" s="160">
        <f t="shared" si="34"/>
        <v>0</v>
      </c>
      <c r="S100" s="160">
        <f t="shared" si="34"/>
        <v>0</v>
      </c>
      <c r="T100" s="160">
        <f t="shared" si="34"/>
        <v>0</v>
      </c>
      <c r="U100" s="160">
        <f t="shared" si="34"/>
        <v>0</v>
      </c>
      <c r="V100" s="160">
        <f>'Cost Assumptions'!$O$99*SUM(Development!R100:U100)</f>
        <v>0</v>
      </c>
      <c r="W100" s="160">
        <f t="shared" si="53"/>
        <v>0</v>
      </c>
      <c r="X100" s="160">
        <f>'Cost Assumptions'!$O$100*SUM(Development!R100:V100)</f>
        <v>0</v>
      </c>
      <c r="Y100" s="160">
        <f t="shared" si="35"/>
        <v>0</v>
      </c>
      <c r="Z100" s="173"/>
      <c r="AA100" s="203">
        <f t="shared" si="36"/>
        <v>10</v>
      </c>
      <c r="AB100" s="475">
        <f>IF(OR($AA100=0,$AA100&gt;40),0,INDEX(Overrides!C$47:C$87,$AA100+1,1)*$AA$85+INDEX(Overrides!C$47:C$87,$AA100,1)*$AB$86)</f>
        <v>0</v>
      </c>
      <c r="AC100" s="475">
        <f>IF(OR($AA100=0,$AA100&gt;40),0,INDEX(Overrides!D$47:D$87,$AA100+1,1)*$AA$85+INDEX(Overrides!D$47:D$87,$AA100,1)*$AB$86)</f>
        <v>0</v>
      </c>
      <c r="AD100" s="475">
        <f>IF(OR($AA100=0,$AA100&gt;40),0,INDEX(Overrides!E$47:E$87,$AA100+1,1)*$AA$85+INDEX(Overrides!E$47:E$87,$AA100,1)*$AB$86)</f>
        <v>0</v>
      </c>
      <c r="AE100" s="475">
        <f>IF(OR($AA100=0,$AA100&gt;40),0,INDEX(Overrides!F$47:F$87,$AA100+1,1)*$AA$85+INDEX(Overrides!F$47:F$87,$AA100,1)*$AB$86)</f>
        <v>0</v>
      </c>
      <c r="AF100" s="475">
        <f>IF(OR($AA100=0,$AA100&gt;40),0,INDEX(Overrides!G$47:G$87,$AA100+1,1)*$AA$85+INDEX(Overrides!G$47:G$87,$AA100,1)*$AB$86)</f>
        <v>0</v>
      </c>
      <c r="AG100" s="475">
        <f>IF(OR($AA100=0,$AA100&gt;40),0,INDEX(Overrides!H$47:H$87,$AA100+1,1)*$AA$85+INDEX(Overrides!H$47:H$87,$AA100,1)*$AB$86)</f>
        <v>0</v>
      </c>
      <c r="AH100" s="475">
        <f>IF(OR($AA100=0,$AA100&gt;40),0,INDEX(Overrides!I$47:I$87,$AA100+1,1)*$AA$85+INDEX(Overrides!I$47:I$87,$AA100,1)*$AB$86)</f>
        <v>0</v>
      </c>
      <c r="AI100" s="475">
        <f>IF(OR($AA100=0,$AA100&gt;40),0,INDEX(Overrides!J$47:J$87,$AA100+1,1)*$AA$85+INDEX(Overrides!J$47:J$87,$AA100,1)*$AB$86)</f>
        <v>0</v>
      </c>
      <c r="AJ100" s="93"/>
      <c r="AK100" s="160">
        <f>B100*'Selected Economics'!$I20*'Sensitivity Ranges'!$F$43</f>
        <v>0</v>
      </c>
      <c r="AL100" s="160">
        <f>IF($AA$84=1,AB100,Q100)*'Selected Economics'!$I20*'Sensitivity Ranges'!$F$43</f>
        <v>0</v>
      </c>
      <c r="AM100" s="160">
        <f>IF($AA$84=1,AC100,R100)*'Selected Economics'!$I20*'Sensitivity Ranges'!$F$43</f>
        <v>0</v>
      </c>
      <c r="AN100" s="160">
        <f>IF($AA$84=1,AD100,S100)*'Selected Economics'!$I20*'Sensitivity Ranges'!$F$43</f>
        <v>0</v>
      </c>
      <c r="AO100" s="160">
        <f>IF($AA$84=1,AE100,T100)*'Selected Economics'!$I20*'Sensitivity Ranges'!$F$43</f>
        <v>0</v>
      </c>
      <c r="AP100" s="160">
        <f>IF($AA$84=1,AF100,U100)*'Selected Economics'!$I20*'Sensitivity Ranges'!$F$43</f>
        <v>0</v>
      </c>
      <c r="AQ100" s="160">
        <f>IF($AA$84=1,AG100,V100)*'Selected Economics'!$I20*'Sensitivity Ranges'!$F$43</f>
        <v>0</v>
      </c>
      <c r="AR100" s="160">
        <f>IF($AA$84=1,AH100,W100)*'Selected Economics'!$I20*'Sensitivity Ranges'!$F$43</f>
        <v>0</v>
      </c>
      <c r="AS100" s="160">
        <f>IF($AA$84=1,AI100,X100)*'Selected Economics'!$I20*'Sensitivity Ranges'!$F$43</f>
        <v>0</v>
      </c>
      <c r="AT100" s="160">
        <f t="shared" si="48"/>
        <v>0</v>
      </c>
      <c r="AU100" s="173"/>
      <c r="AV100" s="160">
        <f t="shared" si="54"/>
        <v>0</v>
      </c>
      <c r="AW100" s="160">
        <f>AL100*Abandonment!$H25</f>
        <v>0</v>
      </c>
      <c r="AX100" s="160">
        <f>AM100*Abandonment!$H25</f>
        <v>0</v>
      </c>
      <c r="AY100" s="160">
        <f>AN100*Abandonment!$H25</f>
        <v>0</v>
      </c>
      <c r="AZ100" s="160">
        <f>AO100*Abandonment!$H25</f>
        <v>0</v>
      </c>
      <c r="BA100" s="160">
        <f>AP100*Abandonment!$H25</f>
        <v>0</v>
      </c>
      <c r="BB100" s="160">
        <f>AQ100*Abandonment!$H25</f>
        <v>0</v>
      </c>
      <c r="BC100" s="160">
        <f>AR100*Abandonment!$H25</f>
        <v>0</v>
      </c>
      <c r="BD100" s="160">
        <f>AS100*Abandonment!$H25</f>
        <v>0</v>
      </c>
      <c r="BE100" s="160">
        <f t="shared" si="49"/>
        <v>0</v>
      </c>
      <c r="BF100" s="173"/>
      <c r="BG100" s="160">
        <f>AW100+Exploration!R44</f>
        <v>0</v>
      </c>
      <c r="BH100" s="160">
        <f>AV100+(AX100+AY100+AZ100+IF(Input!$B$15="Shore",0,Development!BA100)+BB100)*(1+'Cost Assumptions'!$O$100)+BC100</f>
        <v>0</v>
      </c>
      <c r="BI100" s="160">
        <f>IF(Input!$B$15="Shore",Development!BA100,0)*(1+'Cost Assumptions'!$O$100)</f>
        <v>0</v>
      </c>
      <c r="BJ100" s="156"/>
      <c r="BK100" s="156"/>
      <c r="BL100" s="160">
        <f t="shared" si="37"/>
        <v>0</v>
      </c>
      <c r="BM100" s="200"/>
      <c r="BN100" s="156"/>
      <c r="BO100" s="160">
        <f t="shared" si="38"/>
        <v>0</v>
      </c>
      <c r="BP100" s="160">
        <f t="shared" si="39"/>
        <v>0</v>
      </c>
      <c r="BQ100" s="160">
        <f t="shared" si="40"/>
        <v>0</v>
      </c>
      <c r="BR100" s="160">
        <f t="shared" si="41"/>
        <v>0</v>
      </c>
      <c r="BS100" s="160">
        <f t="shared" si="42"/>
        <v>0</v>
      </c>
      <c r="BT100" s="160">
        <f t="shared" si="43"/>
        <v>0</v>
      </c>
      <c r="BU100" s="160">
        <f t="shared" si="44"/>
        <v>0</v>
      </c>
      <c r="BV100" s="160">
        <f t="shared" si="45"/>
        <v>0</v>
      </c>
      <c r="BW100" s="160">
        <f t="shared" si="46"/>
        <v>0</v>
      </c>
      <c r="BX100" s="160">
        <f t="shared" si="50"/>
        <v>0</v>
      </c>
      <c r="BY100" s="160"/>
      <c r="BZ100" s="160">
        <f t="shared" si="51"/>
        <v>0</v>
      </c>
    </row>
    <row r="101" spans="1:78">
      <c r="A101" s="140">
        <f>A100+1</f>
        <v>2025</v>
      </c>
      <c r="B101" s="160">
        <f t="shared" si="32"/>
        <v>0</v>
      </c>
      <c r="C101" s="160">
        <f t="shared" ref="C101:P110" si="55">IF($A101=INDEX($H$41:$N$54,C$86,1),INDEX($O$41:$Y$54,C$86,1),IF($A101=INDEX($H$41:$N$54,C$86,2),INDEX($O$41:$Y$54,C$86,2),IF($A101=INDEX($H$41:$N$54,C$86,3),INDEX($O$41:$Y$54,C$86,3),IF($A101=INDEX($H$41:$N$54,C$86,4),INDEX($O$41:$Y$54,C$86,4),IF($A101=INDEX($H$41:$N$54,C$86,5),INDEX($O$41:$Y$54,C$86,5),IF($A101=INDEX($H$41:$N$54,C$86,6),INDEX($O$41:$Y$54,C$86,6),IF($A101=INDEX($H$41:$N$54,C$86,7),INDEX($O$41:$Y$54,C$86,7),0)))))))/1000</f>
        <v>0</v>
      </c>
      <c r="D101" s="160">
        <f t="shared" si="55"/>
        <v>0</v>
      </c>
      <c r="E101" s="160">
        <f t="shared" si="55"/>
        <v>0</v>
      </c>
      <c r="F101" s="160">
        <f t="shared" si="55"/>
        <v>0</v>
      </c>
      <c r="G101" s="160">
        <f t="shared" si="55"/>
        <v>0</v>
      </c>
      <c r="H101" s="160">
        <f t="shared" si="55"/>
        <v>0</v>
      </c>
      <c r="I101" s="160">
        <f t="shared" si="55"/>
        <v>0</v>
      </c>
      <c r="J101" s="160">
        <f t="shared" si="55"/>
        <v>0</v>
      </c>
      <c r="K101" s="160">
        <f t="shared" si="55"/>
        <v>0</v>
      </c>
      <c r="L101" s="160">
        <f t="shared" si="55"/>
        <v>0</v>
      </c>
      <c r="M101" s="160">
        <f t="shared" si="55"/>
        <v>0</v>
      </c>
      <c r="N101" s="160">
        <f t="shared" si="55"/>
        <v>0</v>
      </c>
      <c r="O101" s="160">
        <f t="shared" si="55"/>
        <v>0</v>
      </c>
      <c r="P101" s="160">
        <f t="shared" si="55"/>
        <v>0</v>
      </c>
      <c r="Q101" s="160">
        <f t="shared" si="47"/>
        <v>0</v>
      </c>
      <c r="R101" s="160">
        <f t="shared" si="34"/>
        <v>0</v>
      </c>
      <c r="S101" s="160">
        <f t="shared" si="34"/>
        <v>0</v>
      </c>
      <c r="T101" s="160">
        <f t="shared" si="34"/>
        <v>0</v>
      </c>
      <c r="U101" s="160">
        <f t="shared" si="34"/>
        <v>0</v>
      </c>
      <c r="V101" s="160">
        <f>'Cost Assumptions'!$O$99*SUM(Development!R101:U101)</f>
        <v>0</v>
      </c>
      <c r="W101" s="160">
        <f t="shared" si="53"/>
        <v>0</v>
      </c>
      <c r="X101" s="160">
        <f>'Cost Assumptions'!$O$100*SUM(Development!R101:V101)</f>
        <v>0</v>
      </c>
      <c r="Y101" s="160">
        <f t="shared" si="35"/>
        <v>0</v>
      </c>
      <c r="Z101" s="173"/>
      <c r="AA101" s="203">
        <f t="shared" si="36"/>
        <v>11</v>
      </c>
      <c r="AB101" s="475">
        <f>IF(OR($AA101=0,$AA101&gt;40),0,INDEX(Overrides!C$47:C$87,$AA101+1,1)*$AA$85+INDEX(Overrides!C$47:C$87,$AA101,1)*$AB$86)</f>
        <v>0</v>
      </c>
      <c r="AC101" s="475">
        <f>IF(OR($AA101=0,$AA101&gt;40),0,INDEX(Overrides!D$47:D$87,$AA101+1,1)*$AA$85+INDEX(Overrides!D$47:D$87,$AA101,1)*$AB$86)</f>
        <v>0</v>
      </c>
      <c r="AD101" s="475">
        <f>IF(OR($AA101=0,$AA101&gt;40),0,INDEX(Overrides!E$47:E$87,$AA101+1,1)*$AA$85+INDEX(Overrides!E$47:E$87,$AA101,1)*$AB$86)</f>
        <v>0</v>
      </c>
      <c r="AE101" s="475">
        <f>IF(OR($AA101=0,$AA101&gt;40),0,INDEX(Overrides!F$47:F$87,$AA101+1,1)*$AA$85+INDEX(Overrides!F$47:F$87,$AA101,1)*$AB$86)</f>
        <v>0</v>
      </c>
      <c r="AF101" s="475">
        <f>IF(OR($AA101=0,$AA101&gt;40),0,INDEX(Overrides!G$47:G$87,$AA101+1,1)*$AA$85+INDEX(Overrides!G$47:G$87,$AA101,1)*$AB$86)</f>
        <v>0</v>
      </c>
      <c r="AG101" s="475">
        <f>IF(OR($AA101=0,$AA101&gt;40),0,INDEX(Overrides!H$47:H$87,$AA101+1,1)*$AA$85+INDEX(Overrides!H$47:H$87,$AA101,1)*$AB$86)</f>
        <v>0</v>
      </c>
      <c r="AH101" s="475">
        <f>IF(OR($AA101=0,$AA101&gt;40),0,INDEX(Overrides!I$47:I$87,$AA101+1,1)*$AA$85+INDEX(Overrides!I$47:I$87,$AA101,1)*$AB$86)</f>
        <v>0</v>
      </c>
      <c r="AI101" s="475">
        <f>IF(OR($AA101=0,$AA101&gt;40),0,INDEX(Overrides!J$47:J$87,$AA101+1,1)*$AA$85+INDEX(Overrides!J$47:J$87,$AA101,1)*$AB$86)</f>
        <v>0</v>
      </c>
      <c r="AJ101" s="93"/>
      <c r="AK101" s="160">
        <f>B101*'Selected Economics'!$I21*'Sensitivity Ranges'!$F$43</f>
        <v>0</v>
      </c>
      <c r="AL101" s="160">
        <f>IF($AA$84=1,AB101,Q101)*'Selected Economics'!$I21*'Sensitivity Ranges'!$F$43</f>
        <v>0</v>
      </c>
      <c r="AM101" s="160">
        <f>IF($AA$84=1,AC101,R101)*'Selected Economics'!$I21*'Sensitivity Ranges'!$F$43</f>
        <v>0</v>
      </c>
      <c r="AN101" s="160">
        <f>IF($AA$84=1,AD101,S101)*'Selected Economics'!$I21*'Sensitivity Ranges'!$F$43</f>
        <v>0</v>
      </c>
      <c r="AO101" s="160">
        <f>IF($AA$84=1,AE101,T101)*'Selected Economics'!$I21*'Sensitivity Ranges'!$F$43</f>
        <v>0</v>
      </c>
      <c r="AP101" s="160">
        <f>IF($AA$84=1,AF101,U101)*'Selected Economics'!$I21*'Sensitivity Ranges'!$F$43</f>
        <v>0</v>
      </c>
      <c r="AQ101" s="160">
        <f>IF($AA$84=1,AG101,V101)*'Selected Economics'!$I21*'Sensitivity Ranges'!$F$43</f>
        <v>0</v>
      </c>
      <c r="AR101" s="160">
        <f>IF($AA$84=1,AH101,W101)*'Selected Economics'!$I21*'Sensitivity Ranges'!$F$43</f>
        <v>0</v>
      </c>
      <c r="AS101" s="160">
        <f>IF($AA$84=1,AI101,X101)*'Selected Economics'!$I21*'Sensitivity Ranges'!$F$43</f>
        <v>0</v>
      </c>
      <c r="AT101" s="160">
        <f t="shared" si="48"/>
        <v>0</v>
      </c>
      <c r="AU101" s="173"/>
      <c r="AV101" s="160">
        <f t="shared" si="54"/>
        <v>0</v>
      </c>
      <c r="AW101" s="160">
        <f>AL101*Abandonment!$H26</f>
        <v>0</v>
      </c>
      <c r="AX101" s="160">
        <f>AM101*Abandonment!$H26</f>
        <v>0</v>
      </c>
      <c r="AY101" s="160">
        <f>AN101*Abandonment!$H26</f>
        <v>0</v>
      </c>
      <c r="AZ101" s="160">
        <f>AO101*Abandonment!$H26</f>
        <v>0</v>
      </c>
      <c r="BA101" s="160">
        <f>AP101*Abandonment!$H26</f>
        <v>0</v>
      </c>
      <c r="BB101" s="160">
        <f>AQ101*Abandonment!$H26</f>
        <v>0</v>
      </c>
      <c r="BC101" s="160">
        <f>AR101*Abandonment!$H26</f>
        <v>0</v>
      </c>
      <c r="BD101" s="160">
        <f>AS101*Abandonment!$H26</f>
        <v>0</v>
      </c>
      <c r="BE101" s="160">
        <f t="shared" si="49"/>
        <v>0</v>
      </c>
      <c r="BF101" s="173"/>
      <c r="BG101" s="160">
        <f>AW101+Exploration!R45</f>
        <v>0</v>
      </c>
      <c r="BH101" s="160">
        <f>AV101+(AX101+AY101+AZ101+IF(Input!$B$15="Shore",0,Development!BA101)+BB101)*(1+'Cost Assumptions'!$O$100)+BC101</f>
        <v>0</v>
      </c>
      <c r="BI101" s="160">
        <f>IF(Input!$B$15="Shore",Development!BA101,0)*(1+'Cost Assumptions'!$O$100)</f>
        <v>0</v>
      </c>
      <c r="BJ101" s="156"/>
      <c r="BK101" s="156"/>
      <c r="BL101" s="160">
        <f t="shared" si="37"/>
        <v>0</v>
      </c>
      <c r="BM101" s="200"/>
      <c r="BN101" s="156"/>
      <c r="BO101" s="160">
        <f t="shared" si="38"/>
        <v>0</v>
      </c>
      <c r="BP101" s="160">
        <f t="shared" si="39"/>
        <v>0</v>
      </c>
      <c r="BQ101" s="160">
        <f t="shared" si="40"/>
        <v>0</v>
      </c>
      <c r="BR101" s="160">
        <f t="shared" si="41"/>
        <v>0</v>
      </c>
      <c r="BS101" s="160">
        <f t="shared" si="42"/>
        <v>0</v>
      </c>
      <c r="BT101" s="160">
        <f t="shared" si="43"/>
        <v>0</v>
      </c>
      <c r="BU101" s="160">
        <f t="shared" si="44"/>
        <v>0</v>
      </c>
      <c r="BV101" s="160">
        <f t="shared" si="45"/>
        <v>0</v>
      </c>
      <c r="BW101" s="160">
        <f t="shared" si="46"/>
        <v>0</v>
      </c>
      <c r="BX101" s="160">
        <f t="shared" si="50"/>
        <v>0</v>
      </c>
      <c r="BY101" s="160"/>
      <c r="BZ101" s="160">
        <f t="shared" si="51"/>
        <v>0</v>
      </c>
    </row>
    <row r="102" spans="1:78">
      <c r="A102" s="140">
        <f t="shared" si="52"/>
        <v>2026</v>
      </c>
      <c r="B102" s="160">
        <f t="shared" si="32"/>
        <v>0</v>
      </c>
      <c r="C102" s="160">
        <f t="shared" si="55"/>
        <v>0</v>
      </c>
      <c r="D102" s="160">
        <f t="shared" si="55"/>
        <v>0</v>
      </c>
      <c r="E102" s="160">
        <f t="shared" si="55"/>
        <v>0</v>
      </c>
      <c r="F102" s="160">
        <f t="shared" si="55"/>
        <v>0</v>
      </c>
      <c r="G102" s="160">
        <f t="shared" si="55"/>
        <v>0</v>
      </c>
      <c r="H102" s="160">
        <f t="shared" si="55"/>
        <v>0</v>
      </c>
      <c r="I102" s="160">
        <f t="shared" si="55"/>
        <v>0</v>
      </c>
      <c r="J102" s="160">
        <f t="shared" si="55"/>
        <v>0</v>
      </c>
      <c r="K102" s="160">
        <f t="shared" si="55"/>
        <v>0</v>
      </c>
      <c r="L102" s="160">
        <f t="shared" si="55"/>
        <v>0</v>
      </c>
      <c r="M102" s="160">
        <f t="shared" si="55"/>
        <v>0</v>
      </c>
      <c r="N102" s="160">
        <f t="shared" si="55"/>
        <v>0</v>
      </c>
      <c r="O102" s="160">
        <f t="shared" si="55"/>
        <v>0</v>
      </c>
      <c r="P102" s="160">
        <f t="shared" si="55"/>
        <v>0</v>
      </c>
      <c r="Q102" s="160">
        <f t="shared" si="47"/>
        <v>0</v>
      </c>
      <c r="R102" s="160">
        <f t="shared" si="34"/>
        <v>0</v>
      </c>
      <c r="S102" s="160">
        <f t="shared" si="34"/>
        <v>0</v>
      </c>
      <c r="T102" s="160">
        <f t="shared" si="34"/>
        <v>0</v>
      </c>
      <c r="U102" s="160">
        <f t="shared" si="34"/>
        <v>0</v>
      </c>
      <c r="V102" s="160">
        <f>'Cost Assumptions'!$O$99*SUM(Development!R102:U102)</f>
        <v>0</v>
      </c>
      <c r="W102" s="160">
        <f t="shared" si="53"/>
        <v>0</v>
      </c>
      <c r="X102" s="160">
        <f>'Cost Assumptions'!$O$100*SUM(Development!R102:V102)</f>
        <v>0</v>
      </c>
      <c r="Y102" s="160">
        <f t="shared" si="35"/>
        <v>0</v>
      </c>
      <c r="Z102" s="173"/>
      <c r="AA102" s="203">
        <f t="shared" si="36"/>
        <v>12</v>
      </c>
      <c r="AB102" s="475">
        <f>IF(OR($AA102=0,$AA102&gt;40),0,INDEX(Overrides!C$47:C$87,$AA102+1,1)*$AA$85+INDEX(Overrides!C$47:C$87,$AA102,1)*$AB$86)</f>
        <v>0</v>
      </c>
      <c r="AC102" s="475">
        <f>IF(OR($AA102=0,$AA102&gt;40),0,INDEX(Overrides!D$47:D$87,$AA102+1,1)*$AA$85+INDEX(Overrides!D$47:D$87,$AA102,1)*$AB$86)</f>
        <v>0</v>
      </c>
      <c r="AD102" s="475">
        <f>IF(OR($AA102=0,$AA102&gt;40),0,INDEX(Overrides!E$47:E$87,$AA102+1,1)*$AA$85+INDEX(Overrides!E$47:E$87,$AA102,1)*$AB$86)</f>
        <v>0</v>
      </c>
      <c r="AE102" s="475">
        <f>IF(OR($AA102=0,$AA102&gt;40),0,INDEX(Overrides!F$47:F$87,$AA102+1,1)*$AA$85+INDEX(Overrides!F$47:F$87,$AA102,1)*$AB$86)</f>
        <v>0</v>
      </c>
      <c r="AF102" s="475">
        <f>IF(OR($AA102=0,$AA102&gt;40),0,INDEX(Overrides!G$47:G$87,$AA102+1,1)*$AA$85+INDEX(Overrides!G$47:G$87,$AA102,1)*$AB$86)</f>
        <v>0</v>
      </c>
      <c r="AG102" s="475">
        <f>IF(OR($AA102=0,$AA102&gt;40),0,INDEX(Overrides!H$47:H$87,$AA102+1,1)*$AA$85+INDEX(Overrides!H$47:H$87,$AA102,1)*$AB$86)</f>
        <v>0</v>
      </c>
      <c r="AH102" s="475">
        <f>IF(OR($AA102=0,$AA102&gt;40),0,INDEX(Overrides!I$47:I$87,$AA102+1,1)*$AA$85+INDEX(Overrides!I$47:I$87,$AA102,1)*$AB$86)</f>
        <v>0</v>
      </c>
      <c r="AI102" s="475">
        <f>IF(OR($AA102=0,$AA102&gt;40),0,INDEX(Overrides!J$47:J$87,$AA102+1,1)*$AA$85+INDEX(Overrides!J$47:J$87,$AA102,1)*$AB$86)</f>
        <v>0</v>
      </c>
      <c r="AJ102" s="93"/>
      <c r="AK102" s="160">
        <f>B102*'Selected Economics'!$I22*'Sensitivity Ranges'!$F$43</f>
        <v>0</v>
      </c>
      <c r="AL102" s="160">
        <f>IF($AA$84=1,AB102,Q102)*'Selected Economics'!$I22*'Sensitivity Ranges'!$F$43</f>
        <v>0</v>
      </c>
      <c r="AM102" s="160">
        <f>IF($AA$84=1,AC102,R102)*'Selected Economics'!$I22*'Sensitivity Ranges'!$F$43</f>
        <v>0</v>
      </c>
      <c r="AN102" s="160">
        <f>IF($AA$84=1,AD102,S102)*'Selected Economics'!$I22*'Sensitivity Ranges'!$F$43</f>
        <v>0</v>
      </c>
      <c r="AO102" s="160">
        <f>IF($AA$84=1,AE102,T102)*'Selected Economics'!$I22*'Sensitivity Ranges'!$F$43</f>
        <v>0</v>
      </c>
      <c r="AP102" s="160">
        <f>IF($AA$84=1,AF102,U102)*'Selected Economics'!$I22*'Sensitivity Ranges'!$F$43</f>
        <v>0</v>
      </c>
      <c r="AQ102" s="160">
        <f>IF($AA$84=1,AG102,V102)*'Selected Economics'!$I22*'Sensitivity Ranges'!$F$43</f>
        <v>0</v>
      </c>
      <c r="AR102" s="160">
        <f>IF($AA$84=1,AH102,W102)*'Selected Economics'!$I22*'Sensitivity Ranges'!$F$43</f>
        <v>0</v>
      </c>
      <c r="AS102" s="160">
        <f>IF($AA$84=1,AI102,X102)*'Selected Economics'!$I22*'Sensitivity Ranges'!$F$43</f>
        <v>0</v>
      </c>
      <c r="AT102" s="160">
        <f t="shared" si="48"/>
        <v>0</v>
      </c>
      <c r="AU102" s="173"/>
      <c r="AV102" s="160">
        <f t="shared" si="54"/>
        <v>0</v>
      </c>
      <c r="AW102" s="160">
        <f>AL102*Abandonment!$H27</f>
        <v>0</v>
      </c>
      <c r="AX102" s="160">
        <f>AM102*Abandonment!$H27</f>
        <v>0</v>
      </c>
      <c r="AY102" s="160">
        <f>AN102*Abandonment!$H27</f>
        <v>0</v>
      </c>
      <c r="AZ102" s="160">
        <f>AO102*Abandonment!$H27</f>
        <v>0</v>
      </c>
      <c r="BA102" s="160">
        <f>AP102*Abandonment!$H27</f>
        <v>0</v>
      </c>
      <c r="BB102" s="160">
        <f>AQ102*Abandonment!$H27</f>
        <v>0</v>
      </c>
      <c r="BC102" s="160">
        <f>AR102*Abandonment!$H27</f>
        <v>0</v>
      </c>
      <c r="BD102" s="160">
        <f>AS102*Abandonment!$H27</f>
        <v>0</v>
      </c>
      <c r="BE102" s="160">
        <f t="shared" si="49"/>
        <v>0</v>
      </c>
      <c r="BF102" s="173"/>
      <c r="BG102" s="160">
        <f>AW102+Exploration!R46</f>
        <v>0</v>
      </c>
      <c r="BH102" s="160">
        <f>AV102+(AX102+AY102+AZ102+IF(Input!$B$15="Shore",0,Development!BA102)+BB102)*(1+'Cost Assumptions'!$O$100)+BC102</f>
        <v>0</v>
      </c>
      <c r="BI102" s="160">
        <f>IF(Input!$B$15="Shore",Development!BA102,0)*(1+'Cost Assumptions'!$O$100)</f>
        <v>0</v>
      </c>
      <c r="BJ102" s="156"/>
      <c r="BK102" s="156"/>
      <c r="BL102" s="160">
        <f t="shared" si="37"/>
        <v>0</v>
      </c>
      <c r="BM102" s="200"/>
      <c r="BN102" s="156"/>
      <c r="BO102" s="160">
        <f t="shared" si="38"/>
        <v>0</v>
      </c>
      <c r="BP102" s="160">
        <f t="shared" si="39"/>
        <v>0</v>
      </c>
      <c r="BQ102" s="160">
        <f t="shared" si="40"/>
        <v>0</v>
      </c>
      <c r="BR102" s="160">
        <f t="shared" si="41"/>
        <v>0</v>
      </c>
      <c r="BS102" s="160">
        <f t="shared" si="42"/>
        <v>0</v>
      </c>
      <c r="BT102" s="160">
        <f t="shared" si="43"/>
        <v>0</v>
      </c>
      <c r="BU102" s="160">
        <f t="shared" si="44"/>
        <v>0</v>
      </c>
      <c r="BV102" s="160">
        <f t="shared" si="45"/>
        <v>0</v>
      </c>
      <c r="BW102" s="160">
        <f t="shared" si="46"/>
        <v>0</v>
      </c>
      <c r="BX102" s="160">
        <f t="shared" si="50"/>
        <v>0</v>
      </c>
      <c r="BY102" s="160"/>
      <c r="BZ102" s="160">
        <f t="shared" si="51"/>
        <v>0</v>
      </c>
    </row>
    <row r="103" spans="1:78">
      <c r="A103" s="140">
        <f t="shared" si="52"/>
        <v>2027</v>
      </c>
      <c r="B103" s="160">
        <f t="shared" si="32"/>
        <v>0</v>
      </c>
      <c r="C103" s="160">
        <f t="shared" si="55"/>
        <v>0</v>
      </c>
      <c r="D103" s="160">
        <f t="shared" si="55"/>
        <v>0</v>
      </c>
      <c r="E103" s="160">
        <f t="shared" si="55"/>
        <v>0</v>
      </c>
      <c r="F103" s="160">
        <f t="shared" si="55"/>
        <v>0</v>
      </c>
      <c r="G103" s="160">
        <f t="shared" si="55"/>
        <v>0</v>
      </c>
      <c r="H103" s="160">
        <f t="shared" si="55"/>
        <v>0</v>
      </c>
      <c r="I103" s="160">
        <f t="shared" si="55"/>
        <v>0</v>
      </c>
      <c r="J103" s="160">
        <f t="shared" si="55"/>
        <v>0</v>
      </c>
      <c r="K103" s="160">
        <f t="shared" si="55"/>
        <v>0</v>
      </c>
      <c r="L103" s="160">
        <f t="shared" si="55"/>
        <v>0</v>
      </c>
      <c r="M103" s="160">
        <f t="shared" si="55"/>
        <v>0</v>
      </c>
      <c r="N103" s="160">
        <f t="shared" si="55"/>
        <v>0</v>
      </c>
      <c r="O103" s="160">
        <f t="shared" si="55"/>
        <v>0</v>
      </c>
      <c r="P103" s="160">
        <f t="shared" si="55"/>
        <v>0</v>
      </c>
      <c r="Q103" s="160">
        <f t="shared" si="47"/>
        <v>0</v>
      </c>
      <c r="R103" s="160">
        <f t="shared" si="34"/>
        <v>0</v>
      </c>
      <c r="S103" s="160">
        <f t="shared" si="34"/>
        <v>0</v>
      </c>
      <c r="T103" s="160">
        <f t="shared" si="34"/>
        <v>0</v>
      </c>
      <c r="U103" s="160">
        <f t="shared" si="34"/>
        <v>0</v>
      </c>
      <c r="V103" s="160">
        <f>'Cost Assumptions'!$O$99*SUM(Development!R103:U103)</f>
        <v>0</v>
      </c>
      <c r="W103" s="160">
        <f t="shared" si="53"/>
        <v>0</v>
      </c>
      <c r="X103" s="160">
        <f>'Cost Assumptions'!$O$100*SUM(Development!R103:V103)</f>
        <v>0</v>
      </c>
      <c r="Y103" s="160">
        <f t="shared" si="35"/>
        <v>0</v>
      </c>
      <c r="Z103" s="173"/>
      <c r="AA103" s="203">
        <f t="shared" si="36"/>
        <v>13</v>
      </c>
      <c r="AB103" s="475">
        <f>IF(OR($AA103=0,$AA103&gt;40),0,INDEX(Overrides!C$47:C$87,$AA103+1,1)*$AA$85+INDEX(Overrides!C$47:C$87,$AA103,1)*$AB$86)</f>
        <v>0</v>
      </c>
      <c r="AC103" s="475">
        <f>IF(OR($AA103=0,$AA103&gt;40),0,INDEX(Overrides!D$47:D$87,$AA103+1,1)*$AA$85+INDEX(Overrides!D$47:D$87,$AA103,1)*$AB$86)</f>
        <v>0</v>
      </c>
      <c r="AD103" s="475">
        <f>IF(OR($AA103=0,$AA103&gt;40),0,INDEX(Overrides!E$47:E$87,$AA103+1,1)*$AA$85+INDEX(Overrides!E$47:E$87,$AA103,1)*$AB$86)</f>
        <v>0</v>
      </c>
      <c r="AE103" s="475">
        <f>IF(OR($AA103=0,$AA103&gt;40),0,INDEX(Overrides!F$47:F$87,$AA103+1,1)*$AA$85+INDEX(Overrides!F$47:F$87,$AA103,1)*$AB$86)</f>
        <v>0</v>
      </c>
      <c r="AF103" s="475">
        <f>IF(OR($AA103=0,$AA103&gt;40),0,INDEX(Overrides!G$47:G$87,$AA103+1,1)*$AA$85+INDEX(Overrides!G$47:G$87,$AA103,1)*$AB$86)</f>
        <v>0</v>
      </c>
      <c r="AG103" s="475">
        <f>IF(OR($AA103=0,$AA103&gt;40),0,INDEX(Overrides!H$47:H$87,$AA103+1,1)*$AA$85+INDEX(Overrides!H$47:H$87,$AA103,1)*$AB$86)</f>
        <v>0</v>
      </c>
      <c r="AH103" s="475">
        <f>IF(OR($AA103=0,$AA103&gt;40),0,INDEX(Overrides!I$47:I$87,$AA103+1,1)*$AA$85+INDEX(Overrides!I$47:I$87,$AA103,1)*$AB$86)</f>
        <v>0</v>
      </c>
      <c r="AI103" s="475">
        <f>IF(OR($AA103=0,$AA103&gt;40),0,INDEX(Overrides!J$47:J$87,$AA103+1,1)*$AA$85+INDEX(Overrides!J$47:J$87,$AA103,1)*$AB$86)</f>
        <v>0</v>
      </c>
      <c r="AJ103" s="93"/>
      <c r="AK103" s="160">
        <f>B103*'Selected Economics'!$I23*'Sensitivity Ranges'!$F$43</f>
        <v>0</v>
      </c>
      <c r="AL103" s="160">
        <f>IF($AA$84=1,AB103,Q103)*'Selected Economics'!$I23*'Sensitivity Ranges'!$F$43</f>
        <v>0</v>
      </c>
      <c r="AM103" s="160">
        <f>IF($AA$84=1,AC103,R103)*'Selected Economics'!$I23*'Sensitivity Ranges'!$F$43</f>
        <v>0</v>
      </c>
      <c r="AN103" s="160">
        <f>IF($AA$84=1,AD103,S103)*'Selected Economics'!$I23*'Sensitivity Ranges'!$F$43</f>
        <v>0</v>
      </c>
      <c r="AO103" s="160">
        <f>IF($AA$84=1,AE103,T103)*'Selected Economics'!$I23*'Sensitivity Ranges'!$F$43</f>
        <v>0</v>
      </c>
      <c r="AP103" s="160">
        <f>IF($AA$84=1,AF103,U103)*'Selected Economics'!$I23*'Sensitivity Ranges'!$F$43</f>
        <v>0</v>
      </c>
      <c r="AQ103" s="160">
        <f>IF($AA$84=1,AG103,V103)*'Selected Economics'!$I23*'Sensitivity Ranges'!$F$43</f>
        <v>0</v>
      </c>
      <c r="AR103" s="160">
        <f>IF($AA$84=1,AH103,W103)*'Selected Economics'!$I23*'Sensitivity Ranges'!$F$43</f>
        <v>0</v>
      </c>
      <c r="AS103" s="160">
        <f>IF($AA$84=1,AI103,X103)*'Selected Economics'!$I23*'Sensitivity Ranges'!$F$43</f>
        <v>0</v>
      </c>
      <c r="AT103" s="160">
        <f t="shared" si="48"/>
        <v>0</v>
      </c>
      <c r="AU103" s="173"/>
      <c r="AV103" s="160">
        <f t="shared" si="54"/>
        <v>0</v>
      </c>
      <c r="AW103" s="160">
        <f>AL103*Abandonment!$H28</f>
        <v>0</v>
      </c>
      <c r="AX103" s="160">
        <f>AM103*Abandonment!$H28</f>
        <v>0</v>
      </c>
      <c r="AY103" s="160">
        <f>AN103*Abandonment!$H28</f>
        <v>0</v>
      </c>
      <c r="AZ103" s="160">
        <f>AO103*Abandonment!$H28</f>
        <v>0</v>
      </c>
      <c r="BA103" s="160">
        <f>AP103*Abandonment!$H28</f>
        <v>0</v>
      </c>
      <c r="BB103" s="160">
        <f>AQ103*Abandonment!$H28</f>
        <v>0</v>
      </c>
      <c r="BC103" s="160">
        <f>AR103*Abandonment!$H28</f>
        <v>0</v>
      </c>
      <c r="BD103" s="160">
        <f>AS103*Abandonment!$H28</f>
        <v>0</v>
      </c>
      <c r="BE103" s="160">
        <f t="shared" si="49"/>
        <v>0</v>
      </c>
      <c r="BF103" s="173"/>
      <c r="BG103" s="160">
        <f>AW103+Exploration!R47</f>
        <v>0</v>
      </c>
      <c r="BH103" s="160">
        <f>AV103+(AX103+AY103+AZ103+IF(Input!$B$15="Shore",0,Development!BA103)+BB103)*(1+'Cost Assumptions'!$O$100)+BC103</f>
        <v>0</v>
      </c>
      <c r="BI103" s="160">
        <f>IF(Input!$B$15="Shore",Development!BA103,0)*(1+'Cost Assumptions'!$O$100)</f>
        <v>0</v>
      </c>
      <c r="BJ103" s="156"/>
      <c r="BK103" s="156"/>
      <c r="BL103" s="160">
        <f t="shared" si="37"/>
        <v>0</v>
      </c>
      <c r="BM103" s="200"/>
      <c r="BN103" s="156"/>
      <c r="BO103" s="160">
        <f t="shared" si="38"/>
        <v>0</v>
      </c>
      <c r="BP103" s="160">
        <f t="shared" si="39"/>
        <v>0</v>
      </c>
      <c r="BQ103" s="160">
        <f t="shared" si="40"/>
        <v>0</v>
      </c>
      <c r="BR103" s="160">
        <f t="shared" si="41"/>
        <v>0</v>
      </c>
      <c r="BS103" s="160">
        <f t="shared" si="42"/>
        <v>0</v>
      </c>
      <c r="BT103" s="160">
        <f t="shared" si="43"/>
        <v>0</v>
      </c>
      <c r="BU103" s="160">
        <f t="shared" si="44"/>
        <v>0</v>
      </c>
      <c r="BV103" s="160">
        <f t="shared" si="45"/>
        <v>0</v>
      </c>
      <c r="BW103" s="160">
        <f t="shared" si="46"/>
        <v>0</v>
      </c>
      <c r="BX103" s="160">
        <f t="shared" si="50"/>
        <v>0</v>
      </c>
      <c r="BY103" s="160"/>
      <c r="BZ103" s="160">
        <f t="shared" si="51"/>
        <v>0</v>
      </c>
    </row>
    <row r="104" spans="1:78">
      <c r="A104" s="140">
        <f t="shared" si="52"/>
        <v>2028</v>
      </c>
      <c r="B104" s="160">
        <f t="shared" si="32"/>
        <v>0</v>
      </c>
      <c r="C104" s="160">
        <f t="shared" si="55"/>
        <v>0</v>
      </c>
      <c r="D104" s="160">
        <f t="shared" si="55"/>
        <v>0</v>
      </c>
      <c r="E104" s="160">
        <f t="shared" si="55"/>
        <v>0</v>
      </c>
      <c r="F104" s="160">
        <f t="shared" si="55"/>
        <v>0</v>
      </c>
      <c r="G104" s="160">
        <f t="shared" si="55"/>
        <v>0</v>
      </c>
      <c r="H104" s="160">
        <f t="shared" si="55"/>
        <v>0</v>
      </c>
      <c r="I104" s="160">
        <f t="shared" si="55"/>
        <v>0</v>
      </c>
      <c r="J104" s="160">
        <f t="shared" si="55"/>
        <v>0</v>
      </c>
      <c r="K104" s="160">
        <f t="shared" si="55"/>
        <v>0</v>
      </c>
      <c r="L104" s="160">
        <f t="shared" si="55"/>
        <v>0</v>
      </c>
      <c r="M104" s="160">
        <f t="shared" si="55"/>
        <v>0</v>
      </c>
      <c r="N104" s="160">
        <f t="shared" si="55"/>
        <v>0</v>
      </c>
      <c r="O104" s="160">
        <f t="shared" si="55"/>
        <v>0</v>
      </c>
      <c r="P104" s="160">
        <f t="shared" si="55"/>
        <v>0</v>
      </c>
      <c r="Q104" s="160">
        <f t="shared" si="47"/>
        <v>0</v>
      </c>
      <c r="R104" s="160">
        <f t="shared" si="34"/>
        <v>0</v>
      </c>
      <c r="S104" s="160">
        <f t="shared" si="34"/>
        <v>0</v>
      </c>
      <c r="T104" s="160">
        <f t="shared" si="34"/>
        <v>0</v>
      </c>
      <c r="U104" s="160">
        <f t="shared" si="34"/>
        <v>0</v>
      </c>
      <c r="V104" s="160">
        <f>'Cost Assumptions'!$O$99*SUM(Development!R104:U104)</f>
        <v>0</v>
      </c>
      <c r="W104" s="160">
        <f t="shared" si="53"/>
        <v>0</v>
      </c>
      <c r="X104" s="160">
        <f>'Cost Assumptions'!$O$100*SUM(Development!R104:V104)</f>
        <v>0</v>
      </c>
      <c r="Y104" s="160">
        <f t="shared" si="35"/>
        <v>0</v>
      </c>
      <c r="Z104" s="173"/>
      <c r="AA104" s="203">
        <f t="shared" si="36"/>
        <v>14</v>
      </c>
      <c r="AB104" s="475">
        <f>IF(OR($AA104=0,$AA104&gt;40),0,INDEX(Overrides!C$47:C$87,$AA104+1,1)*$AA$85+INDEX(Overrides!C$47:C$87,$AA104,1)*$AB$86)</f>
        <v>0</v>
      </c>
      <c r="AC104" s="475">
        <f>IF(OR($AA104=0,$AA104&gt;40),0,INDEX(Overrides!D$47:D$87,$AA104+1,1)*$AA$85+INDEX(Overrides!D$47:D$87,$AA104,1)*$AB$86)</f>
        <v>0</v>
      </c>
      <c r="AD104" s="475">
        <f>IF(OR($AA104=0,$AA104&gt;40),0,INDEX(Overrides!E$47:E$87,$AA104+1,1)*$AA$85+INDEX(Overrides!E$47:E$87,$AA104,1)*$AB$86)</f>
        <v>0</v>
      </c>
      <c r="AE104" s="475">
        <f>IF(OR($AA104=0,$AA104&gt;40),0,INDEX(Overrides!F$47:F$87,$AA104+1,1)*$AA$85+INDEX(Overrides!F$47:F$87,$AA104,1)*$AB$86)</f>
        <v>0</v>
      </c>
      <c r="AF104" s="475">
        <f>IF(OR($AA104=0,$AA104&gt;40),0,INDEX(Overrides!G$47:G$87,$AA104+1,1)*$AA$85+INDEX(Overrides!G$47:G$87,$AA104,1)*$AB$86)</f>
        <v>0</v>
      </c>
      <c r="AG104" s="475">
        <f>IF(OR($AA104=0,$AA104&gt;40),0,INDEX(Overrides!H$47:H$87,$AA104+1,1)*$AA$85+INDEX(Overrides!H$47:H$87,$AA104,1)*$AB$86)</f>
        <v>0</v>
      </c>
      <c r="AH104" s="475">
        <f>IF(OR($AA104=0,$AA104&gt;40),0,INDEX(Overrides!I$47:I$87,$AA104+1,1)*$AA$85+INDEX(Overrides!I$47:I$87,$AA104,1)*$AB$86)</f>
        <v>0</v>
      </c>
      <c r="AI104" s="475">
        <f>IF(OR($AA104=0,$AA104&gt;40),0,INDEX(Overrides!J$47:J$87,$AA104+1,1)*$AA$85+INDEX(Overrides!J$47:J$87,$AA104,1)*$AB$86)</f>
        <v>0</v>
      </c>
      <c r="AJ104" s="93"/>
      <c r="AK104" s="160">
        <f>B104*'Selected Economics'!$I24*'Sensitivity Ranges'!$F$43</f>
        <v>0</v>
      </c>
      <c r="AL104" s="160">
        <f>IF($AA$84=1,AB104,Q104)*'Selected Economics'!$I24*'Sensitivity Ranges'!$F$43</f>
        <v>0</v>
      </c>
      <c r="AM104" s="160">
        <f>IF($AA$84=1,AC104,R104)*'Selected Economics'!$I24*'Sensitivity Ranges'!$F$43</f>
        <v>0</v>
      </c>
      <c r="AN104" s="160">
        <f>IF($AA$84=1,AD104,S104)*'Selected Economics'!$I24*'Sensitivity Ranges'!$F$43</f>
        <v>0</v>
      </c>
      <c r="AO104" s="160">
        <f>IF($AA$84=1,AE104,T104)*'Selected Economics'!$I24*'Sensitivity Ranges'!$F$43</f>
        <v>0</v>
      </c>
      <c r="AP104" s="160">
        <f>IF($AA$84=1,AF104,U104)*'Selected Economics'!$I24*'Sensitivity Ranges'!$F$43</f>
        <v>0</v>
      </c>
      <c r="AQ104" s="160">
        <f>IF($AA$84=1,AG104,V104)*'Selected Economics'!$I24*'Sensitivity Ranges'!$F$43</f>
        <v>0</v>
      </c>
      <c r="AR104" s="160">
        <f>IF($AA$84=1,AH104,W104)*'Selected Economics'!$I24*'Sensitivity Ranges'!$F$43</f>
        <v>0</v>
      </c>
      <c r="AS104" s="160">
        <f>IF($AA$84=1,AI104,X104)*'Selected Economics'!$I24*'Sensitivity Ranges'!$F$43</f>
        <v>0</v>
      </c>
      <c r="AT104" s="160">
        <f t="shared" si="48"/>
        <v>0</v>
      </c>
      <c r="AU104" s="173"/>
      <c r="AV104" s="160">
        <f t="shared" si="54"/>
        <v>0</v>
      </c>
      <c r="AW104" s="160">
        <f>AL104*Abandonment!$H29</f>
        <v>0</v>
      </c>
      <c r="AX104" s="160">
        <f>AM104*Abandonment!$H29</f>
        <v>0</v>
      </c>
      <c r="AY104" s="160">
        <f>AN104*Abandonment!$H29</f>
        <v>0</v>
      </c>
      <c r="AZ104" s="160">
        <f>AO104*Abandonment!$H29</f>
        <v>0</v>
      </c>
      <c r="BA104" s="160">
        <f>AP104*Abandonment!$H29</f>
        <v>0</v>
      </c>
      <c r="BB104" s="160">
        <f>AQ104*Abandonment!$H29</f>
        <v>0</v>
      </c>
      <c r="BC104" s="160">
        <f>AR104*Abandonment!$H29</f>
        <v>0</v>
      </c>
      <c r="BD104" s="160">
        <f>AS104*Abandonment!$H29</f>
        <v>0</v>
      </c>
      <c r="BE104" s="160">
        <f t="shared" si="49"/>
        <v>0</v>
      </c>
      <c r="BF104" s="173"/>
      <c r="BG104" s="160">
        <f>AW104+Exploration!R48</f>
        <v>0</v>
      </c>
      <c r="BH104" s="160">
        <f>AV104+(AX104+AY104+AZ104+IF(Input!$B$15="Shore",0,Development!BA104)+BB104)*(1+'Cost Assumptions'!$O$100)+BC104</f>
        <v>0</v>
      </c>
      <c r="BI104" s="160">
        <f>IF(Input!$B$15="Shore",Development!BA104,0)*(1+'Cost Assumptions'!$O$100)</f>
        <v>0</v>
      </c>
      <c r="BJ104" s="156"/>
      <c r="BK104" s="156"/>
      <c r="BL104" s="160">
        <f t="shared" si="37"/>
        <v>0</v>
      </c>
      <c r="BM104" s="200"/>
      <c r="BN104" s="156"/>
      <c r="BO104" s="160">
        <f t="shared" si="38"/>
        <v>0</v>
      </c>
      <c r="BP104" s="160">
        <f t="shared" si="39"/>
        <v>0</v>
      </c>
      <c r="BQ104" s="160">
        <f t="shared" si="40"/>
        <v>0</v>
      </c>
      <c r="BR104" s="160">
        <f t="shared" si="41"/>
        <v>0</v>
      </c>
      <c r="BS104" s="160">
        <f t="shared" si="42"/>
        <v>0</v>
      </c>
      <c r="BT104" s="160">
        <f t="shared" si="43"/>
        <v>0</v>
      </c>
      <c r="BU104" s="160">
        <f t="shared" si="44"/>
        <v>0</v>
      </c>
      <c r="BV104" s="160">
        <f t="shared" si="45"/>
        <v>0</v>
      </c>
      <c r="BW104" s="160">
        <f t="shared" si="46"/>
        <v>0</v>
      </c>
      <c r="BX104" s="160">
        <f t="shared" si="50"/>
        <v>0</v>
      </c>
      <c r="BY104" s="160"/>
      <c r="BZ104" s="160">
        <f t="shared" si="51"/>
        <v>0</v>
      </c>
    </row>
    <row r="105" spans="1:78">
      <c r="A105" s="140">
        <f t="shared" si="52"/>
        <v>2029</v>
      </c>
      <c r="B105" s="160">
        <f t="shared" si="32"/>
        <v>0</v>
      </c>
      <c r="C105" s="160">
        <f t="shared" si="55"/>
        <v>0</v>
      </c>
      <c r="D105" s="160">
        <f t="shared" si="55"/>
        <v>0</v>
      </c>
      <c r="E105" s="160">
        <f t="shared" si="55"/>
        <v>0</v>
      </c>
      <c r="F105" s="160">
        <f t="shared" si="55"/>
        <v>0</v>
      </c>
      <c r="G105" s="160">
        <f t="shared" si="55"/>
        <v>0</v>
      </c>
      <c r="H105" s="160">
        <f t="shared" si="55"/>
        <v>0</v>
      </c>
      <c r="I105" s="160">
        <f t="shared" si="55"/>
        <v>0</v>
      </c>
      <c r="J105" s="160">
        <f t="shared" si="55"/>
        <v>0</v>
      </c>
      <c r="K105" s="160">
        <f t="shared" si="55"/>
        <v>0</v>
      </c>
      <c r="L105" s="160">
        <f t="shared" si="55"/>
        <v>0</v>
      </c>
      <c r="M105" s="160">
        <f t="shared" si="55"/>
        <v>0</v>
      </c>
      <c r="N105" s="160">
        <f t="shared" si="55"/>
        <v>0</v>
      </c>
      <c r="O105" s="160">
        <f t="shared" si="55"/>
        <v>0</v>
      </c>
      <c r="P105" s="160">
        <f t="shared" si="55"/>
        <v>0</v>
      </c>
      <c r="Q105" s="160">
        <f t="shared" si="47"/>
        <v>0</v>
      </c>
      <c r="R105" s="160">
        <f t="shared" si="34"/>
        <v>0</v>
      </c>
      <c r="S105" s="160">
        <f t="shared" si="34"/>
        <v>0</v>
      </c>
      <c r="T105" s="160">
        <f t="shared" si="34"/>
        <v>0</v>
      </c>
      <c r="U105" s="160">
        <f t="shared" si="34"/>
        <v>0</v>
      </c>
      <c r="V105" s="160">
        <f>'Cost Assumptions'!$O$99*SUM(Development!R105:U105)</f>
        <v>0</v>
      </c>
      <c r="W105" s="160">
        <f t="shared" si="53"/>
        <v>0</v>
      </c>
      <c r="X105" s="160">
        <f>'Cost Assumptions'!$O$100*SUM(Development!R105:V105)</f>
        <v>0</v>
      </c>
      <c r="Y105" s="160">
        <f t="shared" si="35"/>
        <v>0</v>
      </c>
      <c r="Z105" s="173"/>
      <c r="AA105" s="203">
        <f t="shared" si="36"/>
        <v>15</v>
      </c>
      <c r="AB105" s="475">
        <f>IF(OR($AA105=0,$AA105&gt;40),0,INDEX(Overrides!C$47:C$87,$AA105+1,1)*$AA$85+INDEX(Overrides!C$47:C$87,$AA105,1)*$AB$86)</f>
        <v>0</v>
      </c>
      <c r="AC105" s="475">
        <f>IF(OR($AA105=0,$AA105&gt;40),0,INDEX(Overrides!D$47:D$87,$AA105+1,1)*$AA$85+INDEX(Overrides!D$47:D$87,$AA105,1)*$AB$86)</f>
        <v>0</v>
      </c>
      <c r="AD105" s="475">
        <f>IF(OR($AA105=0,$AA105&gt;40),0,INDEX(Overrides!E$47:E$87,$AA105+1,1)*$AA$85+INDEX(Overrides!E$47:E$87,$AA105,1)*$AB$86)</f>
        <v>0</v>
      </c>
      <c r="AE105" s="475">
        <f>IF(OR($AA105=0,$AA105&gt;40),0,INDEX(Overrides!F$47:F$87,$AA105+1,1)*$AA$85+INDEX(Overrides!F$47:F$87,$AA105,1)*$AB$86)</f>
        <v>0</v>
      </c>
      <c r="AF105" s="475">
        <f>IF(OR($AA105=0,$AA105&gt;40),0,INDEX(Overrides!G$47:G$87,$AA105+1,1)*$AA$85+INDEX(Overrides!G$47:G$87,$AA105,1)*$AB$86)</f>
        <v>0</v>
      </c>
      <c r="AG105" s="475">
        <f>IF(OR($AA105=0,$AA105&gt;40),0,INDEX(Overrides!H$47:H$87,$AA105+1,1)*$AA$85+INDEX(Overrides!H$47:H$87,$AA105,1)*$AB$86)</f>
        <v>0</v>
      </c>
      <c r="AH105" s="475">
        <f>IF(OR($AA105=0,$AA105&gt;40),0,INDEX(Overrides!I$47:I$87,$AA105+1,1)*$AA$85+INDEX(Overrides!I$47:I$87,$AA105,1)*$AB$86)</f>
        <v>0</v>
      </c>
      <c r="AI105" s="475">
        <f>IF(OR($AA105=0,$AA105&gt;40),0,INDEX(Overrides!J$47:J$87,$AA105+1,1)*$AA$85+INDEX(Overrides!J$47:J$87,$AA105,1)*$AB$86)</f>
        <v>0</v>
      </c>
      <c r="AJ105" s="93"/>
      <c r="AK105" s="160">
        <f>B105*'Selected Economics'!$I25*'Sensitivity Ranges'!$F$43</f>
        <v>0</v>
      </c>
      <c r="AL105" s="160">
        <f>IF($AA$84=1,AB105,Q105)*'Selected Economics'!$I25*'Sensitivity Ranges'!$F$43</f>
        <v>0</v>
      </c>
      <c r="AM105" s="160">
        <f>IF($AA$84=1,AC105,R105)*'Selected Economics'!$I25*'Sensitivity Ranges'!$F$43</f>
        <v>0</v>
      </c>
      <c r="AN105" s="160">
        <f>IF($AA$84=1,AD105,S105)*'Selected Economics'!$I25*'Sensitivity Ranges'!$F$43</f>
        <v>0</v>
      </c>
      <c r="AO105" s="160">
        <f>IF($AA$84=1,AE105,T105)*'Selected Economics'!$I25*'Sensitivity Ranges'!$F$43</f>
        <v>0</v>
      </c>
      <c r="AP105" s="160">
        <f>IF($AA$84=1,AF105,U105)*'Selected Economics'!$I25*'Sensitivity Ranges'!$F$43</f>
        <v>0</v>
      </c>
      <c r="AQ105" s="160">
        <f>IF($AA$84=1,AG105,V105)*'Selected Economics'!$I25*'Sensitivity Ranges'!$F$43</f>
        <v>0</v>
      </c>
      <c r="AR105" s="160">
        <f>IF($AA$84=1,AH105,W105)*'Selected Economics'!$I25*'Sensitivity Ranges'!$F$43</f>
        <v>0</v>
      </c>
      <c r="AS105" s="160">
        <f>IF($AA$84=1,AI105,X105)*'Selected Economics'!$I25*'Sensitivity Ranges'!$F$43</f>
        <v>0</v>
      </c>
      <c r="AT105" s="160">
        <f t="shared" si="48"/>
        <v>0</v>
      </c>
      <c r="AU105" s="173"/>
      <c r="AV105" s="160">
        <f t="shared" si="54"/>
        <v>0</v>
      </c>
      <c r="AW105" s="160">
        <f>AL105*Abandonment!$H30</f>
        <v>0</v>
      </c>
      <c r="AX105" s="160">
        <f>AM105*Abandonment!$H30</f>
        <v>0</v>
      </c>
      <c r="AY105" s="160">
        <f>AN105*Abandonment!$H30</f>
        <v>0</v>
      </c>
      <c r="AZ105" s="160">
        <f>AO105*Abandonment!$H30</f>
        <v>0</v>
      </c>
      <c r="BA105" s="160">
        <f>AP105*Abandonment!$H30</f>
        <v>0</v>
      </c>
      <c r="BB105" s="160">
        <f>AQ105*Abandonment!$H30</f>
        <v>0</v>
      </c>
      <c r="BC105" s="160">
        <f>AR105*Abandonment!$H30</f>
        <v>0</v>
      </c>
      <c r="BD105" s="160">
        <f>AS105*Abandonment!$H30</f>
        <v>0</v>
      </c>
      <c r="BE105" s="160">
        <f t="shared" si="49"/>
        <v>0</v>
      </c>
      <c r="BF105" s="173"/>
      <c r="BG105" s="160">
        <f>AW105+Exploration!R49</f>
        <v>0</v>
      </c>
      <c r="BH105" s="160">
        <f>AV105+(AX105+AY105+AZ105+IF(Input!$B$15="Shore",0,Development!BA105)+BB105)*(1+'Cost Assumptions'!$O$100)+BC105</f>
        <v>0</v>
      </c>
      <c r="BI105" s="160">
        <f>IF(Input!$B$15="Shore",Development!BA105,0)*(1+'Cost Assumptions'!$O$100)</f>
        <v>0</v>
      </c>
      <c r="BJ105" s="156"/>
      <c r="BK105" s="156"/>
      <c r="BL105" s="160">
        <f t="shared" si="37"/>
        <v>0</v>
      </c>
      <c r="BM105" s="200"/>
      <c r="BN105" s="156"/>
      <c r="BO105" s="160">
        <f t="shared" si="38"/>
        <v>0</v>
      </c>
      <c r="BP105" s="160">
        <f t="shared" si="39"/>
        <v>0</v>
      </c>
      <c r="BQ105" s="160">
        <f t="shared" si="40"/>
        <v>0</v>
      </c>
      <c r="BR105" s="160">
        <f t="shared" si="41"/>
        <v>0</v>
      </c>
      <c r="BS105" s="160">
        <f t="shared" si="42"/>
        <v>0</v>
      </c>
      <c r="BT105" s="160">
        <f t="shared" si="43"/>
        <v>0</v>
      </c>
      <c r="BU105" s="160">
        <f t="shared" si="44"/>
        <v>0</v>
      </c>
      <c r="BV105" s="160">
        <f t="shared" si="45"/>
        <v>0</v>
      </c>
      <c r="BW105" s="160">
        <f t="shared" si="46"/>
        <v>0</v>
      </c>
      <c r="BX105" s="160">
        <f t="shared" si="50"/>
        <v>0</v>
      </c>
      <c r="BY105" s="160"/>
      <c r="BZ105" s="160">
        <f t="shared" si="51"/>
        <v>0</v>
      </c>
    </row>
    <row r="106" spans="1:78">
      <c r="A106" s="140">
        <f t="shared" si="52"/>
        <v>2030</v>
      </c>
      <c r="B106" s="160">
        <f t="shared" si="32"/>
        <v>0</v>
      </c>
      <c r="C106" s="160">
        <f t="shared" si="55"/>
        <v>0</v>
      </c>
      <c r="D106" s="160">
        <f t="shared" si="55"/>
        <v>0</v>
      </c>
      <c r="E106" s="160">
        <f t="shared" si="55"/>
        <v>0</v>
      </c>
      <c r="F106" s="160">
        <f t="shared" si="55"/>
        <v>0</v>
      </c>
      <c r="G106" s="160">
        <f t="shared" si="55"/>
        <v>0</v>
      </c>
      <c r="H106" s="160">
        <f t="shared" si="55"/>
        <v>0</v>
      </c>
      <c r="I106" s="160">
        <f t="shared" si="55"/>
        <v>0</v>
      </c>
      <c r="J106" s="160">
        <f t="shared" si="55"/>
        <v>0</v>
      </c>
      <c r="K106" s="160">
        <f t="shared" si="55"/>
        <v>0</v>
      </c>
      <c r="L106" s="160">
        <f t="shared" si="55"/>
        <v>0</v>
      </c>
      <c r="M106" s="160">
        <f t="shared" si="55"/>
        <v>0</v>
      </c>
      <c r="N106" s="160">
        <f t="shared" si="55"/>
        <v>0</v>
      </c>
      <c r="O106" s="160">
        <f t="shared" si="55"/>
        <v>0</v>
      </c>
      <c r="P106" s="160">
        <f t="shared" si="55"/>
        <v>0</v>
      </c>
      <c r="Q106" s="160">
        <f t="shared" si="47"/>
        <v>0</v>
      </c>
      <c r="R106" s="160">
        <f t="shared" si="34"/>
        <v>0</v>
      </c>
      <c r="S106" s="160">
        <f t="shared" si="34"/>
        <v>0</v>
      </c>
      <c r="T106" s="160">
        <f t="shared" si="34"/>
        <v>0</v>
      </c>
      <c r="U106" s="160">
        <f t="shared" si="34"/>
        <v>0</v>
      </c>
      <c r="V106" s="160">
        <f>'Cost Assumptions'!$O$99*SUM(Development!R106:U106)</f>
        <v>0</v>
      </c>
      <c r="W106" s="160">
        <f t="shared" si="53"/>
        <v>0</v>
      </c>
      <c r="X106" s="160">
        <f>'Cost Assumptions'!$O$100*SUM(Development!R106:V106)</f>
        <v>0</v>
      </c>
      <c r="Y106" s="160">
        <f t="shared" si="35"/>
        <v>0</v>
      </c>
      <c r="Z106" s="173"/>
      <c r="AA106" s="203">
        <f t="shared" si="36"/>
        <v>16</v>
      </c>
      <c r="AB106" s="475">
        <f>IF(OR($AA106=0,$AA106&gt;40),0,INDEX(Overrides!C$47:C$87,$AA106+1,1)*$AA$85+INDEX(Overrides!C$47:C$87,$AA106,1)*$AB$86)</f>
        <v>0</v>
      </c>
      <c r="AC106" s="475">
        <f>IF(OR($AA106=0,$AA106&gt;40),0,INDEX(Overrides!D$47:D$87,$AA106+1,1)*$AA$85+INDEX(Overrides!D$47:D$87,$AA106,1)*$AB$86)</f>
        <v>0</v>
      </c>
      <c r="AD106" s="475">
        <f>IF(OR($AA106=0,$AA106&gt;40),0,INDEX(Overrides!E$47:E$87,$AA106+1,1)*$AA$85+INDEX(Overrides!E$47:E$87,$AA106,1)*$AB$86)</f>
        <v>0</v>
      </c>
      <c r="AE106" s="475">
        <f>IF(OR($AA106=0,$AA106&gt;40),0,INDEX(Overrides!F$47:F$87,$AA106+1,1)*$AA$85+INDEX(Overrides!F$47:F$87,$AA106,1)*$AB$86)</f>
        <v>0</v>
      </c>
      <c r="AF106" s="475">
        <f>IF(OR($AA106=0,$AA106&gt;40),0,INDEX(Overrides!G$47:G$87,$AA106+1,1)*$AA$85+INDEX(Overrides!G$47:G$87,$AA106,1)*$AB$86)</f>
        <v>0</v>
      </c>
      <c r="AG106" s="475">
        <f>IF(OR($AA106=0,$AA106&gt;40),0,INDEX(Overrides!H$47:H$87,$AA106+1,1)*$AA$85+INDEX(Overrides!H$47:H$87,$AA106,1)*$AB$86)</f>
        <v>0</v>
      </c>
      <c r="AH106" s="475">
        <f>IF(OR($AA106=0,$AA106&gt;40),0,INDEX(Overrides!I$47:I$87,$AA106+1,1)*$AA$85+INDEX(Overrides!I$47:I$87,$AA106,1)*$AB$86)</f>
        <v>0</v>
      </c>
      <c r="AI106" s="475">
        <f>IF(OR($AA106=0,$AA106&gt;40),0,INDEX(Overrides!J$47:J$87,$AA106+1,1)*$AA$85+INDEX(Overrides!J$47:J$87,$AA106,1)*$AB$86)</f>
        <v>0</v>
      </c>
      <c r="AJ106" s="93"/>
      <c r="AK106" s="160">
        <f>B106*'Selected Economics'!$I26*'Sensitivity Ranges'!$F$43</f>
        <v>0</v>
      </c>
      <c r="AL106" s="160">
        <f>IF($AA$84=1,AB106,Q106)*'Selected Economics'!$I26*'Sensitivity Ranges'!$F$43</f>
        <v>0</v>
      </c>
      <c r="AM106" s="160">
        <f>IF($AA$84=1,AC106,R106)*'Selected Economics'!$I26*'Sensitivity Ranges'!$F$43</f>
        <v>0</v>
      </c>
      <c r="AN106" s="160">
        <f>IF($AA$84=1,AD106,S106)*'Selected Economics'!$I26*'Sensitivity Ranges'!$F$43</f>
        <v>0</v>
      </c>
      <c r="AO106" s="160">
        <f>IF($AA$84=1,AE106,T106)*'Selected Economics'!$I26*'Sensitivity Ranges'!$F$43</f>
        <v>0</v>
      </c>
      <c r="AP106" s="160">
        <f>IF($AA$84=1,AF106,U106)*'Selected Economics'!$I26*'Sensitivity Ranges'!$F$43</f>
        <v>0</v>
      </c>
      <c r="AQ106" s="160">
        <f>IF($AA$84=1,AG106,V106)*'Selected Economics'!$I26*'Sensitivity Ranges'!$F$43</f>
        <v>0</v>
      </c>
      <c r="AR106" s="160">
        <f>IF($AA$84=1,AH106,W106)*'Selected Economics'!$I26*'Sensitivity Ranges'!$F$43</f>
        <v>0</v>
      </c>
      <c r="AS106" s="160">
        <f>IF($AA$84=1,AI106,X106)*'Selected Economics'!$I26*'Sensitivity Ranges'!$F$43</f>
        <v>0</v>
      </c>
      <c r="AT106" s="160">
        <f t="shared" si="48"/>
        <v>0</v>
      </c>
      <c r="AU106" s="173"/>
      <c r="AV106" s="160">
        <f t="shared" si="54"/>
        <v>0</v>
      </c>
      <c r="AW106" s="160">
        <f>AL106*Abandonment!$H31</f>
        <v>0</v>
      </c>
      <c r="AX106" s="160">
        <f>AM106*Abandonment!$H31</f>
        <v>0</v>
      </c>
      <c r="AY106" s="160">
        <f>AN106*Abandonment!$H31</f>
        <v>0</v>
      </c>
      <c r="AZ106" s="160">
        <f>AO106*Abandonment!$H31</f>
        <v>0</v>
      </c>
      <c r="BA106" s="160">
        <f>AP106*Abandonment!$H31</f>
        <v>0</v>
      </c>
      <c r="BB106" s="160">
        <f>AQ106*Abandonment!$H31</f>
        <v>0</v>
      </c>
      <c r="BC106" s="160">
        <f>AR106*Abandonment!$H31</f>
        <v>0</v>
      </c>
      <c r="BD106" s="160">
        <f>AS106*Abandonment!$H31</f>
        <v>0</v>
      </c>
      <c r="BE106" s="160">
        <f t="shared" si="49"/>
        <v>0</v>
      </c>
      <c r="BF106" s="173"/>
      <c r="BG106" s="160">
        <f>AW106+Exploration!R50</f>
        <v>0</v>
      </c>
      <c r="BH106" s="160">
        <f>AV106+(AX106+AY106+AZ106+IF(Input!$B$15="Shore",0,Development!BA106)+BB106)*(1+'Cost Assumptions'!$O$100)+BC106</f>
        <v>0</v>
      </c>
      <c r="BI106" s="160">
        <f>IF(Input!$B$15="Shore",Development!BA106,0)*(1+'Cost Assumptions'!$O$100)</f>
        <v>0</v>
      </c>
      <c r="BJ106" s="156"/>
      <c r="BK106" s="156"/>
      <c r="BL106" s="160">
        <f t="shared" si="37"/>
        <v>0</v>
      </c>
      <c r="BM106" s="200"/>
      <c r="BN106" s="156"/>
      <c r="BO106" s="160">
        <f t="shared" si="38"/>
        <v>0</v>
      </c>
      <c r="BP106" s="160">
        <f t="shared" si="39"/>
        <v>0</v>
      </c>
      <c r="BQ106" s="160">
        <f t="shared" si="40"/>
        <v>0</v>
      </c>
      <c r="BR106" s="160">
        <f t="shared" si="41"/>
        <v>0</v>
      </c>
      <c r="BS106" s="160">
        <f t="shared" si="42"/>
        <v>0</v>
      </c>
      <c r="BT106" s="160">
        <f t="shared" si="43"/>
        <v>0</v>
      </c>
      <c r="BU106" s="160">
        <f t="shared" si="44"/>
        <v>0</v>
      </c>
      <c r="BV106" s="160">
        <f t="shared" si="45"/>
        <v>0</v>
      </c>
      <c r="BW106" s="160">
        <f t="shared" si="46"/>
        <v>0</v>
      </c>
      <c r="BX106" s="160">
        <f t="shared" si="50"/>
        <v>0</v>
      </c>
      <c r="BY106" s="160"/>
      <c r="BZ106" s="160">
        <f t="shared" si="51"/>
        <v>0</v>
      </c>
    </row>
    <row r="107" spans="1:78">
      <c r="A107" s="140">
        <f t="shared" si="52"/>
        <v>2031</v>
      </c>
      <c r="B107" s="160">
        <f t="shared" si="32"/>
        <v>0</v>
      </c>
      <c r="C107" s="160">
        <f t="shared" si="55"/>
        <v>0</v>
      </c>
      <c r="D107" s="160">
        <f t="shared" si="55"/>
        <v>0</v>
      </c>
      <c r="E107" s="160">
        <f t="shared" si="55"/>
        <v>0</v>
      </c>
      <c r="F107" s="160">
        <f t="shared" si="55"/>
        <v>0</v>
      </c>
      <c r="G107" s="160">
        <f t="shared" si="55"/>
        <v>0</v>
      </c>
      <c r="H107" s="160">
        <f t="shared" si="55"/>
        <v>0</v>
      </c>
      <c r="I107" s="160">
        <f t="shared" si="55"/>
        <v>0</v>
      </c>
      <c r="J107" s="160">
        <f t="shared" si="55"/>
        <v>0</v>
      </c>
      <c r="K107" s="160">
        <f t="shared" si="55"/>
        <v>0</v>
      </c>
      <c r="L107" s="160">
        <f t="shared" si="55"/>
        <v>0</v>
      </c>
      <c r="M107" s="160">
        <f t="shared" si="55"/>
        <v>0</v>
      </c>
      <c r="N107" s="160">
        <f t="shared" si="55"/>
        <v>0</v>
      </c>
      <c r="O107" s="160">
        <f t="shared" si="55"/>
        <v>0</v>
      </c>
      <c r="P107" s="160">
        <f t="shared" si="55"/>
        <v>0</v>
      </c>
      <c r="Q107" s="160">
        <f t="shared" si="47"/>
        <v>0</v>
      </c>
      <c r="R107" s="160">
        <f t="shared" si="34"/>
        <v>0</v>
      </c>
      <c r="S107" s="160">
        <f t="shared" si="34"/>
        <v>0</v>
      </c>
      <c r="T107" s="160">
        <f t="shared" si="34"/>
        <v>0</v>
      </c>
      <c r="U107" s="160">
        <f t="shared" si="34"/>
        <v>0</v>
      </c>
      <c r="V107" s="160">
        <f>'Cost Assumptions'!$O$99*SUM(Development!R107:U107)</f>
        <v>0</v>
      </c>
      <c r="W107" s="160">
        <f t="shared" si="53"/>
        <v>0</v>
      </c>
      <c r="X107" s="160">
        <f>'Cost Assumptions'!$O$100*SUM(Development!R107:V107)</f>
        <v>0</v>
      </c>
      <c r="Y107" s="160">
        <f t="shared" si="35"/>
        <v>0</v>
      </c>
      <c r="Z107" s="173"/>
      <c r="AA107" s="203">
        <f t="shared" si="36"/>
        <v>17</v>
      </c>
      <c r="AB107" s="475">
        <f>IF(OR($AA107=0,$AA107&gt;40),0,INDEX(Overrides!C$47:C$87,$AA107+1,1)*$AA$85+INDEX(Overrides!C$47:C$87,$AA107,1)*$AB$86)</f>
        <v>0</v>
      </c>
      <c r="AC107" s="475">
        <f>IF(OR($AA107=0,$AA107&gt;40),0,INDEX(Overrides!D$47:D$87,$AA107+1,1)*$AA$85+INDEX(Overrides!D$47:D$87,$AA107,1)*$AB$86)</f>
        <v>0</v>
      </c>
      <c r="AD107" s="475">
        <f>IF(OR($AA107=0,$AA107&gt;40),0,INDEX(Overrides!E$47:E$87,$AA107+1,1)*$AA$85+INDEX(Overrides!E$47:E$87,$AA107,1)*$AB$86)</f>
        <v>0</v>
      </c>
      <c r="AE107" s="475">
        <f>IF(OR($AA107=0,$AA107&gt;40),0,INDEX(Overrides!F$47:F$87,$AA107+1,1)*$AA$85+INDEX(Overrides!F$47:F$87,$AA107,1)*$AB$86)</f>
        <v>0</v>
      </c>
      <c r="AF107" s="475">
        <f>IF(OR($AA107=0,$AA107&gt;40),0,INDEX(Overrides!G$47:G$87,$AA107+1,1)*$AA$85+INDEX(Overrides!G$47:G$87,$AA107,1)*$AB$86)</f>
        <v>0</v>
      </c>
      <c r="AG107" s="475">
        <f>IF(OR($AA107=0,$AA107&gt;40),0,INDEX(Overrides!H$47:H$87,$AA107+1,1)*$AA$85+INDEX(Overrides!H$47:H$87,$AA107,1)*$AB$86)</f>
        <v>0</v>
      </c>
      <c r="AH107" s="475">
        <f>IF(OR($AA107=0,$AA107&gt;40),0,INDEX(Overrides!I$47:I$87,$AA107+1,1)*$AA$85+INDEX(Overrides!I$47:I$87,$AA107,1)*$AB$86)</f>
        <v>0</v>
      </c>
      <c r="AI107" s="475">
        <f>IF(OR($AA107=0,$AA107&gt;40),0,INDEX(Overrides!J$47:J$87,$AA107+1,1)*$AA$85+INDEX(Overrides!J$47:J$87,$AA107,1)*$AB$86)</f>
        <v>0</v>
      </c>
      <c r="AJ107" s="93"/>
      <c r="AK107" s="160">
        <f>B107*'Selected Economics'!$I27*'Sensitivity Ranges'!$F$43</f>
        <v>0</v>
      </c>
      <c r="AL107" s="160">
        <f>IF($AA$84=1,AB107,Q107)*'Selected Economics'!$I27*'Sensitivity Ranges'!$F$43</f>
        <v>0</v>
      </c>
      <c r="AM107" s="160">
        <f>IF($AA$84=1,AC107,R107)*'Selected Economics'!$I27*'Sensitivity Ranges'!$F$43</f>
        <v>0</v>
      </c>
      <c r="AN107" s="160">
        <f>IF($AA$84=1,AD107,S107)*'Selected Economics'!$I27*'Sensitivity Ranges'!$F$43</f>
        <v>0</v>
      </c>
      <c r="AO107" s="160">
        <f>IF($AA$84=1,AE107,T107)*'Selected Economics'!$I27*'Sensitivity Ranges'!$F$43</f>
        <v>0</v>
      </c>
      <c r="AP107" s="160">
        <f>IF($AA$84=1,AF107,U107)*'Selected Economics'!$I27*'Sensitivity Ranges'!$F$43</f>
        <v>0</v>
      </c>
      <c r="AQ107" s="160">
        <f>IF($AA$84=1,AG107,V107)*'Selected Economics'!$I27*'Sensitivity Ranges'!$F$43</f>
        <v>0</v>
      </c>
      <c r="AR107" s="160">
        <f>IF($AA$84=1,AH107,W107)*'Selected Economics'!$I27*'Sensitivity Ranges'!$F$43</f>
        <v>0</v>
      </c>
      <c r="AS107" s="160">
        <f>IF($AA$84=1,AI107,X107)*'Selected Economics'!$I27*'Sensitivity Ranges'!$F$43</f>
        <v>0</v>
      </c>
      <c r="AT107" s="160">
        <f t="shared" si="48"/>
        <v>0</v>
      </c>
      <c r="AU107" s="173"/>
      <c r="AV107" s="160">
        <f t="shared" si="54"/>
        <v>0</v>
      </c>
      <c r="AW107" s="160">
        <f>AL107*Abandonment!$H32</f>
        <v>0</v>
      </c>
      <c r="AX107" s="160">
        <f>AM107*Abandonment!$H32</f>
        <v>0</v>
      </c>
      <c r="AY107" s="160">
        <f>AN107*Abandonment!$H32</f>
        <v>0</v>
      </c>
      <c r="AZ107" s="160">
        <f>AO107*Abandonment!$H32</f>
        <v>0</v>
      </c>
      <c r="BA107" s="160">
        <f>AP107*Abandonment!$H32</f>
        <v>0</v>
      </c>
      <c r="BB107" s="160">
        <f>AQ107*Abandonment!$H32</f>
        <v>0</v>
      </c>
      <c r="BC107" s="160">
        <f>AR107*Abandonment!$H32</f>
        <v>0</v>
      </c>
      <c r="BD107" s="160">
        <f>AS107*Abandonment!$H32</f>
        <v>0</v>
      </c>
      <c r="BE107" s="160">
        <f t="shared" si="49"/>
        <v>0</v>
      </c>
      <c r="BF107" s="173"/>
      <c r="BG107" s="160">
        <f>AW107+Exploration!R51</f>
        <v>0</v>
      </c>
      <c r="BH107" s="160">
        <f>AV107+(AX107+AY107+AZ107+IF(Input!$B$15="Shore",0,Development!BA107)+BB107)*(1+'Cost Assumptions'!$O$100)+BC107</f>
        <v>0</v>
      </c>
      <c r="BI107" s="160">
        <f>IF(Input!$B$15="Shore",Development!BA107,0)*(1+'Cost Assumptions'!$O$100)</f>
        <v>0</v>
      </c>
      <c r="BJ107" s="156"/>
      <c r="BK107" s="156"/>
      <c r="BL107" s="160">
        <f t="shared" si="37"/>
        <v>0</v>
      </c>
      <c r="BM107" s="200"/>
      <c r="BN107" s="156"/>
      <c r="BO107" s="160">
        <f t="shared" si="38"/>
        <v>0</v>
      </c>
      <c r="BP107" s="160">
        <f t="shared" si="39"/>
        <v>0</v>
      </c>
      <c r="BQ107" s="160">
        <f t="shared" si="40"/>
        <v>0</v>
      </c>
      <c r="BR107" s="160">
        <f t="shared" si="41"/>
        <v>0</v>
      </c>
      <c r="BS107" s="160">
        <f t="shared" si="42"/>
        <v>0</v>
      </c>
      <c r="BT107" s="160">
        <f t="shared" si="43"/>
        <v>0</v>
      </c>
      <c r="BU107" s="160">
        <f t="shared" si="44"/>
        <v>0</v>
      </c>
      <c r="BV107" s="160">
        <f t="shared" si="45"/>
        <v>0</v>
      </c>
      <c r="BW107" s="160">
        <f t="shared" si="46"/>
        <v>0</v>
      </c>
      <c r="BX107" s="160">
        <f t="shared" si="50"/>
        <v>0</v>
      </c>
      <c r="BY107" s="160"/>
      <c r="BZ107" s="160">
        <f t="shared" si="51"/>
        <v>0</v>
      </c>
    </row>
    <row r="108" spans="1:78">
      <c r="A108" s="140">
        <f t="shared" si="52"/>
        <v>2032</v>
      </c>
      <c r="B108" s="160">
        <f t="shared" si="32"/>
        <v>0</v>
      </c>
      <c r="C108" s="160">
        <f t="shared" si="55"/>
        <v>0</v>
      </c>
      <c r="D108" s="160">
        <f t="shared" si="55"/>
        <v>0</v>
      </c>
      <c r="E108" s="160">
        <f t="shared" si="55"/>
        <v>0</v>
      </c>
      <c r="F108" s="160">
        <f t="shared" si="55"/>
        <v>0</v>
      </c>
      <c r="G108" s="160">
        <f t="shared" si="55"/>
        <v>0</v>
      </c>
      <c r="H108" s="160">
        <f t="shared" si="55"/>
        <v>0</v>
      </c>
      <c r="I108" s="160">
        <f t="shared" si="55"/>
        <v>0</v>
      </c>
      <c r="J108" s="160">
        <f t="shared" si="55"/>
        <v>0</v>
      </c>
      <c r="K108" s="160">
        <f t="shared" si="55"/>
        <v>0</v>
      </c>
      <c r="L108" s="160">
        <f t="shared" si="55"/>
        <v>0</v>
      </c>
      <c r="M108" s="160">
        <f t="shared" si="55"/>
        <v>0</v>
      </c>
      <c r="N108" s="160">
        <f t="shared" si="55"/>
        <v>0</v>
      </c>
      <c r="O108" s="160">
        <f t="shared" si="55"/>
        <v>0</v>
      </c>
      <c r="P108" s="160">
        <f t="shared" si="55"/>
        <v>0</v>
      </c>
      <c r="Q108" s="160">
        <f t="shared" si="47"/>
        <v>0</v>
      </c>
      <c r="R108" s="160">
        <f t="shared" si="34"/>
        <v>0</v>
      </c>
      <c r="S108" s="160">
        <f t="shared" si="34"/>
        <v>0</v>
      </c>
      <c r="T108" s="160">
        <f t="shared" si="34"/>
        <v>0</v>
      </c>
      <c r="U108" s="160">
        <f t="shared" si="34"/>
        <v>0</v>
      </c>
      <c r="V108" s="160">
        <f>'Cost Assumptions'!$O$99*SUM(Development!R108:U108)</f>
        <v>0</v>
      </c>
      <c r="W108" s="160">
        <f t="shared" si="53"/>
        <v>0</v>
      </c>
      <c r="X108" s="160">
        <f>'Cost Assumptions'!$O$100*SUM(Development!R108:V108)</f>
        <v>0</v>
      </c>
      <c r="Y108" s="160">
        <f t="shared" si="35"/>
        <v>0</v>
      </c>
      <c r="Z108" s="173"/>
      <c r="AA108" s="203">
        <f t="shared" si="36"/>
        <v>18</v>
      </c>
      <c r="AB108" s="475">
        <f>IF(OR($AA108=0,$AA108&gt;40),0,INDEX(Overrides!C$47:C$87,$AA108+1,1)*$AA$85+INDEX(Overrides!C$47:C$87,$AA108,1)*$AB$86)</f>
        <v>0</v>
      </c>
      <c r="AC108" s="475">
        <f>IF(OR($AA108=0,$AA108&gt;40),0,INDEX(Overrides!D$47:D$87,$AA108+1,1)*$AA$85+INDEX(Overrides!D$47:D$87,$AA108,1)*$AB$86)</f>
        <v>0</v>
      </c>
      <c r="AD108" s="475">
        <f>IF(OR($AA108=0,$AA108&gt;40),0,INDEX(Overrides!E$47:E$87,$AA108+1,1)*$AA$85+INDEX(Overrides!E$47:E$87,$AA108,1)*$AB$86)</f>
        <v>0</v>
      </c>
      <c r="AE108" s="475">
        <f>IF(OR($AA108=0,$AA108&gt;40),0,INDEX(Overrides!F$47:F$87,$AA108+1,1)*$AA$85+INDEX(Overrides!F$47:F$87,$AA108,1)*$AB$86)</f>
        <v>0</v>
      </c>
      <c r="AF108" s="475">
        <f>IF(OR($AA108=0,$AA108&gt;40),0,INDEX(Overrides!G$47:G$87,$AA108+1,1)*$AA$85+INDEX(Overrides!G$47:G$87,$AA108,1)*$AB$86)</f>
        <v>0</v>
      </c>
      <c r="AG108" s="475">
        <f>IF(OR($AA108=0,$AA108&gt;40),0,INDEX(Overrides!H$47:H$87,$AA108+1,1)*$AA$85+INDEX(Overrides!H$47:H$87,$AA108,1)*$AB$86)</f>
        <v>0</v>
      </c>
      <c r="AH108" s="475">
        <f>IF(OR($AA108=0,$AA108&gt;40),0,INDEX(Overrides!I$47:I$87,$AA108+1,1)*$AA$85+INDEX(Overrides!I$47:I$87,$AA108,1)*$AB$86)</f>
        <v>0</v>
      </c>
      <c r="AI108" s="475">
        <f>IF(OR($AA108=0,$AA108&gt;40),0,INDEX(Overrides!J$47:J$87,$AA108+1,1)*$AA$85+INDEX(Overrides!J$47:J$87,$AA108,1)*$AB$86)</f>
        <v>0</v>
      </c>
      <c r="AJ108" s="93"/>
      <c r="AK108" s="160">
        <f>B108*'Selected Economics'!$I28*'Sensitivity Ranges'!$F$43</f>
        <v>0</v>
      </c>
      <c r="AL108" s="160">
        <f>IF($AA$84=1,AB108,Q108)*'Selected Economics'!$I28*'Sensitivity Ranges'!$F$43</f>
        <v>0</v>
      </c>
      <c r="AM108" s="160">
        <f>IF($AA$84=1,AC108,R108)*'Selected Economics'!$I28*'Sensitivity Ranges'!$F$43</f>
        <v>0</v>
      </c>
      <c r="AN108" s="160">
        <f>IF($AA$84=1,AD108,S108)*'Selected Economics'!$I28*'Sensitivity Ranges'!$F$43</f>
        <v>0</v>
      </c>
      <c r="AO108" s="160">
        <f>IF($AA$84=1,AE108,T108)*'Selected Economics'!$I28*'Sensitivity Ranges'!$F$43</f>
        <v>0</v>
      </c>
      <c r="AP108" s="160">
        <f>IF($AA$84=1,AF108,U108)*'Selected Economics'!$I28*'Sensitivity Ranges'!$F$43</f>
        <v>0</v>
      </c>
      <c r="AQ108" s="160">
        <f>IF($AA$84=1,AG108,V108)*'Selected Economics'!$I28*'Sensitivity Ranges'!$F$43</f>
        <v>0</v>
      </c>
      <c r="AR108" s="160">
        <f>IF($AA$84=1,AH108,W108)*'Selected Economics'!$I28*'Sensitivity Ranges'!$F$43</f>
        <v>0</v>
      </c>
      <c r="AS108" s="160">
        <f>IF($AA$84=1,AI108,X108)*'Selected Economics'!$I28*'Sensitivity Ranges'!$F$43</f>
        <v>0</v>
      </c>
      <c r="AT108" s="160">
        <f t="shared" si="48"/>
        <v>0</v>
      </c>
      <c r="AU108" s="173"/>
      <c r="AV108" s="160">
        <f t="shared" si="54"/>
        <v>0</v>
      </c>
      <c r="AW108" s="160">
        <f>AL108*Abandonment!$H33</f>
        <v>0</v>
      </c>
      <c r="AX108" s="160">
        <f>AM108*Abandonment!$H33</f>
        <v>0</v>
      </c>
      <c r="AY108" s="160">
        <f>AN108*Abandonment!$H33</f>
        <v>0</v>
      </c>
      <c r="AZ108" s="160">
        <f>AO108*Abandonment!$H33</f>
        <v>0</v>
      </c>
      <c r="BA108" s="160">
        <f>AP108*Abandonment!$H33</f>
        <v>0</v>
      </c>
      <c r="BB108" s="160">
        <f>AQ108*Abandonment!$H33</f>
        <v>0</v>
      </c>
      <c r="BC108" s="160">
        <f>AR108*Abandonment!$H33</f>
        <v>0</v>
      </c>
      <c r="BD108" s="160">
        <f>AS108*Abandonment!$H33</f>
        <v>0</v>
      </c>
      <c r="BE108" s="160">
        <f t="shared" si="49"/>
        <v>0</v>
      </c>
      <c r="BF108" s="173"/>
      <c r="BG108" s="160">
        <f>AW108+Exploration!R52</f>
        <v>0</v>
      </c>
      <c r="BH108" s="160">
        <f>AV108+(AX108+AY108+AZ108+IF(Input!$B$15="Shore",0,Development!BA108)+BB108)*(1+'Cost Assumptions'!$O$100)+BC108</f>
        <v>0</v>
      </c>
      <c r="BI108" s="160">
        <f>IF(Input!$B$15="Shore",Development!BA108,0)*(1+'Cost Assumptions'!$O$100)</f>
        <v>0</v>
      </c>
      <c r="BJ108" s="156"/>
      <c r="BK108" s="156"/>
      <c r="BL108" s="160">
        <f t="shared" si="37"/>
        <v>0</v>
      </c>
      <c r="BM108" s="200"/>
      <c r="BN108" s="156"/>
      <c r="BO108" s="160">
        <f t="shared" si="38"/>
        <v>0</v>
      </c>
      <c r="BP108" s="160">
        <f t="shared" si="39"/>
        <v>0</v>
      </c>
      <c r="BQ108" s="160">
        <f t="shared" si="40"/>
        <v>0</v>
      </c>
      <c r="BR108" s="160">
        <f t="shared" si="41"/>
        <v>0</v>
      </c>
      <c r="BS108" s="160">
        <f t="shared" si="42"/>
        <v>0</v>
      </c>
      <c r="BT108" s="160">
        <f t="shared" si="43"/>
        <v>0</v>
      </c>
      <c r="BU108" s="160">
        <f t="shared" si="44"/>
        <v>0</v>
      </c>
      <c r="BV108" s="160">
        <f t="shared" si="45"/>
        <v>0</v>
      </c>
      <c r="BW108" s="160">
        <f t="shared" si="46"/>
        <v>0</v>
      </c>
      <c r="BX108" s="160">
        <f t="shared" si="50"/>
        <v>0</v>
      </c>
      <c r="BY108" s="160"/>
      <c r="BZ108" s="160">
        <f t="shared" si="51"/>
        <v>0</v>
      </c>
    </row>
    <row r="109" spans="1:78">
      <c r="A109" s="140">
        <f t="shared" si="52"/>
        <v>2033</v>
      </c>
      <c r="B109" s="160">
        <f t="shared" si="32"/>
        <v>0</v>
      </c>
      <c r="C109" s="160">
        <f t="shared" si="55"/>
        <v>0</v>
      </c>
      <c r="D109" s="160">
        <f t="shared" si="55"/>
        <v>0</v>
      </c>
      <c r="E109" s="160">
        <f t="shared" si="55"/>
        <v>0</v>
      </c>
      <c r="F109" s="160">
        <f t="shared" si="55"/>
        <v>0</v>
      </c>
      <c r="G109" s="160">
        <f t="shared" si="55"/>
        <v>0</v>
      </c>
      <c r="H109" s="160">
        <f t="shared" si="55"/>
        <v>0</v>
      </c>
      <c r="I109" s="160">
        <f t="shared" si="55"/>
        <v>0</v>
      </c>
      <c r="J109" s="160">
        <f t="shared" si="55"/>
        <v>0</v>
      </c>
      <c r="K109" s="160">
        <f t="shared" si="55"/>
        <v>0</v>
      </c>
      <c r="L109" s="160">
        <f t="shared" si="55"/>
        <v>0</v>
      </c>
      <c r="M109" s="160">
        <f t="shared" si="55"/>
        <v>0</v>
      </c>
      <c r="N109" s="160">
        <f t="shared" si="55"/>
        <v>0</v>
      </c>
      <c r="O109" s="160">
        <f t="shared" si="55"/>
        <v>0</v>
      </c>
      <c r="P109" s="160">
        <f t="shared" si="55"/>
        <v>0</v>
      </c>
      <c r="Q109" s="160">
        <f t="shared" si="47"/>
        <v>0</v>
      </c>
      <c r="R109" s="160">
        <f t="shared" si="34"/>
        <v>0</v>
      </c>
      <c r="S109" s="160">
        <f t="shared" si="34"/>
        <v>0</v>
      </c>
      <c r="T109" s="160">
        <f t="shared" si="34"/>
        <v>0</v>
      </c>
      <c r="U109" s="160">
        <f t="shared" si="34"/>
        <v>0</v>
      </c>
      <c r="V109" s="160">
        <f>'Cost Assumptions'!$O$99*SUM(Development!R109:U109)</f>
        <v>0</v>
      </c>
      <c r="W109" s="160">
        <f t="shared" si="53"/>
        <v>0</v>
      </c>
      <c r="X109" s="160">
        <f>'Cost Assumptions'!$O$100*SUM(Development!R109:V109)</f>
        <v>0</v>
      </c>
      <c r="Y109" s="160">
        <f t="shared" si="35"/>
        <v>0</v>
      </c>
      <c r="Z109" s="173"/>
      <c r="AA109" s="203">
        <f t="shared" si="36"/>
        <v>19</v>
      </c>
      <c r="AB109" s="475">
        <f>IF(OR($AA109=0,$AA109&gt;40),0,INDEX(Overrides!C$47:C$87,$AA109+1,1)*$AA$85+INDEX(Overrides!C$47:C$87,$AA109,1)*$AB$86)</f>
        <v>0</v>
      </c>
      <c r="AC109" s="475">
        <f>IF(OR($AA109=0,$AA109&gt;40),0,INDEX(Overrides!D$47:D$87,$AA109+1,1)*$AA$85+INDEX(Overrides!D$47:D$87,$AA109,1)*$AB$86)</f>
        <v>0</v>
      </c>
      <c r="AD109" s="475">
        <f>IF(OR($AA109=0,$AA109&gt;40),0,INDEX(Overrides!E$47:E$87,$AA109+1,1)*$AA$85+INDEX(Overrides!E$47:E$87,$AA109,1)*$AB$86)</f>
        <v>0</v>
      </c>
      <c r="AE109" s="475">
        <f>IF(OR($AA109=0,$AA109&gt;40),0,INDEX(Overrides!F$47:F$87,$AA109+1,1)*$AA$85+INDEX(Overrides!F$47:F$87,$AA109,1)*$AB$86)</f>
        <v>0</v>
      </c>
      <c r="AF109" s="475">
        <f>IF(OR($AA109=0,$AA109&gt;40),0,INDEX(Overrides!G$47:G$87,$AA109+1,1)*$AA$85+INDEX(Overrides!G$47:G$87,$AA109,1)*$AB$86)</f>
        <v>0</v>
      </c>
      <c r="AG109" s="475">
        <f>IF(OR($AA109=0,$AA109&gt;40),0,INDEX(Overrides!H$47:H$87,$AA109+1,1)*$AA$85+INDEX(Overrides!H$47:H$87,$AA109,1)*$AB$86)</f>
        <v>0</v>
      </c>
      <c r="AH109" s="475">
        <f>IF(OR($AA109=0,$AA109&gt;40),0,INDEX(Overrides!I$47:I$87,$AA109+1,1)*$AA$85+INDEX(Overrides!I$47:I$87,$AA109,1)*$AB$86)</f>
        <v>0</v>
      </c>
      <c r="AI109" s="475">
        <f>IF(OR($AA109=0,$AA109&gt;40),0,INDEX(Overrides!J$47:J$87,$AA109+1,1)*$AA$85+INDEX(Overrides!J$47:J$87,$AA109,1)*$AB$86)</f>
        <v>0</v>
      </c>
      <c r="AJ109" s="93"/>
      <c r="AK109" s="160">
        <f>B109*'Selected Economics'!$I29*'Sensitivity Ranges'!$F$43</f>
        <v>0</v>
      </c>
      <c r="AL109" s="160">
        <f>IF($AA$84=1,AB109,Q109)*'Selected Economics'!$I29*'Sensitivity Ranges'!$F$43</f>
        <v>0</v>
      </c>
      <c r="AM109" s="160">
        <f>IF($AA$84=1,AC109,R109)*'Selected Economics'!$I29*'Sensitivity Ranges'!$F$43</f>
        <v>0</v>
      </c>
      <c r="AN109" s="160">
        <f>IF($AA$84=1,AD109,S109)*'Selected Economics'!$I29*'Sensitivity Ranges'!$F$43</f>
        <v>0</v>
      </c>
      <c r="AO109" s="160">
        <f>IF($AA$84=1,AE109,T109)*'Selected Economics'!$I29*'Sensitivity Ranges'!$F$43</f>
        <v>0</v>
      </c>
      <c r="AP109" s="160">
        <f>IF($AA$84=1,AF109,U109)*'Selected Economics'!$I29*'Sensitivity Ranges'!$F$43</f>
        <v>0</v>
      </c>
      <c r="AQ109" s="160">
        <f>IF($AA$84=1,AG109,V109)*'Selected Economics'!$I29*'Sensitivity Ranges'!$F$43</f>
        <v>0</v>
      </c>
      <c r="AR109" s="160">
        <f>IF($AA$84=1,AH109,W109)*'Selected Economics'!$I29*'Sensitivity Ranges'!$F$43</f>
        <v>0</v>
      </c>
      <c r="AS109" s="160">
        <f>IF($AA$84=1,AI109,X109)*'Selected Economics'!$I29*'Sensitivity Ranges'!$F$43</f>
        <v>0</v>
      </c>
      <c r="AT109" s="160">
        <f t="shared" si="48"/>
        <v>0</v>
      </c>
      <c r="AU109" s="173"/>
      <c r="AV109" s="160">
        <f t="shared" si="54"/>
        <v>0</v>
      </c>
      <c r="AW109" s="160">
        <f>AL109*Abandonment!$H34</f>
        <v>0</v>
      </c>
      <c r="AX109" s="160">
        <f>AM109*Abandonment!$H34</f>
        <v>0</v>
      </c>
      <c r="AY109" s="160">
        <f>AN109*Abandonment!$H34</f>
        <v>0</v>
      </c>
      <c r="AZ109" s="160">
        <f>AO109*Abandonment!$H34</f>
        <v>0</v>
      </c>
      <c r="BA109" s="160">
        <f>AP109*Abandonment!$H34</f>
        <v>0</v>
      </c>
      <c r="BB109" s="160">
        <f>AQ109*Abandonment!$H34</f>
        <v>0</v>
      </c>
      <c r="BC109" s="160">
        <f>AR109*Abandonment!$H34</f>
        <v>0</v>
      </c>
      <c r="BD109" s="160">
        <f>AS109*Abandonment!$H34</f>
        <v>0</v>
      </c>
      <c r="BE109" s="160">
        <f t="shared" si="49"/>
        <v>0</v>
      </c>
      <c r="BF109" s="173"/>
      <c r="BG109" s="160">
        <f>AW109+Exploration!R53</f>
        <v>0</v>
      </c>
      <c r="BH109" s="160">
        <f>AV109+(AX109+AY109+AZ109+IF(Input!$B$15="Shore",0,Development!BA109)+BB109)*(1+'Cost Assumptions'!$O$100)+BC109</f>
        <v>0</v>
      </c>
      <c r="BI109" s="160">
        <f>IF(Input!$B$15="Shore",Development!BA109,0)*(1+'Cost Assumptions'!$O$100)</f>
        <v>0</v>
      </c>
      <c r="BJ109" s="156"/>
      <c r="BK109" s="156"/>
      <c r="BL109" s="160">
        <f t="shared" si="37"/>
        <v>0</v>
      </c>
      <c r="BM109" s="200"/>
      <c r="BN109" s="156"/>
      <c r="BO109" s="160">
        <f t="shared" si="38"/>
        <v>0</v>
      </c>
      <c r="BP109" s="160">
        <f t="shared" si="39"/>
        <v>0</v>
      </c>
      <c r="BQ109" s="160">
        <f t="shared" si="40"/>
        <v>0</v>
      </c>
      <c r="BR109" s="160">
        <f t="shared" si="41"/>
        <v>0</v>
      </c>
      <c r="BS109" s="160">
        <f t="shared" si="42"/>
        <v>0</v>
      </c>
      <c r="BT109" s="160">
        <f t="shared" si="43"/>
        <v>0</v>
      </c>
      <c r="BU109" s="160">
        <f t="shared" si="44"/>
        <v>0</v>
      </c>
      <c r="BV109" s="160">
        <f t="shared" si="45"/>
        <v>0</v>
      </c>
      <c r="BW109" s="160">
        <f t="shared" si="46"/>
        <v>0</v>
      </c>
      <c r="BX109" s="160">
        <f t="shared" si="50"/>
        <v>0</v>
      </c>
      <c r="BY109" s="160"/>
      <c r="BZ109" s="160">
        <f t="shared" si="51"/>
        <v>0</v>
      </c>
    </row>
    <row r="110" spans="1:78">
      <c r="A110" s="140">
        <f t="shared" si="52"/>
        <v>2034</v>
      </c>
      <c r="B110" s="160">
        <f t="shared" si="32"/>
        <v>0</v>
      </c>
      <c r="C110" s="160">
        <f t="shared" si="55"/>
        <v>0</v>
      </c>
      <c r="D110" s="160">
        <f t="shared" si="55"/>
        <v>0</v>
      </c>
      <c r="E110" s="160">
        <f t="shared" si="55"/>
        <v>0</v>
      </c>
      <c r="F110" s="160">
        <f t="shared" si="55"/>
        <v>0</v>
      </c>
      <c r="G110" s="160">
        <f t="shared" si="55"/>
        <v>0</v>
      </c>
      <c r="H110" s="160">
        <f t="shared" si="55"/>
        <v>0</v>
      </c>
      <c r="I110" s="160">
        <f t="shared" si="55"/>
        <v>0</v>
      </c>
      <c r="J110" s="160">
        <f t="shared" si="55"/>
        <v>0</v>
      </c>
      <c r="K110" s="160">
        <f t="shared" si="55"/>
        <v>0</v>
      </c>
      <c r="L110" s="160">
        <f t="shared" si="55"/>
        <v>0</v>
      </c>
      <c r="M110" s="160">
        <f t="shared" si="55"/>
        <v>0</v>
      </c>
      <c r="N110" s="160">
        <f t="shared" si="55"/>
        <v>0</v>
      </c>
      <c r="O110" s="160">
        <f t="shared" si="55"/>
        <v>0</v>
      </c>
      <c r="P110" s="160">
        <f t="shared" si="55"/>
        <v>0</v>
      </c>
      <c r="Q110" s="160">
        <f t="shared" si="47"/>
        <v>0</v>
      </c>
      <c r="R110" s="160">
        <f t="shared" si="34"/>
        <v>0</v>
      </c>
      <c r="S110" s="160">
        <f t="shared" si="34"/>
        <v>0</v>
      </c>
      <c r="T110" s="160">
        <f t="shared" si="34"/>
        <v>0</v>
      </c>
      <c r="U110" s="160">
        <f t="shared" si="34"/>
        <v>0</v>
      </c>
      <c r="V110" s="160">
        <f>'Cost Assumptions'!$O$99*SUM(Development!R110:U110)</f>
        <v>0</v>
      </c>
      <c r="W110" s="160">
        <f t="shared" si="53"/>
        <v>0</v>
      </c>
      <c r="X110" s="160">
        <f>'Cost Assumptions'!$O$100*SUM(Development!R110:V110)</f>
        <v>0</v>
      </c>
      <c r="Y110" s="160">
        <f t="shared" si="35"/>
        <v>0</v>
      </c>
      <c r="Z110" s="173"/>
      <c r="AA110" s="203">
        <f t="shared" si="36"/>
        <v>20</v>
      </c>
      <c r="AB110" s="475">
        <f>IF(OR($AA110=0,$AA110&gt;40),0,INDEX(Overrides!C$47:C$87,$AA110+1,1)*$AA$85+INDEX(Overrides!C$47:C$87,$AA110,1)*$AB$86)</f>
        <v>0</v>
      </c>
      <c r="AC110" s="475">
        <f>IF(OR($AA110=0,$AA110&gt;40),0,INDEX(Overrides!D$47:D$87,$AA110+1,1)*$AA$85+INDEX(Overrides!D$47:D$87,$AA110,1)*$AB$86)</f>
        <v>0</v>
      </c>
      <c r="AD110" s="475">
        <f>IF(OR($AA110=0,$AA110&gt;40),0,INDEX(Overrides!E$47:E$87,$AA110+1,1)*$AA$85+INDEX(Overrides!E$47:E$87,$AA110,1)*$AB$86)</f>
        <v>0</v>
      </c>
      <c r="AE110" s="475">
        <f>IF(OR($AA110=0,$AA110&gt;40),0,INDEX(Overrides!F$47:F$87,$AA110+1,1)*$AA$85+INDEX(Overrides!F$47:F$87,$AA110,1)*$AB$86)</f>
        <v>0</v>
      </c>
      <c r="AF110" s="475">
        <f>IF(OR($AA110=0,$AA110&gt;40),0,INDEX(Overrides!G$47:G$87,$AA110+1,1)*$AA$85+INDEX(Overrides!G$47:G$87,$AA110,1)*$AB$86)</f>
        <v>0</v>
      </c>
      <c r="AG110" s="475">
        <f>IF(OR($AA110=0,$AA110&gt;40),0,INDEX(Overrides!H$47:H$87,$AA110+1,1)*$AA$85+INDEX(Overrides!H$47:H$87,$AA110,1)*$AB$86)</f>
        <v>0</v>
      </c>
      <c r="AH110" s="475">
        <f>IF(OR($AA110=0,$AA110&gt;40),0,INDEX(Overrides!I$47:I$87,$AA110+1,1)*$AA$85+INDEX(Overrides!I$47:I$87,$AA110,1)*$AB$86)</f>
        <v>0</v>
      </c>
      <c r="AI110" s="475">
        <f>IF(OR($AA110=0,$AA110&gt;40),0,INDEX(Overrides!J$47:J$87,$AA110+1,1)*$AA$85+INDEX(Overrides!J$47:J$87,$AA110,1)*$AB$86)</f>
        <v>0</v>
      </c>
      <c r="AJ110" s="93"/>
      <c r="AK110" s="160">
        <f>B110*'Selected Economics'!$I30*'Sensitivity Ranges'!$F$43</f>
        <v>0</v>
      </c>
      <c r="AL110" s="160">
        <f>IF($AA$84=1,AB110,Q110)*'Selected Economics'!$I30*'Sensitivity Ranges'!$F$43</f>
        <v>0</v>
      </c>
      <c r="AM110" s="160">
        <f>IF($AA$84=1,AC110,R110)*'Selected Economics'!$I30*'Sensitivity Ranges'!$F$43</f>
        <v>0</v>
      </c>
      <c r="AN110" s="160">
        <f>IF($AA$84=1,AD110,S110)*'Selected Economics'!$I30*'Sensitivity Ranges'!$F$43</f>
        <v>0</v>
      </c>
      <c r="AO110" s="160">
        <f>IF($AA$84=1,AE110,T110)*'Selected Economics'!$I30*'Sensitivity Ranges'!$F$43</f>
        <v>0</v>
      </c>
      <c r="AP110" s="160">
        <f>IF($AA$84=1,AF110,U110)*'Selected Economics'!$I30*'Sensitivity Ranges'!$F$43</f>
        <v>0</v>
      </c>
      <c r="AQ110" s="160">
        <f>IF($AA$84=1,AG110,V110)*'Selected Economics'!$I30*'Sensitivity Ranges'!$F$43</f>
        <v>0</v>
      </c>
      <c r="AR110" s="160">
        <f>IF($AA$84=1,AH110,W110)*'Selected Economics'!$I30*'Sensitivity Ranges'!$F$43</f>
        <v>0</v>
      </c>
      <c r="AS110" s="160">
        <f>IF($AA$84=1,AI110,X110)*'Selected Economics'!$I30*'Sensitivity Ranges'!$F$43</f>
        <v>0</v>
      </c>
      <c r="AT110" s="160">
        <f t="shared" si="48"/>
        <v>0</v>
      </c>
      <c r="AU110" s="173"/>
      <c r="AV110" s="160">
        <f t="shared" si="54"/>
        <v>0</v>
      </c>
      <c r="AW110" s="160">
        <f>AL110*Abandonment!$H35</f>
        <v>0</v>
      </c>
      <c r="AX110" s="160">
        <f>AM110*Abandonment!$H35</f>
        <v>0</v>
      </c>
      <c r="AY110" s="160">
        <f>AN110*Abandonment!$H35</f>
        <v>0</v>
      </c>
      <c r="AZ110" s="160">
        <f>AO110*Abandonment!$H35</f>
        <v>0</v>
      </c>
      <c r="BA110" s="160">
        <f>AP110*Abandonment!$H35</f>
        <v>0</v>
      </c>
      <c r="BB110" s="160">
        <f>AQ110*Abandonment!$H35</f>
        <v>0</v>
      </c>
      <c r="BC110" s="160">
        <f>AR110*Abandonment!$H35</f>
        <v>0</v>
      </c>
      <c r="BD110" s="160">
        <f>AS110*Abandonment!$H35</f>
        <v>0</v>
      </c>
      <c r="BE110" s="160">
        <f t="shared" si="49"/>
        <v>0</v>
      </c>
      <c r="BF110" s="173"/>
      <c r="BG110" s="160">
        <f>AW110+Exploration!R54</f>
        <v>0</v>
      </c>
      <c r="BH110" s="160">
        <f>AV110+(AX110+AY110+AZ110+IF(Input!$B$15="Shore",0,Development!BA110)+BB110)*(1+'Cost Assumptions'!$O$100)+BC110</f>
        <v>0</v>
      </c>
      <c r="BI110" s="160">
        <f>IF(Input!$B$15="Shore",Development!BA110,0)*(1+'Cost Assumptions'!$O$100)</f>
        <v>0</v>
      </c>
      <c r="BJ110" s="156"/>
      <c r="BK110" s="156"/>
      <c r="BL110" s="160">
        <f t="shared" si="37"/>
        <v>0</v>
      </c>
      <c r="BM110" s="200"/>
      <c r="BN110" s="156"/>
      <c r="BO110" s="160">
        <f t="shared" si="38"/>
        <v>0</v>
      </c>
      <c r="BP110" s="160">
        <f t="shared" si="39"/>
        <v>0</v>
      </c>
      <c r="BQ110" s="160">
        <f t="shared" si="40"/>
        <v>0</v>
      </c>
      <c r="BR110" s="160">
        <f t="shared" si="41"/>
        <v>0</v>
      </c>
      <c r="BS110" s="160">
        <f t="shared" si="42"/>
        <v>0</v>
      </c>
      <c r="BT110" s="160">
        <f t="shared" si="43"/>
        <v>0</v>
      </c>
      <c r="BU110" s="160">
        <f t="shared" si="44"/>
        <v>0</v>
      </c>
      <c r="BV110" s="160">
        <f t="shared" si="45"/>
        <v>0</v>
      </c>
      <c r="BW110" s="160">
        <f t="shared" si="46"/>
        <v>0</v>
      </c>
      <c r="BX110" s="160">
        <f t="shared" si="50"/>
        <v>0</v>
      </c>
      <c r="BY110" s="160"/>
      <c r="BZ110" s="160">
        <f t="shared" si="51"/>
        <v>0</v>
      </c>
    </row>
    <row r="111" spans="1:78">
      <c r="A111" s="140">
        <f t="shared" si="52"/>
        <v>2035</v>
      </c>
      <c r="B111" s="160">
        <f t="shared" si="32"/>
        <v>0</v>
      </c>
      <c r="C111" s="160">
        <f t="shared" ref="C111:P120" si="56">IF($A111=INDEX($H$41:$N$54,C$86,1),INDEX($O$41:$Y$54,C$86,1),IF($A111=INDEX($H$41:$N$54,C$86,2),INDEX($O$41:$Y$54,C$86,2),IF($A111=INDEX($H$41:$N$54,C$86,3),INDEX($O$41:$Y$54,C$86,3),IF($A111=INDEX($H$41:$N$54,C$86,4),INDEX($O$41:$Y$54,C$86,4),IF($A111=INDEX($H$41:$N$54,C$86,5),INDEX($O$41:$Y$54,C$86,5),IF($A111=INDEX($H$41:$N$54,C$86,6),INDEX($O$41:$Y$54,C$86,6),IF($A111=INDEX($H$41:$N$54,C$86,7),INDEX($O$41:$Y$54,C$86,7),0)))))))/1000</f>
        <v>0</v>
      </c>
      <c r="D111" s="160">
        <f t="shared" si="56"/>
        <v>0</v>
      </c>
      <c r="E111" s="160">
        <f t="shared" si="56"/>
        <v>0</v>
      </c>
      <c r="F111" s="160">
        <f t="shared" si="56"/>
        <v>0</v>
      </c>
      <c r="G111" s="160">
        <f t="shared" si="56"/>
        <v>0</v>
      </c>
      <c r="H111" s="160">
        <f t="shared" si="56"/>
        <v>0</v>
      </c>
      <c r="I111" s="160">
        <f t="shared" si="56"/>
        <v>0</v>
      </c>
      <c r="J111" s="160">
        <f t="shared" si="56"/>
        <v>0</v>
      </c>
      <c r="K111" s="160">
        <f t="shared" si="56"/>
        <v>0</v>
      </c>
      <c r="L111" s="160">
        <f t="shared" si="56"/>
        <v>0</v>
      </c>
      <c r="M111" s="160">
        <f t="shared" si="56"/>
        <v>0</v>
      </c>
      <c r="N111" s="160">
        <f t="shared" si="56"/>
        <v>0</v>
      </c>
      <c r="O111" s="160">
        <f t="shared" si="56"/>
        <v>0</v>
      </c>
      <c r="P111" s="160">
        <f t="shared" si="56"/>
        <v>0</v>
      </c>
      <c r="Q111" s="160">
        <f t="shared" si="47"/>
        <v>0</v>
      </c>
      <c r="R111" s="160">
        <f t="shared" ref="R111:U130" si="57">IF($A111=INDEX($R$74:$U$77,R$86,1),INDEX($V$74:$Y$77,R$86,1),IF($A111=INDEX($R$74:$U$77,R$86,2),INDEX($V$74:$Y$77,R$86,2),IF($A111=INDEX($R$74:$U$77,R$86,3),INDEX($V$74:$Y$77,R$86,3),IF($A111=INDEX($R$74:$U$77,R$86,4),INDEX($V$74:$Y$77,R$86,4),0))))/1000</f>
        <v>0</v>
      </c>
      <c r="S111" s="160">
        <f t="shared" si="57"/>
        <v>0</v>
      </c>
      <c r="T111" s="160">
        <f t="shared" si="57"/>
        <v>0</v>
      </c>
      <c r="U111" s="160">
        <f t="shared" si="57"/>
        <v>0</v>
      </c>
      <c r="V111" s="160">
        <f>'Cost Assumptions'!$O$99*SUM(Development!R111:U111)</f>
        <v>0</v>
      </c>
      <c r="W111" s="160">
        <f t="shared" si="53"/>
        <v>0</v>
      </c>
      <c r="X111" s="160">
        <f>'Cost Assumptions'!$O$100*SUM(Development!R111:V111)</f>
        <v>0</v>
      </c>
      <c r="Y111" s="160">
        <f t="shared" si="35"/>
        <v>0</v>
      </c>
      <c r="Z111" s="173"/>
      <c r="AA111" s="203">
        <f t="shared" si="36"/>
        <v>21</v>
      </c>
      <c r="AB111" s="475">
        <f>IF(OR($AA111=0,$AA111&gt;40),0,INDEX(Overrides!C$47:C$87,$AA111+1,1)*$AA$85+INDEX(Overrides!C$47:C$87,$AA111,1)*$AB$86)</f>
        <v>0</v>
      </c>
      <c r="AC111" s="475">
        <f>IF(OR($AA111=0,$AA111&gt;40),0,INDEX(Overrides!D$47:D$87,$AA111+1,1)*$AA$85+INDEX(Overrides!D$47:D$87,$AA111,1)*$AB$86)</f>
        <v>0</v>
      </c>
      <c r="AD111" s="475">
        <f>IF(OR($AA111=0,$AA111&gt;40),0,INDEX(Overrides!E$47:E$87,$AA111+1,1)*$AA$85+INDEX(Overrides!E$47:E$87,$AA111,1)*$AB$86)</f>
        <v>0</v>
      </c>
      <c r="AE111" s="475">
        <f>IF(OR($AA111=0,$AA111&gt;40),0,INDEX(Overrides!F$47:F$87,$AA111+1,1)*$AA$85+INDEX(Overrides!F$47:F$87,$AA111,1)*$AB$86)</f>
        <v>0</v>
      </c>
      <c r="AF111" s="475">
        <f>IF(OR($AA111=0,$AA111&gt;40),0,INDEX(Overrides!G$47:G$87,$AA111+1,1)*$AA$85+INDEX(Overrides!G$47:G$87,$AA111,1)*$AB$86)</f>
        <v>0</v>
      </c>
      <c r="AG111" s="475">
        <f>IF(OR($AA111=0,$AA111&gt;40),0,INDEX(Overrides!H$47:H$87,$AA111+1,1)*$AA$85+INDEX(Overrides!H$47:H$87,$AA111,1)*$AB$86)</f>
        <v>0</v>
      </c>
      <c r="AH111" s="475">
        <f>IF(OR($AA111=0,$AA111&gt;40),0,INDEX(Overrides!I$47:I$87,$AA111+1,1)*$AA$85+INDEX(Overrides!I$47:I$87,$AA111,1)*$AB$86)</f>
        <v>0</v>
      </c>
      <c r="AI111" s="475">
        <f>IF(OR($AA111=0,$AA111&gt;40),0,INDEX(Overrides!J$47:J$87,$AA111+1,1)*$AA$85+INDEX(Overrides!J$47:J$87,$AA111,1)*$AB$86)</f>
        <v>0</v>
      </c>
      <c r="AJ111" s="93"/>
      <c r="AK111" s="160">
        <f>B111*'Selected Economics'!$I31*'Sensitivity Ranges'!$F$43</f>
        <v>0</v>
      </c>
      <c r="AL111" s="160">
        <f>IF($AA$84=1,AB111,Q111)*'Selected Economics'!$I31*'Sensitivity Ranges'!$F$43</f>
        <v>0</v>
      </c>
      <c r="AM111" s="160">
        <f>IF($AA$84=1,AC111,R111)*'Selected Economics'!$I31*'Sensitivity Ranges'!$F$43</f>
        <v>0</v>
      </c>
      <c r="AN111" s="160">
        <f>IF($AA$84=1,AD111,S111)*'Selected Economics'!$I31*'Sensitivity Ranges'!$F$43</f>
        <v>0</v>
      </c>
      <c r="AO111" s="160">
        <f>IF($AA$84=1,AE111,T111)*'Selected Economics'!$I31*'Sensitivity Ranges'!$F$43</f>
        <v>0</v>
      </c>
      <c r="AP111" s="160">
        <f>IF($AA$84=1,AF111,U111)*'Selected Economics'!$I31*'Sensitivity Ranges'!$F$43</f>
        <v>0</v>
      </c>
      <c r="AQ111" s="160">
        <f>IF($AA$84=1,AG111,V111)*'Selected Economics'!$I31*'Sensitivity Ranges'!$F$43</f>
        <v>0</v>
      </c>
      <c r="AR111" s="160">
        <f>IF($AA$84=1,AH111,W111)*'Selected Economics'!$I31*'Sensitivity Ranges'!$F$43</f>
        <v>0</v>
      </c>
      <c r="AS111" s="160">
        <f>IF($AA$84=1,AI111,X111)*'Selected Economics'!$I31*'Sensitivity Ranges'!$F$43</f>
        <v>0</v>
      </c>
      <c r="AT111" s="160">
        <f t="shared" si="48"/>
        <v>0</v>
      </c>
      <c r="AU111" s="173"/>
      <c r="AV111" s="160">
        <f t="shared" si="54"/>
        <v>0</v>
      </c>
      <c r="AW111" s="160">
        <f>AL111*Abandonment!$H36</f>
        <v>0</v>
      </c>
      <c r="AX111" s="160">
        <f>AM111*Abandonment!$H36</f>
        <v>0</v>
      </c>
      <c r="AY111" s="160">
        <f>AN111*Abandonment!$H36</f>
        <v>0</v>
      </c>
      <c r="AZ111" s="160">
        <f>AO111*Abandonment!$H36</f>
        <v>0</v>
      </c>
      <c r="BA111" s="160">
        <f>AP111*Abandonment!$H36</f>
        <v>0</v>
      </c>
      <c r="BB111" s="160">
        <f>AQ111*Abandonment!$H36</f>
        <v>0</v>
      </c>
      <c r="BC111" s="160">
        <f>AR111*Abandonment!$H36</f>
        <v>0</v>
      </c>
      <c r="BD111" s="160">
        <f>AS111*Abandonment!$H36</f>
        <v>0</v>
      </c>
      <c r="BE111" s="160">
        <f t="shared" si="49"/>
        <v>0</v>
      </c>
      <c r="BF111" s="173"/>
      <c r="BG111" s="160">
        <f>AW111+Exploration!R55</f>
        <v>0</v>
      </c>
      <c r="BH111" s="160">
        <f>AV111+(AX111+AY111+AZ111+IF(Input!$B$15="Shore",0,Development!BA111)+BB111)*(1+'Cost Assumptions'!$O$100)+BC111</f>
        <v>0</v>
      </c>
      <c r="BI111" s="160">
        <f>IF(Input!$B$15="Shore",Development!BA111,0)*(1+'Cost Assumptions'!$O$100)</f>
        <v>0</v>
      </c>
      <c r="BJ111" s="156"/>
      <c r="BK111" s="156"/>
      <c r="BL111" s="160">
        <f t="shared" si="37"/>
        <v>0</v>
      </c>
      <c r="BM111" s="200"/>
      <c r="BN111" s="156"/>
      <c r="BO111" s="160">
        <f t="shared" si="38"/>
        <v>0</v>
      </c>
      <c r="BP111" s="160">
        <f t="shared" si="39"/>
        <v>0</v>
      </c>
      <c r="BQ111" s="160">
        <f t="shared" si="40"/>
        <v>0</v>
      </c>
      <c r="BR111" s="160">
        <f t="shared" si="41"/>
        <v>0</v>
      </c>
      <c r="BS111" s="160">
        <f t="shared" si="42"/>
        <v>0</v>
      </c>
      <c r="BT111" s="160">
        <f t="shared" si="43"/>
        <v>0</v>
      </c>
      <c r="BU111" s="160">
        <f t="shared" si="44"/>
        <v>0</v>
      </c>
      <c r="BV111" s="160">
        <f t="shared" si="45"/>
        <v>0</v>
      </c>
      <c r="BW111" s="160">
        <f t="shared" si="46"/>
        <v>0</v>
      </c>
      <c r="BX111" s="160">
        <f t="shared" si="50"/>
        <v>0</v>
      </c>
      <c r="BY111" s="160"/>
      <c r="BZ111" s="160">
        <f t="shared" si="51"/>
        <v>0</v>
      </c>
    </row>
    <row r="112" spans="1:78">
      <c r="A112" s="140">
        <f t="shared" si="52"/>
        <v>2036</v>
      </c>
      <c r="B112" s="160">
        <f t="shared" si="32"/>
        <v>0</v>
      </c>
      <c r="C112" s="160">
        <f t="shared" si="56"/>
        <v>0</v>
      </c>
      <c r="D112" s="160">
        <f t="shared" si="56"/>
        <v>0</v>
      </c>
      <c r="E112" s="160">
        <f t="shared" si="56"/>
        <v>0</v>
      </c>
      <c r="F112" s="160">
        <f t="shared" si="56"/>
        <v>0</v>
      </c>
      <c r="G112" s="160">
        <f t="shared" si="56"/>
        <v>0</v>
      </c>
      <c r="H112" s="160">
        <f t="shared" si="56"/>
        <v>0</v>
      </c>
      <c r="I112" s="160">
        <f t="shared" si="56"/>
        <v>0</v>
      </c>
      <c r="J112" s="160">
        <f t="shared" si="56"/>
        <v>0</v>
      </c>
      <c r="K112" s="160">
        <f t="shared" si="56"/>
        <v>0</v>
      </c>
      <c r="L112" s="160">
        <f t="shared" si="56"/>
        <v>0</v>
      </c>
      <c r="M112" s="160">
        <f t="shared" si="56"/>
        <v>0</v>
      </c>
      <c r="N112" s="160">
        <f t="shared" si="56"/>
        <v>0</v>
      </c>
      <c r="O112" s="160">
        <f t="shared" si="56"/>
        <v>0</v>
      </c>
      <c r="P112" s="160">
        <f t="shared" si="56"/>
        <v>0</v>
      </c>
      <c r="Q112" s="160">
        <f t="shared" si="47"/>
        <v>0</v>
      </c>
      <c r="R112" s="160">
        <f t="shared" si="57"/>
        <v>0</v>
      </c>
      <c r="S112" s="160">
        <f t="shared" si="57"/>
        <v>0</v>
      </c>
      <c r="T112" s="160">
        <f t="shared" si="57"/>
        <v>0</v>
      </c>
      <c r="U112" s="160">
        <f t="shared" si="57"/>
        <v>0</v>
      </c>
      <c r="V112" s="160">
        <f>'Cost Assumptions'!$O$99*SUM(Development!R112:U112)</f>
        <v>0</v>
      </c>
      <c r="W112" s="160">
        <f t="shared" si="53"/>
        <v>0</v>
      </c>
      <c r="X112" s="160">
        <f>'Cost Assumptions'!$O$100*SUM(Development!R112:V112)</f>
        <v>0</v>
      </c>
      <c r="Y112" s="160">
        <f t="shared" si="35"/>
        <v>0</v>
      </c>
      <c r="Z112" s="173"/>
      <c r="AA112" s="203">
        <f t="shared" si="36"/>
        <v>22</v>
      </c>
      <c r="AB112" s="475">
        <f>IF(OR($AA112=0,$AA112&gt;40),0,INDEX(Overrides!C$47:C$87,$AA112+1,1)*$AA$85+INDEX(Overrides!C$47:C$87,$AA112,1)*$AB$86)</f>
        <v>0</v>
      </c>
      <c r="AC112" s="475">
        <f>IF(OR($AA112=0,$AA112&gt;40),0,INDEX(Overrides!D$47:D$87,$AA112+1,1)*$AA$85+INDEX(Overrides!D$47:D$87,$AA112,1)*$AB$86)</f>
        <v>0</v>
      </c>
      <c r="AD112" s="475">
        <f>IF(OR($AA112=0,$AA112&gt;40),0,INDEX(Overrides!E$47:E$87,$AA112+1,1)*$AA$85+INDEX(Overrides!E$47:E$87,$AA112,1)*$AB$86)</f>
        <v>0</v>
      </c>
      <c r="AE112" s="475">
        <f>IF(OR($AA112=0,$AA112&gt;40),0,INDEX(Overrides!F$47:F$87,$AA112+1,1)*$AA$85+INDEX(Overrides!F$47:F$87,$AA112,1)*$AB$86)</f>
        <v>0</v>
      </c>
      <c r="AF112" s="475">
        <f>IF(OR($AA112=0,$AA112&gt;40),0,INDEX(Overrides!G$47:G$87,$AA112+1,1)*$AA$85+INDEX(Overrides!G$47:G$87,$AA112,1)*$AB$86)</f>
        <v>0</v>
      </c>
      <c r="AG112" s="475">
        <f>IF(OR($AA112=0,$AA112&gt;40),0,INDEX(Overrides!H$47:H$87,$AA112+1,1)*$AA$85+INDEX(Overrides!H$47:H$87,$AA112,1)*$AB$86)</f>
        <v>0</v>
      </c>
      <c r="AH112" s="475">
        <f>IF(OR($AA112=0,$AA112&gt;40),0,INDEX(Overrides!I$47:I$87,$AA112+1,1)*$AA$85+INDEX(Overrides!I$47:I$87,$AA112,1)*$AB$86)</f>
        <v>0</v>
      </c>
      <c r="AI112" s="475">
        <f>IF(OR($AA112=0,$AA112&gt;40),0,INDEX(Overrides!J$47:J$87,$AA112+1,1)*$AA$85+INDEX(Overrides!J$47:J$87,$AA112,1)*$AB$86)</f>
        <v>0</v>
      </c>
      <c r="AJ112" s="93"/>
      <c r="AK112" s="160">
        <f>B112*'Selected Economics'!$I32*'Sensitivity Ranges'!$F$43</f>
        <v>0</v>
      </c>
      <c r="AL112" s="160">
        <f>IF($AA$84=1,AB112,Q112)*'Selected Economics'!$I32*'Sensitivity Ranges'!$F$43</f>
        <v>0</v>
      </c>
      <c r="AM112" s="160">
        <f>IF($AA$84=1,AC112,R112)*'Selected Economics'!$I32*'Sensitivity Ranges'!$F$43</f>
        <v>0</v>
      </c>
      <c r="AN112" s="160">
        <f>IF($AA$84=1,AD112,S112)*'Selected Economics'!$I32*'Sensitivity Ranges'!$F$43</f>
        <v>0</v>
      </c>
      <c r="AO112" s="160">
        <f>IF($AA$84=1,AE112,T112)*'Selected Economics'!$I32*'Sensitivity Ranges'!$F$43</f>
        <v>0</v>
      </c>
      <c r="AP112" s="160">
        <f>IF($AA$84=1,AF112,U112)*'Selected Economics'!$I32*'Sensitivity Ranges'!$F$43</f>
        <v>0</v>
      </c>
      <c r="AQ112" s="160">
        <f>IF($AA$84=1,AG112,V112)*'Selected Economics'!$I32*'Sensitivity Ranges'!$F$43</f>
        <v>0</v>
      </c>
      <c r="AR112" s="160">
        <f>IF($AA$84=1,AH112,W112)*'Selected Economics'!$I32*'Sensitivity Ranges'!$F$43</f>
        <v>0</v>
      </c>
      <c r="AS112" s="160">
        <f>IF($AA$84=1,AI112,X112)*'Selected Economics'!$I32*'Sensitivity Ranges'!$F$43</f>
        <v>0</v>
      </c>
      <c r="AT112" s="160">
        <f t="shared" si="48"/>
        <v>0</v>
      </c>
      <c r="AU112" s="173"/>
      <c r="AV112" s="160">
        <f t="shared" si="54"/>
        <v>0</v>
      </c>
      <c r="AW112" s="160">
        <f>AL112*Abandonment!$H37</f>
        <v>0</v>
      </c>
      <c r="AX112" s="160">
        <f>AM112*Abandonment!$H37</f>
        <v>0</v>
      </c>
      <c r="AY112" s="160">
        <f>AN112*Abandonment!$H37</f>
        <v>0</v>
      </c>
      <c r="AZ112" s="160">
        <f>AO112*Abandonment!$H37</f>
        <v>0</v>
      </c>
      <c r="BA112" s="160">
        <f>AP112*Abandonment!$H37</f>
        <v>0</v>
      </c>
      <c r="BB112" s="160">
        <f>AQ112*Abandonment!$H37</f>
        <v>0</v>
      </c>
      <c r="BC112" s="160">
        <f>AR112*Abandonment!$H37</f>
        <v>0</v>
      </c>
      <c r="BD112" s="160">
        <f>AS112*Abandonment!$H37</f>
        <v>0</v>
      </c>
      <c r="BE112" s="160">
        <f t="shared" si="49"/>
        <v>0</v>
      </c>
      <c r="BF112" s="173"/>
      <c r="BG112" s="160">
        <f>AW112+Exploration!R56</f>
        <v>0</v>
      </c>
      <c r="BH112" s="160">
        <f>AV112+(AX112+AY112+AZ112+IF(Input!$B$15="Shore",0,Development!BA112)+BB112)*(1+'Cost Assumptions'!$O$100)+BC112</f>
        <v>0</v>
      </c>
      <c r="BI112" s="160">
        <f>IF(Input!$B$15="Shore",Development!BA112,0)*(1+'Cost Assumptions'!$O$100)</f>
        <v>0</v>
      </c>
      <c r="BJ112" s="156"/>
      <c r="BK112" s="156"/>
      <c r="BL112" s="160">
        <f t="shared" si="37"/>
        <v>0</v>
      </c>
      <c r="BM112" s="200"/>
      <c r="BN112" s="156"/>
      <c r="BO112" s="160">
        <f t="shared" si="38"/>
        <v>0</v>
      </c>
      <c r="BP112" s="160">
        <f t="shared" si="39"/>
        <v>0</v>
      </c>
      <c r="BQ112" s="160">
        <f t="shared" si="40"/>
        <v>0</v>
      </c>
      <c r="BR112" s="160">
        <f t="shared" si="41"/>
        <v>0</v>
      </c>
      <c r="BS112" s="160">
        <f t="shared" si="42"/>
        <v>0</v>
      </c>
      <c r="BT112" s="160">
        <f t="shared" si="43"/>
        <v>0</v>
      </c>
      <c r="BU112" s="160">
        <f t="shared" si="44"/>
        <v>0</v>
      </c>
      <c r="BV112" s="160">
        <f t="shared" si="45"/>
        <v>0</v>
      </c>
      <c r="BW112" s="160">
        <f t="shared" si="46"/>
        <v>0</v>
      </c>
      <c r="BX112" s="160">
        <f t="shared" si="50"/>
        <v>0</v>
      </c>
      <c r="BY112" s="160"/>
      <c r="BZ112" s="160">
        <f t="shared" si="51"/>
        <v>0</v>
      </c>
    </row>
    <row r="113" spans="1:78">
      <c r="A113" s="140">
        <f t="shared" si="52"/>
        <v>2037</v>
      </c>
      <c r="B113" s="160">
        <f t="shared" si="32"/>
        <v>0</v>
      </c>
      <c r="C113" s="160">
        <f t="shared" si="56"/>
        <v>0</v>
      </c>
      <c r="D113" s="160">
        <f t="shared" si="56"/>
        <v>0</v>
      </c>
      <c r="E113" s="160">
        <f t="shared" si="56"/>
        <v>0</v>
      </c>
      <c r="F113" s="160">
        <f t="shared" si="56"/>
        <v>0</v>
      </c>
      <c r="G113" s="160">
        <f t="shared" si="56"/>
        <v>0</v>
      </c>
      <c r="H113" s="160">
        <f t="shared" si="56"/>
        <v>0</v>
      </c>
      <c r="I113" s="160">
        <f t="shared" si="56"/>
        <v>0</v>
      </c>
      <c r="J113" s="160">
        <f t="shared" si="56"/>
        <v>0</v>
      </c>
      <c r="K113" s="160">
        <f t="shared" si="56"/>
        <v>0</v>
      </c>
      <c r="L113" s="160">
        <f t="shared" si="56"/>
        <v>0</v>
      </c>
      <c r="M113" s="160">
        <f t="shared" si="56"/>
        <v>0</v>
      </c>
      <c r="N113" s="160">
        <f t="shared" si="56"/>
        <v>0</v>
      </c>
      <c r="O113" s="160">
        <f t="shared" si="56"/>
        <v>0</v>
      </c>
      <c r="P113" s="160">
        <f t="shared" si="56"/>
        <v>0</v>
      </c>
      <c r="Q113" s="160">
        <f t="shared" si="47"/>
        <v>0</v>
      </c>
      <c r="R113" s="160">
        <f t="shared" si="57"/>
        <v>0</v>
      </c>
      <c r="S113" s="160">
        <f t="shared" si="57"/>
        <v>0</v>
      </c>
      <c r="T113" s="160">
        <f t="shared" si="57"/>
        <v>0</v>
      </c>
      <c r="U113" s="160">
        <f t="shared" si="57"/>
        <v>0</v>
      </c>
      <c r="V113" s="160">
        <f>'Cost Assumptions'!$O$99*SUM(Development!R113:U113)</f>
        <v>0</v>
      </c>
      <c r="W113" s="160">
        <f t="shared" si="53"/>
        <v>0</v>
      </c>
      <c r="X113" s="160">
        <f>'Cost Assumptions'!$O$100*SUM(Development!R113:V113)</f>
        <v>0</v>
      </c>
      <c r="Y113" s="160">
        <f t="shared" si="35"/>
        <v>0</v>
      </c>
      <c r="Z113" s="173"/>
      <c r="AA113" s="203">
        <f t="shared" si="36"/>
        <v>23</v>
      </c>
      <c r="AB113" s="475">
        <f>IF(OR($AA113=0,$AA113&gt;40),0,INDEX(Overrides!C$47:C$87,$AA113+1,1)*$AA$85+INDEX(Overrides!C$47:C$87,$AA113,1)*$AB$86)</f>
        <v>0</v>
      </c>
      <c r="AC113" s="475">
        <f>IF(OR($AA113=0,$AA113&gt;40),0,INDEX(Overrides!D$47:D$87,$AA113+1,1)*$AA$85+INDEX(Overrides!D$47:D$87,$AA113,1)*$AB$86)</f>
        <v>0</v>
      </c>
      <c r="AD113" s="475">
        <f>IF(OR($AA113=0,$AA113&gt;40),0,INDEX(Overrides!E$47:E$87,$AA113+1,1)*$AA$85+INDEX(Overrides!E$47:E$87,$AA113,1)*$AB$86)</f>
        <v>0</v>
      </c>
      <c r="AE113" s="475">
        <f>IF(OR($AA113=0,$AA113&gt;40),0,INDEX(Overrides!F$47:F$87,$AA113+1,1)*$AA$85+INDEX(Overrides!F$47:F$87,$AA113,1)*$AB$86)</f>
        <v>0</v>
      </c>
      <c r="AF113" s="475">
        <f>IF(OR($AA113=0,$AA113&gt;40),0,INDEX(Overrides!G$47:G$87,$AA113+1,1)*$AA$85+INDEX(Overrides!G$47:G$87,$AA113,1)*$AB$86)</f>
        <v>0</v>
      </c>
      <c r="AG113" s="475">
        <f>IF(OR($AA113=0,$AA113&gt;40),0,INDEX(Overrides!H$47:H$87,$AA113+1,1)*$AA$85+INDEX(Overrides!H$47:H$87,$AA113,1)*$AB$86)</f>
        <v>0</v>
      </c>
      <c r="AH113" s="475">
        <f>IF(OR($AA113=0,$AA113&gt;40),0,INDEX(Overrides!I$47:I$87,$AA113+1,1)*$AA$85+INDEX(Overrides!I$47:I$87,$AA113,1)*$AB$86)</f>
        <v>0</v>
      </c>
      <c r="AI113" s="475">
        <f>IF(OR($AA113=0,$AA113&gt;40),0,INDEX(Overrides!J$47:J$87,$AA113+1,1)*$AA$85+INDEX(Overrides!J$47:J$87,$AA113,1)*$AB$86)</f>
        <v>0</v>
      </c>
      <c r="AJ113" s="93"/>
      <c r="AK113" s="160">
        <f>B113*'Selected Economics'!$I33*'Sensitivity Ranges'!$F$43</f>
        <v>0</v>
      </c>
      <c r="AL113" s="160">
        <f>IF($AA$84=1,AB113,Q113)*'Selected Economics'!$I33*'Sensitivity Ranges'!$F$43</f>
        <v>0</v>
      </c>
      <c r="AM113" s="160">
        <f>IF($AA$84=1,AC113,R113)*'Selected Economics'!$I33*'Sensitivity Ranges'!$F$43</f>
        <v>0</v>
      </c>
      <c r="AN113" s="160">
        <f>IF($AA$84=1,AD113,S113)*'Selected Economics'!$I33*'Sensitivity Ranges'!$F$43</f>
        <v>0</v>
      </c>
      <c r="AO113" s="160">
        <f>IF($AA$84=1,AE113,T113)*'Selected Economics'!$I33*'Sensitivity Ranges'!$F$43</f>
        <v>0</v>
      </c>
      <c r="AP113" s="160">
        <f>IF($AA$84=1,AF113,U113)*'Selected Economics'!$I33*'Sensitivity Ranges'!$F$43</f>
        <v>0</v>
      </c>
      <c r="AQ113" s="160">
        <f>IF($AA$84=1,AG113,V113)*'Selected Economics'!$I33*'Sensitivity Ranges'!$F$43</f>
        <v>0</v>
      </c>
      <c r="AR113" s="160">
        <f>IF($AA$84=1,AH113,W113)*'Selected Economics'!$I33*'Sensitivity Ranges'!$F$43</f>
        <v>0</v>
      </c>
      <c r="AS113" s="160">
        <f>IF($AA$84=1,AI113,X113)*'Selected Economics'!$I33*'Sensitivity Ranges'!$F$43</f>
        <v>0</v>
      </c>
      <c r="AT113" s="160">
        <f t="shared" si="48"/>
        <v>0</v>
      </c>
      <c r="AU113" s="173"/>
      <c r="AV113" s="160">
        <f t="shared" si="54"/>
        <v>0</v>
      </c>
      <c r="AW113" s="160">
        <f>AL113*Abandonment!$H38</f>
        <v>0</v>
      </c>
      <c r="AX113" s="160">
        <f>AM113*Abandonment!$H38</f>
        <v>0</v>
      </c>
      <c r="AY113" s="160">
        <f>AN113*Abandonment!$H38</f>
        <v>0</v>
      </c>
      <c r="AZ113" s="160">
        <f>AO113*Abandonment!$H38</f>
        <v>0</v>
      </c>
      <c r="BA113" s="160">
        <f>AP113*Abandonment!$H38</f>
        <v>0</v>
      </c>
      <c r="BB113" s="160">
        <f>AQ113*Abandonment!$H38</f>
        <v>0</v>
      </c>
      <c r="BC113" s="160">
        <f>AR113*Abandonment!$H38</f>
        <v>0</v>
      </c>
      <c r="BD113" s="160">
        <f>AS113*Abandonment!$H38</f>
        <v>0</v>
      </c>
      <c r="BE113" s="160">
        <f t="shared" si="49"/>
        <v>0</v>
      </c>
      <c r="BF113" s="173"/>
      <c r="BG113" s="160">
        <f>AW113+Exploration!R57</f>
        <v>0</v>
      </c>
      <c r="BH113" s="160">
        <f>AV113+(AX113+AY113+AZ113+IF(Input!$B$15="Shore",0,Development!BA113)+BB113)*(1+'Cost Assumptions'!$O$100)+BC113</f>
        <v>0</v>
      </c>
      <c r="BI113" s="160">
        <f>IF(Input!$B$15="Shore",Development!BA113,0)*(1+'Cost Assumptions'!$O$100)</f>
        <v>0</v>
      </c>
      <c r="BJ113" s="156"/>
      <c r="BK113" s="156"/>
      <c r="BL113" s="160">
        <f t="shared" si="37"/>
        <v>0</v>
      </c>
      <c r="BM113" s="200"/>
      <c r="BN113" s="156"/>
      <c r="BO113" s="160">
        <f t="shared" si="38"/>
        <v>0</v>
      </c>
      <c r="BP113" s="160">
        <f t="shared" si="39"/>
        <v>0</v>
      </c>
      <c r="BQ113" s="160">
        <f t="shared" si="40"/>
        <v>0</v>
      </c>
      <c r="BR113" s="160">
        <f t="shared" si="41"/>
        <v>0</v>
      </c>
      <c r="BS113" s="160">
        <f t="shared" si="42"/>
        <v>0</v>
      </c>
      <c r="BT113" s="160">
        <f t="shared" si="43"/>
        <v>0</v>
      </c>
      <c r="BU113" s="160">
        <f t="shared" si="44"/>
        <v>0</v>
      </c>
      <c r="BV113" s="160">
        <f t="shared" si="45"/>
        <v>0</v>
      </c>
      <c r="BW113" s="160">
        <f t="shared" si="46"/>
        <v>0</v>
      </c>
      <c r="BX113" s="160">
        <f t="shared" si="50"/>
        <v>0</v>
      </c>
      <c r="BY113" s="160"/>
      <c r="BZ113" s="160">
        <f t="shared" si="51"/>
        <v>0</v>
      </c>
    </row>
    <row r="114" spans="1:78">
      <c r="A114" s="140">
        <f t="shared" si="52"/>
        <v>2038</v>
      </c>
      <c r="B114" s="160">
        <f t="shared" si="32"/>
        <v>0</v>
      </c>
      <c r="C114" s="160">
        <f t="shared" si="56"/>
        <v>0</v>
      </c>
      <c r="D114" s="160">
        <f t="shared" si="56"/>
        <v>0</v>
      </c>
      <c r="E114" s="160">
        <f t="shared" si="56"/>
        <v>0</v>
      </c>
      <c r="F114" s="160">
        <f t="shared" si="56"/>
        <v>0</v>
      </c>
      <c r="G114" s="160">
        <f t="shared" si="56"/>
        <v>0</v>
      </c>
      <c r="H114" s="160">
        <f t="shared" si="56"/>
        <v>0</v>
      </c>
      <c r="I114" s="160">
        <f t="shared" si="56"/>
        <v>0</v>
      </c>
      <c r="J114" s="160">
        <f t="shared" si="56"/>
        <v>0</v>
      </c>
      <c r="K114" s="160">
        <f t="shared" si="56"/>
        <v>0</v>
      </c>
      <c r="L114" s="160">
        <f t="shared" si="56"/>
        <v>0</v>
      </c>
      <c r="M114" s="160">
        <f t="shared" si="56"/>
        <v>0</v>
      </c>
      <c r="N114" s="160">
        <f t="shared" si="56"/>
        <v>0</v>
      </c>
      <c r="O114" s="160">
        <f t="shared" si="56"/>
        <v>0</v>
      </c>
      <c r="P114" s="160">
        <f t="shared" si="56"/>
        <v>0</v>
      </c>
      <c r="Q114" s="160">
        <f t="shared" si="47"/>
        <v>0</v>
      </c>
      <c r="R114" s="160">
        <f t="shared" si="57"/>
        <v>0</v>
      </c>
      <c r="S114" s="160">
        <f t="shared" si="57"/>
        <v>0</v>
      </c>
      <c r="T114" s="160">
        <f t="shared" si="57"/>
        <v>0</v>
      </c>
      <c r="U114" s="160">
        <f t="shared" si="57"/>
        <v>0</v>
      </c>
      <c r="V114" s="160">
        <f>'Cost Assumptions'!$O$99*SUM(Development!R114:U114)</f>
        <v>0</v>
      </c>
      <c r="W114" s="160">
        <f t="shared" si="53"/>
        <v>0</v>
      </c>
      <c r="X114" s="160">
        <f>'Cost Assumptions'!$O$100*SUM(Development!R114:V114)</f>
        <v>0</v>
      </c>
      <c r="Y114" s="160">
        <f t="shared" si="35"/>
        <v>0</v>
      </c>
      <c r="Z114" s="173"/>
      <c r="AA114" s="203">
        <f t="shared" si="36"/>
        <v>24</v>
      </c>
      <c r="AB114" s="475">
        <f>IF(OR($AA114=0,$AA114&gt;40),0,INDEX(Overrides!C$47:C$87,$AA114+1,1)*$AA$85+INDEX(Overrides!C$47:C$87,$AA114,1)*$AB$86)</f>
        <v>0</v>
      </c>
      <c r="AC114" s="475">
        <f>IF(OR($AA114=0,$AA114&gt;40),0,INDEX(Overrides!D$47:D$87,$AA114+1,1)*$AA$85+INDEX(Overrides!D$47:D$87,$AA114,1)*$AB$86)</f>
        <v>0</v>
      </c>
      <c r="AD114" s="475">
        <f>IF(OR($AA114=0,$AA114&gt;40),0,INDEX(Overrides!E$47:E$87,$AA114+1,1)*$AA$85+INDEX(Overrides!E$47:E$87,$AA114,1)*$AB$86)</f>
        <v>0</v>
      </c>
      <c r="AE114" s="475">
        <f>IF(OR($AA114=0,$AA114&gt;40),0,INDEX(Overrides!F$47:F$87,$AA114+1,1)*$AA$85+INDEX(Overrides!F$47:F$87,$AA114,1)*$AB$86)</f>
        <v>0</v>
      </c>
      <c r="AF114" s="475">
        <f>IF(OR($AA114=0,$AA114&gt;40),0,INDEX(Overrides!G$47:G$87,$AA114+1,1)*$AA$85+INDEX(Overrides!G$47:G$87,$AA114,1)*$AB$86)</f>
        <v>0</v>
      </c>
      <c r="AG114" s="475">
        <f>IF(OR($AA114=0,$AA114&gt;40),0,INDEX(Overrides!H$47:H$87,$AA114+1,1)*$AA$85+INDEX(Overrides!H$47:H$87,$AA114,1)*$AB$86)</f>
        <v>0</v>
      </c>
      <c r="AH114" s="475">
        <f>IF(OR($AA114=0,$AA114&gt;40),0,INDEX(Overrides!I$47:I$87,$AA114+1,1)*$AA$85+INDEX(Overrides!I$47:I$87,$AA114,1)*$AB$86)</f>
        <v>0</v>
      </c>
      <c r="AI114" s="475">
        <f>IF(OR($AA114=0,$AA114&gt;40),0,INDEX(Overrides!J$47:J$87,$AA114+1,1)*$AA$85+INDEX(Overrides!J$47:J$87,$AA114,1)*$AB$86)</f>
        <v>0</v>
      </c>
      <c r="AJ114" s="93"/>
      <c r="AK114" s="160">
        <f>B114*'Selected Economics'!$I34*'Sensitivity Ranges'!$F$43</f>
        <v>0</v>
      </c>
      <c r="AL114" s="160">
        <f>IF($AA$84=1,AB114,Q114)*'Selected Economics'!$I34*'Sensitivity Ranges'!$F$43</f>
        <v>0</v>
      </c>
      <c r="AM114" s="160">
        <f>IF($AA$84=1,AC114,R114)*'Selected Economics'!$I34*'Sensitivity Ranges'!$F$43</f>
        <v>0</v>
      </c>
      <c r="AN114" s="160">
        <f>IF($AA$84=1,AD114,S114)*'Selected Economics'!$I34*'Sensitivity Ranges'!$F$43</f>
        <v>0</v>
      </c>
      <c r="AO114" s="160">
        <f>IF($AA$84=1,AE114,T114)*'Selected Economics'!$I34*'Sensitivity Ranges'!$F$43</f>
        <v>0</v>
      </c>
      <c r="AP114" s="160">
        <f>IF($AA$84=1,AF114,U114)*'Selected Economics'!$I34*'Sensitivity Ranges'!$F$43</f>
        <v>0</v>
      </c>
      <c r="AQ114" s="160">
        <f>IF($AA$84=1,AG114,V114)*'Selected Economics'!$I34*'Sensitivity Ranges'!$F$43</f>
        <v>0</v>
      </c>
      <c r="AR114" s="160">
        <f>IF($AA$84=1,AH114,W114)*'Selected Economics'!$I34*'Sensitivity Ranges'!$F$43</f>
        <v>0</v>
      </c>
      <c r="AS114" s="160">
        <f>IF($AA$84=1,AI114,X114)*'Selected Economics'!$I34*'Sensitivity Ranges'!$F$43</f>
        <v>0</v>
      </c>
      <c r="AT114" s="160">
        <f t="shared" si="48"/>
        <v>0</v>
      </c>
      <c r="AU114" s="173"/>
      <c r="AV114" s="160">
        <f t="shared" si="54"/>
        <v>0</v>
      </c>
      <c r="AW114" s="160">
        <f>AL114*Abandonment!$H39</f>
        <v>0</v>
      </c>
      <c r="AX114" s="160">
        <f>AM114*Abandonment!$H39</f>
        <v>0</v>
      </c>
      <c r="AY114" s="160">
        <f>AN114*Abandonment!$H39</f>
        <v>0</v>
      </c>
      <c r="AZ114" s="160">
        <f>AO114*Abandonment!$H39</f>
        <v>0</v>
      </c>
      <c r="BA114" s="160">
        <f>AP114*Abandonment!$H39</f>
        <v>0</v>
      </c>
      <c r="BB114" s="160">
        <f>AQ114*Abandonment!$H39</f>
        <v>0</v>
      </c>
      <c r="BC114" s="160">
        <f>AR114*Abandonment!$H39</f>
        <v>0</v>
      </c>
      <c r="BD114" s="160">
        <f>AS114*Abandonment!$H39</f>
        <v>0</v>
      </c>
      <c r="BE114" s="160">
        <f t="shared" si="49"/>
        <v>0</v>
      </c>
      <c r="BF114" s="173"/>
      <c r="BG114" s="160">
        <f>AW114+Exploration!R58</f>
        <v>0</v>
      </c>
      <c r="BH114" s="160">
        <f>AV114+(AX114+AY114+AZ114+IF(Input!$B$15="Shore",0,Development!BA114)+BB114)*(1+'Cost Assumptions'!$O$100)+BC114</f>
        <v>0</v>
      </c>
      <c r="BI114" s="160">
        <f>IF(Input!$B$15="Shore",Development!BA114,0)*(1+'Cost Assumptions'!$O$100)</f>
        <v>0</v>
      </c>
      <c r="BJ114" s="156"/>
      <c r="BK114" s="156"/>
      <c r="BL114" s="160">
        <f t="shared" si="37"/>
        <v>0</v>
      </c>
      <c r="BM114" s="200"/>
      <c r="BN114" s="156"/>
      <c r="BO114" s="160">
        <f t="shared" si="38"/>
        <v>0</v>
      </c>
      <c r="BP114" s="160">
        <f t="shared" si="39"/>
        <v>0</v>
      </c>
      <c r="BQ114" s="160">
        <f t="shared" si="40"/>
        <v>0</v>
      </c>
      <c r="BR114" s="160">
        <f t="shared" si="41"/>
        <v>0</v>
      </c>
      <c r="BS114" s="160">
        <f t="shared" si="42"/>
        <v>0</v>
      </c>
      <c r="BT114" s="160">
        <f t="shared" si="43"/>
        <v>0</v>
      </c>
      <c r="BU114" s="160">
        <f t="shared" si="44"/>
        <v>0</v>
      </c>
      <c r="BV114" s="160">
        <f t="shared" si="45"/>
        <v>0</v>
      </c>
      <c r="BW114" s="160">
        <f t="shared" si="46"/>
        <v>0</v>
      </c>
      <c r="BX114" s="160">
        <f t="shared" si="50"/>
        <v>0</v>
      </c>
      <c r="BY114" s="160"/>
      <c r="BZ114" s="160">
        <f t="shared" si="51"/>
        <v>0</v>
      </c>
    </row>
    <row r="115" spans="1:78">
      <c r="A115" s="140">
        <f t="shared" si="52"/>
        <v>2039</v>
      </c>
      <c r="B115" s="160">
        <f t="shared" si="32"/>
        <v>0</v>
      </c>
      <c r="C115" s="160">
        <f t="shared" si="56"/>
        <v>0</v>
      </c>
      <c r="D115" s="160">
        <f t="shared" si="56"/>
        <v>0</v>
      </c>
      <c r="E115" s="160">
        <f t="shared" si="56"/>
        <v>0</v>
      </c>
      <c r="F115" s="160">
        <f t="shared" si="56"/>
        <v>0</v>
      </c>
      <c r="G115" s="160">
        <f t="shared" si="56"/>
        <v>0</v>
      </c>
      <c r="H115" s="160">
        <f t="shared" si="56"/>
        <v>0</v>
      </c>
      <c r="I115" s="160">
        <f t="shared" si="56"/>
        <v>0</v>
      </c>
      <c r="J115" s="160">
        <f t="shared" si="56"/>
        <v>0</v>
      </c>
      <c r="K115" s="160">
        <f t="shared" si="56"/>
        <v>0</v>
      </c>
      <c r="L115" s="160">
        <f t="shared" si="56"/>
        <v>0</v>
      </c>
      <c r="M115" s="160">
        <f t="shared" si="56"/>
        <v>0</v>
      </c>
      <c r="N115" s="160">
        <f t="shared" si="56"/>
        <v>0</v>
      </c>
      <c r="O115" s="160">
        <f t="shared" si="56"/>
        <v>0</v>
      </c>
      <c r="P115" s="160">
        <f t="shared" si="56"/>
        <v>0</v>
      </c>
      <c r="Q115" s="160">
        <f t="shared" si="47"/>
        <v>0</v>
      </c>
      <c r="R115" s="160">
        <f t="shared" si="57"/>
        <v>0</v>
      </c>
      <c r="S115" s="160">
        <f t="shared" si="57"/>
        <v>0</v>
      </c>
      <c r="T115" s="160">
        <f t="shared" si="57"/>
        <v>0</v>
      </c>
      <c r="U115" s="160">
        <f t="shared" si="57"/>
        <v>0</v>
      </c>
      <c r="V115" s="160">
        <f>'Cost Assumptions'!$O$99*SUM(Development!R115:U115)</f>
        <v>0</v>
      </c>
      <c r="W115" s="160">
        <f t="shared" si="53"/>
        <v>0</v>
      </c>
      <c r="X115" s="160">
        <f>'Cost Assumptions'!$O$100*SUM(Development!R115:V115)</f>
        <v>0</v>
      </c>
      <c r="Y115" s="160">
        <f t="shared" si="35"/>
        <v>0</v>
      </c>
      <c r="Z115" s="173"/>
      <c r="AA115" s="203">
        <f t="shared" si="36"/>
        <v>25</v>
      </c>
      <c r="AB115" s="475">
        <f>IF(OR($AA115=0,$AA115&gt;40),0,INDEX(Overrides!C$47:C$87,$AA115+1,1)*$AA$85+INDEX(Overrides!C$47:C$87,$AA115,1)*$AB$86)</f>
        <v>0</v>
      </c>
      <c r="AC115" s="475">
        <f>IF(OR($AA115=0,$AA115&gt;40),0,INDEX(Overrides!D$47:D$87,$AA115+1,1)*$AA$85+INDEX(Overrides!D$47:D$87,$AA115,1)*$AB$86)</f>
        <v>0</v>
      </c>
      <c r="AD115" s="475">
        <f>IF(OR($AA115=0,$AA115&gt;40),0,INDEX(Overrides!E$47:E$87,$AA115+1,1)*$AA$85+INDEX(Overrides!E$47:E$87,$AA115,1)*$AB$86)</f>
        <v>0</v>
      </c>
      <c r="AE115" s="475">
        <f>IF(OR($AA115=0,$AA115&gt;40),0,INDEX(Overrides!F$47:F$87,$AA115+1,1)*$AA$85+INDEX(Overrides!F$47:F$87,$AA115,1)*$AB$86)</f>
        <v>0</v>
      </c>
      <c r="AF115" s="475">
        <f>IF(OR($AA115=0,$AA115&gt;40),0,INDEX(Overrides!G$47:G$87,$AA115+1,1)*$AA$85+INDEX(Overrides!G$47:G$87,$AA115,1)*$AB$86)</f>
        <v>0</v>
      </c>
      <c r="AG115" s="475">
        <f>IF(OR($AA115=0,$AA115&gt;40),0,INDEX(Overrides!H$47:H$87,$AA115+1,1)*$AA$85+INDEX(Overrides!H$47:H$87,$AA115,1)*$AB$86)</f>
        <v>0</v>
      </c>
      <c r="AH115" s="475">
        <f>IF(OR($AA115=0,$AA115&gt;40),0,INDEX(Overrides!I$47:I$87,$AA115+1,1)*$AA$85+INDEX(Overrides!I$47:I$87,$AA115,1)*$AB$86)</f>
        <v>0</v>
      </c>
      <c r="AI115" s="475">
        <f>IF(OR($AA115=0,$AA115&gt;40),0,INDEX(Overrides!J$47:J$87,$AA115+1,1)*$AA$85+INDEX(Overrides!J$47:J$87,$AA115,1)*$AB$86)</f>
        <v>0</v>
      </c>
      <c r="AJ115" s="93"/>
      <c r="AK115" s="160">
        <f>B115*'Selected Economics'!$I35*'Sensitivity Ranges'!$F$43</f>
        <v>0</v>
      </c>
      <c r="AL115" s="160">
        <f>IF($AA$84=1,AB115,Q115)*'Selected Economics'!$I35*'Sensitivity Ranges'!$F$43</f>
        <v>0</v>
      </c>
      <c r="AM115" s="160">
        <f>IF($AA$84=1,AC115,R115)*'Selected Economics'!$I35*'Sensitivity Ranges'!$F$43</f>
        <v>0</v>
      </c>
      <c r="AN115" s="160">
        <f>IF($AA$84=1,AD115,S115)*'Selected Economics'!$I35*'Sensitivity Ranges'!$F$43</f>
        <v>0</v>
      </c>
      <c r="AO115" s="160">
        <f>IF($AA$84=1,AE115,T115)*'Selected Economics'!$I35*'Sensitivity Ranges'!$F$43</f>
        <v>0</v>
      </c>
      <c r="AP115" s="160">
        <f>IF($AA$84=1,AF115,U115)*'Selected Economics'!$I35*'Sensitivity Ranges'!$F$43</f>
        <v>0</v>
      </c>
      <c r="AQ115" s="160">
        <f>IF($AA$84=1,AG115,V115)*'Selected Economics'!$I35*'Sensitivity Ranges'!$F$43</f>
        <v>0</v>
      </c>
      <c r="AR115" s="160">
        <f>IF($AA$84=1,AH115,W115)*'Selected Economics'!$I35*'Sensitivity Ranges'!$F$43</f>
        <v>0</v>
      </c>
      <c r="AS115" s="160">
        <f>IF($AA$84=1,AI115,X115)*'Selected Economics'!$I35*'Sensitivity Ranges'!$F$43</f>
        <v>0</v>
      </c>
      <c r="AT115" s="160">
        <f t="shared" si="48"/>
        <v>0</v>
      </c>
      <c r="AU115" s="173"/>
      <c r="AV115" s="160">
        <f t="shared" si="54"/>
        <v>0</v>
      </c>
      <c r="AW115" s="160">
        <f>AL115*Abandonment!$H40</f>
        <v>0</v>
      </c>
      <c r="AX115" s="160">
        <f>AM115*Abandonment!$H40</f>
        <v>0</v>
      </c>
      <c r="AY115" s="160">
        <f>AN115*Abandonment!$H40</f>
        <v>0</v>
      </c>
      <c r="AZ115" s="160">
        <f>AO115*Abandonment!$H40</f>
        <v>0</v>
      </c>
      <c r="BA115" s="160">
        <f>AP115*Abandonment!$H40</f>
        <v>0</v>
      </c>
      <c r="BB115" s="160">
        <f>AQ115*Abandonment!$H40</f>
        <v>0</v>
      </c>
      <c r="BC115" s="160">
        <f>AR115*Abandonment!$H40</f>
        <v>0</v>
      </c>
      <c r="BD115" s="160">
        <f>AS115*Abandonment!$H40</f>
        <v>0</v>
      </c>
      <c r="BE115" s="160">
        <f t="shared" si="49"/>
        <v>0</v>
      </c>
      <c r="BF115" s="173"/>
      <c r="BG115" s="160">
        <f>AW115+Exploration!R59</f>
        <v>0</v>
      </c>
      <c r="BH115" s="160">
        <f>AV115+(AX115+AY115+AZ115+IF(Input!$B$15="Shore",0,Development!BA115)+BB115)*(1+'Cost Assumptions'!$O$100)+BC115</f>
        <v>0</v>
      </c>
      <c r="BI115" s="160">
        <f>IF(Input!$B$15="Shore",Development!BA115,0)*(1+'Cost Assumptions'!$O$100)</f>
        <v>0</v>
      </c>
      <c r="BJ115" s="156"/>
      <c r="BK115" s="156"/>
      <c r="BL115" s="160">
        <f t="shared" si="37"/>
        <v>0</v>
      </c>
      <c r="BM115" s="200"/>
      <c r="BN115" s="156"/>
      <c r="BO115" s="160">
        <f t="shared" si="38"/>
        <v>0</v>
      </c>
      <c r="BP115" s="160">
        <f t="shared" si="39"/>
        <v>0</v>
      </c>
      <c r="BQ115" s="160">
        <f t="shared" si="40"/>
        <v>0</v>
      </c>
      <c r="BR115" s="160">
        <f t="shared" si="41"/>
        <v>0</v>
      </c>
      <c r="BS115" s="160">
        <f t="shared" si="42"/>
        <v>0</v>
      </c>
      <c r="BT115" s="160">
        <f t="shared" si="43"/>
        <v>0</v>
      </c>
      <c r="BU115" s="160">
        <f t="shared" si="44"/>
        <v>0</v>
      </c>
      <c r="BV115" s="160">
        <f t="shared" si="45"/>
        <v>0</v>
      </c>
      <c r="BW115" s="160">
        <f t="shared" si="46"/>
        <v>0</v>
      </c>
      <c r="BX115" s="160">
        <f t="shared" si="50"/>
        <v>0</v>
      </c>
      <c r="BY115" s="160"/>
      <c r="BZ115" s="160">
        <f t="shared" si="51"/>
        <v>0</v>
      </c>
    </row>
    <row r="116" spans="1:78">
      <c r="A116" s="140">
        <f t="shared" si="52"/>
        <v>2040</v>
      </c>
      <c r="B116" s="160">
        <f t="shared" si="32"/>
        <v>0</v>
      </c>
      <c r="C116" s="160">
        <f t="shared" si="56"/>
        <v>0</v>
      </c>
      <c r="D116" s="160">
        <f t="shared" si="56"/>
        <v>0</v>
      </c>
      <c r="E116" s="160">
        <f t="shared" si="56"/>
        <v>0</v>
      </c>
      <c r="F116" s="160">
        <f t="shared" si="56"/>
        <v>0</v>
      </c>
      <c r="G116" s="160">
        <f t="shared" si="56"/>
        <v>0</v>
      </c>
      <c r="H116" s="160">
        <f t="shared" si="56"/>
        <v>0</v>
      </c>
      <c r="I116" s="160">
        <f t="shared" si="56"/>
        <v>0</v>
      </c>
      <c r="J116" s="160">
        <f t="shared" si="56"/>
        <v>0</v>
      </c>
      <c r="K116" s="160">
        <f t="shared" si="56"/>
        <v>0</v>
      </c>
      <c r="L116" s="160">
        <f t="shared" si="56"/>
        <v>0</v>
      </c>
      <c r="M116" s="160">
        <f t="shared" si="56"/>
        <v>0</v>
      </c>
      <c r="N116" s="160">
        <f t="shared" si="56"/>
        <v>0</v>
      </c>
      <c r="O116" s="160">
        <f t="shared" si="56"/>
        <v>0</v>
      </c>
      <c r="P116" s="160">
        <f t="shared" si="56"/>
        <v>0</v>
      </c>
      <c r="Q116" s="160">
        <f t="shared" si="47"/>
        <v>0</v>
      </c>
      <c r="R116" s="160">
        <f t="shared" si="57"/>
        <v>0</v>
      </c>
      <c r="S116" s="160">
        <f t="shared" si="57"/>
        <v>0</v>
      </c>
      <c r="T116" s="160">
        <f t="shared" si="57"/>
        <v>0</v>
      </c>
      <c r="U116" s="160">
        <f t="shared" si="57"/>
        <v>0</v>
      </c>
      <c r="V116" s="160">
        <f>'Cost Assumptions'!$O$99*SUM(Development!R116:U116)</f>
        <v>0</v>
      </c>
      <c r="W116" s="160">
        <f t="shared" si="53"/>
        <v>0</v>
      </c>
      <c r="X116" s="160">
        <f>'Cost Assumptions'!$O$100*SUM(Development!R116:V116)</f>
        <v>0</v>
      </c>
      <c r="Y116" s="160">
        <f t="shared" si="35"/>
        <v>0</v>
      </c>
      <c r="Z116" s="173"/>
      <c r="AA116" s="203">
        <f t="shared" si="36"/>
        <v>26</v>
      </c>
      <c r="AB116" s="475">
        <f>IF(OR($AA116=0,$AA116&gt;40),0,INDEX(Overrides!C$47:C$87,$AA116+1,1)*$AA$85+INDEX(Overrides!C$47:C$87,$AA116,1)*$AB$86)</f>
        <v>0</v>
      </c>
      <c r="AC116" s="475">
        <f>IF(OR($AA116=0,$AA116&gt;40),0,INDEX(Overrides!D$47:D$87,$AA116+1,1)*$AA$85+INDEX(Overrides!D$47:D$87,$AA116,1)*$AB$86)</f>
        <v>0</v>
      </c>
      <c r="AD116" s="475">
        <f>IF(OR($AA116=0,$AA116&gt;40),0,INDEX(Overrides!E$47:E$87,$AA116+1,1)*$AA$85+INDEX(Overrides!E$47:E$87,$AA116,1)*$AB$86)</f>
        <v>0</v>
      </c>
      <c r="AE116" s="475">
        <f>IF(OR($AA116=0,$AA116&gt;40),0,INDEX(Overrides!F$47:F$87,$AA116+1,1)*$AA$85+INDEX(Overrides!F$47:F$87,$AA116,1)*$AB$86)</f>
        <v>0</v>
      </c>
      <c r="AF116" s="475">
        <f>IF(OR($AA116=0,$AA116&gt;40),0,INDEX(Overrides!G$47:G$87,$AA116+1,1)*$AA$85+INDEX(Overrides!G$47:G$87,$AA116,1)*$AB$86)</f>
        <v>0</v>
      </c>
      <c r="AG116" s="475">
        <f>IF(OR($AA116=0,$AA116&gt;40),0,INDEX(Overrides!H$47:H$87,$AA116+1,1)*$AA$85+INDEX(Overrides!H$47:H$87,$AA116,1)*$AB$86)</f>
        <v>0</v>
      </c>
      <c r="AH116" s="475">
        <f>IF(OR($AA116=0,$AA116&gt;40),0,INDEX(Overrides!I$47:I$87,$AA116+1,1)*$AA$85+INDEX(Overrides!I$47:I$87,$AA116,1)*$AB$86)</f>
        <v>0</v>
      </c>
      <c r="AI116" s="475">
        <f>IF(OR($AA116=0,$AA116&gt;40),0,INDEX(Overrides!J$47:J$87,$AA116+1,1)*$AA$85+INDEX(Overrides!J$47:J$87,$AA116,1)*$AB$86)</f>
        <v>0</v>
      </c>
      <c r="AJ116" s="93"/>
      <c r="AK116" s="160">
        <f>B116*'Selected Economics'!$I36*'Sensitivity Ranges'!$F$43</f>
        <v>0</v>
      </c>
      <c r="AL116" s="160">
        <f>IF($AA$84=1,AB116,Q116)*'Selected Economics'!$I36*'Sensitivity Ranges'!$F$43</f>
        <v>0</v>
      </c>
      <c r="AM116" s="160">
        <f>IF($AA$84=1,AC116,R116)*'Selected Economics'!$I36*'Sensitivity Ranges'!$F$43</f>
        <v>0</v>
      </c>
      <c r="AN116" s="160">
        <f>IF($AA$84=1,AD116,S116)*'Selected Economics'!$I36*'Sensitivity Ranges'!$F$43</f>
        <v>0</v>
      </c>
      <c r="AO116" s="160">
        <f>IF($AA$84=1,AE116,T116)*'Selected Economics'!$I36*'Sensitivity Ranges'!$F$43</f>
        <v>0</v>
      </c>
      <c r="AP116" s="160">
        <f>IF($AA$84=1,AF116,U116)*'Selected Economics'!$I36*'Sensitivity Ranges'!$F$43</f>
        <v>0</v>
      </c>
      <c r="AQ116" s="160">
        <f>IF($AA$84=1,AG116,V116)*'Selected Economics'!$I36*'Sensitivity Ranges'!$F$43</f>
        <v>0</v>
      </c>
      <c r="AR116" s="160">
        <f>IF($AA$84=1,AH116,W116)*'Selected Economics'!$I36*'Sensitivity Ranges'!$F$43</f>
        <v>0</v>
      </c>
      <c r="AS116" s="160">
        <f>IF($AA$84=1,AI116,X116)*'Selected Economics'!$I36*'Sensitivity Ranges'!$F$43</f>
        <v>0</v>
      </c>
      <c r="AT116" s="160">
        <f t="shared" si="48"/>
        <v>0</v>
      </c>
      <c r="AU116" s="173"/>
      <c r="AV116" s="160">
        <f t="shared" si="54"/>
        <v>0</v>
      </c>
      <c r="AW116" s="160">
        <f>AL116*Abandonment!$H41</f>
        <v>0</v>
      </c>
      <c r="AX116" s="160">
        <f>AM116*Abandonment!$H41</f>
        <v>0</v>
      </c>
      <c r="AY116" s="160">
        <f>AN116*Abandonment!$H41</f>
        <v>0</v>
      </c>
      <c r="AZ116" s="160">
        <f>AO116*Abandonment!$H41</f>
        <v>0</v>
      </c>
      <c r="BA116" s="160">
        <f>AP116*Abandonment!$H41</f>
        <v>0</v>
      </c>
      <c r="BB116" s="160">
        <f>AQ116*Abandonment!$H41</f>
        <v>0</v>
      </c>
      <c r="BC116" s="160">
        <f>AR116*Abandonment!$H41</f>
        <v>0</v>
      </c>
      <c r="BD116" s="160">
        <f>AS116*Abandonment!$H41</f>
        <v>0</v>
      </c>
      <c r="BE116" s="160">
        <f t="shared" si="49"/>
        <v>0</v>
      </c>
      <c r="BF116" s="173"/>
      <c r="BG116" s="160">
        <f>AW116+Exploration!R60</f>
        <v>0</v>
      </c>
      <c r="BH116" s="160">
        <f>AV116+(AX116+AY116+AZ116+IF(Input!$B$15="Shore",0,Development!BA116)+BB116)*(1+'Cost Assumptions'!$O$100)+BC116</f>
        <v>0</v>
      </c>
      <c r="BI116" s="160">
        <f>IF(Input!$B$15="Shore",Development!BA116,0)*(1+'Cost Assumptions'!$O$100)</f>
        <v>0</v>
      </c>
      <c r="BJ116" s="156"/>
      <c r="BK116" s="156"/>
      <c r="BL116" s="160">
        <f t="shared" si="37"/>
        <v>0</v>
      </c>
      <c r="BM116" s="200"/>
      <c r="BN116" s="156"/>
      <c r="BO116" s="160">
        <f t="shared" si="38"/>
        <v>0</v>
      </c>
      <c r="BP116" s="160">
        <f t="shared" si="39"/>
        <v>0</v>
      </c>
      <c r="BQ116" s="160">
        <f t="shared" si="40"/>
        <v>0</v>
      </c>
      <c r="BR116" s="160">
        <f t="shared" si="41"/>
        <v>0</v>
      </c>
      <c r="BS116" s="160">
        <f t="shared" si="42"/>
        <v>0</v>
      </c>
      <c r="BT116" s="160">
        <f t="shared" si="43"/>
        <v>0</v>
      </c>
      <c r="BU116" s="160">
        <f t="shared" si="44"/>
        <v>0</v>
      </c>
      <c r="BV116" s="160">
        <f t="shared" si="45"/>
        <v>0</v>
      </c>
      <c r="BW116" s="160">
        <f t="shared" si="46"/>
        <v>0</v>
      </c>
      <c r="BX116" s="160">
        <f t="shared" si="50"/>
        <v>0</v>
      </c>
      <c r="BY116" s="160"/>
      <c r="BZ116" s="160">
        <f t="shared" si="51"/>
        <v>0</v>
      </c>
    </row>
    <row r="117" spans="1:78">
      <c r="A117" s="140">
        <f t="shared" si="52"/>
        <v>2041</v>
      </c>
      <c r="B117" s="160">
        <f t="shared" si="32"/>
        <v>0</v>
      </c>
      <c r="C117" s="160">
        <f t="shared" si="56"/>
        <v>0</v>
      </c>
      <c r="D117" s="160">
        <f t="shared" si="56"/>
        <v>0</v>
      </c>
      <c r="E117" s="160">
        <f t="shared" si="56"/>
        <v>0</v>
      </c>
      <c r="F117" s="160">
        <f t="shared" si="56"/>
        <v>0</v>
      </c>
      <c r="G117" s="160">
        <f t="shared" si="56"/>
        <v>0</v>
      </c>
      <c r="H117" s="160">
        <f t="shared" si="56"/>
        <v>0</v>
      </c>
      <c r="I117" s="160">
        <f t="shared" si="56"/>
        <v>0</v>
      </c>
      <c r="J117" s="160">
        <f t="shared" si="56"/>
        <v>0</v>
      </c>
      <c r="K117" s="160">
        <f t="shared" si="56"/>
        <v>0</v>
      </c>
      <c r="L117" s="160">
        <f t="shared" si="56"/>
        <v>0</v>
      </c>
      <c r="M117" s="160">
        <f t="shared" si="56"/>
        <v>0</v>
      </c>
      <c r="N117" s="160">
        <f t="shared" si="56"/>
        <v>0</v>
      </c>
      <c r="O117" s="160">
        <f t="shared" si="56"/>
        <v>0</v>
      </c>
      <c r="P117" s="160">
        <f t="shared" si="56"/>
        <v>0</v>
      </c>
      <c r="Q117" s="160">
        <f t="shared" si="47"/>
        <v>0</v>
      </c>
      <c r="R117" s="160">
        <f t="shared" si="57"/>
        <v>0</v>
      </c>
      <c r="S117" s="160">
        <f t="shared" si="57"/>
        <v>0</v>
      </c>
      <c r="T117" s="160">
        <f t="shared" si="57"/>
        <v>0</v>
      </c>
      <c r="U117" s="160">
        <f t="shared" si="57"/>
        <v>0</v>
      </c>
      <c r="V117" s="160">
        <f>'Cost Assumptions'!$O$99*SUM(Development!R117:U117)</f>
        <v>0</v>
      </c>
      <c r="W117" s="160">
        <f t="shared" si="53"/>
        <v>0</v>
      </c>
      <c r="X117" s="160">
        <f>'Cost Assumptions'!$O$100*SUM(Development!R117:V117)</f>
        <v>0</v>
      </c>
      <c r="Y117" s="160">
        <f t="shared" si="35"/>
        <v>0</v>
      </c>
      <c r="Z117" s="173"/>
      <c r="AA117" s="203">
        <f t="shared" si="36"/>
        <v>27</v>
      </c>
      <c r="AB117" s="475">
        <f>IF(OR($AA117=0,$AA117&gt;40),0,INDEX(Overrides!C$47:C$87,$AA117+1,1)*$AA$85+INDEX(Overrides!C$47:C$87,$AA117,1)*$AB$86)</f>
        <v>0</v>
      </c>
      <c r="AC117" s="475">
        <f>IF(OR($AA117=0,$AA117&gt;40),0,INDEX(Overrides!D$47:D$87,$AA117+1,1)*$AA$85+INDEX(Overrides!D$47:D$87,$AA117,1)*$AB$86)</f>
        <v>0</v>
      </c>
      <c r="AD117" s="475">
        <f>IF(OR($AA117=0,$AA117&gt;40),0,INDEX(Overrides!E$47:E$87,$AA117+1,1)*$AA$85+INDEX(Overrides!E$47:E$87,$AA117,1)*$AB$86)</f>
        <v>0</v>
      </c>
      <c r="AE117" s="475">
        <f>IF(OR($AA117=0,$AA117&gt;40),0,INDEX(Overrides!F$47:F$87,$AA117+1,1)*$AA$85+INDEX(Overrides!F$47:F$87,$AA117,1)*$AB$86)</f>
        <v>0</v>
      </c>
      <c r="AF117" s="475">
        <f>IF(OR($AA117=0,$AA117&gt;40),0,INDEX(Overrides!G$47:G$87,$AA117+1,1)*$AA$85+INDEX(Overrides!G$47:G$87,$AA117,1)*$AB$86)</f>
        <v>0</v>
      </c>
      <c r="AG117" s="475">
        <f>IF(OR($AA117=0,$AA117&gt;40),0,INDEX(Overrides!H$47:H$87,$AA117+1,1)*$AA$85+INDEX(Overrides!H$47:H$87,$AA117,1)*$AB$86)</f>
        <v>0</v>
      </c>
      <c r="AH117" s="475">
        <f>IF(OR($AA117=0,$AA117&gt;40),0,INDEX(Overrides!I$47:I$87,$AA117+1,1)*$AA$85+INDEX(Overrides!I$47:I$87,$AA117,1)*$AB$86)</f>
        <v>0</v>
      </c>
      <c r="AI117" s="475">
        <f>IF(OR($AA117=0,$AA117&gt;40),0,INDEX(Overrides!J$47:J$87,$AA117+1,1)*$AA$85+INDEX(Overrides!J$47:J$87,$AA117,1)*$AB$86)</f>
        <v>0</v>
      </c>
      <c r="AJ117" s="93"/>
      <c r="AK117" s="160">
        <f>B117*'Selected Economics'!$I37*'Sensitivity Ranges'!$F$43</f>
        <v>0</v>
      </c>
      <c r="AL117" s="160">
        <f>IF($AA$84=1,AB117,Q117)*'Selected Economics'!$I37*'Sensitivity Ranges'!$F$43</f>
        <v>0</v>
      </c>
      <c r="AM117" s="160">
        <f>IF($AA$84=1,AC117,R117)*'Selected Economics'!$I37*'Sensitivity Ranges'!$F$43</f>
        <v>0</v>
      </c>
      <c r="AN117" s="160">
        <f>IF($AA$84=1,AD117,S117)*'Selected Economics'!$I37*'Sensitivity Ranges'!$F$43</f>
        <v>0</v>
      </c>
      <c r="AO117" s="160">
        <f>IF($AA$84=1,AE117,T117)*'Selected Economics'!$I37*'Sensitivity Ranges'!$F$43</f>
        <v>0</v>
      </c>
      <c r="AP117" s="160">
        <f>IF($AA$84=1,AF117,U117)*'Selected Economics'!$I37*'Sensitivity Ranges'!$F$43</f>
        <v>0</v>
      </c>
      <c r="AQ117" s="160">
        <f>IF($AA$84=1,AG117,V117)*'Selected Economics'!$I37*'Sensitivity Ranges'!$F$43</f>
        <v>0</v>
      </c>
      <c r="AR117" s="160">
        <f>IF($AA$84=1,AH117,W117)*'Selected Economics'!$I37*'Sensitivity Ranges'!$F$43</f>
        <v>0</v>
      </c>
      <c r="AS117" s="160">
        <f>IF($AA$84=1,AI117,X117)*'Selected Economics'!$I37*'Sensitivity Ranges'!$F$43</f>
        <v>0</v>
      </c>
      <c r="AT117" s="160">
        <f t="shared" si="48"/>
        <v>0</v>
      </c>
      <c r="AU117" s="173"/>
      <c r="AV117" s="160">
        <f t="shared" si="54"/>
        <v>0</v>
      </c>
      <c r="AW117" s="160">
        <f>AL117*Abandonment!$H42</f>
        <v>0</v>
      </c>
      <c r="AX117" s="160">
        <f>AM117*Abandonment!$H42</f>
        <v>0</v>
      </c>
      <c r="AY117" s="160">
        <f>AN117*Abandonment!$H42</f>
        <v>0</v>
      </c>
      <c r="AZ117" s="160">
        <f>AO117*Abandonment!$H42</f>
        <v>0</v>
      </c>
      <c r="BA117" s="160">
        <f>AP117*Abandonment!$H42</f>
        <v>0</v>
      </c>
      <c r="BB117" s="160">
        <f>AQ117*Abandonment!$H42</f>
        <v>0</v>
      </c>
      <c r="BC117" s="160">
        <f>AR117*Abandonment!$H42</f>
        <v>0</v>
      </c>
      <c r="BD117" s="160">
        <f>AS117*Abandonment!$H42</f>
        <v>0</v>
      </c>
      <c r="BE117" s="160">
        <f t="shared" si="49"/>
        <v>0</v>
      </c>
      <c r="BF117" s="173"/>
      <c r="BG117" s="160">
        <f>AW117+Exploration!R61</f>
        <v>0</v>
      </c>
      <c r="BH117" s="160">
        <f>AV117+(AX117+AY117+AZ117+IF(Input!$B$15="Shore",0,Development!BA117)+BB117)*(1+'Cost Assumptions'!$O$100)+BC117</f>
        <v>0</v>
      </c>
      <c r="BI117" s="160">
        <f>IF(Input!$B$15="Shore",Development!BA117,0)*(1+'Cost Assumptions'!$O$100)</f>
        <v>0</v>
      </c>
      <c r="BJ117" s="156"/>
      <c r="BK117" s="156"/>
      <c r="BL117" s="160">
        <f t="shared" si="37"/>
        <v>0</v>
      </c>
      <c r="BM117" s="200"/>
      <c r="BN117" s="156"/>
      <c r="BO117" s="160">
        <f t="shared" si="38"/>
        <v>0</v>
      </c>
      <c r="BP117" s="160">
        <f t="shared" si="39"/>
        <v>0</v>
      </c>
      <c r="BQ117" s="160">
        <f t="shared" si="40"/>
        <v>0</v>
      </c>
      <c r="BR117" s="160">
        <f t="shared" si="41"/>
        <v>0</v>
      </c>
      <c r="BS117" s="160">
        <f t="shared" si="42"/>
        <v>0</v>
      </c>
      <c r="BT117" s="160">
        <f t="shared" si="43"/>
        <v>0</v>
      </c>
      <c r="BU117" s="160">
        <f t="shared" si="44"/>
        <v>0</v>
      </c>
      <c r="BV117" s="160">
        <f t="shared" si="45"/>
        <v>0</v>
      </c>
      <c r="BW117" s="160">
        <f t="shared" si="46"/>
        <v>0</v>
      </c>
      <c r="BX117" s="160">
        <f t="shared" si="50"/>
        <v>0</v>
      </c>
      <c r="BY117" s="160"/>
      <c r="BZ117" s="160">
        <f t="shared" si="51"/>
        <v>0</v>
      </c>
    </row>
    <row r="118" spans="1:78">
      <c r="A118" s="140">
        <f t="shared" si="52"/>
        <v>2042</v>
      </c>
      <c r="B118" s="160">
        <f t="shared" si="32"/>
        <v>0</v>
      </c>
      <c r="C118" s="160">
        <f t="shared" si="56"/>
        <v>0</v>
      </c>
      <c r="D118" s="160">
        <f t="shared" si="56"/>
        <v>0</v>
      </c>
      <c r="E118" s="160">
        <f t="shared" si="56"/>
        <v>0</v>
      </c>
      <c r="F118" s="160">
        <f t="shared" si="56"/>
        <v>0</v>
      </c>
      <c r="G118" s="160">
        <f t="shared" si="56"/>
        <v>0</v>
      </c>
      <c r="H118" s="160">
        <f t="shared" si="56"/>
        <v>0</v>
      </c>
      <c r="I118" s="160">
        <f t="shared" si="56"/>
        <v>0</v>
      </c>
      <c r="J118" s="160">
        <f t="shared" si="56"/>
        <v>0</v>
      </c>
      <c r="K118" s="160">
        <f t="shared" si="56"/>
        <v>0</v>
      </c>
      <c r="L118" s="160">
        <f t="shared" si="56"/>
        <v>0</v>
      </c>
      <c r="M118" s="160">
        <f t="shared" si="56"/>
        <v>0</v>
      </c>
      <c r="N118" s="160">
        <f t="shared" si="56"/>
        <v>0</v>
      </c>
      <c r="O118" s="160">
        <f t="shared" si="56"/>
        <v>0</v>
      </c>
      <c r="P118" s="160">
        <f t="shared" si="56"/>
        <v>0</v>
      </c>
      <c r="Q118" s="160">
        <f t="shared" si="47"/>
        <v>0</v>
      </c>
      <c r="R118" s="160">
        <f t="shared" si="57"/>
        <v>0</v>
      </c>
      <c r="S118" s="160">
        <f t="shared" si="57"/>
        <v>0</v>
      </c>
      <c r="T118" s="160">
        <f t="shared" si="57"/>
        <v>0</v>
      </c>
      <c r="U118" s="160">
        <f t="shared" si="57"/>
        <v>0</v>
      </c>
      <c r="V118" s="160">
        <f>'Cost Assumptions'!$O$99*SUM(Development!R118:U118)</f>
        <v>0</v>
      </c>
      <c r="W118" s="160">
        <f t="shared" si="53"/>
        <v>0</v>
      </c>
      <c r="X118" s="160">
        <f>'Cost Assumptions'!$O$100*SUM(Development!R118:V118)</f>
        <v>0</v>
      </c>
      <c r="Y118" s="160">
        <f t="shared" si="35"/>
        <v>0</v>
      </c>
      <c r="Z118" s="173"/>
      <c r="AA118" s="203">
        <f t="shared" si="36"/>
        <v>28</v>
      </c>
      <c r="AB118" s="475">
        <f>IF(OR($AA118=0,$AA118&gt;40),0,INDEX(Overrides!C$47:C$87,$AA118+1,1)*$AA$85+INDEX(Overrides!C$47:C$87,$AA118,1)*$AB$86)</f>
        <v>0</v>
      </c>
      <c r="AC118" s="475">
        <f>IF(OR($AA118=0,$AA118&gt;40),0,INDEX(Overrides!D$47:D$87,$AA118+1,1)*$AA$85+INDEX(Overrides!D$47:D$87,$AA118,1)*$AB$86)</f>
        <v>0</v>
      </c>
      <c r="AD118" s="475">
        <f>IF(OR($AA118=0,$AA118&gt;40),0,INDEX(Overrides!E$47:E$87,$AA118+1,1)*$AA$85+INDEX(Overrides!E$47:E$87,$AA118,1)*$AB$86)</f>
        <v>0</v>
      </c>
      <c r="AE118" s="475">
        <f>IF(OR($AA118=0,$AA118&gt;40),0,INDEX(Overrides!F$47:F$87,$AA118+1,1)*$AA$85+INDEX(Overrides!F$47:F$87,$AA118,1)*$AB$86)</f>
        <v>0</v>
      </c>
      <c r="AF118" s="475">
        <f>IF(OR($AA118=0,$AA118&gt;40),0,INDEX(Overrides!G$47:G$87,$AA118+1,1)*$AA$85+INDEX(Overrides!G$47:G$87,$AA118,1)*$AB$86)</f>
        <v>0</v>
      </c>
      <c r="AG118" s="475">
        <f>IF(OR($AA118=0,$AA118&gt;40),0,INDEX(Overrides!H$47:H$87,$AA118+1,1)*$AA$85+INDEX(Overrides!H$47:H$87,$AA118,1)*$AB$86)</f>
        <v>0</v>
      </c>
      <c r="AH118" s="475">
        <f>IF(OR($AA118=0,$AA118&gt;40),0,INDEX(Overrides!I$47:I$87,$AA118+1,1)*$AA$85+INDEX(Overrides!I$47:I$87,$AA118,1)*$AB$86)</f>
        <v>0</v>
      </c>
      <c r="AI118" s="475">
        <f>IF(OR($AA118=0,$AA118&gt;40),0,INDEX(Overrides!J$47:J$87,$AA118+1,1)*$AA$85+INDEX(Overrides!J$47:J$87,$AA118,1)*$AB$86)</f>
        <v>0</v>
      </c>
      <c r="AJ118" s="93"/>
      <c r="AK118" s="160">
        <f>B118*'Selected Economics'!$I38*'Sensitivity Ranges'!$F$43</f>
        <v>0</v>
      </c>
      <c r="AL118" s="160">
        <f>IF($AA$84=1,AB118,Q118)*'Selected Economics'!$I38*'Sensitivity Ranges'!$F$43</f>
        <v>0</v>
      </c>
      <c r="AM118" s="160">
        <f>IF($AA$84=1,AC118,R118)*'Selected Economics'!$I38*'Sensitivity Ranges'!$F$43</f>
        <v>0</v>
      </c>
      <c r="AN118" s="160">
        <f>IF($AA$84=1,AD118,S118)*'Selected Economics'!$I38*'Sensitivity Ranges'!$F$43</f>
        <v>0</v>
      </c>
      <c r="AO118" s="160">
        <f>IF($AA$84=1,AE118,T118)*'Selected Economics'!$I38*'Sensitivity Ranges'!$F$43</f>
        <v>0</v>
      </c>
      <c r="AP118" s="160">
        <f>IF($AA$84=1,AF118,U118)*'Selected Economics'!$I38*'Sensitivity Ranges'!$F$43</f>
        <v>0</v>
      </c>
      <c r="AQ118" s="160">
        <f>IF($AA$84=1,AG118,V118)*'Selected Economics'!$I38*'Sensitivity Ranges'!$F$43</f>
        <v>0</v>
      </c>
      <c r="AR118" s="160">
        <f>IF($AA$84=1,AH118,W118)*'Selected Economics'!$I38*'Sensitivity Ranges'!$F$43</f>
        <v>0</v>
      </c>
      <c r="AS118" s="160">
        <f>IF($AA$84=1,AI118,X118)*'Selected Economics'!$I38*'Sensitivity Ranges'!$F$43</f>
        <v>0</v>
      </c>
      <c r="AT118" s="160">
        <f t="shared" si="48"/>
        <v>0</v>
      </c>
      <c r="AU118" s="173"/>
      <c r="AV118" s="160">
        <f t="shared" si="54"/>
        <v>0</v>
      </c>
      <c r="AW118" s="160">
        <f>AL118*Abandonment!$H43</f>
        <v>0</v>
      </c>
      <c r="AX118" s="160">
        <f>AM118*Abandonment!$H43</f>
        <v>0</v>
      </c>
      <c r="AY118" s="160">
        <f>AN118*Abandonment!$H43</f>
        <v>0</v>
      </c>
      <c r="AZ118" s="160">
        <f>AO118*Abandonment!$H43</f>
        <v>0</v>
      </c>
      <c r="BA118" s="160">
        <f>AP118*Abandonment!$H43</f>
        <v>0</v>
      </c>
      <c r="BB118" s="160">
        <f>AQ118*Abandonment!$H43</f>
        <v>0</v>
      </c>
      <c r="BC118" s="160">
        <f>AR118*Abandonment!$H43</f>
        <v>0</v>
      </c>
      <c r="BD118" s="160">
        <f>AS118*Abandonment!$H43</f>
        <v>0</v>
      </c>
      <c r="BE118" s="160">
        <f t="shared" si="49"/>
        <v>0</v>
      </c>
      <c r="BF118" s="173"/>
      <c r="BG118" s="160">
        <f>AW118+Exploration!R62</f>
        <v>0</v>
      </c>
      <c r="BH118" s="160">
        <f>AV118+(AX118+AY118+AZ118+IF(Input!$B$15="Shore",0,Development!BA118)+BB118)*(1+'Cost Assumptions'!$O$100)+BC118</f>
        <v>0</v>
      </c>
      <c r="BI118" s="160">
        <f>IF(Input!$B$15="Shore",Development!BA118,0)*(1+'Cost Assumptions'!$O$100)</f>
        <v>0</v>
      </c>
      <c r="BJ118" s="156"/>
      <c r="BK118" s="156"/>
      <c r="BL118" s="160">
        <f t="shared" si="37"/>
        <v>0</v>
      </c>
      <c r="BM118" s="200"/>
      <c r="BN118" s="156"/>
      <c r="BO118" s="160">
        <f t="shared" si="38"/>
        <v>0</v>
      </c>
      <c r="BP118" s="160">
        <f t="shared" si="39"/>
        <v>0</v>
      </c>
      <c r="BQ118" s="160">
        <f t="shared" si="40"/>
        <v>0</v>
      </c>
      <c r="BR118" s="160">
        <f t="shared" si="41"/>
        <v>0</v>
      </c>
      <c r="BS118" s="160">
        <f t="shared" si="42"/>
        <v>0</v>
      </c>
      <c r="BT118" s="160">
        <f t="shared" si="43"/>
        <v>0</v>
      </c>
      <c r="BU118" s="160">
        <f t="shared" si="44"/>
        <v>0</v>
      </c>
      <c r="BV118" s="160">
        <f t="shared" si="45"/>
        <v>0</v>
      </c>
      <c r="BW118" s="160">
        <f t="shared" si="46"/>
        <v>0</v>
      </c>
      <c r="BX118" s="160">
        <f t="shared" si="50"/>
        <v>0</v>
      </c>
      <c r="BY118" s="160"/>
      <c r="BZ118" s="160">
        <f t="shared" si="51"/>
        <v>0</v>
      </c>
    </row>
    <row r="119" spans="1:78">
      <c r="A119" s="140">
        <f t="shared" si="52"/>
        <v>2043</v>
      </c>
      <c r="B119" s="160">
        <f t="shared" si="32"/>
        <v>0</v>
      </c>
      <c r="C119" s="160">
        <f t="shared" si="56"/>
        <v>0</v>
      </c>
      <c r="D119" s="160">
        <f t="shared" si="56"/>
        <v>0</v>
      </c>
      <c r="E119" s="160">
        <f t="shared" si="56"/>
        <v>0</v>
      </c>
      <c r="F119" s="160">
        <f t="shared" si="56"/>
        <v>0</v>
      </c>
      <c r="G119" s="160">
        <f t="shared" si="56"/>
        <v>0</v>
      </c>
      <c r="H119" s="160">
        <f t="shared" si="56"/>
        <v>0</v>
      </c>
      <c r="I119" s="160">
        <f t="shared" si="56"/>
        <v>0</v>
      </c>
      <c r="J119" s="160">
        <f t="shared" si="56"/>
        <v>0</v>
      </c>
      <c r="K119" s="160">
        <f t="shared" si="56"/>
        <v>0</v>
      </c>
      <c r="L119" s="160">
        <f t="shared" si="56"/>
        <v>0</v>
      </c>
      <c r="M119" s="160">
        <f t="shared" si="56"/>
        <v>0</v>
      </c>
      <c r="N119" s="160">
        <f t="shared" si="56"/>
        <v>0</v>
      </c>
      <c r="O119" s="160">
        <f t="shared" si="56"/>
        <v>0</v>
      </c>
      <c r="P119" s="160">
        <f t="shared" si="56"/>
        <v>0</v>
      </c>
      <c r="Q119" s="160">
        <f t="shared" si="47"/>
        <v>0</v>
      </c>
      <c r="R119" s="160">
        <f t="shared" si="57"/>
        <v>0</v>
      </c>
      <c r="S119" s="160">
        <f t="shared" si="57"/>
        <v>0</v>
      </c>
      <c r="T119" s="160">
        <f t="shared" si="57"/>
        <v>0</v>
      </c>
      <c r="U119" s="160">
        <f t="shared" si="57"/>
        <v>0</v>
      </c>
      <c r="V119" s="160">
        <f>'Cost Assumptions'!$O$99*SUM(Development!R119:U119)</f>
        <v>0</v>
      </c>
      <c r="W119" s="160">
        <f t="shared" si="53"/>
        <v>0</v>
      </c>
      <c r="X119" s="160">
        <f>'Cost Assumptions'!$O$100*SUM(Development!R119:V119)</f>
        <v>0</v>
      </c>
      <c r="Y119" s="160">
        <f t="shared" si="35"/>
        <v>0</v>
      </c>
      <c r="Z119" s="173"/>
      <c r="AA119" s="203">
        <f t="shared" si="36"/>
        <v>29</v>
      </c>
      <c r="AB119" s="475">
        <f>IF(OR($AA119=0,$AA119&gt;40),0,INDEX(Overrides!C$47:C$87,$AA119+1,1)*$AA$85+INDEX(Overrides!C$47:C$87,$AA119,1)*$AB$86)</f>
        <v>0</v>
      </c>
      <c r="AC119" s="475">
        <f>IF(OR($AA119=0,$AA119&gt;40),0,INDEX(Overrides!D$47:D$87,$AA119+1,1)*$AA$85+INDEX(Overrides!D$47:D$87,$AA119,1)*$AB$86)</f>
        <v>0</v>
      </c>
      <c r="AD119" s="475">
        <f>IF(OR($AA119=0,$AA119&gt;40),0,INDEX(Overrides!E$47:E$87,$AA119+1,1)*$AA$85+INDEX(Overrides!E$47:E$87,$AA119,1)*$AB$86)</f>
        <v>0</v>
      </c>
      <c r="AE119" s="475">
        <f>IF(OR($AA119=0,$AA119&gt;40),0,INDEX(Overrides!F$47:F$87,$AA119+1,1)*$AA$85+INDEX(Overrides!F$47:F$87,$AA119,1)*$AB$86)</f>
        <v>0</v>
      </c>
      <c r="AF119" s="475">
        <f>IF(OR($AA119=0,$AA119&gt;40),0,INDEX(Overrides!G$47:G$87,$AA119+1,1)*$AA$85+INDEX(Overrides!G$47:G$87,$AA119,1)*$AB$86)</f>
        <v>0</v>
      </c>
      <c r="AG119" s="475">
        <f>IF(OR($AA119=0,$AA119&gt;40),0,INDEX(Overrides!H$47:H$87,$AA119+1,1)*$AA$85+INDEX(Overrides!H$47:H$87,$AA119,1)*$AB$86)</f>
        <v>0</v>
      </c>
      <c r="AH119" s="475">
        <f>IF(OR($AA119=0,$AA119&gt;40),0,INDEX(Overrides!I$47:I$87,$AA119+1,1)*$AA$85+INDEX(Overrides!I$47:I$87,$AA119,1)*$AB$86)</f>
        <v>0</v>
      </c>
      <c r="AI119" s="475">
        <f>IF(OR($AA119=0,$AA119&gt;40),0,INDEX(Overrides!J$47:J$87,$AA119+1,1)*$AA$85+INDEX(Overrides!J$47:J$87,$AA119,1)*$AB$86)</f>
        <v>0</v>
      </c>
      <c r="AJ119" s="93"/>
      <c r="AK119" s="160">
        <f>B119*'Selected Economics'!$I39*'Sensitivity Ranges'!$F$43</f>
        <v>0</v>
      </c>
      <c r="AL119" s="160">
        <f>IF($AA$84=1,AB119,Q119)*'Selected Economics'!$I39*'Sensitivity Ranges'!$F$43</f>
        <v>0</v>
      </c>
      <c r="AM119" s="160">
        <f>IF($AA$84=1,AC119,R119)*'Selected Economics'!$I39*'Sensitivity Ranges'!$F$43</f>
        <v>0</v>
      </c>
      <c r="AN119" s="160">
        <f>IF($AA$84=1,AD119,S119)*'Selected Economics'!$I39*'Sensitivity Ranges'!$F$43</f>
        <v>0</v>
      </c>
      <c r="AO119" s="160">
        <f>IF($AA$84=1,AE119,T119)*'Selected Economics'!$I39*'Sensitivity Ranges'!$F$43</f>
        <v>0</v>
      </c>
      <c r="AP119" s="160">
        <f>IF($AA$84=1,AF119,U119)*'Selected Economics'!$I39*'Sensitivity Ranges'!$F$43</f>
        <v>0</v>
      </c>
      <c r="AQ119" s="160">
        <f>IF($AA$84=1,AG119,V119)*'Selected Economics'!$I39*'Sensitivity Ranges'!$F$43</f>
        <v>0</v>
      </c>
      <c r="AR119" s="160">
        <f>IF($AA$84=1,AH119,W119)*'Selected Economics'!$I39*'Sensitivity Ranges'!$F$43</f>
        <v>0</v>
      </c>
      <c r="AS119" s="160">
        <f>IF($AA$84=1,AI119,X119)*'Selected Economics'!$I39*'Sensitivity Ranges'!$F$43</f>
        <v>0</v>
      </c>
      <c r="AT119" s="160">
        <f t="shared" si="48"/>
        <v>0</v>
      </c>
      <c r="AU119" s="173"/>
      <c r="AV119" s="160">
        <f t="shared" si="54"/>
        <v>0</v>
      </c>
      <c r="AW119" s="160">
        <f>AL119*Abandonment!$H44</f>
        <v>0</v>
      </c>
      <c r="AX119" s="160">
        <f>AM119*Abandonment!$H44</f>
        <v>0</v>
      </c>
      <c r="AY119" s="160">
        <f>AN119*Abandonment!$H44</f>
        <v>0</v>
      </c>
      <c r="AZ119" s="160">
        <f>AO119*Abandonment!$H44</f>
        <v>0</v>
      </c>
      <c r="BA119" s="160">
        <f>AP119*Abandonment!$H44</f>
        <v>0</v>
      </c>
      <c r="BB119" s="160">
        <f>AQ119*Abandonment!$H44</f>
        <v>0</v>
      </c>
      <c r="BC119" s="160">
        <f>AR119*Abandonment!$H44</f>
        <v>0</v>
      </c>
      <c r="BD119" s="160">
        <f>AS119*Abandonment!$H44</f>
        <v>0</v>
      </c>
      <c r="BE119" s="160">
        <f t="shared" si="49"/>
        <v>0</v>
      </c>
      <c r="BF119" s="173"/>
      <c r="BG119" s="160">
        <f>AW119+Exploration!R63</f>
        <v>0</v>
      </c>
      <c r="BH119" s="160">
        <f>AV119+(AX119+AY119+AZ119+IF(Input!$B$15="Shore",0,Development!BA119)+BB119)*(1+'Cost Assumptions'!$O$100)+BC119</f>
        <v>0</v>
      </c>
      <c r="BI119" s="160">
        <f>IF(Input!$B$15="Shore",Development!BA119,0)*(1+'Cost Assumptions'!$O$100)</f>
        <v>0</v>
      </c>
      <c r="BJ119" s="156"/>
      <c r="BK119" s="156"/>
      <c r="BL119" s="160">
        <f t="shared" si="37"/>
        <v>0</v>
      </c>
      <c r="BM119" s="200"/>
      <c r="BN119" s="156"/>
      <c r="BO119" s="160">
        <f t="shared" si="38"/>
        <v>0</v>
      </c>
      <c r="BP119" s="160">
        <f t="shared" si="39"/>
        <v>0</v>
      </c>
      <c r="BQ119" s="160">
        <f t="shared" si="40"/>
        <v>0</v>
      </c>
      <c r="BR119" s="160">
        <f t="shared" si="41"/>
        <v>0</v>
      </c>
      <c r="BS119" s="160">
        <f t="shared" si="42"/>
        <v>0</v>
      </c>
      <c r="BT119" s="160">
        <f t="shared" si="43"/>
        <v>0</v>
      </c>
      <c r="BU119" s="160">
        <f t="shared" si="44"/>
        <v>0</v>
      </c>
      <c r="BV119" s="160">
        <f t="shared" si="45"/>
        <v>0</v>
      </c>
      <c r="BW119" s="160">
        <f t="shared" si="46"/>
        <v>0</v>
      </c>
      <c r="BX119" s="160">
        <f t="shared" si="50"/>
        <v>0</v>
      </c>
      <c r="BY119" s="160"/>
      <c r="BZ119" s="160">
        <f t="shared" si="51"/>
        <v>0</v>
      </c>
    </row>
    <row r="120" spans="1:78">
      <c r="A120" s="140">
        <f t="shared" si="52"/>
        <v>2044</v>
      </c>
      <c r="B120" s="160">
        <f t="shared" si="32"/>
        <v>0</v>
      </c>
      <c r="C120" s="160">
        <f t="shared" si="56"/>
        <v>0</v>
      </c>
      <c r="D120" s="160">
        <f t="shared" si="56"/>
        <v>0</v>
      </c>
      <c r="E120" s="160">
        <f t="shared" si="56"/>
        <v>0</v>
      </c>
      <c r="F120" s="160">
        <f t="shared" si="56"/>
        <v>0</v>
      </c>
      <c r="G120" s="160">
        <f t="shared" si="56"/>
        <v>0</v>
      </c>
      <c r="H120" s="160">
        <f t="shared" si="56"/>
        <v>0</v>
      </c>
      <c r="I120" s="160">
        <f t="shared" si="56"/>
        <v>0</v>
      </c>
      <c r="J120" s="160">
        <f t="shared" si="56"/>
        <v>0</v>
      </c>
      <c r="K120" s="160">
        <f t="shared" si="56"/>
        <v>0</v>
      </c>
      <c r="L120" s="160">
        <f t="shared" si="56"/>
        <v>0</v>
      </c>
      <c r="M120" s="160">
        <f t="shared" si="56"/>
        <v>0</v>
      </c>
      <c r="N120" s="160">
        <f t="shared" si="56"/>
        <v>0</v>
      </c>
      <c r="O120" s="160">
        <f t="shared" si="56"/>
        <v>0</v>
      </c>
      <c r="P120" s="160">
        <f t="shared" si="56"/>
        <v>0</v>
      </c>
      <c r="Q120" s="160">
        <f t="shared" si="47"/>
        <v>0</v>
      </c>
      <c r="R120" s="160">
        <f t="shared" si="57"/>
        <v>0</v>
      </c>
      <c r="S120" s="160">
        <f t="shared" si="57"/>
        <v>0</v>
      </c>
      <c r="T120" s="160">
        <f t="shared" si="57"/>
        <v>0</v>
      </c>
      <c r="U120" s="160">
        <f t="shared" si="57"/>
        <v>0</v>
      </c>
      <c r="V120" s="160">
        <f>'Cost Assumptions'!$O$99*SUM(Development!R120:U120)</f>
        <v>0</v>
      </c>
      <c r="W120" s="160">
        <f t="shared" si="53"/>
        <v>0</v>
      </c>
      <c r="X120" s="160">
        <f>'Cost Assumptions'!$O$100*SUM(Development!R120:V120)</f>
        <v>0</v>
      </c>
      <c r="Y120" s="160">
        <f t="shared" si="35"/>
        <v>0</v>
      </c>
      <c r="Z120" s="173"/>
      <c r="AA120" s="203">
        <f t="shared" si="36"/>
        <v>30</v>
      </c>
      <c r="AB120" s="475">
        <f>IF(OR($AA120=0,$AA120&gt;40),0,INDEX(Overrides!C$47:C$87,$AA120+1,1)*$AA$85+INDEX(Overrides!C$47:C$87,$AA120,1)*$AB$86)</f>
        <v>0</v>
      </c>
      <c r="AC120" s="475">
        <f>IF(OR($AA120=0,$AA120&gt;40),0,INDEX(Overrides!D$47:D$87,$AA120+1,1)*$AA$85+INDEX(Overrides!D$47:D$87,$AA120,1)*$AB$86)</f>
        <v>0</v>
      </c>
      <c r="AD120" s="475">
        <f>IF(OR($AA120=0,$AA120&gt;40),0,INDEX(Overrides!E$47:E$87,$AA120+1,1)*$AA$85+INDEX(Overrides!E$47:E$87,$AA120,1)*$AB$86)</f>
        <v>0</v>
      </c>
      <c r="AE120" s="475">
        <f>IF(OR($AA120=0,$AA120&gt;40),0,INDEX(Overrides!F$47:F$87,$AA120+1,1)*$AA$85+INDEX(Overrides!F$47:F$87,$AA120,1)*$AB$86)</f>
        <v>0</v>
      </c>
      <c r="AF120" s="475">
        <f>IF(OR($AA120=0,$AA120&gt;40),0,INDEX(Overrides!G$47:G$87,$AA120+1,1)*$AA$85+INDEX(Overrides!G$47:G$87,$AA120,1)*$AB$86)</f>
        <v>0</v>
      </c>
      <c r="AG120" s="475">
        <f>IF(OR($AA120=0,$AA120&gt;40),0,INDEX(Overrides!H$47:H$87,$AA120+1,1)*$AA$85+INDEX(Overrides!H$47:H$87,$AA120,1)*$AB$86)</f>
        <v>0</v>
      </c>
      <c r="AH120" s="475">
        <f>IF(OR($AA120=0,$AA120&gt;40),0,INDEX(Overrides!I$47:I$87,$AA120+1,1)*$AA$85+INDEX(Overrides!I$47:I$87,$AA120,1)*$AB$86)</f>
        <v>0</v>
      </c>
      <c r="AI120" s="475">
        <f>IF(OR($AA120=0,$AA120&gt;40),0,INDEX(Overrides!J$47:J$87,$AA120+1,1)*$AA$85+INDEX(Overrides!J$47:J$87,$AA120,1)*$AB$86)</f>
        <v>0</v>
      </c>
      <c r="AJ120" s="93"/>
      <c r="AK120" s="160">
        <f>B120*'Selected Economics'!$I40*'Sensitivity Ranges'!$F$43</f>
        <v>0</v>
      </c>
      <c r="AL120" s="160">
        <f>IF($AA$84=1,AB120,Q120)*'Selected Economics'!$I40*'Sensitivity Ranges'!$F$43</f>
        <v>0</v>
      </c>
      <c r="AM120" s="160">
        <f>IF($AA$84=1,AC120,R120)*'Selected Economics'!$I40*'Sensitivity Ranges'!$F$43</f>
        <v>0</v>
      </c>
      <c r="AN120" s="160">
        <f>IF($AA$84=1,AD120,S120)*'Selected Economics'!$I40*'Sensitivity Ranges'!$F$43</f>
        <v>0</v>
      </c>
      <c r="AO120" s="160">
        <f>IF($AA$84=1,AE120,T120)*'Selected Economics'!$I40*'Sensitivity Ranges'!$F$43</f>
        <v>0</v>
      </c>
      <c r="AP120" s="160">
        <f>IF($AA$84=1,AF120,U120)*'Selected Economics'!$I40*'Sensitivity Ranges'!$F$43</f>
        <v>0</v>
      </c>
      <c r="AQ120" s="160">
        <f>IF($AA$84=1,AG120,V120)*'Selected Economics'!$I40*'Sensitivity Ranges'!$F$43</f>
        <v>0</v>
      </c>
      <c r="AR120" s="160">
        <f>IF($AA$84=1,AH120,W120)*'Selected Economics'!$I40*'Sensitivity Ranges'!$F$43</f>
        <v>0</v>
      </c>
      <c r="AS120" s="160">
        <f>IF($AA$84=1,AI120,X120)*'Selected Economics'!$I40*'Sensitivity Ranges'!$F$43</f>
        <v>0</v>
      </c>
      <c r="AT120" s="160">
        <f t="shared" si="48"/>
        <v>0</v>
      </c>
      <c r="AU120" s="173"/>
      <c r="AV120" s="160">
        <f t="shared" si="54"/>
        <v>0</v>
      </c>
      <c r="AW120" s="160">
        <f>AL120*Abandonment!$H45</f>
        <v>0</v>
      </c>
      <c r="AX120" s="160">
        <f>AM120*Abandonment!$H45</f>
        <v>0</v>
      </c>
      <c r="AY120" s="160">
        <f>AN120*Abandonment!$H45</f>
        <v>0</v>
      </c>
      <c r="AZ120" s="160">
        <f>AO120*Abandonment!$H45</f>
        <v>0</v>
      </c>
      <c r="BA120" s="160">
        <f>AP120*Abandonment!$H45</f>
        <v>0</v>
      </c>
      <c r="BB120" s="160">
        <f>AQ120*Abandonment!$H45</f>
        <v>0</v>
      </c>
      <c r="BC120" s="160">
        <f>AR120*Abandonment!$H45</f>
        <v>0</v>
      </c>
      <c r="BD120" s="160">
        <f>AS120*Abandonment!$H45</f>
        <v>0</v>
      </c>
      <c r="BE120" s="160">
        <f t="shared" si="49"/>
        <v>0</v>
      </c>
      <c r="BF120" s="173"/>
      <c r="BG120" s="160">
        <f>AW120+Exploration!R64</f>
        <v>0</v>
      </c>
      <c r="BH120" s="160">
        <f>AV120+(AX120+AY120+AZ120+IF(Input!$B$15="Shore",0,Development!BA120)+BB120)*(1+'Cost Assumptions'!$O$100)+BC120</f>
        <v>0</v>
      </c>
      <c r="BI120" s="160">
        <f>IF(Input!$B$15="Shore",Development!BA120,0)*(1+'Cost Assumptions'!$O$100)</f>
        <v>0</v>
      </c>
      <c r="BJ120" s="156"/>
      <c r="BK120" s="156"/>
      <c r="BL120" s="160">
        <f t="shared" si="37"/>
        <v>0</v>
      </c>
      <c r="BM120" s="200"/>
      <c r="BN120" s="156"/>
      <c r="BO120" s="160">
        <f t="shared" si="38"/>
        <v>0</v>
      </c>
      <c r="BP120" s="160">
        <f t="shared" si="39"/>
        <v>0</v>
      </c>
      <c r="BQ120" s="160">
        <f t="shared" si="40"/>
        <v>0</v>
      </c>
      <c r="BR120" s="160">
        <f t="shared" si="41"/>
        <v>0</v>
      </c>
      <c r="BS120" s="160">
        <f t="shared" si="42"/>
        <v>0</v>
      </c>
      <c r="BT120" s="160">
        <f t="shared" si="43"/>
        <v>0</v>
      </c>
      <c r="BU120" s="160">
        <f t="shared" si="44"/>
        <v>0</v>
      </c>
      <c r="BV120" s="160">
        <f t="shared" si="45"/>
        <v>0</v>
      </c>
      <c r="BW120" s="160">
        <f t="shared" si="46"/>
        <v>0</v>
      </c>
      <c r="BX120" s="160">
        <f t="shared" si="50"/>
        <v>0</v>
      </c>
      <c r="BY120" s="160"/>
      <c r="BZ120" s="160">
        <f t="shared" si="51"/>
        <v>0</v>
      </c>
    </row>
    <row r="121" spans="1:78">
      <c r="A121" s="140">
        <f t="shared" si="52"/>
        <v>2045</v>
      </c>
      <c r="B121" s="160">
        <f t="shared" si="32"/>
        <v>0</v>
      </c>
      <c r="C121" s="160">
        <f t="shared" ref="C121:P130" si="58">IF($A121=INDEX($H$41:$N$54,C$86,1),INDEX($O$41:$Y$54,C$86,1),IF($A121=INDEX($H$41:$N$54,C$86,2),INDEX($O$41:$Y$54,C$86,2),IF($A121=INDEX($H$41:$N$54,C$86,3),INDEX($O$41:$Y$54,C$86,3),IF($A121=INDEX($H$41:$N$54,C$86,4),INDEX($O$41:$Y$54,C$86,4),IF($A121=INDEX($H$41:$N$54,C$86,5),INDEX($O$41:$Y$54,C$86,5),IF($A121=INDEX($H$41:$N$54,C$86,6),INDEX($O$41:$Y$54,C$86,6),IF($A121=INDEX($H$41:$N$54,C$86,7),INDEX($O$41:$Y$54,C$86,7),0)))))))/1000</f>
        <v>0</v>
      </c>
      <c r="D121" s="160">
        <f t="shared" si="58"/>
        <v>0</v>
      </c>
      <c r="E121" s="160">
        <f t="shared" si="58"/>
        <v>0</v>
      </c>
      <c r="F121" s="160">
        <f t="shared" si="58"/>
        <v>0</v>
      </c>
      <c r="G121" s="160">
        <f t="shared" si="58"/>
        <v>0</v>
      </c>
      <c r="H121" s="160">
        <f t="shared" si="58"/>
        <v>0</v>
      </c>
      <c r="I121" s="160">
        <f t="shared" si="58"/>
        <v>0</v>
      </c>
      <c r="J121" s="160">
        <f t="shared" si="58"/>
        <v>0</v>
      </c>
      <c r="K121" s="160">
        <f t="shared" si="58"/>
        <v>0</v>
      </c>
      <c r="L121" s="160">
        <f t="shared" si="58"/>
        <v>0</v>
      </c>
      <c r="M121" s="160">
        <f t="shared" si="58"/>
        <v>0</v>
      </c>
      <c r="N121" s="160">
        <f t="shared" si="58"/>
        <v>0</v>
      </c>
      <c r="O121" s="160">
        <f t="shared" si="58"/>
        <v>0</v>
      </c>
      <c r="P121" s="160">
        <f t="shared" si="58"/>
        <v>0</v>
      </c>
      <c r="Q121" s="160">
        <f t="shared" si="47"/>
        <v>0</v>
      </c>
      <c r="R121" s="160">
        <f t="shared" si="57"/>
        <v>0</v>
      </c>
      <c r="S121" s="160">
        <f t="shared" si="57"/>
        <v>0</v>
      </c>
      <c r="T121" s="160">
        <f t="shared" si="57"/>
        <v>0</v>
      </c>
      <c r="U121" s="160">
        <f t="shared" si="57"/>
        <v>0</v>
      </c>
      <c r="V121" s="160">
        <f>'Cost Assumptions'!$O$99*SUM(Development!R121:U121)</f>
        <v>0</v>
      </c>
      <c r="W121" s="160">
        <f t="shared" si="53"/>
        <v>0</v>
      </c>
      <c r="X121" s="160">
        <f>'Cost Assumptions'!$O$100*SUM(Development!R121:V121)</f>
        <v>0</v>
      </c>
      <c r="Y121" s="160">
        <f t="shared" si="35"/>
        <v>0</v>
      </c>
      <c r="Z121" s="173"/>
      <c r="AA121" s="203">
        <f t="shared" si="36"/>
        <v>31</v>
      </c>
      <c r="AB121" s="475">
        <f>IF(OR($AA121=0,$AA121&gt;40),0,INDEX(Overrides!C$47:C$87,$AA121+1,1)*$AA$85+INDEX(Overrides!C$47:C$87,$AA121,1)*$AB$86)</f>
        <v>0</v>
      </c>
      <c r="AC121" s="475">
        <f>IF(OR($AA121=0,$AA121&gt;40),0,INDEX(Overrides!D$47:D$87,$AA121+1,1)*$AA$85+INDEX(Overrides!D$47:D$87,$AA121,1)*$AB$86)</f>
        <v>0</v>
      </c>
      <c r="AD121" s="475">
        <f>IF(OR($AA121=0,$AA121&gt;40),0,INDEX(Overrides!E$47:E$87,$AA121+1,1)*$AA$85+INDEX(Overrides!E$47:E$87,$AA121,1)*$AB$86)</f>
        <v>0</v>
      </c>
      <c r="AE121" s="475">
        <f>IF(OR($AA121=0,$AA121&gt;40),0,INDEX(Overrides!F$47:F$87,$AA121+1,1)*$AA$85+INDEX(Overrides!F$47:F$87,$AA121,1)*$AB$86)</f>
        <v>0</v>
      </c>
      <c r="AF121" s="475">
        <f>IF(OR($AA121=0,$AA121&gt;40),0,INDEX(Overrides!G$47:G$87,$AA121+1,1)*$AA$85+INDEX(Overrides!G$47:G$87,$AA121,1)*$AB$86)</f>
        <v>0</v>
      </c>
      <c r="AG121" s="475">
        <f>IF(OR($AA121=0,$AA121&gt;40),0,INDEX(Overrides!H$47:H$87,$AA121+1,1)*$AA$85+INDEX(Overrides!H$47:H$87,$AA121,1)*$AB$86)</f>
        <v>0</v>
      </c>
      <c r="AH121" s="475">
        <f>IF(OR($AA121=0,$AA121&gt;40),0,INDEX(Overrides!I$47:I$87,$AA121+1,1)*$AA$85+INDEX(Overrides!I$47:I$87,$AA121,1)*$AB$86)</f>
        <v>0</v>
      </c>
      <c r="AI121" s="475">
        <f>IF(OR($AA121=0,$AA121&gt;40),0,INDEX(Overrides!J$47:J$87,$AA121+1,1)*$AA$85+INDEX(Overrides!J$47:J$87,$AA121,1)*$AB$86)</f>
        <v>0</v>
      </c>
      <c r="AJ121" s="93"/>
      <c r="AK121" s="160">
        <f>B121*'Selected Economics'!$I41*'Sensitivity Ranges'!$F$43</f>
        <v>0</v>
      </c>
      <c r="AL121" s="160">
        <f>IF($AA$84=1,AB121,Q121)*'Selected Economics'!$I41*'Sensitivity Ranges'!$F$43</f>
        <v>0</v>
      </c>
      <c r="AM121" s="160">
        <f>IF($AA$84=1,AC121,R121)*'Selected Economics'!$I41*'Sensitivity Ranges'!$F$43</f>
        <v>0</v>
      </c>
      <c r="AN121" s="160">
        <f>IF($AA$84=1,AD121,S121)*'Selected Economics'!$I41*'Sensitivity Ranges'!$F$43</f>
        <v>0</v>
      </c>
      <c r="AO121" s="160">
        <f>IF($AA$84=1,AE121,T121)*'Selected Economics'!$I41*'Sensitivity Ranges'!$F$43</f>
        <v>0</v>
      </c>
      <c r="AP121" s="160">
        <f>IF($AA$84=1,AF121,U121)*'Selected Economics'!$I41*'Sensitivity Ranges'!$F$43</f>
        <v>0</v>
      </c>
      <c r="AQ121" s="160">
        <f>IF($AA$84=1,AG121,V121)*'Selected Economics'!$I41*'Sensitivity Ranges'!$F$43</f>
        <v>0</v>
      </c>
      <c r="AR121" s="160">
        <f>IF($AA$84=1,AH121,W121)*'Selected Economics'!$I41*'Sensitivity Ranges'!$F$43</f>
        <v>0</v>
      </c>
      <c r="AS121" s="160">
        <f>IF($AA$84=1,AI121,X121)*'Selected Economics'!$I41*'Sensitivity Ranges'!$F$43</f>
        <v>0</v>
      </c>
      <c r="AT121" s="160">
        <f t="shared" si="48"/>
        <v>0</v>
      </c>
      <c r="AU121" s="173"/>
      <c r="AV121" s="160">
        <f t="shared" si="54"/>
        <v>0</v>
      </c>
      <c r="AW121" s="160">
        <f>AL121*Abandonment!$H46</f>
        <v>0</v>
      </c>
      <c r="AX121" s="160">
        <f>AM121*Abandonment!$H46</f>
        <v>0</v>
      </c>
      <c r="AY121" s="160">
        <f>AN121*Abandonment!$H46</f>
        <v>0</v>
      </c>
      <c r="AZ121" s="160">
        <f>AO121*Abandonment!$H46</f>
        <v>0</v>
      </c>
      <c r="BA121" s="160">
        <f>AP121*Abandonment!$H46</f>
        <v>0</v>
      </c>
      <c r="BB121" s="160">
        <f>AQ121*Abandonment!$H46</f>
        <v>0</v>
      </c>
      <c r="BC121" s="160">
        <f>AR121*Abandonment!$H46</f>
        <v>0</v>
      </c>
      <c r="BD121" s="160">
        <f>AS121*Abandonment!$H46</f>
        <v>0</v>
      </c>
      <c r="BE121" s="160">
        <f t="shared" si="49"/>
        <v>0</v>
      </c>
      <c r="BF121" s="173"/>
      <c r="BG121" s="160">
        <f>AW121+Exploration!R65</f>
        <v>0</v>
      </c>
      <c r="BH121" s="160">
        <f>AV121+(AX121+AY121+AZ121+IF(Input!$B$15="Shore",0,Development!BA121)+BB121)*(1+'Cost Assumptions'!$O$100)+BC121</f>
        <v>0</v>
      </c>
      <c r="BI121" s="160">
        <f>IF(Input!$B$15="Shore",Development!BA121,0)*(1+'Cost Assumptions'!$O$100)</f>
        <v>0</v>
      </c>
      <c r="BJ121" s="156"/>
      <c r="BK121" s="156"/>
      <c r="BL121" s="160">
        <f t="shared" si="37"/>
        <v>0</v>
      </c>
      <c r="BM121" s="200"/>
      <c r="BN121" s="156"/>
      <c r="BO121" s="160">
        <f t="shared" si="38"/>
        <v>0</v>
      </c>
      <c r="BP121" s="160">
        <f t="shared" si="39"/>
        <v>0</v>
      </c>
      <c r="BQ121" s="160">
        <f t="shared" si="40"/>
        <v>0</v>
      </c>
      <c r="BR121" s="160">
        <f t="shared" si="41"/>
        <v>0</v>
      </c>
      <c r="BS121" s="160">
        <f t="shared" si="42"/>
        <v>0</v>
      </c>
      <c r="BT121" s="160">
        <f t="shared" si="43"/>
        <v>0</v>
      </c>
      <c r="BU121" s="160">
        <f t="shared" si="44"/>
        <v>0</v>
      </c>
      <c r="BV121" s="160">
        <f t="shared" si="45"/>
        <v>0</v>
      </c>
      <c r="BW121" s="160">
        <f t="shared" si="46"/>
        <v>0</v>
      </c>
      <c r="BX121" s="160">
        <f t="shared" si="50"/>
        <v>0</v>
      </c>
      <c r="BY121" s="160"/>
      <c r="BZ121" s="160">
        <f t="shared" si="51"/>
        <v>0</v>
      </c>
    </row>
    <row r="122" spans="1:78">
      <c r="A122" s="140">
        <f t="shared" si="52"/>
        <v>2046</v>
      </c>
      <c r="B122" s="160">
        <f t="shared" si="32"/>
        <v>0</v>
      </c>
      <c r="C122" s="160">
        <f t="shared" si="58"/>
        <v>0</v>
      </c>
      <c r="D122" s="160">
        <f t="shared" si="58"/>
        <v>0</v>
      </c>
      <c r="E122" s="160">
        <f t="shared" si="58"/>
        <v>0</v>
      </c>
      <c r="F122" s="160">
        <f t="shared" si="58"/>
        <v>0</v>
      </c>
      <c r="G122" s="160">
        <f t="shared" si="58"/>
        <v>0</v>
      </c>
      <c r="H122" s="160">
        <f t="shared" si="58"/>
        <v>0</v>
      </c>
      <c r="I122" s="160">
        <f t="shared" si="58"/>
        <v>0</v>
      </c>
      <c r="J122" s="160">
        <f t="shared" si="58"/>
        <v>0</v>
      </c>
      <c r="K122" s="160">
        <f t="shared" si="58"/>
        <v>0</v>
      </c>
      <c r="L122" s="160">
        <f t="shared" si="58"/>
        <v>0</v>
      </c>
      <c r="M122" s="160">
        <f t="shared" si="58"/>
        <v>0</v>
      </c>
      <c r="N122" s="160">
        <f t="shared" si="58"/>
        <v>0</v>
      </c>
      <c r="O122" s="160">
        <f t="shared" si="58"/>
        <v>0</v>
      </c>
      <c r="P122" s="160">
        <f t="shared" si="58"/>
        <v>0</v>
      </c>
      <c r="Q122" s="160">
        <f t="shared" si="47"/>
        <v>0</v>
      </c>
      <c r="R122" s="160">
        <f t="shared" si="57"/>
        <v>0</v>
      </c>
      <c r="S122" s="160">
        <f t="shared" si="57"/>
        <v>0</v>
      </c>
      <c r="T122" s="160">
        <f t="shared" si="57"/>
        <v>0</v>
      </c>
      <c r="U122" s="160">
        <f t="shared" si="57"/>
        <v>0</v>
      </c>
      <c r="V122" s="160">
        <f>'Cost Assumptions'!$O$99*SUM(Development!R122:U122)</f>
        <v>0</v>
      </c>
      <c r="W122" s="160">
        <f t="shared" si="53"/>
        <v>0</v>
      </c>
      <c r="X122" s="160">
        <f>'Cost Assumptions'!$O$100*SUM(Development!R122:V122)</f>
        <v>0</v>
      </c>
      <c r="Y122" s="160">
        <f t="shared" si="35"/>
        <v>0</v>
      </c>
      <c r="Z122" s="173"/>
      <c r="AA122" s="203">
        <f t="shared" si="36"/>
        <v>32</v>
      </c>
      <c r="AB122" s="475">
        <f>IF(OR($AA122=0,$AA122&gt;40),0,INDEX(Overrides!C$47:C$87,$AA122+1,1)*$AA$85+INDEX(Overrides!C$47:C$87,$AA122,1)*$AB$86)</f>
        <v>0</v>
      </c>
      <c r="AC122" s="475">
        <f>IF(OR($AA122=0,$AA122&gt;40),0,INDEX(Overrides!D$47:D$87,$AA122+1,1)*$AA$85+INDEX(Overrides!D$47:D$87,$AA122,1)*$AB$86)</f>
        <v>0</v>
      </c>
      <c r="AD122" s="475">
        <f>IF(OR($AA122=0,$AA122&gt;40),0,INDEX(Overrides!E$47:E$87,$AA122+1,1)*$AA$85+INDEX(Overrides!E$47:E$87,$AA122,1)*$AB$86)</f>
        <v>0</v>
      </c>
      <c r="AE122" s="475">
        <f>IF(OR($AA122=0,$AA122&gt;40),0,INDEX(Overrides!F$47:F$87,$AA122+1,1)*$AA$85+INDEX(Overrides!F$47:F$87,$AA122,1)*$AB$86)</f>
        <v>0</v>
      </c>
      <c r="AF122" s="475">
        <f>IF(OR($AA122=0,$AA122&gt;40),0,INDEX(Overrides!G$47:G$87,$AA122+1,1)*$AA$85+INDEX(Overrides!G$47:G$87,$AA122,1)*$AB$86)</f>
        <v>0</v>
      </c>
      <c r="AG122" s="475">
        <f>IF(OR($AA122=0,$AA122&gt;40),0,INDEX(Overrides!H$47:H$87,$AA122+1,1)*$AA$85+INDEX(Overrides!H$47:H$87,$AA122,1)*$AB$86)</f>
        <v>0</v>
      </c>
      <c r="AH122" s="475">
        <f>IF(OR($AA122=0,$AA122&gt;40),0,INDEX(Overrides!I$47:I$87,$AA122+1,1)*$AA$85+INDEX(Overrides!I$47:I$87,$AA122,1)*$AB$86)</f>
        <v>0</v>
      </c>
      <c r="AI122" s="475">
        <f>IF(OR($AA122=0,$AA122&gt;40),0,INDEX(Overrides!J$47:J$87,$AA122+1,1)*$AA$85+INDEX(Overrides!J$47:J$87,$AA122,1)*$AB$86)</f>
        <v>0</v>
      </c>
      <c r="AJ122" s="93"/>
      <c r="AK122" s="160">
        <f>B122*'Selected Economics'!$I42*'Sensitivity Ranges'!$F$43</f>
        <v>0</v>
      </c>
      <c r="AL122" s="160">
        <f>IF($AA$84=1,AB122,Q122)*'Selected Economics'!$I42*'Sensitivity Ranges'!$F$43</f>
        <v>0</v>
      </c>
      <c r="AM122" s="160">
        <f>IF($AA$84=1,AC122,R122)*'Selected Economics'!$I42*'Sensitivity Ranges'!$F$43</f>
        <v>0</v>
      </c>
      <c r="AN122" s="160">
        <f>IF($AA$84=1,AD122,S122)*'Selected Economics'!$I42*'Sensitivity Ranges'!$F$43</f>
        <v>0</v>
      </c>
      <c r="AO122" s="160">
        <f>IF($AA$84=1,AE122,T122)*'Selected Economics'!$I42*'Sensitivity Ranges'!$F$43</f>
        <v>0</v>
      </c>
      <c r="AP122" s="160">
        <f>IF($AA$84=1,AF122,U122)*'Selected Economics'!$I42*'Sensitivity Ranges'!$F$43</f>
        <v>0</v>
      </c>
      <c r="AQ122" s="160">
        <f>IF($AA$84=1,AG122,V122)*'Selected Economics'!$I42*'Sensitivity Ranges'!$F$43</f>
        <v>0</v>
      </c>
      <c r="AR122" s="160">
        <f>IF($AA$84=1,AH122,W122)*'Selected Economics'!$I42*'Sensitivity Ranges'!$F$43</f>
        <v>0</v>
      </c>
      <c r="AS122" s="160">
        <f>IF($AA$84=1,AI122,X122)*'Selected Economics'!$I42*'Sensitivity Ranges'!$F$43</f>
        <v>0</v>
      </c>
      <c r="AT122" s="160">
        <f t="shared" si="48"/>
        <v>0</v>
      </c>
      <c r="AU122" s="173"/>
      <c r="AV122" s="160">
        <f t="shared" si="54"/>
        <v>0</v>
      </c>
      <c r="AW122" s="160">
        <f>AL122*Abandonment!$H47</f>
        <v>0</v>
      </c>
      <c r="AX122" s="160">
        <f>AM122*Abandonment!$H47</f>
        <v>0</v>
      </c>
      <c r="AY122" s="160">
        <f>AN122*Abandonment!$H47</f>
        <v>0</v>
      </c>
      <c r="AZ122" s="160">
        <f>AO122*Abandonment!$H47</f>
        <v>0</v>
      </c>
      <c r="BA122" s="160">
        <f>AP122*Abandonment!$H47</f>
        <v>0</v>
      </c>
      <c r="BB122" s="160">
        <f>AQ122*Abandonment!$H47</f>
        <v>0</v>
      </c>
      <c r="BC122" s="160">
        <f>AR122*Abandonment!$H47</f>
        <v>0</v>
      </c>
      <c r="BD122" s="160">
        <f>AS122*Abandonment!$H47</f>
        <v>0</v>
      </c>
      <c r="BE122" s="160">
        <f t="shared" si="49"/>
        <v>0</v>
      </c>
      <c r="BF122" s="173"/>
      <c r="BG122" s="160">
        <f>AW122+Exploration!R66</f>
        <v>0</v>
      </c>
      <c r="BH122" s="160">
        <f>AV122+(AX122+AY122+AZ122+IF(Input!$B$15="Shore",0,Development!BA122)+BB122)*(1+'Cost Assumptions'!$O$100)+BC122</f>
        <v>0</v>
      </c>
      <c r="BI122" s="160">
        <f>IF(Input!$B$15="Shore",Development!BA122,0)*(1+'Cost Assumptions'!$O$100)</f>
        <v>0</v>
      </c>
      <c r="BJ122" s="156"/>
      <c r="BK122" s="156"/>
      <c r="BL122" s="160">
        <f t="shared" si="37"/>
        <v>0</v>
      </c>
      <c r="BM122" s="200"/>
      <c r="BN122" s="156"/>
      <c r="BO122" s="160">
        <f t="shared" si="38"/>
        <v>0</v>
      </c>
      <c r="BP122" s="160">
        <f t="shared" si="39"/>
        <v>0</v>
      </c>
      <c r="BQ122" s="160">
        <f t="shared" si="40"/>
        <v>0</v>
      </c>
      <c r="BR122" s="160">
        <f t="shared" si="41"/>
        <v>0</v>
      </c>
      <c r="BS122" s="160">
        <f t="shared" si="42"/>
        <v>0</v>
      </c>
      <c r="BT122" s="160">
        <f t="shared" si="43"/>
        <v>0</v>
      </c>
      <c r="BU122" s="160">
        <f t="shared" si="44"/>
        <v>0</v>
      </c>
      <c r="BV122" s="160">
        <f t="shared" si="45"/>
        <v>0</v>
      </c>
      <c r="BW122" s="160">
        <f t="shared" si="46"/>
        <v>0</v>
      </c>
      <c r="BX122" s="160">
        <f t="shared" si="50"/>
        <v>0</v>
      </c>
      <c r="BY122" s="160"/>
      <c r="BZ122" s="160">
        <f t="shared" si="51"/>
        <v>0</v>
      </c>
    </row>
    <row r="123" spans="1:78">
      <c r="A123" s="140">
        <f t="shared" si="52"/>
        <v>2047</v>
      </c>
      <c r="B123" s="160">
        <f t="shared" si="32"/>
        <v>0</v>
      </c>
      <c r="C123" s="160">
        <f t="shared" si="58"/>
        <v>0</v>
      </c>
      <c r="D123" s="160">
        <f t="shared" si="58"/>
        <v>0</v>
      </c>
      <c r="E123" s="160">
        <f t="shared" si="58"/>
        <v>0</v>
      </c>
      <c r="F123" s="160">
        <f t="shared" si="58"/>
        <v>0</v>
      </c>
      <c r="G123" s="160">
        <f t="shared" si="58"/>
        <v>0</v>
      </c>
      <c r="H123" s="160">
        <f t="shared" si="58"/>
        <v>0</v>
      </c>
      <c r="I123" s="160">
        <f t="shared" si="58"/>
        <v>0</v>
      </c>
      <c r="J123" s="160">
        <f t="shared" si="58"/>
        <v>0</v>
      </c>
      <c r="K123" s="160">
        <f t="shared" si="58"/>
        <v>0</v>
      </c>
      <c r="L123" s="160">
        <f t="shared" si="58"/>
        <v>0</v>
      </c>
      <c r="M123" s="160">
        <f t="shared" si="58"/>
        <v>0</v>
      </c>
      <c r="N123" s="160">
        <f t="shared" si="58"/>
        <v>0</v>
      </c>
      <c r="O123" s="160">
        <f t="shared" si="58"/>
        <v>0</v>
      </c>
      <c r="P123" s="160">
        <f t="shared" si="58"/>
        <v>0</v>
      </c>
      <c r="Q123" s="160">
        <f t="shared" si="47"/>
        <v>0</v>
      </c>
      <c r="R123" s="160">
        <f t="shared" si="57"/>
        <v>0</v>
      </c>
      <c r="S123" s="160">
        <f t="shared" si="57"/>
        <v>0</v>
      </c>
      <c r="T123" s="160">
        <f t="shared" si="57"/>
        <v>0</v>
      </c>
      <c r="U123" s="160">
        <f t="shared" si="57"/>
        <v>0</v>
      </c>
      <c r="V123" s="160">
        <f>'Cost Assumptions'!$O$99*SUM(Development!R123:U123)</f>
        <v>0</v>
      </c>
      <c r="W123" s="160">
        <f t="shared" si="53"/>
        <v>0</v>
      </c>
      <c r="X123" s="160">
        <f>'Cost Assumptions'!$O$100*SUM(Development!R123:V123)</f>
        <v>0</v>
      </c>
      <c r="Y123" s="160">
        <f t="shared" si="35"/>
        <v>0</v>
      </c>
      <c r="Z123" s="173"/>
      <c r="AA123" s="203">
        <f t="shared" si="36"/>
        <v>33</v>
      </c>
      <c r="AB123" s="475">
        <f>IF(OR($AA123=0,$AA123&gt;40),0,INDEX(Overrides!C$47:C$87,$AA123+1,1)*$AA$85+INDEX(Overrides!C$47:C$87,$AA123,1)*$AB$86)</f>
        <v>0</v>
      </c>
      <c r="AC123" s="475">
        <f>IF(OR($AA123=0,$AA123&gt;40),0,INDEX(Overrides!D$47:D$87,$AA123+1,1)*$AA$85+INDEX(Overrides!D$47:D$87,$AA123,1)*$AB$86)</f>
        <v>0</v>
      </c>
      <c r="AD123" s="475">
        <f>IF(OR($AA123=0,$AA123&gt;40),0,INDEX(Overrides!E$47:E$87,$AA123+1,1)*$AA$85+INDEX(Overrides!E$47:E$87,$AA123,1)*$AB$86)</f>
        <v>0</v>
      </c>
      <c r="AE123" s="475">
        <f>IF(OR($AA123=0,$AA123&gt;40),0,INDEX(Overrides!F$47:F$87,$AA123+1,1)*$AA$85+INDEX(Overrides!F$47:F$87,$AA123,1)*$AB$86)</f>
        <v>0</v>
      </c>
      <c r="AF123" s="475">
        <f>IF(OR($AA123=0,$AA123&gt;40),0,INDEX(Overrides!G$47:G$87,$AA123+1,1)*$AA$85+INDEX(Overrides!G$47:G$87,$AA123,1)*$AB$86)</f>
        <v>0</v>
      </c>
      <c r="AG123" s="475">
        <f>IF(OR($AA123=0,$AA123&gt;40),0,INDEX(Overrides!H$47:H$87,$AA123+1,1)*$AA$85+INDEX(Overrides!H$47:H$87,$AA123,1)*$AB$86)</f>
        <v>0</v>
      </c>
      <c r="AH123" s="475">
        <f>IF(OR($AA123=0,$AA123&gt;40),0,INDEX(Overrides!I$47:I$87,$AA123+1,1)*$AA$85+INDEX(Overrides!I$47:I$87,$AA123,1)*$AB$86)</f>
        <v>0</v>
      </c>
      <c r="AI123" s="475">
        <f>IF(OR($AA123=0,$AA123&gt;40),0,INDEX(Overrides!J$47:J$87,$AA123+1,1)*$AA$85+INDEX(Overrides!J$47:J$87,$AA123,1)*$AB$86)</f>
        <v>0</v>
      </c>
      <c r="AJ123" s="93"/>
      <c r="AK123" s="160">
        <f>B123*'Selected Economics'!$I43*'Sensitivity Ranges'!$F$43</f>
        <v>0</v>
      </c>
      <c r="AL123" s="160">
        <f>IF($AA$84=1,AB123,Q123)*'Selected Economics'!$I43*'Sensitivity Ranges'!$F$43</f>
        <v>0</v>
      </c>
      <c r="AM123" s="160">
        <f>IF($AA$84=1,AC123,R123)*'Selected Economics'!$I43*'Sensitivity Ranges'!$F$43</f>
        <v>0</v>
      </c>
      <c r="AN123" s="160">
        <f>IF($AA$84=1,AD123,S123)*'Selected Economics'!$I43*'Sensitivity Ranges'!$F$43</f>
        <v>0</v>
      </c>
      <c r="AO123" s="160">
        <f>IF($AA$84=1,AE123,T123)*'Selected Economics'!$I43*'Sensitivity Ranges'!$F$43</f>
        <v>0</v>
      </c>
      <c r="AP123" s="160">
        <f>IF($AA$84=1,AF123,U123)*'Selected Economics'!$I43*'Sensitivity Ranges'!$F$43</f>
        <v>0</v>
      </c>
      <c r="AQ123" s="160">
        <f>IF($AA$84=1,AG123,V123)*'Selected Economics'!$I43*'Sensitivity Ranges'!$F$43</f>
        <v>0</v>
      </c>
      <c r="AR123" s="160">
        <f>IF($AA$84=1,AH123,W123)*'Selected Economics'!$I43*'Sensitivity Ranges'!$F$43</f>
        <v>0</v>
      </c>
      <c r="AS123" s="160">
        <f>IF($AA$84=1,AI123,X123)*'Selected Economics'!$I43*'Sensitivity Ranges'!$F$43</f>
        <v>0</v>
      </c>
      <c r="AT123" s="160">
        <f t="shared" si="48"/>
        <v>0</v>
      </c>
      <c r="AU123" s="173"/>
      <c r="AV123" s="160">
        <f t="shared" si="54"/>
        <v>0</v>
      </c>
      <c r="AW123" s="160">
        <f>AL123*Abandonment!$H48</f>
        <v>0</v>
      </c>
      <c r="AX123" s="160">
        <f>AM123*Abandonment!$H48</f>
        <v>0</v>
      </c>
      <c r="AY123" s="160">
        <f>AN123*Abandonment!$H48</f>
        <v>0</v>
      </c>
      <c r="AZ123" s="160">
        <f>AO123*Abandonment!$H48</f>
        <v>0</v>
      </c>
      <c r="BA123" s="160">
        <f>AP123*Abandonment!$H48</f>
        <v>0</v>
      </c>
      <c r="BB123" s="160">
        <f>AQ123*Abandonment!$H48</f>
        <v>0</v>
      </c>
      <c r="BC123" s="160">
        <f>AR123*Abandonment!$H48</f>
        <v>0</v>
      </c>
      <c r="BD123" s="160">
        <f>AS123*Abandonment!$H48</f>
        <v>0</v>
      </c>
      <c r="BE123" s="160">
        <f t="shared" si="49"/>
        <v>0</v>
      </c>
      <c r="BF123" s="173"/>
      <c r="BG123" s="160">
        <f>AW123+Exploration!R67</f>
        <v>0</v>
      </c>
      <c r="BH123" s="160">
        <f>AV123+(AX123+AY123+AZ123+IF(Input!$B$15="Shore",0,Development!BA123)+BB123)*(1+'Cost Assumptions'!$O$100)+BC123</f>
        <v>0</v>
      </c>
      <c r="BI123" s="160">
        <f>IF(Input!$B$15="Shore",Development!BA123,0)*(1+'Cost Assumptions'!$O$100)</f>
        <v>0</v>
      </c>
      <c r="BJ123" s="156"/>
      <c r="BK123" s="156"/>
      <c r="BL123" s="160">
        <f t="shared" si="37"/>
        <v>0</v>
      </c>
      <c r="BM123" s="200"/>
      <c r="BN123" s="156"/>
      <c r="BO123" s="160">
        <f t="shared" si="38"/>
        <v>0</v>
      </c>
      <c r="BP123" s="160">
        <f t="shared" si="39"/>
        <v>0</v>
      </c>
      <c r="BQ123" s="160">
        <f t="shared" si="40"/>
        <v>0</v>
      </c>
      <c r="BR123" s="160">
        <f t="shared" si="41"/>
        <v>0</v>
      </c>
      <c r="BS123" s="160">
        <f t="shared" si="42"/>
        <v>0</v>
      </c>
      <c r="BT123" s="160">
        <f t="shared" si="43"/>
        <v>0</v>
      </c>
      <c r="BU123" s="160">
        <f t="shared" si="44"/>
        <v>0</v>
      </c>
      <c r="BV123" s="160">
        <f t="shared" si="45"/>
        <v>0</v>
      </c>
      <c r="BW123" s="160">
        <f t="shared" si="46"/>
        <v>0</v>
      </c>
      <c r="BX123" s="160">
        <f t="shared" si="50"/>
        <v>0</v>
      </c>
      <c r="BY123" s="160"/>
      <c r="BZ123" s="160">
        <f t="shared" si="51"/>
        <v>0</v>
      </c>
    </row>
    <row r="124" spans="1:78">
      <c r="A124" s="140">
        <f t="shared" si="52"/>
        <v>2048</v>
      </c>
      <c r="B124" s="160">
        <f t="shared" si="32"/>
        <v>0</v>
      </c>
      <c r="C124" s="160">
        <f t="shared" si="58"/>
        <v>0</v>
      </c>
      <c r="D124" s="160">
        <f t="shared" si="58"/>
        <v>0</v>
      </c>
      <c r="E124" s="160">
        <f t="shared" si="58"/>
        <v>0</v>
      </c>
      <c r="F124" s="160">
        <f t="shared" si="58"/>
        <v>0</v>
      </c>
      <c r="G124" s="160">
        <f t="shared" si="58"/>
        <v>0</v>
      </c>
      <c r="H124" s="160">
        <f t="shared" si="58"/>
        <v>0</v>
      </c>
      <c r="I124" s="160">
        <f t="shared" si="58"/>
        <v>0</v>
      </c>
      <c r="J124" s="160">
        <f t="shared" si="58"/>
        <v>0</v>
      </c>
      <c r="K124" s="160">
        <f t="shared" si="58"/>
        <v>0</v>
      </c>
      <c r="L124" s="160">
        <f t="shared" si="58"/>
        <v>0</v>
      </c>
      <c r="M124" s="160">
        <f t="shared" si="58"/>
        <v>0</v>
      </c>
      <c r="N124" s="160">
        <f t="shared" si="58"/>
        <v>0</v>
      </c>
      <c r="O124" s="160">
        <f t="shared" si="58"/>
        <v>0</v>
      </c>
      <c r="P124" s="160">
        <f t="shared" si="58"/>
        <v>0</v>
      </c>
      <c r="Q124" s="160">
        <f t="shared" si="47"/>
        <v>0</v>
      </c>
      <c r="R124" s="160">
        <f t="shared" si="57"/>
        <v>0</v>
      </c>
      <c r="S124" s="160">
        <f t="shared" si="57"/>
        <v>0</v>
      </c>
      <c r="T124" s="160">
        <f t="shared" si="57"/>
        <v>0</v>
      </c>
      <c r="U124" s="160">
        <f t="shared" si="57"/>
        <v>0</v>
      </c>
      <c r="V124" s="160">
        <f>'Cost Assumptions'!$O$99*SUM(Development!R124:U124)</f>
        <v>0</v>
      </c>
      <c r="W124" s="160">
        <f t="shared" si="53"/>
        <v>0</v>
      </c>
      <c r="X124" s="160">
        <f>'Cost Assumptions'!$O$100*SUM(Development!R124:V124)</f>
        <v>0</v>
      </c>
      <c r="Y124" s="160">
        <f t="shared" si="35"/>
        <v>0</v>
      </c>
      <c r="Z124" s="173"/>
      <c r="AA124" s="203">
        <f t="shared" si="36"/>
        <v>34</v>
      </c>
      <c r="AB124" s="475">
        <f>IF(OR($AA124=0,$AA124&gt;40),0,INDEX(Overrides!C$47:C$87,$AA124+1,1)*$AA$85+INDEX(Overrides!C$47:C$87,$AA124,1)*$AB$86)</f>
        <v>0</v>
      </c>
      <c r="AC124" s="475">
        <f>IF(OR($AA124=0,$AA124&gt;40),0,INDEX(Overrides!D$47:D$87,$AA124+1,1)*$AA$85+INDEX(Overrides!D$47:D$87,$AA124,1)*$AB$86)</f>
        <v>0</v>
      </c>
      <c r="AD124" s="475">
        <f>IF(OR($AA124=0,$AA124&gt;40),0,INDEX(Overrides!E$47:E$87,$AA124+1,1)*$AA$85+INDEX(Overrides!E$47:E$87,$AA124,1)*$AB$86)</f>
        <v>0</v>
      </c>
      <c r="AE124" s="475">
        <f>IF(OR($AA124=0,$AA124&gt;40),0,INDEX(Overrides!F$47:F$87,$AA124+1,1)*$AA$85+INDEX(Overrides!F$47:F$87,$AA124,1)*$AB$86)</f>
        <v>0</v>
      </c>
      <c r="AF124" s="475">
        <f>IF(OR($AA124=0,$AA124&gt;40),0,INDEX(Overrides!G$47:G$87,$AA124+1,1)*$AA$85+INDEX(Overrides!G$47:G$87,$AA124,1)*$AB$86)</f>
        <v>0</v>
      </c>
      <c r="AG124" s="475">
        <f>IF(OR($AA124=0,$AA124&gt;40),0,INDEX(Overrides!H$47:H$87,$AA124+1,1)*$AA$85+INDEX(Overrides!H$47:H$87,$AA124,1)*$AB$86)</f>
        <v>0</v>
      </c>
      <c r="AH124" s="475">
        <f>IF(OR($AA124=0,$AA124&gt;40),0,INDEX(Overrides!I$47:I$87,$AA124+1,1)*$AA$85+INDEX(Overrides!I$47:I$87,$AA124,1)*$AB$86)</f>
        <v>0</v>
      </c>
      <c r="AI124" s="475">
        <f>IF(OR($AA124=0,$AA124&gt;40),0,INDEX(Overrides!J$47:J$87,$AA124+1,1)*$AA$85+INDEX(Overrides!J$47:J$87,$AA124,1)*$AB$86)</f>
        <v>0</v>
      </c>
      <c r="AJ124" s="93"/>
      <c r="AK124" s="160">
        <f>B124*'Selected Economics'!$I44*'Sensitivity Ranges'!$F$43</f>
        <v>0</v>
      </c>
      <c r="AL124" s="160">
        <f>IF($AA$84=1,AB124,Q124)*'Selected Economics'!$I44*'Sensitivity Ranges'!$F$43</f>
        <v>0</v>
      </c>
      <c r="AM124" s="160">
        <f>IF($AA$84=1,AC124,R124)*'Selected Economics'!$I44*'Sensitivity Ranges'!$F$43</f>
        <v>0</v>
      </c>
      <c r="AN124" s="160">
        <f>IF($AA$84=1,AD124,S124)*'Selected Economics'!$I44*'Sensitivity Ranges'!$F$43</f>
        <v>0</v>
      </c>
      <c r="AO124" s="160">
        <f>IF($AA$84=1,AE124,T124)*'Selected Economics'!$I44*'Sensitivity Ranges'!$F$43</f>
        <v>0</v>
      </c>
      <c r="AP124" s="160">
        <f>IF($AA$84=1,AF124,U124)*'Selected Economics'!$I44*'Sensitivity Ranges'!$F$43</f>
        <v>0</v>
      </c>
      <c r="AQ124" s="160">
        <f>IF($AA$84=1,AG124,V124)*'Selected Economics'!$I44*'Sensitivity Ranges'!$F$43</f>
        <v>0</v>
      </c>
      <c r="AR124" s="160">
        <f>IF($AA$84=1,AH124,W124)*'Selected Economics'!$I44*'Sensitivity Ranges'!$F$43</f>
        <v>0</v>
      </c>
      <c r="AS124" s="160">
        <f>IF($AA$84=1,AI124,X124)*'Selected Economics'!$I44*'Sensitivity Ranges'!$F$43</f>
        <v>0</v>
      </c>
      <c r="AT124" s="160">
        <f t="shared" si="48"/>
        <v>0</v>
      </c>
      <c r="AU124" s="173"/>
      <c r="AV124" s="160">
        <f t="shared" si="54"/>
        <v>0</v>
      </c>
      <c r="AW124" s="160">
        <f>AL124*Abandonment!$H49</f>
        <v>0</v>
      </c>
      <c r="AX124" s="160">
        <f>AM124*Abandonment!$H49</f>
        <v>0</v>
      </c>
      <c r="AY124" s="160">
        <f>AN124*Abandonment!$H49</f>
        <v>0</v>
      </c>
      <c r="AZ124" s="160">
        <f>AO124*Abandonment!$H49</f>
        <v>0</v>
      </c>
      <c r="BA124" s="160">
        <f>AP124*Abandonment!$H49</f>
        <v>0</v>
      </c>
      <c r="BB124" s="160">
        <f>AQ124*Abandonment!$H49</f>
        <v>0</v>
      </c>
      <c r="BC124" s="160">
        <f>AR124*Abandonment!$H49</f>
        <v>0</v>
      </c>
      <c r="BD124" s="160">
        <f>AS124*Abandonment!$H49</f>
        <v>0</v>
      </c>
      <c r="BE124" s="160">
        <f t="shared" si="49"/>
        <v>0</v>
      </c>
      <c r="BF124" s="173"/>
      <c r="BG124" s="160">
        <f>AW124+Exploration!R68</f>
        <v>0</v>
      </c>
      <c r="BH124" s="160">
        <f>AV124+(AX124+AY124+AZ124+IF(Input!$B$15="Shore",0,Development!BA124)+BB124)*(1+'Cost Assumptions'!$O$100)+BC124</f>
        <v>0</v>
      </c>
      <c r="BI124" s="160">
        <f>IF(Input!$B$15="Shore",Development!BA124,0)*(1+'Cost Assumptions'!$O$100)</f>
        <v>0</v>
      </c>
      <c r="BJ124" s="156"/>
      <c r="BK124" s="156"/>
      <c r="BL124" s="160">
        <f t="shared" si="37"/>
        <v>0</v>
      </c>
      <c r="BM124" s="200"/>
      <c r="BN124" s="156"/>
      <c r="BO124" s="160">
        <f t="shared" si="38"/>
        <v>0</v>
      </c>
      <c r="BP124" s="160">
        <f t="shared" si="39"/>
        <v>0</v>
      </c>
      <c r="BQ124" s="160">
        <f t="shared" si="40"/>
        <v>0</v>
      </c>
      <c r="BR124" s="160">
        <f t="shared" si="41"/>
        <v>0</v>
      </c>
      <c r="BS124" s="160">
        <f t="shared" si="42"/>
        <v>0</v>
      </c>
      <c r="BT124" s="160">
        <f t="shared" si="43"/>
        <v>0</v>
      </c>
      <c r="BU124" s="160">
        <f t="shared" si="44"/>
        <v>0</v>
      </c>
      <c r="BV124" s="160">
        <f t="shared" si="45"/>
        <v>0</v>
      </c>
      <c r="BW124" s="160">
        <f t="shared" si="46"/>
        <v>0</v>
      </c>
      <c r="BX124" s="160">
        <f t="shared" si="50"/>
        <v>0</v>
      </c>
      <c r="BY124" s="160"/>
      <c r="BZ124" s="160">
        <f t="shared" si="51"/>
        <v>0</v>
      </c>
    </row>
    <row r="125" spans="1:78">
      <c r="A125" s="140">
        <f t="shared" si="52"/>
        <v>2049</v>
      </c>
      <c r="B125" s="160">
        <f t="shared" si="32"/>
        <v>0</v>
      </c>
      <c r="C125" s="160">
        <f t="shared" si="58"/>
        <v>0</v>
      </c>
      <c r="D125" s="160">
        <f t="shared" si="58"/>
        <v>0</v>
      </c>
      <c r="E125" s="160">
        <f t="shared" si="58"/>
        <v>0</v>
      </c>
      <c r="F125" s="160">
        <f t="shared" si="58"/>
        <v>0</v>
      </c>
      <c r="G125" s="160">
        <f t="shared" si="58"/>
        <v>0</v>
      </c>
      <c r="H125" s="160">
        <f t="shared" si="58"/>
        <v>0</v>
      </c>
      <c r="I125" s="160">
        <f t="shared" si="58"/>
        <v>0</v>
      </c>
      <c r="J125" s="160">
        <f t="shared" si="58"/>
        <v>0</v>
      </c>
      <c r="K125" s="160">
        <f t="shared" si="58"/>
        <v>0</v>
      </c>
      <c r="L125" s="160">
        <f t="shared" si="58"/>
        <v>0</v>
      </c>
      <c r="M125" s="160">
        <f t="shared" si="58"/>
        <v>0</v>
      </c>
      <c r="N125" s="160">
        <f t="shared" si="58"/>
        <v>0</v>
      </c>
      <c r="O125" s="160">
        <f t="shared" si="58"/>
        <v>0</v>
      </c>
      <c r="P125" s="160">
        <f t="shared" si="58"/>
        <v>0</v>
      </c>
      <c r="Q125" s="160">
        <f t="shared" si="47"/>
        <v>0</v>
      </c>
      <c r="R125" s="160">
        <f t="shared" si="57"/>
        <v>0</v>
      </c>
      <c r="S125" s="160">
        <f t="shared" si="57"/>
        <v>0</v>
      </c>
      <c r="T125" s="160">
        <f t="shared" si="57"/>
        <v>0</v>
      </c>
      <c r="U125" s="160">
        <f t="shared" si="57"/>
        <v>0</v>
      </c>
      <c r="V125" s="160">
        <f>'Cost Assumptions'!$O$99*SUM(Development!R125:U125)</f>
        <v>0</v>
      </c>
      <c r="W125" s="160">
        <f t="shared" si="53"/>
        <v>0</v>
      </c>
      <c r="X125" s="160">
        <f>'Cost Assumptions'!$O$100*SUM(Development!R125:V125)</f>
        <v>0</v>
      </c>
      <c r="Y125" s="160">
        <f t="shared" si="35"/>
        <v>0</v>
      </c>
      <c r="Z125" s="173"/>
      <c r="AA125" s="203">
        <f t="shared" si="36"/>
        <v>35</v>
      </c>
      <c r="AB125" s="475">
        <f>IF(OR($AA125=0,$AA125&gt;40),0,INDEX(Overrides!C$47:C$87,$AA125+1,1)*$AA$85+INDEX(Overrides!C$47:C$87,$AA125,1)*$AB$86)</f>
        <v>0</v>
      </c>
      <c r="AC125" s="475">
        <f>IF(OR($AA125=0,$AA125&gt;40),0,INDEX(Overrides!D$47:D$87,$AA125+1,1)*$AA$85+INDEX(Overrides!D$47:D$87,$AA125,1)*$AB$86)</f>
        <v>0</v>
      </c>
      <c r="AD125" s="475">
        <f>IF(OR($AA125=0,$AA125&gt;40),0,INDEX(Overrides!E$47:E$87,$AA125+1,1)*$AA$85+INDEX(Overrides!E$47:E$87,$AA125,1)*$AB$86)</f>
        <v>0</v>
      </c>
      <c r="AE125" s="475">
        <f>IF(OR($AA125=0,$AA125&gt;40),0,INDEX(Overrides!F$47:F$87,$AA125+1,1)*$AA$85+INDEX(Overrides!F$47:F$87,$AA125,1)*$AB$86)</f>
        <v>0</v>
      </c>
      <c r="AF125" s="475">
        <f>IF(OR($AA125=0,$AA125&gt;40),0,INDEX(Overrides!G$47:G$87,$AA125+1,1)*$AA$85+INDEX(Overrides!G$47:G$87,$AA125,1)*$AB$86)</f>
        <v>0</v>
      </c>
      <c r="AG125" s="475">
        <f>IF(OR($AA125=0,$AA125&gt;40),0,INDEX(Overrides!H$47:H$87,$AA125+1,1)*$AA$85+INDEX(Overrides!H$47:H$87,$AA125,1)*$AB$86)</f>
        <v>0</v>
      </c>
      <c r="AH125" s="475">
        <f>IF(OR($AA125=0,$AA125&gt;40),0,INDEX(Overrides!I$47:I$87,$AA125+1,1)*$AA$85+INDEX(Overrides!I$47:I$87,$AA125,1)*$AB$86)</f>
        <v>0</v>
      </c>
      <c r="AI125" s="475">
        <f>IF(OR($AA125=0,$AA125&gt;40),0,INDEX(Overrides!J$47:J$87,$AA125+1,1)*$AA$85+INDEX(Overrides!J$47:J$87,$AA125,1)*$AB$86)</f>
        <v>0</v>
      </c>
      <c r="AJ125" s="93"/>
      <c r="AK125" s="160">
        <f>B125*'Selected Economics'!$I45*'Sensitivity Ranges'!$F$43</f>
        <v>0</v>
      </c>
      <c r="AL125" s="160">
        <f>IF($AA$84=1,AB125,Q125)*'Selected Economics'!$I45*'Sensitivity Ranges'!$F$43</f>
        <v>0</v>
      </c>
      <c r="AM125" s="160">
        <f>IF($AA$84=1,AC125,R125)*'Selected Economics'!$I45*'Sensitivity Ranges'!$F$43</f>
        <v>0</v>
      </c>
      <c r="AN125" s="160">
        <f>IF($AA$84=1,AD125,S125)*'Selected Economics'!$I45*'Sensitivity Ranges'!$F$43</f>
        <v>0</v>
      </c>
      <c r="AO125" s="160">
        <f>IF($AA$84=1,AE125,T125)*'Selected Economics'!$I45*'Sensitivity Ranges'!$F$43</f>
        <v>0</v>
      </c>
      <c r="AP125" s="160">
        <f>IF($AA$84=1,AF125,U125)*'Selected Economics'!$I45*'Sensitivity Ranges'!$F$43</f>
        <v>0</v>
      </c>
      <c r="AQ125" s="160">
        <f>IF($AA$84=1,AG125,V125)*'Selected Economics'!$I45*'Sensitivity Ranges'!$F$43</f>
        <v>0</v>
      </c>
      <c r="AR125" s="160">
        <f>IF($AA$84=1,AH125,W125)*'Selected Economics'!$I45*'Sensitivity Ranges'!$F$43</f>
        <v>0</v>
      </c>
      <c r="AS125" s="160">
        <f>IF($AA$84=1,AI125,X125)*'Selected Economics'!$I45*'Sensitivity Ranges'!$F$43</f>
        <v>0</v>
      </c>
      <c r="AT125" s="160">
        <f t="shared" si="48"/>
        <v>0</v>
      </c>
      <c r="AU125" s="173"/>
      <c r="AV125" s="160">
        <f t="shared" si="54"/>
        <v>0</v>
      </c>
      <c r="AW125" s="160">
        <f>AL125*Abandonment!$H50</f>
        <v>0</v>
      </c>
      <c r="AX125" s="160">
        <f>AM125*Abandonment!$H50</f>
        <v>0</v>
      </c>
      <c r="AY125" s="160">
        <f>AN125*Abandonment!$H50</f>
        <v>0</v>
      </c>
      <c r="AZ125" s="160">
        <f>AO125*Abandonment!$H50</f>
        <v>0</v>
      </c>
      <c r="BA125" s="160">
        <f>AP125*Abandonment!$H50</f>
        <v>0</v>
      </c>
      <c r="BB125" s="160">
        <f>AQ125*Abandonment!$H50</f>
        <v>0</v>
      </c>
      <c r="BC125" s="160">
        <f>AR125*Abandonment!$H50</f>
        <v>0</v>
      </c>
      <c r="BD125" s="160">
        <f>AS125*Abandonment!$H50</f>
        <v>0</v>
      </c>
      <c r="BE125" s="160">
        <f t="shared" si="49"/>
        <v>0</v>
      </c>
      <c r="BF125" s="173"/>
      <c r="BG125" s="160">
        <f>AW125+Exploration!R69</f>
        <v>0</v>
      </c>
      <c r="BH125" s="160">
        <f>AV125+(AX125+AY125+AZ125+IF(Input!$B$15="Shore",0,Development!BA125)+BB125)*(1+'Cost Assumptions'!$O$100)+BC125</f>
        <v>0</v>
      </c>
      <c r="BI125" s="160">
        <f>IF(Input!$B$15="Shore",Development!BA125,0)*(1+'Cost Assumptions'!$O$100)</f>
        <v>0</v>
      </c>
      <c r="BJ125" s="156"/>
      <c r="BK125" s="156"/>
      <c r="BL125" s="160">
        <f t="shared" si="37"/>
        <v>0</v>
      </c>
      <c r="BM125" s="200"/>
      <c r="BN125" s="156"/>
      <c r="BO125" s="160">
        <f t="shared" si="38"/>
        <v>0</v>
      </c>
      <c r="BP125" s="160">
        <f t="shared" si="39"/>
        <v>0</v>
      </c>
      <c r="BQ125" s="160">
        <f t="shared" si="40"/>
        <v>0</v>
      </c>
      <c r="BR125" s="160">
        <f t="shared" si="41"/>
        <v>0</v>
      </c>
      <c r="BS125" s="160">
        <f t="shared" si="42"/>
        <v>0</v>
      </c>
      <c r="BT125" s="160">
        <f t="shared" si="43"/>
        <v>0</v>
      </c>
      <c r="BU125" s="160">
        <f t="shared" si="44"/>
        <v>0</v>
      </c>
      <c r="BV125" s="160">
        <f t="shared" si="45"/>
        <v>0</v>
      </c>
      <c r="BW125" s="160">
        <f t="shared" si="46"/>
        <v>0</v>
      </c>
      <c r="BX125" s="160">
        <f t="shared" si="50"/>
        <v>0</v>
      </c>
      <c r="BY125" s="160"/>
      <c r="BZ125" s="160">
        <f t="shared" si="51"/>
        <v>0</v>
      </c>
    </row>
    <row r="126" spans="1:78">
      <c r="A126" s="140">
        <f t="shared" si="52"/>
        <v>2050</v>
      </c>
      <c r="B126" s="160">
        <f t="shared" si="32"/>
        <v>0</v>
      </c>
      <c r="C126" s="160">
        <f t="shared" si="58"/>
        <v>0</v>
      </c>
      <c r="D126" s="160">
        <f t="shared" si="58"/>
        <v>0</v>
      </c>
      <c r="E126" s="160">
        <f t="shared" si="58"/>
        <v>0</v>
      </c>
      <c r="F126" s="160">
        <f t="shared" si="58"/>
        <v>0</v>
      </c>
      <c r="G126" s="160">
        <f t="shared" si="58"/>
        <v>0</v>
      </c>
      <c r="H126" s="160">
        <f t="shared" si="58"/>
        <v>0</v>
      </c>
      <c r="I126" s="160">
        <f t="shared" si="58"/>
        <v>0</v>
      </c>
      <c r="J126" s="160">
        <f t="shared" si="58"/>
        <v>0</v>
      </c>
      <c r="K126" s="160">
        <f t="shared" si="58"/>
        <v>0</v>
      </c>
      <c r="L126" s="160">
        <f t="shared" si="58"/>
        <v>0</v>
      </c>
      <c r="M126" s="160">
        <f t="shared" si="58"/>
        <v>0</v>
      </c>
      <c r="N126" s="160">
        <f t="shared" si="58"/>
        <v>0</v>
      </c>
      <c r="O126" s="160">
        <f t="shared" si="58"/>
        <v>0</v>
      </c>
      <c r="P126" s="160">
        <f t="shared" si="58"/>
        <v>0</v>
      </c>
      <c r="Q126" s="160">
        <f t="shared" si="47"/>
        <v>0</v>
      </c>
      <c r="R126" s="160">
        <f t="shared" si="57"/>
        <v>0</v>
      </c>
      <c r="S126" s="160">
        <f t="shared" si="57"/>
        <v>0</v>
      </c>
      <c r="T126" s="160">
        <f t="shared" si="57"/>
        <v>0</v>
      </c>
      <c r="U126" s="160">
        <f t="shared" si="57"/>
        <v>0</v>
      </c>
      <c r="V126" s="160">
        <f>'Cost Assumptions'!$O$99*SUM(Development!R126:U126)</f>
        <v>0</v>
      </c>
      <c r="W126" s="160">
        <f t="shared" si="53"/>
        <v>0</v>
      </c>
      <c r="X126" s="160">
        <f>'Cost Assumptions'!$O$100*SUM(Development!R126:V126)</f>
        <v>0</v>
      </c>
      <c r="Y126" s="160">
        <f t="shared" si="35"/>
        <v>0</v>
      </c>
      <c r="Z126" s="173"/>
      <c r="AA126" s="203">
        <f t="shared" si="36"/>
        <v>36</v>
      </c>
      <c r="AB126" s="475">
        <f>IF(OR($AA126=0,$AA126&gt;40),0,INDEX(Overrides!C$47:C$87,$AA126+1,1)*$AA$85+INDEX(Overrides!C$47:C$87,$AA126,1)*$AB$86)</f>
        <v>0</v>
      </c>
      <c r="AC126" s="475">
        <f>IF(OR($AA126=0,$AA126&gt;40),0,INDEX(Overrides!D$47:D$87,$AA126+1,1)*$AA$85+INDEX(Overrides!D$47:D$87,$AA126,1)*$AB$86)</f>
        <v>0</v>
      </c>
      <c r="AD126" s="475">
        <f>IF(OR($AA126=0,$AA126&gt;40),0,INDEX(Overrides!E$47:E$87,$AA126+1,1)*$AA$85+INDEX(Overrides!E$47:E$87,$AA126,1)*$AB$86)</f>
        <v>0</v>
      </c>
      <c r="AE126" s="475">
        <f>IF(OR($AA126=0,$AA126&gt;40),0,INDEX(Overrides!F$47:F$87,$AA126+1,1)*$AA$85+INDEX(Overrides!F$47:F$87,$AA126,1)*$AB$86)</f>
        <v>0</v>
      </c>
      <c r="AF126" s="475">
        <f>IF(OR($AA126=0,$AA126&gt;40),0,INDEX(Overrides!G$47:G$87,$AA126+1,1)*$AA$85+INDEX(Overrides!G$47:G$87,$AA126,1)*$AB$86)</f>
        <v>0</v>
      </c>
      <c r="AG126" s="475">
        <f>IF(OR($AA126=0,$AA126&gt;40),0,INDEX(Overrides!H$47:H$87,$AA126+1,1)*$AA$85+INDEX(Overrides!H$47:H$87,$AA126,1)*$AB$86)</f>
        <v>0</v>
      </c>
      <c r="AH126" s="475">
        <f>IF(OR($AA126=0,$AA126&gt;40),0,INDEX(Overrides!I$47:I$87,$AA126+1,1)*$AA$85+INDEX(Overrides!I$47:I$87,$AA126,1)*$AB$86)</f>
        <v>0</v>
      </c>
      <c r="AI126" s="475">
        <f>IF(OR($AA126=0,$AA126&gt;40),0,INDEX(Overrides!J$47:J$87,$AA126+1,1)*$AA$85+INDEX(Overrides!J$47:J$87,$AA126,1)*$AB$86)</f>
        <v>0</v>
      </c>
      <c r="AJ126" s="93"/>
      <c r="AK126" s="160">
        <f>B126*'Selected Economics'!$I46*'Sensitivity Ranges'!$F$43</f>
        <v>0</v>
      </c>
      <c r="AL126" s="160">
        <f>IF($AA$84=1,AB126,Q126)*'Selected Economics'!$I46*'Sensitivity Ranges'!$F$43</f>
        <v>0</v>
      </c>
      <c r="AM126" s="160">
        <f>IF($AA$84=1,AC126,R126)*'Selected Economics'!$I46*'Sensitivity Ranges'!$F$43</f>
        <v>0</v>
      </c>
      <c r="AN126" s="160">
        <f>IF($AA$84=1,AD126,S126)*'Selected Economics'!$I46*'Sensitivity Ranges'!$F$43</f>
        <v>0</v>
      </c>
      <c r="AO126" s="160">
        <f>IF($AA$84=1,AE126,T126)*'Selected Economics'!$I46*'Sensitivity Ranges'!$F$43</f>
        <v>0</v>
      </c>
      <c r="AP126" s="160">
        <f>IF($AA$84=1,AF126,U126)*'Selected Economics'!$I46*'Sensitivity Ranges'!$F$43</f>
        <v>0</v>
      </c>
      <c r="AQ126" s="160">
        <f>IF($AA$84=1,AG126,V126)*'Selected Economics'!$I46*'Sensitivity Ranges'!$F$43</f>
        <v>0</v>
      </c>
      <c r="AR126" s="160">
        <f>IF($AA$84=1,AH126,W126)*'Selected Economics'!$I46*'Sensitivity Ranges'!$F$43</f>
        <v>0</v>
      </c>
      <c r="AS126" s="160">
        <f>IF($AA$84=1,AI126,X126)*'Selected Economics'!$I46*'Sensitivity Ranges'!$F$43</f>
        <v>0</v>
      </c>
      <c r="AT126" s="160">
        <f t="shared" si="48"/>
        <v>0</v>
      </c>
      <c r="AU126" s="173"/>
      <c r="AV126" s="160">
        <f t="shared" si="54"/>
        <v>0</v>
      </c>
      <c r="AW126" s="160">
        <f>AL126*Abandonment!$H51</f>
        <v>0</v>
      </c>
      <c r="AX126" s="160">
        <f>AM126*Abandonment!$H51</f>
        <v>0</v>
      </c>
      <c r="AY126" s="160">
        <f>AN126*Abandonment!$H51</f>
        <v>0</v>
      </c>
      <c r="AZ126" s="160">
        <f>AO126*Abandonment!$H51</f>
        <v>0</v>
      </c>
      <c r="BA126" s="160">
        <f>AP126*Abandonment!$H51</f>
        <v>0</v>
      </c>
      <c r="BB126" s="160">
        <f>AQ126*Abandonment!$H51</f>
        <v>0</v>
      </c>
      <c r="BC126" s="160">
        <f>AR126*Abandonment!$H51</f>
        <v>0</v>
      </c>
      <c r="BD126" s="160">
        <f>AS126*Abandonment!$H51</f>
        <v>0</v>
      </c>
      <c r="BE126" s="160">
        <f t="shared" si="49"/>
        <v>0</v>
      </c>
      <c r="BF126" s="173"/>
      <c r="BG126" s="160">
        <f>AW126+Exploration!R70</f>
        <v>0</v>
      </c>
      <c r="BH126" s="160">
        <f>AV126+(AX126+AY126+AZ126+IF(Input!$B$15="Shore",0,Development!BA126)+BB126)*(1+'Cost Assumptions'!$O$100)+BC126</f>
        <v>0</v>
      </c>
      <c r="BI126" s="160">
        <f>IF(Input!$B$15="Shore",Development!BA126,0)*(1+'Cost Assumptions'!$O$100)</f>
        <v>0</v>
      </c>
      <c r="BJ126" s="156"/>
      <c r="BK126" s="156"/>
      <c r="BL126" s="160">
        <f t="shared" si="37"/>
        <v>0</v>
      </c>
      <c r="BM126" s="200"/>
      <c r="BN126" s="156"/>
      <c r="BO126" s="160">
        <f t="shared" si="38"/>
        <v>0</v>
      </c>
      <c r="BP126" s="160">
        <f t="shared" si="39"/>
        <v>0</v>
      </c>
      <c r="BQ126" s="160">
        <f t="shared" si="40"/>
        <v>0</v>
      </c>
      <c r="BR126" s="160">
        <f t="shared" si="41"/>
        <v>0</v>
      </c>
      <c r="BS126" s="160">
        <f t="shared" si="42"/>
        <v>0</v>
      </c>
      <c r="BT126" s="160">
        <f t="shared" si="43"/>
        <v>0</v>
      </c>
      <c r="BU126" s="160">
        <f t="shared" si="44"/>
        <v>0</v>
      </c>
      <c r="BV126" s="160">
        <f t="shared" si="45"/>
        <v>0</v>
      </c>
      <c r="BW126" s="160">
        <f t="shared" si="46"/>
        <v>0</v>
      </c>
      <c r="BX126" s="160">
        <f t="shared" si="50"/>
        <v>0</v>
      </c>
      <c r="BY126" s="160"/>
      <c r="BZ126" s="160">
        <f t="shared" si="51"/>
        <v>0</v>
      </c>
    </row>
    <row r="127" spans="1:78">
      <c r="A127" s="140">
        <f t="shared" si="52"/>
        <v>2051</v>
      </c>
      <c r="B127" s="160">
        <f t="shared" si="32"/>
        <v>0</v>
      </c>
      <c r="C127" s="160">
        <f t="shared" si="58"/>
        <v>0</v>
      </c>
      <c r="D127" s="160">
        <f t="shared" si="58"/>
        <v>0</v>
      </c>
      <c r="E127" s="160">
        <f t="shared" si="58"/>
        <v>0</v>
      </c>
      <c r="F127" s="160">
        <f t="shared" si="58"/>
        <v>0</v>
      </c>
      <c r="G127" s="160">
        <f t="shared" si="58"/>
        <v>0</v>
      </c>
      <c r="H127" s="160">
        <f t="shared" si="58"/>
        <v>0</v>
      </c>
      <c r="I127" s="160">
        <f t="shared" si="58"/>
        <v>0</v>
      </c>
      <c r="J127" s="160">
        <f t="shared" si="58"/>
        <v>0</v>
      </c>
      <c r="K127" s="160">
        <f t="shared" si="58"/>
        <v>0</v>
      </c>
      <c r="L127" s="160">
        <f t="shared" si="58"/>
        <v>0</v>
      </c>
      <c r="M127" s="160">
        <f t="shared" si="58"/>
        <v>0</v>
      </c>
      <c r="N127" s="160">
        <f t="shared" si="58"/>
        <v>0</v>
      </c>
      <c r="O127" s="160">
        <f t="shared" si="58"/>
        <v>0</v>
      </c>
      <c r="P127" s="160">
        <f t="shared" si="58"/>
        <v>0</v>
      </c>
      <c r="Q127" s="160">
        <f t="shared" si="47"/>
        <v>0</v>
      </c>
      <c r="R127" s="160">
        <f t="shared" si="57"/>
        <v>0</v>
      </c>
      <c r="S127" s="160">
        <f t="shared" si="57"/>
        <v>0</v>
      </c>
      <c r="T127" s="160">
        <f t="shared" si="57"/>
        <v>0</v>
      </c>
      <c r="U127" s="160">
        <f t="shared" si="57"/>
        <v>0</v>
      </c>
      <c r="V127" s="160">
        <f>'Cost Assumptions'!$O$99*SUM(Development!R127:U127)</f>
        <v>0</v>
      </c>
      <c r="W127" s="160">
        <f t="shared" si="53"/>
        <v>0</v>
      </c>
      <c r="X127" s="160">
        <f>'Cost Assumptions'!$O$100*SUM(Development!R127:V127)</f>
        <v>0</v>
      </c>
      <c r="Y127" s="160">
        <f t="shared" si="35"/>
        <v>0</v>
      </c>
      <c r="Z127" s="173"/>
      <c r="AA127" s="203">
        <f t="shared" si="36"/>
        <v>37</v>
      </c>
      <c r="AB127" s="475">
        <f>IF(OR($AA127=0,$AA127&gt;40),0,INDEX(Overrides!C$47:C$87,$AA127+1,1)*$AA$85+INDEX(Overrides!C$47:C$87,$AA127,1)*$AB$86)</f>
        <v>0</v>
      </c>
      <c r="AC127" s="475">
        <f>IF(OR($AA127=0,$AA127&gt;40),0,INDEX(Overrides!D$47:D$87,$AA127+1,1)*$AA$85+INDEX(Overrides!D$47:D$87,$AA127,1)*$AB$86)</f>
        <v>0</v>
      </c>
      <c r="AD127" s="475">
        <f>IF(OR($AA127=0,$AA127&gt;40),0,INDEX(Overrides!E$47:E$87,$AA127+1,1)*$AA$85+INDEX(Overrides!E$47:E$87,$AA127,1)*$AB$86)</f>
        <v>0</v>
      </c>
      <c r="AE127" s="475">
        <f>IF(OR($AA127=0,$AA127&gt;40),0,INDEX(Overrides!F$47:F$87,$AA127+1,1)*$AA$85+INDEX(Overrides!F$47:F$87,$AA127,1)*$AB$86)</f>
        <v>0</v>
      </c>
      <c r="AF127" s="475">
        <f>IF(OR($AA127=0,$AA127&gt;40),0,INDEX(Overrides!G$47:G$87,$AA127+1,1)*$AA$85+INDEX(Overrides!G$47:G$87,$AA127,1)*$AB$86)</f>
        <v>0</v>
      </c>
      <c r="AG127" s="475">
        <f>IF(OR($AA127=0,$AA127&gt;40),0,INDEX(Overrides!H$47:H$87,$AA127+1,1)*$AA$85+INDEX(Overrides!H$47:H$87,$AA127,1)*$AB$86)</f>
        <v>0</v>
      </c>
      <c r="AH127" s="475">
        <f>IF(OR($AA127=0,$AA127&gt;40),0,INDEX(Overrides!I$47:I$87,$AA127+1,1)*$AA$85+INDEX(Overrides!I$47:I$87,$AA127,1)*$AB$86)</f>
        <v>0</v>
      </c>
      <c r="AI127" s="475">
        <f>IF(OR($AA127=0,$AA127&gt;40),0,INDEX(Overrides!J$47:J$87,$AA127+1,1)*$AA$85+INDEX(Overrides!J$47:J$87,$AA127,1)*$AB$86)</f>
        <v>0</v>
      </c>
      <c r="AJ127" s="93"/>
      <c r="AK127" s="160">
        <f>B127*'Selected Economics'!$I47*'Sensitivity Ranges'!$F$43</f>
        <v>0</v>
      </c>
      <c r="AL127" s="160">
        <f>IF($AA$84=1,AB127,Q127)*'Selected Economics'!$I47*'Sensitivity Ranges'!$F$43</f>
        <v>0</v>
      </c>
      <c r="AM127" s="160">
        <f>IF($AA$84=1,AC127,R127)*'Selected Economics'!$I47*'Sensitivity Ranges'!$F$43</f>
        <v>0</v>
      </c>
      <c r="AN127" s="160">
        <f>IF($AA$84=1,AD127,S127)*'Selected Economics'!$I47*'Sensitivity Ranges'!$F$43</f>
        <v>0</v>
      </c>
      <c r="AO127" s="160">
        <f>IF($AA$84=1,AE127,T127)*'Selected Economics'!$I47*'Sensitivity Ranges'!$F$43</f>
        <v>0</v>
      </c>
      <c r="AP127" s="160">
        <f>IF($AA$84=1,AF127,U127)*'Selected Economics'!$I47*'Sensitivity Ranges'!$F$43</f>
        <v>0</v>
      </c>
      <c r="AQ127" s="160">
        <f>IF($AA$84=1,AG127,V127)*'Selected Economics'!$I47*'Sensitivity Ranges'!$F$43</f>
        <v>0</v>
      </c>
      <c r="AR127" s="160">
        <f>IF($AA$84=1,AH127,W127)*'Selected Economics'!$I47*'Sensitivity Ranges'!$F$43</f>
        <v>0</v>
      </c>
      <c r="AS127" s="160">
        <f>IF($AA$84=1,AI127,X127)*'Selected Economics'!$I47*'Sensitivity Ranges'!$F$43</f>
        <v>0</v>
      </c>
      <c r="AT127" s="160">
        <f t="shared" si="48"/>
        <v>0</v>
      </c>
      <c r="AU127" s="173"/>
      <c r="AV127" s="160">
        <f t="shared" si="54"/>
        <v>0</v>
      </c>
      <c r="AW127" s="160">
        <f>AL127*Abandonment!$H52</f>
        <v>0</v>
      </c>
      <c r="AX127" s="160">
        <f>AM127*Abandonment!$H52</f>
        <v>0</v>
      </c>
      <c r="AY127" s="160">
        <f>AN127*Abandonment!$H52</f>
        <v>0</v>
      </c>
      <c r="AZ127" s="160">
        <f>AO127*Abandonment!$H52</f>
        <v>0</v>
      </c>
      <c r="BA127" s="160">
        <f>AP127*Abandonment!$H52</f>
        <v>0</v>
      </c>
      <c r="BB127" s="160">
        <f>AQ127*Abandonment!$H52</f>
        <v>0</v>
      </c>
      <c r="BC127" s="160">
        <f>AR127*Abandonment!$H52</f>
        <v>0</v>
      </c>
      <c r="BD127" s="160">
        <f>AS127*Abandonment!$H52</f>
        <v>0</v>
      </c>
      <c r="BE127" s="160">
        <f t="shared" si="49"/>
        <v>0</v>
      </c>
      <c r="BF127" s="173"/>
      <c r="BG127" s="160">
        <f>AW127+Exploration!R71</f>
        <v>0</v>
      </c>
      <c r="BH127" s="160">
        <f>AV127+(AX127+AY127+AZ127+IF(Input!$B$15="Shore",0,Development!BA127)+BB127)*(1+'Cost Assumptions'!$O$100)+BC127</f>
        <v>0</v>
      </c>
      <c r="BI127" s="160">
        <f>IF(Input!$B$15="Shore",Development!BA127,0)*(1+'Cost Assumptions'!$O$100)</f>
        <v>0</v>
      </c>
      <c r="BJ127" s="156"/>
      <c r="BK127" s="156"/>
      <c r="BL127" s="160">
        <f t="shared" si="37"/>
        <v>0</v>
      </c>
      <c r="BM127" s="200"/>
      <c r="BN127" s="156"/>
      <c r="BO127" s="160">
        <f t="shared" si="38"/>
        <v>0</v>
      </c>
      <c r="BP127" s="160">
        <f t="shared" si="39"/>
        <v>0</v>
      </c>
      <c r="BQ127" s="160">
        <f t="shared" si="40"/>
        <v>0</v>
      </c>
      <c r="BR127" s="160">
        <f t="shared" si="41"/>
        <v>0</v>
      </c>
      <c r="BS127" s="160">
        <f t="shared" si="42"/>
        <v>0</v>
      </c>
      <c r="BT127" s="160">
        <f t="shared" si="43"/>
        <v>0</v>
      </c>
      <c r="BU127" s="160">
        <f t="shared" si="44"/>
        <v>0</v>
      </c>
      <c r="BV127" s="160">
        <f t="shared" si="45"/>
        <v>0</v>
      </c>
      <c r="BW127" s="160">
        <f t="shared" si="46"/>
        <v>0</v>
      </c>
      <c r="BX127" s="160">
        <f t="shared" si="50"/>
        <v>0</v>
      </c>
      <c r="BY127" s="160"/>
      <c r="BZ127" s="160">
        <f t="shared" si="51"/>
        <v>0</v>
      </c>
    </row>
    <row r="128" spans="1:78">
      <c r="A128" s="140">
        <f t="shared" si="52"/>
        <v>2052</v>
      </c>
      <c r="B128" s="160">
        <f t="shared" si="32"/>
        <v>0</v>
      </c>
      <c r="C128" s="160">
        <f t="shared" si="58"/>
        <v>0</v>
      </c>
      <c r="D128" s="160">
        <f t="shared" si="58"/>
        <v>0</v>
      </c>
      <c r="E128" s="160">
        <f t="shared" si="58"/>
        <v>0</v>
      </c>
      <c r="F128" s="160">
        <f t="shared" si="58"/>
        <v>0</v>
      </c>
      <c r="G128" s="160">
        <f t="shared" si="58"/>
        <v>0</v>
      </c>
      <c r="H128" s="160">
        <f t="shared" si="58"/>
        <v>0</v>
      </c>
      <c r="I128" s="160">
        <f t="shared" si="58"/>
        <v>0</v>
      </c>
      <c r="J128" s="160">
        <f t="shared" si="58"/>
        <v>0</v>
      </c>
      <c r="K128" s="160">
        <f t="shared" si="58"/>
        <v>0</v>
      </c>
      <c r="L128" s="160">
        <f t="shared" si="58"/>
        <v>0</v>
      </c>
      <c r="M128" s="160">
        <f t="shared" si="58"/>
        <v>0</v>
      </c>
      <c r="N128" s="160">
        <f t="shared" si="58"/>
        <v>0</v>
      </c>
      <c r="O128" s="160">
        <f t="shared" si="58"/>
        <v>0</v>
      </c>
      <c r="P128" s="160">
        <f t="shared" si="58"/>
        <v>0</v>
      </c>
      <c r="Q128" s="160">
        <f t="shared" si="47"/>
        <v>0</v>
      </c>
      <c r="R128" s="160">
        <f t="shared" si="57"/>
        <v>0</v>
      </c>
      <c r="S128" s="160">
        <f t="shared" si="57"/>
        <v>0</v>
      </c>
      <c r="T128" s="160">
        <f t="shared" si="57"/>
        <v>0</v>
      </c>
      <c r="U128" s="160">
        <f t="shared" si="57"/>
        <v>0</v>
      </c>
      <c r="V128" s="160">
        <f>'Cost Assumptions'!$O$99*SUM(Development!R128:U128)</f>
        <v>0</v>
      </c>
      <c r="W128" s="160">
        <f t="shared" si="53"/>
        <v>0</v>
      </c>
      <c r="X128" s="160">
        <f>'Cost Assumptions'!$O$100*SUM(Development!R128:V128)</f>
        <v>0</v>
      </c>
      <c r="Y128" s="160">
        <f t="shared" si="35"/>
        <v>0</v>
      </c>
      <c r="Z128" s="173"/>
      <c r="AA128" s="203">
        <f t="shared" si="36"/>
        <v>38</v>
      </c>
      <c r="AB128" s="475">
        <f>IF(OR($AA128=0,$AA128&gt;40),0,INDEX(Overrides!C$47:C$87,$AA128+1,1)*$AA$85+INDEX(Overrides!C$47:C$87,$AA128,1)*$AB$86)</f>
        <v>0</v>
      </c>
      <c r="AC128" s="475">
        <f>IF(OR($AA128=0,$AA128&gt;40),0,INDEX(Overrides!D$47:D$87,$AA128+1,1)*$AA$85+INDEX(Overrides!D$47:D$87,$AA128,1)*$AB$86)</f>
        <v>0</v>
      </c>
      <c r="AD128" s="475">
        <f>IF(OR($AA128=0,$AA128&gt;40),0,INDEX(Overrides!E$47:E$87,$AA128+1,1)*$AA$85+INDEX(Overrides!E$47:E$87,$AA128,1)*$AB$86)</f>
        <v>0</v>
      </c>
      <c r="AE128" s="475">
        <f>IF(OR($AA128=0,$AA128&gt;40),0,INDEX(Overrides!F$47:F$87,$AA128+1,1)*$AA$85+INDEX(Overrides!F$47:F$87,$AA128,1)*$AB$86)</f>
        <v>0</v>
      </c>
      <c r="AF128" s="475">
        <f>IF(OR($AA128=0,$AA128&gt;40),0,INDEX(Overrides!G$47:G$87,$AA128+1,1)*$AA$85+INDEX(Overrides!G$47:G$87,$AA128,1)*$AB$86)</f>
        <v>0</v>
      </c>
      <c r="AG128" s="475">
        <f>IF(OR($AA128=0,$AA128&gt;40),0,INDEX(Overrides!H$47:H$87,$AA128+1,1)*$AA$85+INDEX(Overrides!H$47:H$87,$AA128,1)*$AB$86)</f>
        <v>0</v>
      </c>
      <c r="AH128" s="475">
        <f>IF(OR($AA128=0,$AA128&gt;40),0,INDEX(Overrides!I$47:I$87,$AA128+1,1)*$AA$85+INDEX(Overrides!I$47:I$87,$AA128,1)*$AB$86)</f>
        <v>0</v>
      </c>
      <c r="AI128" s="475">
        <f>IF(OR($AA128=0,$AA128&gt;40),0,INDEX(Overrides!J$47:J$87,$AA128+1,1)*$AA$85+INDEX(Overrides!J$47:J$87,$AA128,1)*$AB$86)</f>
        <v>0</v>
      </c>
      <c r="AJ128" s="93"/>
      <c r="AK128" s="160">
        <f>B128*'Selected Economics'!$I48*'Sensitivity Ranges'!$F$43</f>
        <v>0</v>
      </c>
      <c r="AL128" s="160">
        <f>IF($AA$84=1,AB128,Q128)*'Selected Economics'!$I48*'Sensitivity Ranges'!$F$43</f>
        <v>0</v>
      </c>
      <c r="AM128" s="160">
        <f>IF($AA$84=1,AC128,R128)*'Selected Economics'!$I48*'Sensitivity Ranges'!$F$43</f>
        <v>0</v>
      </c>
      <c r="AN128" s="160">
        <f>IF($AA$84=1,AD128,S128)*'Selected Economics'!$I48*'Sensitivity Ranges'!$F$43</f>
        <v>0</v>
      </c>
      <c r="AO128" s="160">
        <f>IF($AA$84=1,AE128,T128)*'Selected Economics'!$I48*'Sensitivity Ranges'!$F$43</f>
        <v>0</v>
      </c>
      <c r="AP128" s="160">
        <f>IF($AA$84=1,AF128,U128)*'Selected Economics'!$I48*'Sensitivity Ranges'!$F$43</f>
        <v>0</v>
      </c>
      <c r="AQ128" s="160">
        <f>IF($AA$84=1,AG128,V128)*'Selected Economics'!$I48*'Sensitivity Ranges'!$F$43</f>
        <v>0</v>
      </c>
      <c r="AR128" s="160">
        <f>IF($AA$84=1,AH128,W128)*'Selected Economics'!$I48*'Sensitivity Ranges'!$F$43</f>
        <v>0</v>
      </c>
      <c r="AS128" s="160">
        <f>IF($AA$84=1,AI128,X128)*'Selected Economics'!$I48*'Sensitivity Ranges'!$F$43</f>
        <v>0</v>
      </c>
      <c r="AT128" s="160">
        <f t="shared" si="48"/>
        <v>0</v>
      </c>
      <c r="AU128" s="173"/>
      <c r="AV128" s="160">
        <f t="shared" si="54"/>
        <v>0</v>
      </c>
      <c r="AW128" s="160">
        <f>AL128*Abandonment!$H53</f>
        <v>0</v>
      </c>
      <c r="AX128" s="160">
        <f>AM128*Abandonment!$H53</f>
        <v>0</v>
      </c>
      <c r="AY128" s="160">
        <f>AN128*Abandonment!$H53</f>
        <v>0</v>
      </c>
      <c r="AZ128" s="160">
        <f>AO128*Abandonment!$H53</f>
        <v>0</v>
      </c>
      <c r="BA128" s="160">
        <f>AP128*Abandonment!$H53</f>
        <v>0</v>
      </c>
      <c r="BB128" s="160">
        <f>AQ128*Abandonment!$H53</f>
        <v>0</v>
      </c>
      <c r="BC128" s="160">
        <f>AR128*Abandonment!$H53</f>
        <v>0</v>
      </c>
      <c r="BD128" s="160">
        <f>AS128*Abandonment!$H53</f>
        <v>0</v>
      </c>
      <c r="BE128" s="160">
        <f t="shared" si="49"/>
        <v>0</v>
      </c>
      <c r="BF128" s="173"/>
      <c r="BG128" s="160">
        <f>AW128+Exploration!R72</f>
        <v>0</v>
      </c>
      <c r="BH128" s="160">
        <f>AV128+(AX128+AY128+AZ128+IF(Input!$B$15="Shore",0,Development!BA128)+BB128)*(1+'Cost Assumptions'!$O$100)+BC128</f>
        <v>0</v>
      </c>
      <c r="BI128" s="160">
        <f>IF(Input!$B$15="Shore",Development!BA128,0)*(1+'Cost Assumptions'!$O$100)</f>
        <v>0</v>
      </c>
      <c r="BJ128" s="156"/>
      <c r="BK128" s="156"/>
      <c r="BL128" s="160">
        <f t="shared" si="37"/>
        <v>0</v>
      </c>
      <c r="BM128" s="200"/>
      <c r="BN128" s="156"/>
      <c r="BO128" s="160">
        <f t="shared" si="38"/>
        <v>0</v>
      </c>
      <c r="BP128" s="160">
        <f t="shared" si="39"/>
        <v>0</v>
      </c>
      <c r="BQ128" s="160">
        <f t="shared" si="40"/>
        <v>0</v>
      </c>
      <c r="BR128" s="160">
        <f t="shared" si="41"/>
        <v>0</v>
      </c>
      <c r="BS128" s="160">
        <f t="shared" si="42"/>
        <v>0</v>
      </c>
      <c r="BT128" s="160">
        <f t="shared" si="43"/>
        <v>0</v>
      </c>
      <c r="BU128" s="160">
        <f t="shared" si="44"/>
        <v>0</v>
      </c>
      <c r="BV128" s="160">
        <f t="shared" si="45"/>
        <v>0</v>
      </c>
      <c r="BW128" s="160">
        <f t="shared" si="46"/>
        <v>0</v>
      </c>
      <c r="BX128" s="160">
        <f t="shared" si="50"/>
        <v>0</v>
      </c>
      <c r="BY128" s="160"/>
      <c r="BZ128" s="160">
        <f t="shared" si="51"/>
        <v>0</v>
      </c>
    </row>
    <row r="129" spans="1:78">
      <c r="A129" s="140">
        <f t="shared" si="52"/>
        <v>2053</v>
      </c>
      <c r="B129" s="160">
        <f t="shared" si="32"/>
        <v>0</v>
      </c>
      <c r="C129" s="160">
        <f t="shared" si="58"/>
        <v>0</v>
      </c>
      <c r="D129" s="160">
        <f t="shared" si="58"/>
        <v>0</v>
      </c>
      <c r="E129" s="160">
        <f t="shared" si="58"/>
        <v>0</v>
      </c>
      <c r="F129" s="160">
        <f t="shared" si="58"/>
        <v>0</v>
      </c>
      <c r="G129" s="160">
        <f t="shared" si="58"/>
        <v>0</v>
      </c>
      <c r="H129" s="160">
        <f t="shared" si="58"/>
        <v>0</v>
      </c>
      <c r="I129" s="160">
        <f t="shared" si="58"/>
        <v>0</v>
      </c>
      <c r="J129" s="160">
        <f t="shared" si="58"/>
        <v>0</v>
      </c>
      <c r="K129" s="160">
        <f t="shared" si="58"/>
        <v>0</v>
      </c>
      <c r="L129" s="160">
        <f t="shared" si="58"/>
        <v>0</v>
      </c>
      <c r="M129" s="160">
        <f t="shared" si="58"/>
        <v>0</v>
      </c>
      <c r="N129" s="160">
        <f t="shared" si="58"/>
        <v>0</v>
      </c>
      <c r="O129" s="160">
        <f t="shared" si="58"/>
        <v>0</v>
      </c>
      <c r="P129" s="160">
        <f t="shared" si="58"/>
        <v>0</v>
      </c>
      <c r="Q129" s="160">
        <f t="shared" si="47"/>
        <v>0</v>
      </c>
      <c r="R129" s="160">
        <f t="shared" si="57"/>
        <v>0</v>
      </c>
      <c r="S129" s="160">
        <f t="shared" si="57"/>
        <v>0</v>
      </c>
      <c r="T129" s="160">
        <f t="shared" si="57"/>
        <v>0</v>
      </c>
      <c r="U129" s="160">
        <f t="shared" si="57"/>
        <v>0</v>
      </c>
      <c r="V129" s="160">
        <f>'Cost Assumptions'!$O$99*SUM(Development!R129:U129)</f>
        <v>0</v>
      </c>
      <c r="W129" s="160">
        <f t="shared" si="53"/>
        <v>0</v>
      </c>
      <c r="X129" s="160">
        <f>'Cost Assumptions'!$O$100*SUM(Development!R129:V129)</f>
        <v>0</v>
      </c>
      <c r="Y129" s="160">
        <f t="shared" si="35"/>
        <v>0</v>
      </c>
      <c r="Z129" s="173"/>
      <c r="AA129" s="203">
        <f t="shared" si="36"/>
        <v>39</v>
      </c>
      <c r="AB129" s="475">
        <f>IF(OR($AA129=0,$AA129&gt;40),0,INDEX(Overrides!C$47:C$87,$AA129+1,1)*$AA$85+INDEX(Overrides!C$47:C$87,$AA129,1)*$AB$86)</f>
        <v>0</v>
      </c>
      <c r="AC129" s="475">
        <f>IF(OR($AA129=0,$AA129&gt;40),0,INDEX(Overrides!D$47:D$87,$AA129+1,1)*$AA$85+INDEX(Overrides!D$47:D$87,$AA129,1)*$AB$86)</f>
        <v>0</v>
      </c>
      <c r="AD129" s="475">
        <f>IF(OR($AA129=0,$AA129&gt;40),0,INDEX(Overrides!E$47:E$87,$AA129+1,1)*$AA$85+INDEX(Overrides!E$47:E$87,$AA129,1)*$AB$86)</f>
        <v>0</v>
      </c>
      <c r="AE129" s="475">
        <f>IF(OR($AA129=0,$AA129&gt;40),0,INDEX(Overrides!F$47:F$87,$AA129+1,1)*$AA$85+INDEX(Overrides!F$47:F$87,$AA129,1)*$AB$86)</f>
        <v>0</v>
      </c>
      <c r="AF129" s="475">
        <f>IF(OR($AA129=0,$AA129&gt;40),0,INDEX(Overrides!G$47:G$87,$AA129+1,1)*$AA$85+INDEX(Overrides!G$47:G$87,$AA129,1)*$AB$86)</f>
        <v>0</v>
      </c>
      <c r="AG129" s="475">
        <f>IF(OR($AA129=0,$AA129&gt;40),0,INDEX(Overrides!H$47:H$87,$AA129+1,1)*$AA$85+INDEX(Overrides!H$47:H$87,$AA129,1)*$AB$86)</f>
        <v>0</v>
      </c>
      <c r="AH129" s="475">
        <f>IF(OR($AA129=0,$AA129&gt;40),0,INDEX(Overrides!I$47:I$87,$AA129+1,1)*$AA$85+INDEX(Overrides!I$47:I$87,$AA129,1)*$AB$86)</f>
        <v>0</v>
      </c>
      <c r="AI129" s="475">
        <f>IF(OR($AA129=0,$AA129&gt;40),0,INDEX(Overrides!J$47:J$87,$AA129+1,1)*$AA$85+INDEX(Overrides!J$47:J$87,$AA129,1)*$AB$86)</f>
        <v>0</v>
      </c>
      <c r="AJ129" s="93"/>
      <c r="AK129" s="160">
        <f>B129*'Selected Economics'!$I49*'Sensitivity Ranges'!$F$43</f>
        <v>0</v>
      </c>
      <c r="AL129" s="160">
        <f>IF($AA$84=1,AB129,Q129)*'Selected Economics'!$I49*'Sensitivity Ranges'!$F$43</f>
        <v>0</v>
      </c>
      <c r="AM129" s="160">
        <f>IF($AA$84=1,AC129,R129)*'Selected Economics'!$I49*'Sensitivity Ranges'!$F$43</f>
        <v>0</v>
      </c>
      <c r="AN129" s="160">
        <f>IF($AA$84=1,AD129,S129)*'Selected Economics'!$I49*'Sensitivity Ranges'!$F$43</f>
        <v>0</v>
      </c>
      <c r="AO129" s="160">
        <f>IF($AA$84=1,AE129,T129)*'Selected Economics'!$I49*'Sensitivity Ranges'!$F$43</f>
        <v>0</v>
      </c>
      <c r="AP129" s="160">
        <f>IF($AA$84=1,AF129,U129)*'Selected Economics'!$I49*'Sensitivity Ranges'!$F$43</f>
        <v>0</v>
      </c>
      <c r="AQ129" s="160">
        <f>IF($AA$84=1,AG129,V129)*'Selected Economics'!$I49*'Sensitivity Ranges'!$F$43</f>
        <v>0</v>
      </c>
      <c r="AR129" s="160">
        <f>IF($AA$84=1,AH129,W129)*'Selected Economics'!$I49*'Sensitivity Ranges'!$F$43</f>
        <v>0</v>
      </c>
      <c r="AS129" s="160">
        <f>IF($AA$84=1,AI129,X129)*'Selected Economics'!$I49*'Sensitivity Ranges'!$F$43</f>
        <v>0</v>
      </c>
      <c r="AT129" s="160">
        <f t="shared" si="48"/>
        <v>0</v>
      </c>
      <c r="AU129" s="173"/>
      <c r="AV129" s="160">
        <f t="shared" si="54"/>
        <v>0</v>
      </c>
      <c r="AW129" s="160">
        <f>AL129*Abandonment!$H54</f>
        <v>0</v>
      </c>
      <c r="AX129" s="160">
        <f>AM129*Abandonment!$H54</f>
        <v>0</v>
      </c>
      <c r="AY129" s="160">
        <f>AN129*Abandonment!$H54</f>
        <v>0</v>
      </c>
      <c r="AZ129" s="160">
        <f>AO129*Abandonment!$H54</f>
        <v>0</v>
      </c>
      <c r="BA129" s="160">
        <f>AP129*Abandonment!$H54</f>
        <v>0</v>
      </c>
      <c r="BB129" s="160">
        <f>AQ129*Abandonment!$H54</f>
        <v>0</v>
      </c>
      <c r="BC129" s="160">
        <f>AR129*Abandonment!$H54</f>
        <v>0</v>
      </c>
      <c r="BD129" s="160">
        <f>AS129*Abandonment!$H54</f>
        <v>0</v>
      </c>
      <c r="BE129" s="160">
        <f t="shared" si="49"/>
        <v>0</v>
      </c>
      <c r="BF129" s="173"/>
      <c r="BG129" s="160">
        <f>AW129+Exploration!R73</f>
        <v>0</v>
      </c>
      <c r="BH129" s="160">
        <f>AV129+(AX129+AY129+AZ129+IF(Input!$B$15="Shore",0,Development!BA129)+BB129)*(1+'Cost Assumptions'!$O$100)+BC129</f>
        <v>0</v>
      </c>
      <c r="BI129" s="160">
        <f>IF(Input!$B$15="Shore",Development!BA129,0)*(1+'Cost Assumptions'!$O$100)</f>
        <v>0</v>
      </c>
      <c r="BJ129" s="156"/>
      <c r="BK129" s="156"/>
      <c r="BL129" s="160">
        <f t="shared" si="37"/>
        <v>0</v>
      </c>
      <c r="BM129" s="200"/>
      <c r="BN129" s="156"/>
      <c r="BO129" s="160">
        <f t="shared" si="38"/>
        <v>0</v>
      </c>
      <c r="BP129" s="160">
        <f t="shared" si="39"/>
        <v>0</v>
      </c>
      <c r="BQ129" s="160">
        <f t="shared" si="40"/>
        <v>0</v>
      </c>
      <c r="BR129" s="160">
        <f t="shared" si="41"/>
        <v>0</v>
      </c>
      <c r="BS129" s="160">
        <f t="shared" si="42"/>
        <v>0</v>
      </c>
      <c r="BT129" s="160">
        <f t="shared" si="43"/>
        <v>0</v>
      </c>
      <c r="BU129" s="160">
        <f t="shared" si="44"/>
        <v>0</v>
      </c>
      <c r="BV129" s="160">
        <f t="shared" si="45"/>
        <v>0</v>
      </c>
      <c r="BW129" s="160">
        <f t="shared" si="46"/>
        <v>0</v>
      </c>
      <c r="BX129" s="160">
        <f t="shared" si="50"/>
        <v>0</v>
      </c>
      <c r="BY129" s="160"/>
      <c r="BZ129" s="160">
        <f t="shared" si="51"/>
        <v>0</v>
      </c>
    </row>
    <row r="130" spans="1:78">
      <c r="A130" s="148">
        <f t="shared" si="52"/>
        <v>2054</v>
      </c>
      <c r="B130" s="162">
        <f t="shared" si="32"/>
        <v>0</v>
      </c>
      <c r="C130" s="162">
        <f t="shared" si="58"/>
        <v>0</v>
      </c>
      <c r="D130" s="162">
        <f t="shared" si="58"/>
        <v>0</v>
      </c>
      <c r="E130" s="162">
        <f t="shared" si="58"/>
        <v>0</v>
      </c>
      <c r="F130" s="162">
        <f t="shared" si="58"/>
        <v>0</v>
      </c>
      <c r="G130" s="162">
        <f t="shared" si="58"/>
        <v>0</v>
      </c>
      <c r="H130" s="162">
        <f t="shared" si="58"/>
        <v>0</v>
      </c>
      <c r="I130" s="162">
        <f t="shared" si="58"/>
        <v>0</v>
      </c>
      <c r="J130" s="162">
        <f t="shared" si="58"/>
        <v>0</v>
      </c>
      <c r="K130" s="162">
        <f t="shared" si="58"/>
        <v>0</v>
      </c>
      <c r="L130" s="162">
        <f t="shared" si="58"/>
        <v>0</v>
      </c>
      <c r="M130" s="162">
        <f t="shared" si="58"/>
        <v>0</v>
      </c>
      <c r="N130" s="162">
        <f t="shared" si="58"/>
        <v>0</v>
      </c>
      <c r="O130" s="162">
        <f t="shared" si="58"/>
        <v>0</v>
      </c>
      <c r="P130" s="162">
        <f t="shared" si="58"/>
        <v>0</v>
      </c>
      <c r="Q130" s="162">
        <f t="shared" si="47"/>
        <v>0</v>
      </c>
      <c r="R130" s="162">
        <f t="shared" si="57"/>
        <v>0</v>
      </c>
      <c r="S130" s="162">
        <f t="shared" si="57"/>
        <v>0</v>
      </c>
      <c r="T130" s="162">
        <f t="shared" si="57"/>
        <v>0</v>
      </c>
      <c r="U130" s="162">
        <f t="shared" si="57"/>
        <v>0</v>
      </c>
      <c r="V130" s="162">
        <f>'Cost Assumptions'!$O$99*SUM(Development!R130:U130)</f>
        <v>0</v>
      </c>
      <c r="W130" s="162">
        <f t="shared" si="53"/>
        <v>0</v>
      </c>
      <c r="X130" s="162">
        <f>'Cost Assumptions'!$O$100*SUM(Development!R130:V130)</f>
        <v>0</v>
      </c>
      <c r="Y130" s="162">
        <f t="shared" si="35"/>
        <v>0</v>
      </c>
      <c r="Z130" s="173"/>
      <c r="AA130" s="205">
        <f t="shared" si="36"/>
        <v>40</v>
      </c>
      <c r="AB130" s="476">
        <f>IF(OR($AA130=0,$AA130&gt;40),0,INDEX(Overrides!C$47:C$87,$AA130+1,1)*$AA$85+INDEX(Overrides!C$47:C$87,$AA130,1)*$AB$86)</f>
        <v>0</v>
      </c>
      <c r="AC130" s="476">
        <f>IF(OR($AA130=0,$AA130&gt;40),0,INDEX(Overrides!D$47:D$87,$AA130+1,1)*$AA$85+INDEX(Overrides!D$47:D$87,$AA130,1)*$AB$86)</f>
        <v>0</v>
      </c>
      <c r="AD130" s="476">
        <f>IF(OR($AA130=0,$AA130&gt;40),0,INDEX(Overrides!E$47:E$87,$AA130+1,1)*$AA$85+INDEX(Overrides!E$47:E$87,$AA130,1)*$AB$86)</f>
        <v>0</v>
      </c>
      <c r="AE130" s="476">
        <f>IF(OR($AA130=0,$AA130&gt;40),0,INDEX(Overrides!F$47:F$87,$AA130+1,1)*$AA$85+INDEX(Overrides!F$47:F$87,$AA130,1)*$AB$86)</f>
        <v>0</v>
      </c>
      <c r="AF130" s="476">
        <f>IF(OR($AA130=0,$AA130&gt;40),0,INDEX(Overrides!G$47:G$87,$AA130+1,1)*$AA$85+INDEX(Overrides!G$47:G$87,$AA130,1)*$AB$86)</f>
        <v>0</v>
      </c>
      <c r="AG130" s="476">
        <f>IF(OR($AA130=0,$AA130&gt;40),0,INDEX(Overrides!H$47:H$87,$AA130+1,1)*$AA$85+INDEX(Overrides!H$47:H$87,$AA130,1)*$AB$86)</f>
        <v>0</v>
      </c>
      <c r="AH130" s="476">
        <f>IF(OR($AA130=0,$AA130&gt;40),0,INDEX(Overrides!I$47:I$87,$AA130+1,1)*$AA$85+INDEX(Overrides!I$47:I$87,$AA130,1)*$AB$86)</f>
        <v>0</v>
      </c>
      <c r="AI130" s="476">
        <f>IF(OR($AA130=0,$AA130&gt;40),0,INDEX(Overrides!J$47:J$87,$AA130+1,1)*$AA$85+INDEX(Overrides!J$47:J$87,$AA130,1)*$AB$86)</f>
        <v>0</v>
      </c>
      <c r="AJ130" s="93"/>
      <c r="AK130" s="162">
        <f>B130*'Selected Economics'!$I50*'Sensitivity Ranges'!$F$43</f>
        <v>0</v>
      </c>
      <c r="AL130" s="162">
        <f>IF($AA$84=1,AB130,Q130)*'Selected Economics'!$I50*'Sensitivity Ranges'!$F$43</f>
        <v>0</v>
      </c>
      <c r="AM130" s="162">
        <f>IF($AA$84=1,AC130,R130)*'Selected Economics'!$I50*'Sensitivity Ranges'!$F$43</f>
        <v>0</v>
      </c>
      <c r="AN130" s="162">
        <f>IF($AA$84=1,AD130,S130)*'Selected Economics'!$I50*'Sensitivity Ranges'!$F$43</f>
        <v>0</v>
      </c>
      <c r="AO130" s="162">
        <f>IF($AA$84=1,AE130,T130)*'Selected Economics'!$I50*'Sensitivity Ranges'!$F$43</f>
        <v>0</v>
      </c>
      <c r="AP130" s="162">
        <f>IF($AA$84=1,AF130,U130)*'Selected Economics'!$I50*'Sensitivity Ranges'!$F$43</f>
        <v>0</v>
      </c>
      <c r="AQ130" s="162">
        <f>IF($AA$84=1,AG130,V130)*'Selected Economics'!$I50*'Sensitivity Ranges'!$F$43</f>
        <v>0</v>
      </c>
      <c r="AR130" s="162">
        <f>IF($AA$84=1,AH130,W130)*'Selected Economics'!$I50*'Sensitivity Ranges'!$F$43</f>
        <v>0</v>
      </c>
      <c r="AS130" s="162">
        <f>IF($AA$84=1,AI130,X130)*'Selected Economics'!$I50*'Sensitivity Ranges'!$F$43</f>
        <v>0</v>
      </c>
      <c r="AT130" s="162">
        <f t="shared" si="48"/>
        <v>0</v>
      </c>
      <c r="AU130" s="173"/>
      <c r="AV130" s="162">
        <f t="shared" si="54"/>
        <v>0</v>
      </c>
      <c r="AW130" s="162">
        <f>AL130*Abandonment!$H55</f>
        <v>0</v>
      </c>
      <c r="AX130" s="162">
        <f>AM130*Abandonment!$H55</f>
        <v>0</v>
      </c>
      <c r="AY130" s="162">
        <f>AN130*Abandonment!$H55</f>
        <v>0</v>
      </c>
      <c r="AZ130" s="162">
        <f>AO130*Abandonment!$H55</f>
        <v>0</v>
      </c>
      <c r="BA130" s="162">
        <f>AP130*Abandonment!$H55</f>
        <v>0</v>
      </c>
      <c r="BB130" s="162">
        <f>AQ130*Abandonment!$H55</f>
        <v>0</v>
      </c>
      <c r="BC130" s="162">
        <f>AR130*Abandonment!$H55</f>
        <v>0</v>
      </c>
      <c r="BD130" s="162">
        <f>AS130*Abandonment!$H55</f>
        <v>0</v>
      </c>
      <c r="BE130" s="162">
        <f t="shared" si="49"/>
        <v>0</v>
      </c>
      <c r="BF130" s="173"/>
      <c r="BG130" s="162">
        <f>AW130+Exploration!R74</f>
        <v>0</v>
      </c>
      <c r="BH130" s="160">
        <f>AV130+(AX130+AY130+AZ130+IF(Input!$B$15="Shore",0,Development!BA130)+BB130)*(1+'Cost Assumptions'!$O$100)+BC130</f>
        <v>0</v>
      </c>
      <c r="BI130" s="162">
        <f>IF(Input!$B$15="Shore",Development!BA130,0)*(1+'Cost Assumptions'!$O$100)</f>
        <v>0</v>
      </c>
      <c r="BJ130" s="156"/>
      <c r="BK130" s="156"/>
      <c r="BL130" s="162">
        <f t="shared" si="37"/>
        <v>0</v>
      </c>
      <c r="BM130" s="200"/>
      <c r="BN130" s="156"/>
      <c r="BO130" s="162">
        <f t="shared" si="38"/>
        <v>0</v>
      </c>
      <c r="BP130" s="162">
        <f t="shared" si="39"/>
        <v>0</v>
      </c>
      <c r="BQ130" s="162">
        <f t="shared" si="40"/>
        <v>0</v>
      </c>
      <c r="BR130" s="162">
        <f t="shared" si="41"/>
        <v>0</v>
      </c>
      <c r="BS130" s="162">
        <f t="shared" si="42"/>
        <v>0</v>
      </c>
      <c r="BT130" s="162">
        <f t="shared" si="43"/>
        <v>0</v>
      </c>
      <c r="BU130" s="162">
        <f t="shared" si="44"/>
        <v>0</v>
      </c>
      <c r="BV130" s="162">
        <f t="shared" si="45"/>
        <v>0</v>
      </c>
      <c r="BW130" s="162">
        <f t="shared" si="46"/>
        <v>0</v>
      </c>
      <c r="BX130" s="162">
        <f t="shared" si="50"/>
        <v>0</v>
      </c>
      <c r="BY130" s="160"/>
      <c r="BZ130" s="162">
        <f t="shared" si="51"/>
        <v>0</v>
      </c>
    </row>
  </sheetData>
  <mergeCells count="4">
    <mergeCell ref="C13:D13"/>
    <mergeCell ref="E13:F13"/>
    <mergeCell ref="D72:F72"/>
    <mergeCell ref="G72:H72"/>
  </mergeCells>
  <hyperlinks>
    <hyperlink ref="G1" location="Guide" display="Guide"/>
    <hyperlink ref="G2" location="Input" display="Input"/>
  </hyperlinks>
  <pageMargins left="0.7" right="0.7" top="0.75" bottom="0.75" header="0.3" footer="0.3"/>
  <pageSetup paperSize="9" scale="10" orientation="portrait" r:id="rId1"/>
  <headerFooter>
    <oddFooter>&amp;LNova Scotia Exploration Economics Model&amp;Rwww.indeva.com</oddFooter>
  </headerFooter>
  <colBreaks count="1" manualBreakCount="1">
    <brk id="36" max="129"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3" tint="0.79998168889431442"/>
  </sheetPr>
  <dimension ref="A1:BQ117"/>
  <sheetViews>
    <sheetView showGridLines="0" showZeros="0" zoomScale="75" zoomScaleNormal="75" zoomScaleSheetLayoutView="30" workbookViewId="0">
      <pane ySplit="2" topLeftCell="A3" activePane="bottomLeft" state="frozen"/>
      <selection activeCell="D43" sqref="D43"/>
      <selection pane="bottomLeft" activeCell="A3" sqref="A3"/>
    </sheetView>
  </sheetViews>
  <sheetFormatPr defaultRowHeight="14.5"/>
  <cols>
    <col min="1" max="1" width="36" customWidth="1"/>
    <col min="2" max="2" width="12.7265625" customWidth="1"/>
    <col min="3" max="3" width="10.453125" customWidth="1"/>
    <col min="4" max="4" width="11.1796875" customWidth="1"/>
    <col min="5" max="5" width="13.453125" customWidth="1"/>
    <col min="6" max="6" width="11.26953125" customWidth="1"/>
    <col min="7" max="7" width="12.81640625" customWidth="1"/>
    <col min="8" max="8" width="11.1796875" customWidth="1"/>
    <col min="9" max="9" width="12.26953125" bestFit="1" customWidth="1"/>
    <col min="10" max="10" width="12.1796875" customWidth="1"/>
    <col min="11" max="11" width="10.54296875" customWidth="1"/>
    <col min="12" max="12" width="12.1796875" customWidth="1"/>
    <col min="13" max="13" width="11.453125" customWidth="1"/>
    <col min="14" max="14" width="11.81640625" customWidth="1"/>
    <col min="15" max="15" width="12.1796875" customWidth="1"/>
    <col min="18" max="21" width="10.7265625" customWidth="1"/>
    <col min="22" max="22" width="12" customWidth="1"/>
    <col min="23" max="23" width="10.7265625" customWidth="1"/>
    <col min="24" max="24" width="12" customWidth="1"/>
    <col min="25" max="26" width="13.26953125" customWidth="1"/>
    <col min="27" max="27" width="13.26953125" bestFit="1" customWidth="1"/>
    <col min="28" max="28" width="12.1796875" bestFit="1" customWidth="1"/>
    <col min="29" max="29" width="11" bestFit="1" customWidth="1"/>
    <col min="30" max="30" width="11" customWidth="1"/>
    <col min="31" max="31" width="13.26953125" bestFit="1" customWidth="1"/>
    <col min="32" max="32" width="11.81640625" customWidth="1"/>
    <col min="33" max="33" width="11" customWidth="1"/>
    <col min="34" max="34" width="12.1796875" customWidth="1"/>
    <col min="35" max="36" width="11.81640625" customWidth="1"/>
    <col min="37" max="37" width="12.54296875" customWidth="1"/>
    <col min="38" max="39" width="11.81640625" customWidth="1"/>
    <col min="40" max="46" width="11.7265625" customWidth="1"/>
    <col min="47" max="47" width="13.54296875" customWidth="1"/>
    <col min="48" max="48" width="12.7265625" customWidth="1"/>
    <col min="57" max="57" width="11" customWidth="1"/>
    <col min="58" max="58" width="12.453125" customWidth="1"/>
    <col min="59" max="59" width="10.7265625" customWidth="1"/>
    <col min="61" max="61" width="10.1796875" customWidth="1"/>
    <col min="65" max="65" width="12" customWidth="1"/>
    <col min="66" max="66" width="13.54296875" customWidth="1"/>
  </cols>
  <sheetData>
    <row r="1" spans="1:69" ht="18.5">
      <c r="A1" s="207" t="str">
        <f>Input!B8</f>
        <v>Prospect X</v>
      </c>
      <c r="B1" s="208" t="s">
        <v>310</v>
      </c>
      <c r="C1" s="209"/>
      <c r="D1" s="209"/>
      <c r="E1" s="209"/>
      <c r="F1" s="143" t="s">
        <v>768</v>
      </c>
      <c r="G1" s="209"/>
      <c r="H1" s="209"/>
      <c r="I1" s="209"/>
      <c r="J1" s="209"/>
      <c r="K1" s="209"/>
      <c r="L1" s="209"/>
      <c r="M1" s="209"/>
      <c r="N1" s="209"/>
      <c r="O1" s="209"/>
      <c r="P1" s="209"/>
      <c r="Q1" s="209"/>
      <c r="R1" s="209"/>
      <c r="S1" s="209"/>
      <c r="T1" s="209"/>
      <c r="U1" s="209"/>
      <c r="V1" s="209"/>
      <c r="W1" s="209"/>
      <c r="X1" s="209"/>
      <c r="Y1" s="209"/>
      <c r="Z1" s="209"/>
      <c r="AA1" s="209"/>
      <c r="AB1" s="209"/>
      <c r="AC1" s="209"/>
      <c r="AD1" s="209"/>
      <c r="AE1" s="209"/>
      <c r="AF1" s="209"/>
      <c r="AG1" s="209"/>
      <c r="AH1" s="209"/>
      <c r="AI1" s="209"/>
      <c r="AJ1" s="209"/>
      <c r="AK1" s="209"/>
      <c r="AL1" s="209"/>
      <c r="AM1" s="209"/>
      <c r="AN1" s="209"/>
      <c r="AO1" s="210"/>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row>
    <row r="2" spans="1:69" ht="18.5">
      <c r="A2" s="211"/>
      <c r="B2" s="169"/>
      <c r="C2" s="169"/>
      <c r="D2" s="169"/>
      <c r="E2" s="169"/>
      <c r="F2" s="143" t="s">
        <v>143</v>
      </c>
      <c r="G2" s="169"/>
      <c r="H2" s="169"/>
      <c r="I2" s="169"/>
      <c r="J2" s="169"/>
      <c r="K2" s="169"/>
      <c r="L2" s="169"/>
      <c r="M2" s="169"/>
      <c r="N2" s="169"/>
      <c r="O2" s="169"/>
      <c r="P2" s="169"/>
      <c r="Q2" s="169"/>
      <c r="R2" s="169"/>
      <c r="S2" s="169"/>
      <c r="T2" s="169"/>
      <c r="U2" s="169"/>
      <c r="V2" s="169"/>
      <c r="W2" s="169"/>
      <c r="X2" s="169"/>
      <c r="Y2" s="169"/>
      <c r="Z2" s="169"/>
      <c r="AA2" s="169"/>
      <c r="AB2" s="169"/>
      <c r="AC2" s="169"/>
      <c r="AD2" s="169"/>
      <c r="AE2" s="169"/>
      <c r="AF2" s="169"/>
      <c r="AG2" s="169"/>
      <c r="AH2" s="169"/>
      <c r="AI2" s="169"/>
      <c r="AJ2" s="169"/>
      <c r="AK2" s="169"/>
      <c r="AL2" s="169"/>
      <c r="AM2" s="169"/>
      <c r="AN2" s="169"/>
      <c r="AO2" s="212"/>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row>
    <row r="3" spans="1:69">
      <c r="A3" s="161" t="s">
        <v>311</v>
      </c>
      <c r="B3" s="213">
        <f>Development!B57</f>
        <v>42815</v>
      </c>
      <c r="C3" s="161"/>
      <c r="D3" s="93"/>
      <c r="E3" s="93"/>
      <c r="F3" s="93"/>
      <c r="G3" s="93"/>
      <c r="H3" s="93"/>
      <c r="I3" s="93"/>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row>
    <row r="4" spans="1:69">
      <c r="A4" s="134" t="s">
        <v>312</v>
      </c>
      <c r="B4" s="134">
        <f>YEAR(prod_year)</f>
        <v>2017</v>
      </c>
      <c r="C4" s="134"/>
      <c r="D4" s="93"/>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row>
    <row r="5" spans="1:69">
      <c r="A5" s="134" t="s">
        <v>313</v>
      </c>
      <c r="B5" s="134">
        <f>MONTH(prod_year)</f>
        <v>3</v>
      </c>
      <c r="C5" s="134"/>
      <c r="D5" s="93"/>
      <c r="E5" s="93"/>
      <c r="F5" s="93"/>
      <c r="G5" s="93"/>
      <c r="H5" s="93"/>
      <c r="I5" s="93"/>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row>
    <row r="6" spans="1:69">
      <c r="A6" s="134" t="s">
        <v>111</v>
      </c>
      <c r="B6" s="134">
        <f>Thresholds!E2</f>
        <v>290</v>
      </c>
      <c r="C6" s="134" t="str">
        <f>IF(Input!B11="Gas","bcf","mmbbl")</f>
        <v>mmbbl</v>
      </c>
      <c r="D6" s="93"/>
      <c r="E6" s="93"/>
      <c r="F6" s="93"/>
      <c r="G6" s="93"/>
      <c r="H6" s="93"/>
      <c r="I6" s="93"/>
      <c r="J6" s="93"/>
      <c r="K6" s="93"/>
      <c r="L6" s="93"/>
      <c r="M6" s="93"/>
      <c r="N6" s="93"/>
      <c r="O6" s="93"/>
      <c r="P6" s="93"/>
      <c r="Q6" s="93"/>
      <c r="R6" s="93"/>
      <c r="S6" s="93"/>
      <c r="T6" s="93"/>
      <c r="U6" s="93"/>
      <c r="V6" s="93"/>
      <c r="W6" s="93"/>
      <c r="X6" s="93"/>
      <c r="Y6" s="93"/>
      <c r="Z6" s="93"/>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row>
    <row r="7" spans="1:69">
      <c r="A7" s="134" t="s">
        <v>314</v>
      </c>
      <c r="B7" s="152">
        <f>MAX(0,(Development!B59-Development!B57)*(IF(Input!B11="Gas",'Sched &amp; Prod Assumptions'!C23,'Sched &amp; Prod Assumptions'!C22)-Development!G37)/(1-Development!G37))</f>
        <v>93.846153846153157</v>
      </c>
      <c r="C7" s="134" t="s">
        <v>315</v>
      </c>
      <c r="D7" s="93"/>
      <c r="E7" s="93"/>
      <c r="F7" s="93"/>
      <c r="G7" s="93"/>
      <c r="H7" s="93"/>
      <c r="I7" s="93"/>
      <c r="J7" s="93"/>
      <c r="K7" s="93"/>
      <c r="L7" s="93"/>
      <c r="M7" s="93"/>
      <c r="N7" s="93"/>
      <c r="O7" s="93"/>
      <c r="P7" s="214"/>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row>
    <row r="8" spans="1:69">
      <c r="A8" s="134" t="s">
        <v>316</v>
      </c>
      <c r="B8" s="152">
        <f>IF(OR(B7=0,B14=0),0,-B9/B14+(B9^2+2*B14*B12*1000)^0.5/B14)</f>
        <v>645.53015362689473</v>
      </c>
      <c r="C8" s="134" t="s">
        <v>315</v>
      </c>
      <c r="D8" s="174"/>
      <c r="E8" s="93"/>
      <c r="F8" s="93"/>
      <c r="G8" s="93"/>
      <c r="H8" s="93"/>
      <c r="I8" s="93"/>
      <c r="J8" s="93"/>
      <c r="K8" s="93"/>
      <c r="L8" s="93"/>
      <c r="M8" s="93"/>
      <c r="N8" s="93"/>
      <c r="O8" s="93"/>
      <c r="P8" s="214"/>
      <c r="Q8" s="93"/>
      <c r="R8" s="93"/>
      <c r="S8" s="93"/>
      <c r="T8" s="93"/>
      <c r="U8" s="93"/>
      <c r="V8" s="93"/>
      <c r="W8" s="93"/>
      <c r="X8" s="93"/>
      <c r="Y8" s="93"/>
      <c r="Z8" s="93"/>
      <c r="AA8" s="93"/>
      <c r="AB8" s="93"/>
      <c r="AC8" s="93"/>
      <c r="AD8" s="93"/>
      <c r="AE8" s="93"/>
      <c r="AF8" s="93"/>
      <c r="AG8" s="93"/>
      <c r="AH8" s="93"/>
      <c r="AI8" s="93"/>
      <c r="AJ8" s="93"/>
      <c r="AK8" s="93"/>
      <c r="AL8" s="93"/>
      <c r="AM8" s="93"/>
      <c r="AN8" s="93"/>
      <c r="AO8" s="93"/>
      <c r="AP8" s="93"/>
      <c r="AQ8" s="93"/>
      <c r="AR8" s="93"/>
      <c r="AS8" s="93"/>
      <c r="AT8" s="93"/>
      <c r="AU8" s="93"/>
      <c r="AV8" s="93"/>
      <c r="AW8" s="93"/>
      <c r="AX8" s="93"/>
      <c r="AY8" s="93"/>
      <c r="AZ8" s="93"/>
      <c r="BA8" s="93"/>
      <c r="BB8" s="93"/>
      <c r="BC8" s="93"/>
      <c r="BD8" s="93"/>
      <c r="BE8" s="93"/>
      <c r="BF8" s="93"/>
      <c r="BG8" s="93"/>
      <c r="BH8" s="93"/>
      <c r="BI8" s="93"/>
      <c r="BJ8" s="93"/>
      <c r="BK8" s="93"/>
      <c r="BL8" s="93"/>
      <c r="BM8" s="93"/>
      <c r="BN8" s="93"/>
      <c r="BO8" s="93"/>
      <c r="BP8" s="93"/>
      <c r="BQ8" s="93"/>
    </row>
    <row r="9" spans="1:69">
      <c r="A9" s="134" t="s">
        <v>317</v>
      </c>
      <c r="B9" s="182">
        <f>B10*Development!B58/Development!B15</f>
        <v>38.356164383561641</v>
      </c>
      <c r="C9" s="134" t="str">
        <f>IF(Input!B11="Gas","MMSCFD","MBOPD")</f>
        <v>MBOPD</v>
      </c>
      <c r="D9" s="93"/>
      <c r="E9" s="93"/>
      <c r="F9" s="93"/>
      <c r="G9" s="93"/>
      <c r="H9" s="93"/>
      <c r="I9" s="93"/>
      <c r="J9" s="93"/>
      <c r="K9" s="93"/>
      <c r="L9" s="93"/>
      <c r="M9" s="93"/>
      <c r="N9" s="93"/>
      <c r="O9" s="93"/>
      <c r="P9" s="214"/>
      <c r="Q9" s="93"/>
      <c r="R9" s="93"/>
      <c r="S9" s="93"/>
      <c r="T9" s="93"/>
      <c r="U9" s="93"/>
      <c r="V9" s="93"/>
      <c r="W9" s="93"/>
      <c r="X9" s="93"/>
      <c r="Y9" s="93"/>
      <c r="Z9" s="93"/>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row>
    <row r="10" spans="1:69">
      <c r="A10" s="134" t="s">
        <v>318</v>
      </c>
      <c r="B10" s="182">
        <f>VLOOKUP(B6,IF(Input!B11="gas",'Sched &amp; Prod Assumptions'!A7:D13,'Sched &amp; Prod Assumptions'!F7:I13),2)*1000/365*B6</f>
        <v>79.452054794520549</v>
      </c>
      <c r="C10" s="134" t="str">
        <f>C9</f>
        <v>MBOPD</v>
      </c>
      <c r="D10" s="93"/>
      <c r="E10" s="93"/>
      <c r="F10" s="93"/>
      <c r="G10" s="93"/>
      <c r="H10" s="93"/>
      <c r="I10" s="93"/>
      <c r="J10" s="93"/>
      <c r="K10" s="93"/>
      <c r="L10" s="93"/>
      <c r="M10" s="93"/>
      <c r="N10" s="93"/>
      <c r="O10" s="93"/>
      <c r="P10" s="93"/>
      <c r="Q10" s="93"/>
      <c r="R10" s="93"/>
      <c r="S10" s="93"/>
      <c r="T10" s="93"/>
      <c r="U10" s="93"/>
      <c r="V10" s="93"/>
      <c r="W10" s="93"/>
      <c r="X10" s="93"/>
      <c r="Y10" s="93"/>
      <c r="Z10" s="93"/>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row>
    <row r="11" spans="1:69">
      <c r="A11" s="134" t="s">
        <v>319</v>
      </c>
      <c r="B11" s="182">
        <f>IF(B8&lt;B7,B9+B14*B8,B10)</f>
        <v>79.452054794520549</v>
      </c>
      <c r="C11" s="134"/>
      <c r="D11" s="93"/>
      <c r="E11" s="93"/>
      <c r="F11" s="93"/>
      <c r="G11" s="93"/>
      <c r="H11" s="93"/>
      <c r="I11" s="93"/>
      <c r="J11" s="93"/>
      <c r="K11" s="93"/>
      <c r="L11" s="93"/>
      <c r="M11" s="93"/>
      <c r="N11" s="93"/>
      <c r="O11" s="93"/>
      <c r="P11" s="93"/>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row>
    <row r="12" spans="1:69">
      <c r="A12" s="134" t="s">
        <v>320</v>
      </c>
      <c r="B12" s="182">
        <f>VLOOKUP(B6,IF(Input!B11="gas",'Sched &amp; Prod Assumptions'!A7:D13,'Sched &amp; Prod Assumptions'!F7:I13),3)*B6</f>
        <v>116</v>
      </c>
      <c r="C12" s="134" t="str">
        <f>C6</f>
        <v>mmbbl</v>
      </c>
      <c r="D12" s="93"/>
      <c r="E12" s="93"/>
      <c r="F12" s="93"/>
      <c r="G12" s="93"/>
      <c r="H12" s="93"/>
      <c r="I12" s="93"/>
      <c r="J12" s="93"/>
      <c r="K12" s="93"/>
      <c r="L12" s="93"/>
      <c r="M12" s="93"/>
      <c r="N12" s="93"/>
      <c r="O12" s="93"/>
      <c r="P12" s="93"/>
      <c r="Q12" s="93"/>
      <c r="R12" s="93"/>
      <c r="S12" s="93"/>
      <c r="T12" s="93"/>
      <c r="U12" s="93"/>
      <c r="V12" s="93"/>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row>
    <row r="13" spans="1:69">
      <c r="A13" s="134" t="s">
        <v>321</v>
      </c>
      <c r="B13" s="147">
        <f>VLOOKUP(B6,IF(Input!B11="gas",'Sched &amp; Prod Assumptions'!A7:D13,'Sched &amp; Prod Assumptions'!F7:I13),4)*B11/B10</f>
        <v>0.15</v>
      </c>
      <c r="C13" s="134"/>
      <c r="D13" s="93"/>
      <c r="E13" s="93"/>
      <c r="F13" s="93"/>
      <c r="G13" s="93"/>
      <c r="H13" s="93"/>
      <c r="I13" s="93"/>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row>
    <row r="14" spans="1:69">
      <c r="A14" s="134" t="s">
        <v>322</v>
      </c>
      <c r="B14" s="215">
        <f>IF(B7=0,0,(B10-B9)/B7)</f>
        <v>0.4379070289692375</v>
      </c>
      <c r="C14" s="134" t="str">
        <f>IF(Input!B11="Gas","MMSCFD/D","MBOPD/D")</f>
        <v>MBOPD/D</v>
      </c>
      <c r="D14" s="93"/>
      <c r="E14" s="216"/>
      <c r="F14" s="93"/>
      <c r="G14" s="93"/>
      <c r="H14" s="93"/>
      <c r="I14" s="93"/>
      <c r="J14" s="93"/>
      <c r="K14" s="93"/>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c r="AN14" s="93"/>
      <c r="AO14" s="93"/>
      <c r="AP14" s="93"/>
      <c r="AQ14" s="93"/>
      <c r="AR14" s="93"/>
      <c r="AS14" s="93"/>
      <c r="AT14" s="93"/>
      <c r="AU14" s="93"/>
      <c r="AV14" s="93"/>
      <c r="AW14" s="93"/>
      <c r="AX14" s="93"/>
      <c r="AY14" s="93"/>
      <c r="AZ14" s="93"/>
      <c r="BA14" s="93"/>
      <c r="BB14" s="93"/>
      <c r="BC14" s="93"/>
      <c r="BD14" s="93"/>
      <c r="BE14" s="93"/>
      <c r="BF14" s="93"/>
      <c r="BG14" s="93"/>
      <c r="BH14" s="93"/>
      <c r="BI14" s="93"/>
      <c r="BJ14" s="93"/>
      <c r="BK14" s="93"/>
      <c r="BL14" s="93"/>
      <c r="BM14" s="93"/>
      <c r="BN14" s="93"/>
      <c r="BO14" s="93"/>
      <c r="BP14" s="93"/>
      <c r="BQ14" s="93"/>
    </row>
    <row r="15" spans="1:69">
      <c r="A15" s="134" t="s">
        <v>323</v>
      </c>
      <c r="B15" s="215">
        <f>-LN(1-B13)/365</f>
        <v>4.4525734108979433E-4</v>
      </c>
      <c r="C15" s="134"/>
      <c r="D15" s="93"/>
      <c r="E15" s="93"/>
      <c r="F15" s="93"/>
      <c r="G15" s="93"/>
      <c r="H15" s="93"/>
      <c r="I15" s="93"/>
      <c r="J15" s="93"/>
      <c r="K15" s="93"/>
      <c r="L15" s="93"/>
      <c r="M15" s="93"/>
      <c r="N15" s="93"/>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row>
    <row r="16" spans="1:69">
      <c r="A16" s="134" t="s">
        <v>324</v>
      </c>
      <c r="B16" s="152">
        <f>-LN(1-(B6-C22)*B15*1000/B11)/B15</f>
        <v>8295.0521954071864</v>
      </c>
      <c r="C16" s="134"/>
      <c r="D16" s="93"/>
      <c r="E16" s="93"/>
      <c r="F16" s="93"/>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93"/>
      <c r="BN16" s="93"/>
      <c r="BO16" s="93"/>
      <c r="BP16" s="93"/>
      <c r="BQ16" s="93"/>
    </row>
    <row r="17" spans="1:69">
      <c r="A17" s="167"/>
      <c r="B17" s="217"/>
      <c r="C17" s="167"/>
      <c r="D17" s="93"/>
      <c r="E17" s="93"/>
      <c r="F17" s="93"/>
      <c r="G17" s="93"/>
      <c r="H17" s="93"/>
      <c r="I17" s="93"/>
      <c r="J17" s="93"/>
      <c r="K17" s="93"/>
      <c r="L17" s="93"/>
      <c r="M17" s="93"/>
      <c r="N17" s="93"/>
      <c r="O17" s="93"/>
      <c r="P17" s="93"/>
      <c r="Q17" s="93"/>
      <c r="R17" s="93"/>
      <c r="S17" s="93"/>
      <c r="T17" s="93"/>
      <c r="U17" s="93"/>
      <c r="V17" s="93"/>
      <c r="W17" s="93"/>
      <c r="X17" s="93"/>
      <c r="Y17" s="93"/>
      <c r="Z17" s="93"/>
      <c r="AA17" s="93"/>
      <c r="AB17" s="93"/>
      <c r="AC17" s="93"/>
      <c r="AD17" s="93"/>
      <c r="AE17" s="93"/>
      <c r="AF17" s="93"/>
      <c r="AG17" s="93"/>
      <c r="AH17" s="93"/>
      <c r="AI17" s="93"/>
      <c r="AJ17" s="93"/>
      <c r="AK17" s="93"/>
      <c r="AL17" s="93"/>
      <c r="AM17" s="93"/>
      <c r="AN17" s="93"/>
      <c r="AO17" s="93"/>
      <c r="AP17" s="93"/>
      <c r="AQ17" s="93"/>
      <c r="AR17" s="93"/>
      <c r="AS17" s="93"/>
      <c r="AT17" s="93"/>
      <c r="AU17" s="93"/>
      <c r="AV17" s="93"/>
      <c r="AW17" s="93"/>
      <c r="AX17" s="93"/>
      <c r="AY17" s="93"/>
      <c r="AZ17" s="93"/>
      <c r="BA17" s="93"/>
      <c r="BB17" s="93"/>
      <c r="BC17" s="93"/>
      <c r="BD17" s="93"/>
      <c r="BE17" s="93"/>
      <c r="BF17" s="93"/>
      <c r="BG17" s="93"/>
      <c r="BH17" s="93"/>
      <c r="BI17" s="93"/>
      <c r="BJ17" s="93"/>
      <c r="BK17" s="93"/>
      <c r="BL17" s="93"/>
      <c r="BM17" s="93"/>
      <c r="BN17" s="93"/>
      <c r="BO17" s="93"/>
      <c r="BP17" s="93"/>
      <c r="BQ17" s="93"/>
    </row>
    <row r="18" spans="1:69">
      <c r="A18" s="93"/>
      <c r="B18" s="139" t="s">
        <v>325</v>
      </c>
      <c r="C18" s="139" t="s">
        <v>27</v>
      </c>
      <c r="D18" s="139" t="s">
        <v>14</v>
      </c>
      <c r="E18" s="93"/>
      <c r="F18" s="93"/>
      <c r="G18" s="93"/>
      <c r="H18" s="93"/>
      <c r="I18" s="93"/>
      <c r="J18" s="93"/>
      <c r="K18" s="93"/>
      <c r="L18" s="93"/>
      <c r="M18" s="93"/>
      <c r="N18" s="93"/>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93"/>
      <c r="AU18" s="93"/>
      <c r="AV18" s="93"/>
      <c r="AW18" s="93"/>
      <c r="AX18" s="93"/>
      <c r="AY18" s="93"/>
      <c r="AZ18" s="93"/>
      <c r="BA18" s="93"/>
      <c r="BB18" s="93"/>
      <c r="BC18" s="93"/>
      <c r="BD18" s="93"/>
      <c r="BE18" s="93"/>
      <c r="BF18" s="93"/>
      <c r="BG18" s="93"/>
      <c r="BH18" s="93"/>
      <c r="BI18" s="93"/>
      <c r="BJ18" s="93"/>
      <c r="BK18" s="93"/>
      <c r="BL18" s="93"/>
      <c r="BM18" s="93"/>
      <c r="BN18" s="93"/>
      <c r="BO18" s="93"/>
      <c r="BP18" s="93"/>
      <c r="BQ18" s="93"/>
    </row>
    <row r="19" spans="1:69">
      <c r="A19" s="93"/>
      <c r="B19" s="148"/>
      <c r="C19" s="148" t="str">
        <f>C6</f>
        <v>mmbbl</v>
      </c>
      <c r="D19" s="148"/>
      <c r="E19" s="93"/>
      <c r="F19" s="93"/>
      <c r="G19" s="93"/>
      <c r="H19" s="93"/>
      <c r="I19" s="93"/>
      <c r="J19" s="93"/>
      <c r="K19" s="93"/>
      <c r="L19" s="93"/>
      <c r="M19" s="93"/>
      <c r="N19" s="93"/>
      <c r="O19" s="93"/>
      <c r="P19" s="93"/>
      <c r="Q19" s="93"/>
      <c r="R19" s="93"/>
      <c r="S19" s="93"/>
      <c r="T19" s="93"/>
      <c r="U19" s="93"/>
      <c r="V19" s="93"/>
      <c r="W19" s="93"/>
      <c r="X19" s="93"/>
      <c r="Y19" s="93"/>
      <c r="Z19" s="93"/>
      <c r="AA19" s="93"/>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row>
    <row r="20" spans="1:69">
      <c r="A20" s="134" t="s">
        <v>264</v>
      </c>
      <c r="B20" s="171">
        <f>prod_year</f>
        <v>42815</v>
      </c>
      <c r="C20" s="152">
        <v>0</v>
      </c>
      <c r="D20" s="134">
        <f>YEAR(B20)</f>
        <v>2017</v>
      </c>
      <c r="E20" s="93"/>
      <c r="F20" s="93"/>
      <c r="G20" s="93"/>
      <c r="H20" s="93"/>
      <c r="I20" s="93"/>
      <c r="J20" s="93"/>
      <c r="K20" s="93"/>
      <c r="L20" s="93"/>
      <c r="M20" s="93"/>
      <c r="N20" s="93"/>
      <c r="O20" s="93"/>
      <c r="P20" s="93"/>
      <c r="Q20" s="93"/>
      <c r="R20" s="93"/>
      <c r="S20" s="134" t="s">
        <v>296</v>
      </c>
      <c r="T20" s="134">
        <f>IF(Overrides!C38=Lists!A37,1,0)</f>
        <v>0</v>
      </c>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row>
    <row r="21" spans="1:69">
      <c r="A21" s="134" t="s">
        <v>327</v>
      </c>
      <c r="B21" s="171">
        <f>B20+MIN(B7,B8)</f>
        <v>42908.846153846156</v>
      </c>
      <c r="C21" s="152">
        <f>MIN(B12,(B9+B10)/2*B7/1000)</f>
        <v>5.5279241306638163</v>
      </c>
      <c r="D21" s="134">
        <f>YEAR(B21)</f>
        <v>2017</v>
      </c>
      <c r="E21" s="93"/>
      <c r="F21" s="93"/>
      <c r="G21" s="93"/>
      <c r="H21" s="93"/>
      <c r="I21" s="93"/>
      <c r="J21" s="93"/>
      <c r="K21" s="93"/>
      <c r="L21" s="93"/>
      <c r="M21" s="93"/>
      <c r="N21" s="93"/>
      <c r="O21" s="93"/>
      <c r="P21" s="93"/>
      <c r="Q21" s="93"/>
      <c r="R21" s="93"/>
      <c r="S21" s="93"/>
      <c r="T21" s="218">
        <f>Development!AA85</f>
        <v>1</v>
      </c>
      <c r="U21" s="93"/>
      <c r="V21" s="93"/>
      <c r="W21" s="93"/>
      <c r="X21" s="93"/>
      <c r="Y21" s="93"/>
      <c r="Z21" s="93"/>
      <c r="AA21" s="93"/>
      <c r="AB21" s="93"/>
      <c r="AC21" s="93"/>
      <c r="AD21" s="93"/>
      <c r="AE21" s="93"/>
      <c r="AF21" s="93"/>
      <c r="AG21" s="93"/>
      <c r="AH21" s="93"/>
      <c r="AI21" s="93"/>
      <c r="AJ21" s="93"/>
      <c r="AK21" s="93"/>
      <c r="AL21" s="93"/>
      <c r="AM21" s="93"/>
      <c r="AN21" s="93"/>
      <c r="AO21" s="93"/>
      <c r="AP21" s="93"/>
      <c r="AQ21" s="93"/>
      <c r="AR21" s="93"/>
      <c r="AS21" s="93"/>
      <c r="AT21" s="93"/>
      <c r="AU21" s="93"/>
      <c r="AV21" s="93"/>
      <c r="AW21" s="93"/>
      <c r="AX21" s="93"/>
      <c r="AY21" s="93"/>
      <c r="AZ21" s="93"/>
      <c r="BA21" s="93"/>
      <c r="BB21" s="93"/>
      <c r="BC21" s="93"/>
      <c r="BD21" s="93"/>
      <c r="BE21" s="93"/>
      <c r="BF21" s="93"/>
      <c r="BG21" s="93"/>
      <c r="BH21" s="93"/>
      <c r="BI21" s="93"/>
      <c r="BJ21" s="93"/>
      <c r="BK21" s="93"/>
      <c r="BL21" s="93"/>
      <c r="BM21" s="93"/>
      <c r="BN21" s="93"/>
      <c r="BO21" s="93"/>
      <c r="BP21" s="93"/>
      <c r="BQ21" s="93"/>
    </row>
    <row r="22" spans="1:69">
      <c r="A22" s="134" t="s">
        <v>328</v>
      </c>
      <c r="B22" s="171">
        <f>MAX(B21,B21+(B12-C21)/B10*1000)</f>
        <v>44299.27055702918</v>
      </c>
      <c r="C22" s="152">
        <f>B12</f>
        <v>116</v>
      </c>
      <c r="D22" s="134">
        <f>YEAR(B22)</f>
        <v>2021</v>
      </c>
      <c r="E22" s="93"/>
      <c r="F22" s="93"/>
      <c r="G22" s="93"/>
      <c r="H22" s="93"/>
      <c r="I22" s="93"/>
      <c r="J22" s="93"/>
      <c r="K22" s="93"/>
      <c r="L22" s="93"/>
      <c r="M22" s="93"/>
      <c r="N22" s="93"/>
      <c r="O22" s="93"/>
      <c r="P22" s="93"/>
      <c r="Q22" s="93"/>
      <c r="R22" s="93"/>
      <c r="S22" s="93"/>
      <c r="T22" s="219">
        <f>1-T21</f>
        <v>0</v>
      </c>
      <c r="U22" s="93"/>
      <c r="V22" s="93"/>
      <c r="W22" s="93"/>
      <c r="X22" s="93"/>
      <c r="Y22" s="93"/>
      <c r="Z22" s="93"/>
      <c r="AA22" s="93"/>
      <c r="AB22" s="93"/>
      <c r="AC22" s="93"/>
      <c r="AD22" s="93"/>
      <c r="AE22" s="93"/>
      <c r="AF22" s="93"/>
      <c r="AG22" s="93"/>
      <c r="AH22" s="93"/>
      <c r="AI22" s="93"/>
      <c r="AJ22" s="93"/>
      <c r="AK22" s="93"/>
      <c r="AL22" s="93"/>
      <c r="AM22" s="93"/>
      <c r="AN22" s="93"/>
      <c r="AO22" s="93"/>
      <c r="AP22" s="93"/>
      <c r="AQ22" s="93"/>
      <c r="AR22" s="93"/>
      <c r="AS22" s="93"/>
      <c r="AT22" s="93"/>
      <c r="AU22" s="93"/>
      <c r="AV22" s="93"/>
      <c r="AW22" s="93"/>
      <c r="AX22" s="93"/>
      <c r="AY22" s="93"/>
      <c r="AZ22" s="93"/>
      <c r="BA22" s="93"/>
      <c r="BB22" s="93"/>
      <c r="BC22" s="93"/>
      <c r="BD22" s="93"/>
      <c r="BE22" s="93"/>
      <c r="BF22" s="93"/>
      <c r="BG22" s="93"/>
      <c r="BH22" s="93"/>
      <c r="BI22" s="93"/>
      <c r="BJ22" s="93"/>
      <c r="BK22" s="93"/>
      <c r="BL22" s="93"/>
      <c r="BM22" s="93"/>
      <c r="BN22" s="93"/>
      <c r="BO22" s="93"/>
      <c r="BP22" s="93"/>
      <c r="BQ22" s="93"/>
    </row>
    <row r="23" spans="1:69">
      <c r="A23" s="93"/>
      <c r="B23" s="220"/>
      <c r="C23" s="93"/>
      <c r="D23" s="93"/>
      <c r="E23" s="93"/>
      <c r="F23" s="93"/>
      <c r="G23" s="93"/>
      <c r="H23" s="93"/>
      <c r="I23" s="93"/>
      <c r="J23" s="93"/>
      <c r="K23" s="93"/>
      <c r="L23" s="93"/>
      <c r="M23" s="93"/>
      <c r="N23" s="93"/>
      <c r="O23" s="93"/>
      <c r="P23" s="93"/>
      <c r="Q23" s="93"/>
      <c r="R23" s="93"/>
      <c r="S23" s="134" t="s">
        <v>14</v>
      </c>
      <c r="T23" s="134">
        <f>YEAR(Development!B8)</f>
        <v>2015</v>
      </c>
      <c r="U23" s="93"/>
      <c r="V23" s="93"/>
      <c r="W23" s="93"/>
      <c r="X23" s="93"/>
      <c r="Y23" s="93"/>
      <c r="Z23" s="93"/>
      <c r="AA23" s="93"/>
      <c r="AB23" s="93"/>
      <c r="AC23" s="93"/>
      <c r="AD23" s="93"/>
      <c r="AE23" s="93"/>
      <c r="AF23" s="93"/>
      <c r="AG23" s="93"/>
      <c r="AH23" s="93"/>
      <c r="AI23" s="93"/>
      <c r="AJ23" s="93"/>
      <c r="AK23" s="93"/>
      <c r="AL23" s="93"/>
      <c r="AM23" s="93"/>
      <c r="AN23" s="93"/>
      <c r="AO23" s="93"/>
      <c r="AP23" s="93"/>
      <c r="AQ23" s="93"/>
      <c r="AR23" s="93"/>
      <c r="AS23" s="93"/>
      <c r="AT23" s="93"/>
      <c r="AU23" s="93"/>
      <c r="AV23" s="93"/>
      <c r="AW23" s="93"/>
      <c r="AX23" s="93"/>
      <c r="AY23" s="93"/>
      <c r="AZ23" s="93"/>
      <c r="BA23" s="93"/>
      <c r="BB23" s="93"/>
      <c r="BC23" s="93"/>
      <c r="BD23" s="93"/>
      <c r="BE23" s="93"/>
      <c r="BF23" s="93"/>
      <c r="BG23" s="93"/>
      <c r="BH23" s="93"/>
      <c r="BI23" s="93"/>
      <c r="BJ23" s="93"/>
      <c r="BK23" s="93"/>
      <c r="BL23" s="93"/>
      <c r="BM23" s="93"/>
      <c r="BN23" s="93"/>
      <c r="BO23" s="93"/>
      <c r="BP23" s="93"/>
      <c r="BQ23" s="93"/>
    </row>
    <row r="24" spans="1:69">
      <c r="A24" s="221" t="s">
        <v>168</v>
      </c>
      <c r="B24" s="220"/>
      <c r="C24" s="93"/>
      <c r="D24" s="93"/>
      <c r="E24" s="93"/>
      <c r="F24" s="93"/>
      <c r="G24" s="93"/>
      <c r="H24" s="93"/>
      <c r="I24" s="93"/>
      <c r="J24" s="133" t="str">
        <f>IF(Input!B11="Gas","Condensate Production","Associated Gas Production")</f>
        <v>Associated Gas Production</v>
      </c>
      <c r="K24" s="93"/>
      <c r="L24" s="93"/>
      <c r="M24" s="93"/>
      <c r="N24" s="93"/>
      <c r="O24" s="93"/>
      <c r="P24" s="133" t="s">
        <v>765</v>
      </c>
      <c r="Q24" s="93"/>
      <c r="R24" s="93"/>
      <c r="S24" s="133" t="s">
        <v>329</v>
      </c>
      <c r="T24" s="93"/>
      <c r="U24" s="93"/>
      <c r="V24" s="93"/>
      <c r="W24" s="93"/>
      <c r="X24" s="133" t="s">
        <v>330</v>
      </c>
      <c r="Y24" s="93"/>
      <c r="Z24" s="93"/>
      <c r="AA24" s="93"/>
      <c r="AB24" s="187" t="s">
        <v>330</v>
      </c>
      <c r="AC24" s="93"/>
      <c r="AD24" s="93"/>
      <c r="AE24" s="93"/>
      <c r="AF24" s="93"/>
      <c r="AG24" s="133" t="s">
        <v>331</v>
      </c>
      <c r="AH24" s="93"/>
      <c r="AI24" s="93"/>
      <c r="AJ24" s="93"/>
      <c r="AK24" s="133" t="s">
        <v>332</v>
      </c>
      <c r="AL24" s="93"/>
      <c r="AM24" s="93"/>
      <c r="AN24" s="93"/>
      <c r="AO24" s="93"/>
      <c r="AP24" s="93"/>
      <c r="AQ24" s="93"/>
      <c r="AR24" s="93"/>
      <c r="AS24" s="93"/>
      <c r="AT24" s="93"/>
      <c r="AU24" s="93"/>
      <c r="AV24" s="93"/>
      <c r="AW24" s="93"/>
      <c r="AX24" s="93"/>
      <c r="AY24" s="93"/>
      <c r="AZ24" s="93"/>
      <c r="BA24" s="93"/>
      <c r="BB24" s="93"/>
      <c r="BC24" s="93"/>
      <c r="BD24" s="93"/>
      <c r="BE24" s="93"/>
      <c r="BF24" s="93"/>
      <c r="BG24" s="93"/>
      <c r="BH24" s="93"/>
      <c r="BI24" s="93"/>
      <c r="BJ24" s="93"/>
      <c r="BK24" s="93"/>
      <c r="BL24" s="93"/>
      <c r="BM24" s="93"/>
      <c r="BN24" s="93"/>
      <c r="BO24" s="93"/>
      <c r="BP24" s="93"/>
      <c r="BQ24" s="93"/>
    </row>
    <row r="25" spans="1:69">
      <c r="A25" s="93"/>
      <c r="B25" s="93"/>
      <c r="C25" s="93"/>
      <c r="D25" s="93"/>
      <c r="E25" s="93"/>
      <c r="F25" s="93"/>
      <c r="G25" s="93"/>
      <c r="H25" s="93"/>
      <c r="I25" s="93"/>
      <c r="J25" s="93"/>
      <c r="K25" s="93"/>
      <c r="L25" s="93"/>
      <c r="M25" s="93"/>
      <c r="N25" s="93"/>
      <c r="O25" s="93"/>
      <c r="P25" s="93"/>
      <c r="Q25" s="93"/>
      <c r="R25" s="93"/>
      <c r="S25" s="93"/>
      <c r="T25" s="93"/>
      <c r="U25" s="93"/>
      <c r="V25" s="93"/>
      <c r="W25" s="93"/>
      <c r="X25" s="93"/>
      <c r="Y25" s="93"/>
      <c r="Z25" s="93"/>
      <c r="AA25" s="93"/>
      <c r="AB25" s="187" t="s">
        <v>333</v>
      </c>
      <c r="AC25" s="93"/>
      <c r="AD25" s="93"/>
      <c r="AE25" s="93"/>
      <c r="AF25" s="93"/>
      <c r="AG25" s="93"/>
      <c r="AH25" s="93"/>
      <c r="AI25" s="93"/>
      <c r="AJ25" s="93"/>
      <c r="AK25" s="93"/>
      <c r="AL25" s="93"/>
      <c r="AM25" s="93"/>
      <c r="AN25" s="93"/>
      <c r="AO25" s="93"/>
      <c r="AP25" s="93"/>
      <c r="AQ25" s="93"/>
      <c r="AR25" s="93"/>
      <c r="AS25" s="93"/>
      <c r="AT25" s="93"/>
      <c r="AU25" s="93"/>
      <c r="AV25" s="93"/>
      <c r="AW25" s="93"/>
      <c r="AX25" s="93"/>
      <c r="AY25" s="93"/>
      <c r="AZ25" s="93"/>
      <c r="BA25" s="93"/>
      <c r="BB25" s="93"/>
      <c r="BC25" s="93"/>
      <c r="BD25" s="93"/>
      <c r="BE25" s="93"/>
      <c r="BF25" s="93"/>
      <c r="BG25" s="93"/>
      <c r="BH25" s="93"/>
      <c r="BI25" s="93"/>
      <c r="BJ25" s="93"/>
      <c r="BK25" s="93"/>
      <c r="BL25" s="93"/>
      <c r="BM25" s="93"/>
      <c r="BN25" s="93"/>
      <c r="BO25" s="93"/>
      <c r="BP25" s="93"/>
      <c r="BQ25" s="93"/>
    </row>
    <row r="26" spans="1:69">
      <c r="A26" s="155" t="s">
        <v>14</v>
      </c>
      <c r="B26" s="155" t="s">
        <v>159</v>
      </c>
      <c r="C26" s="155" t="s">
        <v>334</v>
      </c>
      <c r="D26" s="155" t="s">
        <v>335</v>
      </c>
      <c r="E26" s="155" t="s">
        <v>336</v>
      </c>
      <c r="F26" s="155" t="s">
        <v>336</v>
      </c>
      <c r="G26" s="155" t="s">
        <v>13</v>
      </c>
      <c r="H26" s="155" t="s">
        <v>337</v>
      </c>
      <c r="I26" s="93"/>
      <c r="J26" s="155" t="s">
        <v>13</v>
      </c>
      <c r="K26" s="155" t="s">
        <v>338</v>
      </c>
      <c r="L26" s="93"/>
      <c r="M26" s="139" t="s">
        <v>339</v>
      </c>
      <c r="N26" s="139" t="s">
        <v>339</v>
      </c>
      <c r="O26" s="166"/>
      <c r="P26" s="139" t="s">
        <v>340</v>
      </c>
      <c r="Q26" s="139" t="s">
        <v>647</v>
      </c>
      <c r="R26" s="93"/>
      <c r="S26" s="602" t="s">
        <v>341</v>
      </c>
      <c r="T26" s="139" t="s">
        <v>340</v>
      </c>
      <c r="U26" s="139" t="s">
        <v>647</v>
      </c>
      <c r="V26" s="139" t="s">
        <v>1053</v>
      </c>
      <c r="W26" s="222"/>
      <c r="X26" s="139" t="s">
        <v>340</v>
      </c>
      <c r="Y26" s="139" t="s">
        <v>647</v>
      </c>
      <c r="Z26" s="139" t="s">
        <v>1053</v>
      </c>
      <c r="AA26" s="222"/>
      <c r="AB26" s="139" t="s">
        <v>340</v>
      </c>
      <c r="AC26" s="139" t="s">
        <v>647</v>
      </c>
      <c r="AD26" s="139" t="s">
        <v>1053</v>
      </c>
      <c r="AE26" s="93"/>
      <c r="AF26" s="93"/>
      <c r="AG26" s="139" t="s">
        <v>340</v>
      </c>
      <c r="AH26" s="139" t="s">
        <v>647</v>
      </c>
      <c r="AI26" s="139" t="s">
        <v>1053</v>
      </c>
      <c r="AJ26" s="93"/>
      <c r="AK26" s="139" t="s">
        <v>340</v>
      </c>
      <c r="AL26" s="139" t="s">
        <v>647</v>
      </c>
      <c r="AM26" s="139" t="s">
        <v>1053</v>
      </c>
      <c r="AN26" s="139" t="s">
        <v>13</v>
      </c>
      <c r="AO26" s="157"/>
      <c r="AP26" s="93"/>
      <c r="AQ26" s="93"/>
      <c r="AR26" s="93"/>
      <c r="AS26" s="93"/>
      <c r="AT26" s="93"/>
      <c r="AU26" s="93"/>
      <c r="AV26" s="93"/>
      <c r="AW26" s="93"/>
      <c r="AX26" s="93"/>
      <c r="AY26" s="93"/>
      <c r="AZ26" s="93"/>
      <c r="BA26" s="93"/>
      <c r="BB26" s="93"/>
      <c r="BC26" s="93"/>
      <c r="BD26" s="93"/>
      <c r="BE26" s="93"/>
      <c r="BF26" s="93"/>
      <c r="BG26" s="93"/>
      <c r="BH26" s="93"/>
      <c r="BI26" s="93"/>
      <c r="BJ26" s="93"/>
      <c r="BK26" s="93"/>
      <c r="BL26" s="93"/>
      <c r="BM26" s="93"/>
      <c r="BN26" s="93"/>
      <c r="BO26" s="93"/>
      <c r="BP26" s="93"/>
      <c r="BQ26" s="93"/>
    </row>
    <row r="27" spans="1:69">
      <c r="A27" s="155"/>
      <c r="B27" s="155"/>
      <c r="C27" s="155" t="str">
        <f>C19</f>
        <v>mmbbl</v>
      </c>
      <c r="D27" s="155" t="str">
        <f>C27</f>
        <v>mmbbl</v>
      </c>
      <c r="E27" s="223" t="s">
        <v>315</v>
      </c>
      <c r="F27" s="155" t="str">
        <f>D27</f>
        <v>mmbbl</v>
      </c>
      <c r="G27" s="155" t="str">
        <f>D27</f>
        <v>mmbbl</v>
      </c>
      <c r="H27" s="155" t="str">
        <f>C14</f>
        <v>MBOPD/D</v>
      </c>
      <c r="I27" s="93"/>
      <c r="J27" s="155" t="str">
        <f>IF(Input!$B$11="Gas","MMBBL","BCF")</f>
        <v>BCF</v>
      </c>
      <c r="K27" s="155" t="str">
        <f>IF(Input!$B$11="Gas","MBBLD","MMSCFD")</f>
        <v>MMSCFD</v>
      </c>
      <c r="L27" s="93"/>
      <c r="M27" s="148" t="s">
        <v>159</v>
      </c>
      <c r="N27" s="148" t="s">
        <v>343</v>
      </c>
      <c r="O27" s="166"/>
      <c r="P27" s="148" t="s">
        <v>4</v>
      </c>
      <c r="Q27" s="148" t="s">
        <v>762</v>
      </c>
      <c r="R27" s="93"/>
      <c r="S27" s="603"/>
      <c r="T27" s="148" t="str">
        <f>P27</f>
        <v>BCF</v>
      </c>
      <c r="U27" s="148" t="str">
        <f>Q27</f>
        <v>mmbbl</v>
      </c>
      <c r="V27" s="148" t="s">
        <v>762</v>
      </c>
      <c r="W27" s="222"/>
      <c r="X27" s="140" t="str">
        <f>P27</f>
        <v>BCF</v>
      </c>
      <c r="Y27" s="140" t="str">
        <f>Q27</f>
        <v>mmbbl</v>
      </c>
      <c r="Z27" s="140" t="s">
        <v>762</v>
      </c>
      <c r="AA27" s="222"/>
      <c r="AB27" s="140" t="s">
        <v>326</v>
      </c>
      <c r="AC27" s="140" t="str">
        <f>Y27</f>
        <v>mmbbl</v>
      </c>
      <c r="AD27" s="140" t="str">
        <f>Z27</f>
        <v>mmbbl</v>
      </c>
      <c r="AE27" s="93"/>
      <c r="AF27" s="93"/>
      <c r="AG27" s="140" t="s">
        <v>326</v>
      </c>
      <c r="AH27" s="140" t="s">
        <v>648</v>
      </c>
      <c r="AI27" s="140" t="s">
        <v>648</v>
      </c>
      <c r="AJ27" s="93"/>
      <c r="AK27" s="148" t="s">
        <v>326</v>
      </c>
      <c r="AL27" s="148" t="str">
        <f>AH27</f>
        <v>MMBBL</v>
      </c>
      <c r="AM27" s="148" t="str">
        <f>AI27</f>
        <v>MMBBL</v>
      </c>
      <c r="AN27" s="148" t="s">
        <v>344</v>
      </c>
      <c r="AO27" s="148" t="s">
        <v>345</v>
      </c>
      <c r="AP27" s="93"/>
      <c r="AQ27" s="93"/>
      <c r="AR27" s="93"/>
      <c r="AS27" s="93"/>
      <c r="AT27" s="93"/>
      <c r="AU27" s="93"/>
      <c r="AV27" s="93"/>
      <c r="AW27" s="93"/>
      <c r="AX27" s="93"/>
      <c r="AY27" s="93"/>
      <c r="AZ27" s="93"/>
      <c r="BA27" s="93"/>
      <c r="BB27" s="93"/>
      <c r="BC27" s="93"/>
      <c r="BD27" s="93"/>
      <c r="BE27" s="93"/>
      <c r="BF27" s="93"/>
      <c r="BG27" s="93"/>
      <c r="BH27" s="93"/>
      <c r="BI27" s="93"/>
      <c r="BJ27" s="93"/>
      <c r="BK27" s="93"/>
      <c r="BL27" s="93"/>
      <c r="BM27" s="93"/>
      <c r="BN27" s="93"/>
      <c r="BO27" s="93"/>
      <c r="BP27" s="93"/>
      <c r="BQ27" s="93"/>
    </row>
    <row r="28" spans="1:69">
      <c r="A28" s="224"/>
      <c r="B28" s="224"/>
      <c r="C28" s="224"/>
      <c r="D28" s="224"/>
      <c r="E28" s="225"/>
      <c r="F28" s="224"/>
      <c r="G28" s="224"/>
      <c r="H28" s="224"/>
      <c r="I28" s="93"/>
      <c r="J28" s="93"/>
      <c r="K28" s="93"/>
      <c r="L28" s="93"/>
      <c r="M28" s="93"/>
      <c r="N28" s="93"/>
      <c r="O28" s="93"/>
      <c r="P28" s="93"/>
      <c r="Q28" s="93"/>
      <c r="R28" s="93"/>
      <c r="S28" s="93"/>
      <c r="T28" s="93"/>
      <c r="U28" s="93"/>
      <c r="V28" s="93"/>
      <c r="W28" s="93"/>
      <c r="X28" s="147"/>
      <c r="Y28" s="147"/>
      <c r="Z28" s="147"/>
      <c r="AA28" s="226"/>
      <c r="AB28" s="147"/>
      <c r="AC28" s="147"/>
      <c r="AD28" s="147"/>
      <c r="AE28" s="93"/>
      <c r="AF28" s="134" t="s">
        <v>126</v>
      </c>
      <c r="AG28" s="147">
        <f>Exploration!C9</f>
        <v>1</v>
      </c>
      <c r="AH28" s="147">
        <f>AG28</f>
        <v>1</v>
      </c>
      <c r="AI28" s="147">
        <f>AH28</f>
        <v>1</v>
      </c>
      <c r="AJ28" s="93"/>
      <c r="AK28" s="93"/>
      <c r="AL28" s="93"/>
      <c r="AM28" s="93"/>
      <c r="AN28" s="93"/>
      <c r="AO28" s="93"/>
      <c r="AP28" s="93"/>
      <c r="AQ28" s="93"/>
      <c r="AR28" s="93"/>
      <c r="AS28" s="93"/>
      <c r="AT28" s="93"/>
      <c r="AU28" s="93"/>
      <c r="AV28" s="93"/>
      <c r="AW28" s="93"/>
      <c r="AX28" s="93"/>
      <c r="AY28" s="93"/>
      <c r="AZ28" s="93"/>
      <c r="BA28" s="93"/>
      <c r="BB28" s="93"/>
      <c r="BC28" s="93"/>
      <c r="BD28" s="93"/>
      <c r="BE28" s="93"/>
      <c r="BF28" s="93"/>
      <c r="BG28" s="93"/>
      <c r="BH28" s="93"/>
      <c r="BI28" s="93"/>
      <c r="BJ28" s="93"/>
      <c r="BK28" s="93"/>
      <c r="BL28" s="93"/>
      <c r="BM28" s="93"/>
      <c r="BN28" s="93"/>
      <c r="BO28" s="93"/>
      <c r="BP28" s="93"/>
      <c r="BQ28" s="93"/>
    </row>
    <row r="29" spans="1:69">
      <c r="A29" s="134" t="s">
        <v>13</v>
      </c>
      <c r="B29" s="134"/>
      <c r="C29" s="151">
        <f>SUM(C31:C70)</f>
        <v>5.5279241306638163</v>
      </c>
      <c r="D29" s="151">
        <f>SUM(D31:D70)</f>
        <v>110.47207586933615</v>
      </c>
      <c r="E29" s="151"/>
      <c r="F29" s="151">
        <f>SUM(F31:F70)</f>
        <v>174.00000000000006</v>
      </c>
      <c r="G29" s="151">
        <f>SUM(G31:G70)</f>
        <v>290.00000000000006</v>
      </c>
      <c r="H29" s="151"/>
      <c r="I29" s="156"/>
      <c r="J29" s="151">
        <f>SUM(J31:J70)</f>
        <v>966.65699999999993</v>
      </c>
      <c r="K29" s="156"/>
      <c r="L29" s="156"/>
      <c r="M29" s="156"/>
      <c r="N29" s="156"/>
      <c r="O29" s="156"/>
      <c r="P29" s="151">
        <f>SUM(P31:P70)</f>
        <v>41.759999999999984</v>
      </c>
      <c r="Q29" s="151">
        <f>SUM(Q31:Q70)</f>
        <v>0</v>
      </c>
      <c r="R29" s="156"/>
      <c r="S29" s="156"/>
      <c r="T29" s="151">
        <f>SUM(T31:T70)</f>
        <v>0</v>
      </c>
      <c r="U29" s="151">
        <f>SUM(U31:U70)</f>
        <v>0</v>
      </c>
      <c r="V29" s="151">
        <f>SUM(V31:V70)</f>
        <v>0</v>
      </c>
      <c r="W29" s="200"/>
      <c r="X29" s="151">
        <f>SUM(X31:X70)</f>
        <v>924.89700000000005</v>
      </c>
      <c r="Y29" s="151">
        <f>SUM(Y31:Y70)</f>
        <v>290.00000000000006</v>
      </c>
      <c r="Z29" s="151">
        <f>SUM(Z31:Z70)</f>
        <v>0</v>
      </c>
      <c r="AA29" s="200"/>
      <c r="AB29" s="151">
        <f>SUM(AB31:AB70)</f>
        <v>916.0152049782829</v>
      </c>
      <c r="AC29" s="151">
        <f>SUM(AC31:AC70)</f>
        <v>287.21512713707807</v>
      </c>
      <c r="AD29" s="151">
        <f>SUM(AD31:AD70)</f>
        <v>0</v>
      </c>
      <c r="AE29" s="156"/>
      <c r="AF29" s="156"/>
      <c r="AG29" s="151">
        <f>SUM(AG31:AG70)</f>
        <v>916.0152049782829</v>
      </c>
      <c r="AH29" s="151">
        <f>SUM(AH31:AH70)</f>
        <v>287.21512713707807</v>
      </c>
      <c r="AI29" s="151">
        <f>SUM(AI31:AI70)</f>
        <v>0</v>
      </c>
      <c r="AJ29" s="156"/>
      <c r="AK29" s="151">
        <f>SUM(AK31:AK70)</f>
        <v>916.0152049782829</v>
      </c>
      <c r="AL29" s="151">
        <f>SUM(AL31:AL70)</f>
        <v>287.21512713707807</v>
      </c>
      <c r="AM29" s="151">
        <f>SUM(AM31:AM70)</f>
        <v>0</v>
      </c>
      <c r="AN29" s="151">
        <f>SUM(AN31:AN70)</f>
        <v>478.05162817422018</v>
      </c>
      <c r="AO29" s="156"/>
      <c r="AP29" s="93"/>
      <c r="AQ29" s="93"/>
      <c r="AR29" s="93"/>
      <c r="AS29" s="93"/>
      <c r="AT29" s="93"/>
      <c r="AU29" s="93"/>
      <c r="AV29" s="93"/>
      <c r="AW29" s="93"/>
      <c r="AX29" s="93"/>
      <c r="AY29" s="93"/>
      <c r="AZ29" s="93"/>
      <c r="BA29" s="93"/>
      <c r="BB29" s="93"/>
      <c r="BC29" s="93"/>
      <c r="BD29" s="93"/>
      <c r="BE29" s="93"/>
      <c r="BF29" s="93"/>
      <c r="BG29" s="93"/>
      <c r="BH29" s="93"/>
      <c r="BI29" s="93"/>
      <c r="BJ29" s="93"/>
      <c r="BK29" s="93"/>
      <c r="BL29" s="93"/>
      <c r="BM29" s="93"/>
      <c r="BN29" s="93"/>
      <c r="BO29" s="93"/>
      <c r="BP29" s="93"/>
      <c r="BQ29" s="93"/>
    </row>
    <row r="30" spans="1:69">
      <c r="A30" s="93"/>
      <c r="B30" s="93"/>
      <c r="C30" s="156"/>
      <c r="D30" s="156"/>
      <c r="E30" s="156"/>
      <c r="F30" s="156"/>
      <c r="G30" s="156"/>
      <c r="H30" s="156"/>
      <c r="I30" s="156"/>
      <c r="J30" s="156"/>
      <c r="K30" s="156"/>
      <c r="L30" s="156"/>
      <c r="M30" s="156"/>
      <c r="N30" s="156"/>
      <c r="O30" s="156"/>
      <c r="P30" s="156"/>
      <c r="Q30" s="156"/>
      <c r="R30" s="156"/>
      <c r="S30" s="156"/>
      <c r="T30" s="156"/>
      <c r="U30" s="156"/>
      <c r="V30" s="156"/>
      <c r="W30" s="156"/>
      <c r="X30" s="156"/>
      <c r="Y30" s="156"/>
      <c r="Z30" s="156"/>
      <c r="AA30" s="156"/>
      <c r="AB30" s="156"/>
      <c r="AC30" s="156"/>
      <c r="AD30" s="156"/>
      <c r="AE30" s="156"/>
      <c r="AF30" s="156"/>
      <c r="AG30" s="156"/>
      <c r="AH30" s="156"/>
      <c r="AI30" s="156"/>
      <c r="AJ30" s="156"/>
      <c r="AK30" s="156"/>
      <c r="AL30" s="156"/>
      <c r="AM30" s="156"/>
      <c r="AN30" s="156"/>
      <c r="AO30" s="156"/>
      <c r="AP30" s="93"/>
      <c r="AQ30" s="93"/>
      <c r="AR30" s="93"/>
      <c r="AS30" s="93"/>
      <c r="AT30" s="93"/>
      <c r="AU30" s="93"/>
      <c r="AV30" s="93"/>
      <c r="AW30" s="93"/>
      <c r="AX30" s="93"/>
      <c r="AY30" s="93"/>
      <c r="AZ30" s="93"/>
      <c r="BA30" s="93"/>
      <c r="BB30" s="93"/>
      <c r="BC30" s="93"/>
      <c r="BD30" s="93"/>
      <c r="BE30" s="93"/>
      <c r="BF30" s="93"/>
      <c r="BG30" s="93"/>
      <c r="BH30" s="93"/>
      <c r="BI30" s="93"/>
      <c r="BJ30" s="93"/>
      <c r="BK30" s="93"/>
      <c r="BL30" s="93"/>
      <c r="BM30" s="93"/>
      <c r="BN30" s="93"/>
      <c r="BO30" s="93"/>
      <c r="BP30" s="93"/>
      <c r="BQ30" s="93"/>
    </row>
    <row r="31" spans="1:69">
      <c r="A31" s="157">
        <f>'Success Cash Flow'!A10</f>
        <v>2015</v>
      </c>
      <c r="B31" s="157">
        <f>DATE(A31,12,31)-DATE(A31-1,12,31)</f>
        <v>365</v>
      </c>
      <c r="C31" s="158">
        <f>IF(A31&lt;$D$20,0,IF(A31=$D$20,IF(A31=$D$21,$C$21,(DATE(A31,12,31)-$B$20)*$B$9/1000+$B$14*(DATE(A31,12,31)-$B$20)^2/2/1000),IF(A31=$D$21,($B$21-DATE(A31-1,12,31))*$B$11/1000-($B$21-DATE(A31-1,12,31))^2/2*$B$14/1000,IF(A31&gt;$D$21,0,(((DATE(A31,12,31)+DATE(A31-1,12,31)-2*$B$20)*$B$14/2+$B$9)*B31)/1000))))</f>
        <v>0</v>
      </c>
      <c r="D31" s="158">
        <f t="shared" ref="D31:D42" si="0">IF($B$8&lt;$B$7,0,IF(A31&lt;$D$21,0,IF(A31=$D$21,(IF(A31=$D$22,$B$22,DATE(A31,12,31))-$B$21)*$B$11/1000,IF(A31&lt;$D$22,B31/1000*$B$11,IF(A31=$D$22,($B$22-DATE(A31-1,12,31))*$B$11/1000,0)))))</f>
        <v>0</v>
      </c>
      <c r="E31" s="158">
        <f>IF(A31&lt;$D$22,0,MIN(IF(A31=$D$22,DATE(A31,12,31)-$B$22,B31)+E30,$B$16))</f>
        <v>0</v>
      </c>
      <c r="F31" s="158">
        <f>$B$11/$B$15*(EXP(-$B$15*E30)-EXP(-$B$15*E31))/1000</f>
        <v>0</v>
      </c>
      <c r="G31" s="158">
        <f t="shared" ref="G31:G70" si="1">C31+D31+F31</f>
        <v>0</v>
      </c>
      <c r="H31" s="158">
        <f>IF(M31=0,0,G31/M31*1000)</f>
        <v>0</v>
      </c>
      <c r="I31" s="156"/>
      <c r="J31" s="158">
        <f>IF(AND(Input!$B$15=Lists!$Q$36,Input!$B$11="Oil"),0,G31*Input!$B$29/1000)</f>
        <v>0</v>
      </c>
      <c r="K31" s="158">
        <f>IF(M31=0,0,J31/M31)*1000</f>
        <v>0</v>
      </c>
      <c r="L31" s="156"/>
      <c r="M31" s="158">
        <f>IF(A31&lt;$B$4,0,IF(A31=$B$4,DATE(A31,12,31)-$B$20,IF(E31=$B$16,E31-E30,B31)))</f>
        <v>0</v>
      </c>
      <c r="N31" s="158">
        <f>M31/B31</f>
        <v>0</v>
      </c>
      <c r="O31" s="156"/>
      <c r="P31" s="158">
        <f>IF(Input!$B$11="Oil",MIN('Sched &amp; Prod Assumptions'!$C$19*'Sched &amp; Prod Assumptions'!$B$15*G31,J31),G31*'Sched &amp; Prod Assumptions'!$C$18)</f>
        <v>0</v>
      </c>
      <c r="Q31" s="158">
        <f>IF(Input!$B$11="Oil",IF(P31&lt;J31,0,Production!G31*'Sched &amp; Prod Assumptions'!$C$19-Production!P31/'Sched &amp; Prod Assumptions'!$C$17*Input!$B$28/1000),0)</f>
        <v>0</v>
      </c>
      <c r="R31" s="156"/>
      <c r="S31" s="158">
        <f>IF(A31=$T$23,1,IF(A31&gt;$T$23,1+S30,0))</f>
        <v>1</v>
      </c>
      <c r="T31" s="478">
        <f>IF($S31=0,0,INDEX(Overrides!$L$47:$L$88,$S31+1,1)*$T$21+INDEX(Overrides!$L$47:$L$88,$S31,1)*$T$22)*'Sensitivity Ranges'!$F$41</f>
        <v>0</v>
      </c>
      <c r="U31" s="478">
        <f>IF($S31=0,0,INDEX(Overrides!$M$47:$M$88,$S31+1,1)*$T$21+INDEX(Overrides!$M$47:$M$88,$S31,1)*$T$22)*'Sensitivity Ranges'!$F$41</f>
        <v>0</v>
      </c>
      <c r="V31" s="478">
        <f>IF($S31=0,0,INDEX(Overrides!$N$47:$N$88,$S31+1,1)*$T$21+INDEX(Overrides!$N$47:$N$88,$S31,1)*$T$22)*'Sensitivity Ranges'!$F$41</f>
        <v>0</v>
      </c>
      <c r="W31" s="200"/>
      <c r="X31" s="158">
        <f>IF($T$20=1,T31,IF(Input!$B$11="Gas",G31,J31)-P31)</f>
        <v>0</v>
      </c>
      <c r="Y31" s="158">
        <f>IF($T$20=1,U31,IF(Input!$B$11="Gas",0,G31-Q31))</f>
        <v>0</v>
      </c>
      <c r="Z31" s="158">
        <f>IF($T$20=1,V31,IF(Input!$B$11="Gas",J31,0))</f>
        <v>0</v>
      </c>
      <c r="AA31" s="200"/>
      <c r="AB31" s="158">
        <f>X31*Abandonment!$H16</f>
        <v>0</v>
      </c>
      <c r="AC31" s="158">
        <f>Y31*Abandonment!$H16</f>
        <v>0</v>
      </c>
      <c r="AD31" s="158">
        <f>Z31*Abandonment!$H16</f>
        <v>0</v>
      </c>
      <c r="AE31" s="156"/>
      <c r="AF31" s="156"/>
      <c r="AG31" s="158">
        <f>AB31*AG$28</f>
        <v>0</v>
      </c>
      <c r="AH31" s="158">
        <f t="shared" ref="AH31:AI70" si="2">AC31*AH$28</f>
        <v>0</v>
      </c>
      <c r="AI31" s="158">
        <f t="shared" si="2"/>
        <v>0</v>
      </c>
      <c r="AJ31" s="156"/>
      <c r="AK31" s="158">
        <f>X31*Abandonment!H16</f>
        <v>0</v>
      </c>
      <c r="AL31" s="158">
        <f>Y31*Abandonment!H16</f>
        <v>0</v>
      </c>
      <c r="AM31" s="158">
        <f>Z31*Abandonment!H16</f>
        <v>0</v>
      </c>
      <c r="AN31" s="158">
        <f>AK31/'Sched &amp; Prod Assumptions'!$B$15+Production!AL31+AM31</f>
        <v>0</v>
      </c>
      <c r="AO31" s="158">
        <f>AN31/0.365</f>
        <v>0</v>
      </c>
      <c r="AP31" s="93"/>
      <c r="AQ31" s="93"/>
      <c r="AR31" s="93"/>
      <c r="AS31" s="93"/>
      <c r="AT31" s="93"/>
      <c r="AU31" s="93"/>
      <c r="AV31" s="93"/>
      <c r="AW31" s="93"/>
      <c r="AX31" s="93"/>
      <c r="AY31" s="93"/>
      <c r="AZ31" s="93"/>
      <c r="BA31" s="93"/>
      <c r="BB31" s="93"/>
      <c r="BC31" s="93"/>
      <c r="BD31" s="93"/>
      <c r="BE31" s="93"/>
      <c r="BF31" s="93"/>
      <c r="BG31" s="93"/>
      <c r="BH31" s="93"/>
      <c r="BI31" s="93"/>
      <c r="BJ31" s="93"/>
      <c r="BK31" s="93"/>
      <c r="BL31" s="93"/>
      <c r="BM31" s="93"/>
      <c r="BN31" s="93"/>
      <c r="BO31" s="93"/>
      <c r="BP31" s="93"/>
      <c r="BQ31" s="93"/>
    </row>
    <row r="32" spans="1:69">
      <c r="A32" s="159">
        <f>A31+1</f>
        <v>2016</v>
      </c>
      <c r="B32" s="159">
        <f t="shared" ref="B32:B70" si="3">DATE(A32,12,31)-DATE(A32-1,12,31)</f>
        <v>366</v>
      </c>
      <c r="C32" s="160">
        <f>IF(A32&lt;$D$20,0,IF(A32=$D$20,IF(A32=$D$21,$C$21,(DATE(A32,12,31)-$B$20)*$B$9/1000+$B$14*(DATE(A32,12,31)-$B$20)^2/2/1000),IF(A32=$D$21,($B$21-DATE(A32-1,12,31))*$B$11/1000-($B$21-DATE(A32-1,12,31))^2/2*$B$14/1000,IF(A32&gt;$D$21,0,(((DATE(A32,12,31)+DATE(A32-1,12,31)-2*$B$20)*$B$14/2+$B$9)*B32)/1000))))</f>
        <v>0</v>
      </c>
      <c r="D32" s="160">
        <f t="shared" si="0"/>
        <v>0</v>
      </c>
      <c r="E32" s="160">
        <f t="shared" ref="E32:E70" si="4">IF(A32&lt;$D$22,0,MIN(IF(A32=$D$22,DATE(A32,12,31)-$B$22,B32)+E31,$B$16))</f>
        <v>0</v>
      </c>
      <c r="F32" s="160">
        <f>$B$11/$B$15*(EXP(-$B$15*E31)-EXP(-$B$15*E32))/1000</f>
        <v>0</v>
      </c>
      <c r="G32" s="160">
        <f t="shared" si="1"/>
        <v>0</v>
      </c>
      <c r="H32" s="160">
        <f t="shared" ref="H32:H70" si="5">IF(M32=0,0,G32/M32*1000)</f>
        <v>0</v>
      </c>
      <c r="I32" s="156"/>
      <c r="J32" s="160">
        <f>IF(AND(Input!$B$15=Lists!$Q$36,Input!$B$11="Oil"),0,G32*Input!$B$29/1000)</f>
        <v>0</v>
      </c>
      <c r="K32" s="160">
        <f t="shared" ref="K32:K70" si="6">IF(M32=0,0,J32/M32)*1000</f>
        <v>0</v>
      </c>
      <c r="L32" s="156"/>
      <c r="M32" s="160">
        <f t="shared" ref="M32:M70" si="7">IF(A32&lt;$B$4,0,IF(A32=$B$4,DATE(A32,12,31)-$B$20,IF(E32=$B$16,E32-E31,B32)))</f>
        <v>0</v>
      </c>
      <c r="N32" s="160">
        <f t="shared" ref="N32:N70" si="8">M32/B32</f>
        <v>0</v>
      </c>
      <c r="O32" s="156"/>
      <c r="P32" s="160">
        <f>IF(Input!$B$11="Oil",MIN('Sched &amp; Prod Assumptions'!$C$19*'Sched &amp; Prod Assumptions'!$B$15*G32,J32),G32*'Sched &amp; Prod Assumptions'!$C$18)</f>
        <v>0</v>
      </c>
      <c r="Q32" s="160">
        <f>IF(Input!$B$11="Oil",IF(P32&lt;J32,0,Production!G32*'Sched &amp; Prod Assumptions'!$C$19-Production!P32/'Sched &amp; Prod Assumptions'!$C$17*Input!$B$28/1000),0)</f>
        <v>0</v>
      </c>
      <c r="R32" s="156"/>
      <c r="S32" s="160">
        <f t="shared" ref="S32:S70" si="9">IF(A32=$T$23,1,IF(A32&gt;$T$23,1+S31,0))</f>
        <v>2</v>
      </c>
      <c r="T32" s="479">
        <f>IF($S32=0,0,INDEX(Overrides!$L$47:$L$88,$S32+1,1)*$T$21+INDEX(Overrides!$L$47:$L$88,$S32,1)*$T$22)*'Sensitivity Ranges'!$F$41</f>
        <v>0</v>
      </c>
      <c r="U32" s="479">
        <f>IF($S32=0,0,INDEX(Overrides!$M$47:$M$88,$S32+1,1)*$T$21+INDEX(Overrides!$M$47:$M$88,$S32,1)*$T$22)*'Sensitivity Ranges'!$F$41</f>
        <v>0</v>
      </c>
      <c r="V32" s="479">
        <f>IF($S32=0,0,INDEX(Overrides!$N$47:$N$88,$S32+1,1)*$T$21+INDEX(Overrides!$N$47:$N$88,$S32,1)*$T$22)*'Sensitivity Ranges'!$F$41</f>
        <v>0</v>
      </c>
      <c r="W32" s="200"/>
      <c r="X32" s="160">
        <f>IF($T$20=1,T32,IF(Input!$B$11="Gas",G32,J32)-P32)</f>
        <v>0</v>
      </c>
      <c r="Y32" s="160">
        <f>IF($T$20=1,U32,IF(Input!$B$11="Gas",0,G32-Q32))</f>
        <v>0</v>
      </c>
      <c r="Z32" s="160">
        <f>IF($T$20=1,V32,IF(Input!$B$11="Gas",J32,0))</f>
        <v>0</v>
      </c>
      <c r="AA32" s="200"/>
      <c r="AB32" s="160">
        <f>X32*Abandonment!$H17</f>
        <v>0</v>
      </c>
      <c r="AC32" s="160">
        <f>Y32*Abandonment!$H17</f>
        <v>0</v>
      </c>
      <c r="AD32" s="160">
        <f>Z32*Abandonment!$H17</f>
        <v>0</v>
      </c>
      <c r="AE32" s="156"/>
      <c r="AF32" s="156"/>
      <c r="AG32" s="160">
        <f t="shared" ref="AG32:AG70" si="10">AB32*AG$28</f>
        <v>0</v>
      </c>
      <c r="AH32" s="160">
        <f t="shared" si="2"/>
        <v>0</v>
      </c>
      <c r="AI32" s="160">
        <f t="shared" si="2"/>
        <v>0</v>
      </c>
      <c r="AJ32" s="156"/>
      <c r="AK32" s="160">
        <f>X32*Abandonment!H17</f>
        <v>0</v>
      </c>
      <c r="AL32" s="160">
        <f>Y32*Abandonment!H17</f>
        <v>0</v>
      </c>
      <c r="AM32" s="160">
        <f>Z32*Abandonment!H17</f>
        <v>0</v>
      </c>
      <c r="AN32" s="160">
        <f>AK32/'Sched &amp; Prod Assumptions'!$B$15+Production!AL32+AM32</f>
        <v>0</v>
      </c>
      <c r="AO32" s="160">
        <f t="shared" ref="AO32:AO70" si="11">AN32/0.365</f>
        <v>0</v>
      </c>
      <c r="AP32" s="93"/>
      <c r="AQ32" s="93"/>
      <c r="AR32" s="93"/>
      <c r="AS32" s="93"/>
      <c r="AT32" s="93"/>
      <c r="AU32" s="93"/>
      <c r="AV32" s="93"/>
      <c r="AW32" s="93"/>
      <c r="AX32" s="93"/>
      <c r="AY32" s="93"/>
      <c r="AZ32" s="93"/>
      <c r="BA32" s="93"/>
      <c r="BB32" s="93"/>
      <c r="BC32" s="93"/>
      <c r="BD32" s="93"/>
      <c r="BE32" s="93"/>
      <c r="BF32" s="93"/>
      <c r="BG32" s="93"/>
      <c r="BH32" s="93"/>
      <c r="BI32" s="93"/>
      <c r="BJ32" s="93"/>
      <c r="BK32" s="93"/>
      <c r="BL32" s="93"/>
      <c r="BM32" s="93"/>
      <c r="BN32" s="93"/>
      <c r="BO32" s="93"/>
      <c r="BP32" s="93"/>
      <c r="BQ32" s="93"/>
    </row>
    <row r="33" spans="1:69">
      <c r="A33" s="159">
        <f t="shared" ref="A33:A70" si="12">A32+1</f>
        <v>2017</v>
      </c>
      <c r="B33" s="159">
        <f t="shared" si="3"/>
        <v>365</v>
      </c>
      <c r="C33" s="160">
        <f>IF(A33&lt;$D$20,0,IF(A33=$D$20,IF(A33=$D$21,$C$21,(DATE(A33,12,31)-$B$20)*$B$9/1000+$B$14*(DATE(A33,12,31)-$B$20)^2/2/1000),IF(A33=$D$21,($B$21-DATE(A33-1,12,31))*$B$11/1000-($B$21-DATE(A33-1,12,31))^2/2*$B$14/1000,IF(A33&gt;$D$21,0,(((DATE(A33,12,31)+DATE(A33-1,12,31)-2*$B$20)*$B$14/2+$B$9)*B33)/1000))))</f>
        <v>5.5279241306638163</v>
      </c>
      <c r="D33" s="160">
        <f t="shared" si="0"/>
        <v>15.187565858798559</v>
      </c>
      <c r="E33" s="160">
        <f t="shared" si="4"/>
        <v>0</v>
      </c>
      <c r="F33" s="160">
        <f>$B$11/$B$15*(EXP(-$B$15*E32)-EXP(-$B$15*E33))/1000</f>
        <v>0</v>
      </c>
      <c r="G33" s="160">
        <f t="shared" si="1"/>
        <v>20.715489989462377</v>
      </c>
      <c r="H33" s="160">
        <f t="shared" si="5"/>
        <v>72.685929787587284</v>
      </c>
      <c r="I33" s="156"/>
      <c r="J33" s="160">
        <f>IF(AND(Input!$B$15=Lists!$Q$36,Input!$B$11="Oil"),0,G33*Input!$B$29/1000)</f>
        <v>69.050942781874937</v>
      </c>
      <c r="K33" s="160">
        <f t="shared" si="6"/>
        <v>242.28400976096469</v>
      </c>
      <c r="L33" s="156"/>
      <c r="M33" s="160">
        <f t="shared" si="7"/>
        <v>285</v>
      </c>
      <c r="N33" s="160">
        <f t="shared" si="8"/>
        <v>0.78082191780821919</v>
      </c>
      <c r="O33" s="156"/>
      <c r="P33" s="160">
        <f>IF(Input!$B$11="Oil",MIN('Sched &amp; Prod Assumptions'!$C$19*'Sched &amp; Prod Assumptions'!$B$15*G33,J33),G33*'Sched &amp; Prod Assumptions'!$C$18)</f>
        <v>2.9830305584825818</v>
      </c>
      <c r="Q33" s="160">
        <f>IF(Input!$B$11="Oil",IF(P33&lt;J33,0,Production!G33*'Sched &amp; Prod Assumptions'!$C$19-Production!P33/'Sched &amp; Prod Assumptions'!$C$17*Input!$B$28/1000),0)</f>
        <v>0</v>
      </c>
      <c r="R33" s="156"/>
      <c r="S33" s="160">
        <f t="shared" si="9"/>
        <v>3</v>
      </c>
      <c r="T33" s="479">
        <f>IF($S33=0,0,INDEX(Overrides!$L$47:$L$88,$S33+1,1)*$T$21+INDEX(Overrides!$L$47:$L$88,$S33,1)*$T$22)*'Sensitivity Ranges'!$F$41</f>
        <v>0</v>
      </c>
      <c r="U33" s="479">
        <f>IF($S33=0,0,INDEX(Overrides!$M$47:$M$88,$S33+1,1)*$T$21+INDEX(Overrides!$M$47:$M$88,$S33,1)*$T$22)*'Sensitivity Ranges'!$F$41</f>
        <v>0</v>
      </c>
      <c r="V33" s="479">
        <f>IF($S33=0,0,INDEX(Overrides!$N$47:$N$88,$S33+1,1)*$T$21+INDEX(Overrides!$N$47:$N$88,$S33,1)*$T$22)*'Sensitivity Ranges'!$F$41</f>
        <v>0</v>
      </c>
      <c r="W33" s="200"/>
      <c r="X33" s="160">
        <f>IF($T$20=1,T33,IF(Input!$B$11="Gas",G33,J33)-P33)</f>
        <v>66.067912223392355</v>
      </c>
      <c r="Y33" s="160">
        <f>IF($T$20=1,U33,IF(Input!$B$11="Gas",0,G33-Q33))</f>
        <v>20.715489989462377</v>
      </c>
      <c r="Z33" s="160">
        <f>IF($T$20=1,V33,IF(Input!$B$11="Gas",J33,0))</f>
        <v>0</v>
      </c>
      <c r="AA33" s="200"/>
      <c r="AB33" s="160">
        <f>X33*Abandonment!$H18</f>
        <v>66.067912223392355</v>
      </c>
      <c r="AC33" s="160">
        <f>Y33*Abandonment!$H18</f>
        <v>20.715489989462377</v>
      </c>
      <c r="AD33" s="160">
        <f>Z33*Abandonment!$H18</f>
        <v>0</v>
      </c>
      <c r="AE33" s="156"/>
      <c r="AF33" s="156"/>
      <c r="AG33" s="160">
        <f t="shared" si="10"/>
        <v>66.067912223392355</v>
      </c>
      <c r="AH33" s="160">
        <f t="shared" si="2"/>
        <v>20.715489989462377</v>
      </c>
      <c r="AI33" s="160">
        <f t="shared" si="2"/>
        <v>0</v>
      </c>
      <c r="AJ33" s="156"/>
      <c r="AK33" s="160">
        <f>X33*Abandonment!H18</f>
        <v>66.067912223392355</v>
      </c>
      <c r="AL33" s="160">
        <f>Y33*Abandonment!H18</f>
        <v>20.715489989462377</v>
      </c>
      <c r="AM33" s="160">
        <f>Z33*Abandonment!H18</f>
        <v>0</v>
      </c>
      <c r="AN33" s="160">
        <f>AK33/'Sched &amp; Prod Assumptions'!$B$15+Production!AL33+AM33</f>
        <v>34.479638369335788</v>
      </c>
      <c r="AO33" s="160">
        <f t="shared" si="11"/>
        <v>94.464762655714495</v>
      </c>
      <c r="AP33" s="93"/>
      <c r="AQ33" s="93"/>
      <c r="AR33" s="93"/>
      <c r="AS33" s="93"/>
      <c r="AT33" s="93"/>
      <c r="AU33" s="93"/>
      <c r="AV33" s="93"/>
      <c r="AW33" s="93"/>
      <c r="AX33" s="93"/>
      <c r="AY33" s="93"/>
      <c r="AZ33" s="93"/>
      <c r="BA33" s="93"/>
      <c r="BB33" s="93"/>
      <c r="BC33" s="93"/>
      <c r="BD33" s="93"/>
      <c r="BE33" s="93"/>
      <c r="BF33" s="93"/>
      <c r="BG33" s="93"/>
      <c r="BH33" s="93"/>
      <c r="BI33" s="93"/>
      <c r="BJ33" s="93"/>
      <c r="BK33" s="93"/>
      <c r="BL33" s="93"/>
      <c r="BM33" s="93"/>
      <c r="BN33" s="93"/>
      <c r="BO33" s="93"/>
      <c r="BP33" s="93"/>
      <c r="BQ33" s="93"/>
    </row>
    <row r="34" spans="1:69">
      <c r="A34" s="159">
        <f t="shared" si="12"/>
        <v>2018</v>
      </c>
      <c r="B34" s="159">
        <f t="shared" si="3"/>
        <v>365</v>
      </c>
      <c r="C34" s="160">
        <f>IF(A34&lt;$D$20,0,IF(A34=$D$20,IF(A34=$D$21,$C$21,(DATE(A34,12,31)-$B$20)*$B$9/1000+$B$14*(DATE(A34,12,31)-$B$20)^2/2/1000),IF(A34=$D$21,($B$21-DATE(A34-1,12,31))*$B$11/1000-($B$21-DATE(A34-1,12,31))^2/2*$B$14/1000,IF(A34&gt;$D$21,0,(((DATE(A34,12,31)+DATE(A34-1,12,31)-2*$B$20)*$B$14/2+$B$9)*B34)/1000))))</f>
        <v>0</v>
      </c>
      <c r="D34" s="160">
        <f t="shared" si="0"/>
        <v>29</v>
      </c>
      <c r="E34" s="160">
        <f t="shared" si="4"/>
        <v>0</v>
      </c>
      <c r="F34" s="160">
        <f>$B$11/$B$15*(EXP(-$B$15*E33)-EXP(-$B$15*E34))/1000</f>
        <v>0</v>
      </c>
      <c r="G34" s="160">
        <f t="shared" si="1"/>
        <v>29</v>
      </c>
      <c r="H34" s="160">
        <f t="shared" si="5"/>
        <v>79.452054794520549</v>
      </c>
      <c r="I34" s="156"/>
      <c r="J34" s="160">
        <f>IF(AND(Input!$B$15=Lists!$Q$36,Input!$B$11="Oil"),0,G34*Input!$B$29/1000)</f>
        <v>96.665700000000015</v>
      </c>
      <c r="K34" s="160">
        <f t="shared" si="6"/>
        <v>264.83753424657533</v>
      </c>
      <c r="L34" s="156"/>
      <c r="M34" s="160">
        <f t="shared" si="7"/>
        <v>365</v>
      </c>
      <c r="N34" s="160">
        <f t="shared" si="8"/>
        <v>1</v>
      </c>
      <c r="O34" s="156"/>
      <c r="P34" s="160">
        <f>IF(Input!$B$11="Oil",MIN('Sched &amp; Prod Assumptions'!$C$19*'Sched &amp; Prod Assumptions'!$B$15*G34,J34),G34*'Sched &amp; Prod Assumptions'!$C$18)</f>
        <v>4.1759999999999993</v>
      </c>
      <c r="Q34" s="160">
        <f>IF(Input!$B$11="Oil",IF(P34&lt;J34,0,Production!G34*'Sched &amp; Prod Assumptions'!$C$19-Production!P34/'Sched &amp; Prod Assumptions'!$C$17*Input!$B$28/1000),0)</f>
        <v>0</v>
      </c>
      <c r="R34" s="156"/>
      <c r="S34" s="160">
        <f t="shared" si="9"/>
        <v>4</v>
      </c>
      <c r="T34" s="479">
        <f>IF($S34=0,0,INDEX(Overrides!$L$47:$L$88,$S34+1,1)*$T$21+INDEX(Overrides!$L$47:$L$88,$S34,1)*$T$22)*'Sensitivity Ranges'!$F$41</f>
        <v>0</v>
      </c>
      <c r="U34" s="479">
        <f>IF($S34=0,0,INDEX(Overrides!$M$47:$M$88,$S34+1,1)*$T$21+INDEX(Overrides!$M$47:$M$88,$S34,1)*$T$22)*'Sensitivity Ranges'!$F$41</f>
        <v>0</v>
      </c>
      <c r="V34" s="479">
        <f>IF($S34=0,0,INDEX(Overrides!$N$47:$N$88,$S34+1,1)*$T$21+INDEX(Overrides!$N$47:$N$88,$S34,1)*$T$22)*'Sensitivity Ranges'!$F$41</f>
        <v>0</v>
      </c>
      <c r="W34" s="200"/>
      <c r="X34" s="160">
        <f>IF($T$20=1,T34,IF(Input!$B$11="Gas",G34,J34)-P34)</f>
        <v>92.489700000000013</v>
      </c>
      <c r="Y34" s="160">
        <f>IF($T$20=1,U34,IF(Input!$B$11="Gas",0,G34-Q34))</f>
        <v>29</v>
      </c>
      <c r="Z34" s="160">
        <f>IF($T$20=1,V34,IF(Input!$B$11="Gas",J34,0))</f>
        <v>0</v>
      </c>
      <c r="AA34" s="200"/>
      <c r="AB34" s="160">
        <f>X34*Abandonment!$H19</f>
        <v>92.489700000000013</v>
      </c>
      <c r="AC34" s="160">
        <f>Y34*Abandonment!$H19</f>
        <v>29</v>
      </c>
      <c r="AD34" s="160">
        <f>Z34*Abandonment!$H19</f>
        <v>0</v>
      </c>
      <c r="AE34" s="156"/>
      <c r="AF34" s="156"/>
      <c r="AG34" s="160">
        <f t="shared" si="10"/>
        <v>92.489700000000013</v>
      </c>
      <c r="AH34" s="160">
        <f t="shared" si="2"/>
        <v>29</v>
      </c>
      <c r="AI34" s="160">
        <f t="shared" si="2"/>
        <v>0</v>
      </c>
      <c r="AJ34" s="156"/>
      <c r="AK34" s="160">
        <f>X34*Abandonment!H19</f>
        <v>92.489700000000013</v>
      </c>
      <c r="AL34" s="160">
        <f>Y34*Abandonment!H19</f>
        <v>29</v>
      </c>
      <c r="AM34" s="160">
        <f>Z34*Abandonment!H19</f>
        <v>0</v>
      </c>
      <c r="AN34" s="160">
        <f>AK34/'Sched &amp; Prod Assumptions'!$B$15+Production!AL34+AM34</f>
        <v>48.268687499999999</v>
      </c>
      <c r="AO34" s="160">
        <f t="shared" si="11"/>
        <v>132.24297945205478</v>
      </c>
      <c r="AP34" s="93"/>
      <c r="AQ34" s="93"/>
      <c r="AR34" s="93"/>
      <c r="AS34" s="93"/>
      <c r="AT34" s="93"/>
      <c r="AU34" s="93"/>
      <c r="AV34" s="93"/>
      <c r="AW34" s="93"/>
      <c r="AX34" s="93"/>
      <c r="AY34" s="93"/>
      <c r="AZ34" s="93"/>
      <c r="BA34" s="93"/>
      <c r="BB34" s="93"/>
      <c r="BC34" s="93"/>
      <c r="BD34" s="93"/>
      <c r="BE34" s="93"/>
      <c r="BF34" s="93"/>
      <c r="BG34" s="93"/>
      <c r="BH34" s="93"/>
      <c r="BI34" s="93"/>
      <c r="BJ34" s="93"/>
      <c r="BK34" s="93"/>
      <c r="BL34" s="93"/>
      <c r="BM34" s="93"/>
      <c r="BN34" s="93"/>
      <c r="BO34" s="93"/>
      <c r="BP34" s="93"/>
      <c r="BQ34" s="93"/>
    </row>
    <row r="35" spans="1:69">
      <c r="A35" s="159">
        <f t="shared" si="12"/>
        <v>2019</v>
      </c>
      <c r="B35" s="159">
        <f t="shared" si="3"/>
        <v>365</v>
      </c>
      <c r="C35" s="160">
        <f t="shared" ref="C35:C70" si="13">IF(A35&lt;$D$20,0,IF(A35=$D$20,IF(A35=$D$21,$C$21,(DATE(A35,12,31)-$B$20)*$B$9/1000+$B$14*(DATE(A35,12,31)-$B$20)^2/2/1000),IF(A35=$D$21,($B$21-DATE(A35-1,12,31))*$B$11/1000-($B$21-DATE(A35-1,12,31))^2/2*$B$14/1000,IF(A35&gt;$D$21,0,(((DATE(A35,12,31)+DATE(A35-1,12,31)-2*$B$20)*$B$14/2+$B$9)*B35)/1000))))</f>
        <v>0</v>
      </c>
      <c r="D35" s="160">
        <f t="shared" si="0"/>
        <v>29</v>
      </c>
      <c r="E35" s="160">
        <f t="shared" si="4"/>
        <v>0</v>
      </c>
      <c r="F35" s="160">
        <f t="shared" ref="F35:F70" si="14">$B$11/$B$15*(EXP(-$B$15*E34)-EXP(-$B$15*E35))/1000</f>
        <v>0</v>
      </c>
      <c r="G35" s="160">
        <f t="shared" si="1"/>
        <v>29</v>
      </c>
      <c r="H35" s="160">
        <f t="shared" si="5"/>
        <v>79.452054794520549</v>
      </c>
      <c r="I35" s="156"/>
      <c r="J35" s="160">
        <f>IF(AND(Input!$B$15=Lists!$Q$36,Input!$B$11="Oil"),0,G35*Input!$B$29/1000)</f>
        <v>96.665700000000015</v>
      </c>
      <c r="K35" s="160">
        <f t="shared" si="6"/>
        <v>264.83753424657533</v>
      </c>
      <c r="L35" s="156"/>
      <c r="M35" s="160">
        <f t="shared" si="7"/>
        <v>365</v>
      </c>
      <c r="N35" s="160">
        <f t="shared" si="8"/>
        <v>1</v>
      </c>
      <c r="O35" s="156"/>
      <c r="P35" s="160">
        <f>IF(Input!$B$11="Oil",MIN('Sched &amp; Prod Assumptions'!$C$19*'Sched &amp; Prod Assumptions'!$B$15*G35,J35),G35*'Sched &amp; Prod Assumptions'!$C$18)</f>
        <v>4.1759999999999993</v>
      </c>
      <c r="Q35" s="160">
        <f>IF(Input!$B$11="Oil",IF(P35&lt;J35,0,Production!G35*'Sched &amp; Prod Assumptions'!$C$19-Production!P35/'Sched &amp; Prod Assumptions'!$C$17*Input!$B$28/1000),0)</f>
        <v>0</v>
      </c>
      <c r="R35" s="156"/>
      <c r="S35" s="160">
        <f t="shared" si="9"/>
        <v>5</v>
      </c>
      <c r="T35" s="479">
        <f>IF($S35=0,0,INDEX(Overrides!$L$47:$L$88,$S35+1,1)*$T$21+INDEX(Overrides!$L$47:$L$88,$S35,1)*$T$22)*'Sensitivity Ranges'!$F$41</f>
        <v>0</v>
      </c>
      <c r="U35" s="479">
        <f>IF($S35=0,0,INDEX(Overrides!$M$47:$M$88,$S35+1,1)*$T$21+INDEX(Overrides!$M$47:$M$88,$S35,1)*$T$22)*'Sensitivity Ranges'!$F$41</f>
        <v>0</v>
      </c>
      <c r="V35" s="479">
        <f>IF($S35=0,0,INDEX(Overrides!$N$47:$N$88,$S35+1,1)*$T$21+INDEX(Overrides!$N$47:$N$88,$S35,1)*$T$22)*'Sensitivity Ranges'!$F$41</f>
        <v>0</v>
      </c>
      <c r="W35" s="200"/>
      <c r="X35" s="160">
        <f>IF($T$20=1,T35,IF(Input!$B$11="Gas",G35,J35)-P35)</f>
        <v>92.489700000000013</v>
      </c>
      <c r="Y35" s="160">
        <f>IF($T$20=1,U35,IF(Input!$B$11="Gas",0,G35-Q35))</f>
        <v>29</v>
      </c>
      <c r="Z35" s="160">
        <f>IF($T$20=1,V35,IF(Input!$B$11="Gas",J35,0))</f>
        <v>0</v>
      </c>
      <c r="AA35" s="200"/>
      <c r="AB35" s="160">
        <f>X35*Abandonment!$H20</f>
        <v>92.489700000000013</v>
      </c>
      <c r="AC35" s="160">
        <f>Y35*Abandonment!$H20</f>
        <v>29</v>
      </c>
      <c r="AD35" s="160">
        <f>Z35*Abandonment!$H20</f>
        <v>0</v>
      </c>
      <c r="AE35" s="156"/>
      <c r="AF35" s="156"/>
      <c r="AG35" s="160">
        <f t="shared" si="10"/>
        <v>92.489700000000013</v>
      </c>
      <c r="AH35" s="160">
        <f t="shared" si="2"/>
        <v>29</v>
      </c>
      <c r="AI35" s="160">
        <f t="shared" si="2"/>
        <v>0</v>
      </c>
      <c r="AJ35" s="156"/>
      <c r="AK35" s="160">
        <f>X35*Abandonment!H20</f>
        <v>92.489700000000013</v>
      </c>
      <c r="AL35" s="160">
        <f>Y35*Abandonment!H20</f>
        <v>29</v>
      </c>
      <c r="AM35" s="160">
        <f>Z35*Abandonment!H20</f>
        <v>0</v>
      </c>
      <c r="AN35" s="160">
        <f>AK35/'Sched &amp; Prod Assumptions'!$B$15+Production!AL35+AM35</f>
        <v>48.268687499999999</v>
      </c>
      <c r="AO35" s="160">
        <f t="shared" si="11"/>
        <v>132.24297945205478</v>
      </c>
      <c r="AP35" s="93"/>
      <c r="AQ35" s="93"/>
      <c r="AR35" s="93"/>
      <c r="AS35" s="93"/>
      <c r="AT35" s="93"/>
      <c r="AU35" s="93"/>
      <c r="AV35" s="93"/>
      <c r="AW35" s="93"/>
      <c r="AX35" s="93"/>
      <c r="AY35" s="93"/>
      <c r="AZ35" s="93"/>
      <c r="BA35" s="93"/>
      <c r="BB35" s="93"/>
      <c r="BC35" s="93"/>
      <c r="BD35" s="93"/>
      <c r="BE35" s="93"/>
      <c r="BF35" s="93"/>
      <c r="BG35" s="93"/>
      <c r="BH35" s="93"/>
      <c r="BI35" s="93"/>
      <c r="BJ35" s="93"/>
      <c r="BK35" s="93"/>
      <c r="BL35" s="93"/>
      <c r="BM35" s="93"/>
      <c r="BN35" s="93"/>
      <c r="BO35" s="93"/>
      <c r="BP35" s="93"/>
      <c r="BQ35" s="93"/>
    </row>
    <row r="36" spans="1:69">
      <c r="A36" s="159">
        <f t="shared" si="12"/>
        <v>2020</v>
      </c>
      <c r="B36" s="159">
        <f t="shared" si="3"/>
        <v>366</v>
      </c>
      <c r="C36" s="160">
        <f t="shared" si="13"/>
        <v>0</v>
      </c>
      <c r="D36" s="160">
        <f t="shared" si="0"/>
        <v>29.079452054794519</v>
      </c>
      <c r="E36" s="160">
        <f t="shared" si="4"/>
        <v>0</v>
      </c>
      <c r="F36" s="160">
        <f t="shared" si="14"/>
        <v>0</v>
      </c>
      <c r="G36" s="160">
        <f t="shared" si="1"/>
        <v>29.079452054794519</v>
      </c>
      <c r="H36" s="160">
        <f t="shared" si="5"/>
        <v>79.452054794520535</v>
      </c>
      <c r="I36" s="156"/>
      <c r="J36" s="160">
        <f>IF(AND(Input!$B$15=Lists!$Q$36,Input!$B$11="Oil"),0,G36*Input!$B$29/1000)</f>
        <v>96.930537534246568</v>
      </c>
      <c r="K36" s="160">
        <f t="shared" si="6"/>
        <v>264.83753424657527</v>
      </c>
      <c r="L36" s="156"/>
      <c r="M36" s="160">
        <f t="shared" si="7"/>
        <v>366</v>
      </c>
      <c r="N36" s="160">
        <f t="shared" si="8"/>
        <v>1</v>
      </c>
      <c r="O36" s="156"/>
      <c r="P36" s="160">
        <f>IF(Input!$B$11="Oil",MIN('Sched &amp; Prod Assumptions'!$C$19*'Sched &amp; Prod Assumptions'!$B$15*G36,J36),G36*'Sched &amp; Prod Assumptions'!$C$18)</f>
        <v>4.18744109589041</v>
      </c>
      <c r="Q36" s="160">
        <f>IF(Input!$B$11="Oil",IF(P36&lt;J36,0,Production!G36*'Sched &amp; Prod Assumptions'!$C$19-Production!P36/'Sched &amp; Prod Assumptions'!$C$17*Input!$B$28/1000),0)</f>
        <v>0</v>
      </c>
      <c r="R36" s="156"/>
      <c r="S36" s="160">
        <f t="shared" si="9"/>
        <v>6</v>
      </c>
      <c r="T36" s="479">
        <f>IF($S36=0,0,INDEX(Overrides!$L$47:$L$88,$S36+1,1)*$T$21+INDEX(Overrides!$L$47:$L$88,$S36,1)*$T$22)*'Sensitivity Ranges'!$F$41</f>
        <v>0</v>
      </c>
      <c r="U36" s="479">
        <f>IF($S36=0,0,INDEX(Overrides!$M$47:$M$88,$S36+1,1)*$T$21+INDEX(Overrides!$M$47:$M$88,$S36,1)*$T$22)*'Sensitivity Ranges'!$F$41</f>
        <v>0</v>
      </c>
      <c r="V36" s="479">
        <f>IF($S36=0,0,INDEX(Overrides!$N$47:$N$88,$S36+1,1)*$T$21+INDEX(Overrides!$N$47:$N$88,$S36,1)*$T$22)*'Sensitivity Ranges'!$F$41</f>
        <v>0</v>
      </c>
      <c r="W36" s="200"/>
      <c r="X36" s="160">
        <f>IF($T$20=1,T36,IF(Input!$B$11="Gas",G36,J36)-P36)</f>
        <v>92.743096438356162</v>
      </c>
      <c r="Y36" s="160">
        <f>IF($T$20=1,U36,IF(Input!$B$11="Gas",0,G36-Q36))</f>
        <v>29.079452054794519</v>
      </c>
      <c r="Z36" s="160">
        <f>IF($T$20=1,V36,IF(Input!$B$11="Gas",J36,0))</f>
        <v>0</v>
      </c>
      <c r="AA36" s="200"/>
      <c r="AB36" s="160">
        <f>X36*Abandonment!$H21</f>
        <v>92.743096438356162</v>
      </c>
      <c r="AC36" s="160">
        <f>Y36*Abandonment!$H21</f>
        <v>29.079452054794519</v>
      </c>
      <c r="AD36" s="160">
        <f>Z36*Abandonment!$H21</f>
        <v>0</v>
      </c>
      <c r="AE36" s="156"/>
      <c r="AF36" s="156"/>
      <c r="AG36" s="160">
        <f t="shared" si="10"/>
        <v>92.743096438356162</v>
      </c>
      <c r="AH36" s="160">
        <f t="shared" si="2"/>
        <v>29.079452054794519</v>
      </c>
      <c r="AI36" s="160">
        <f t="shared" si="2"/>
        <v>0</v>
      </c>
      <c r="AJ36" s="156"/>
      <c r="AK36" s="160">
        <f>X36*Abandonment!H21</f>
        <v>92.743096438356162</v>
      </c>
      <c r="AL36" s="160">
        <f>Y36*Abandonment!H21</f>
        <v>29.079452054794519</v>
      </c>
      <c r="AM36" s="160">
        <f>Z36*Abandonment!H21</f>
        <v>0</v>
      </c>
      <c r="AN36" s="160">
        <f>AK36/'Sched &amp; Prod Assumptions'!$B$15+Production!AL36+AM36</f>
        <v>48.400930479452057</v>
      </c>
      <c r="AO36" s="160">
        <f t="shared" si="11"/>
        <v>132.60528898480015</v>
      </c>
      <c r="AP36" s="93"/>
      <c r="AQ36" s="93"/>
      <c r="AR36" s="93"/>
      <c r="AS36" s="93"/>
      <c r="AT36" s="93"/>
      <c r="AU36" s="93"/>
      <c r="AV36" s="93"/>
      <c r="AW36" s="93"/>
      <c r="AX36" s="93"/>
      <c r="AY36" s="93"/>
      <c r="AZ36" s="93"/>
      <c r="BA36" s="93"/>
      <c r="BB36" s="93"/>
      <c r="BC36" s="93"/>
      <c r="BD36" s="93"/>
      <c r="BE36" s="93"/>
      <c r="BF36" s="93"/>
      <c r="BG36" s="93"/>
      <c r="BH36" s="93"/>
      <c r="BI36" s="93"/>
      <c r="BJ36" s="93"/>
      <c r="BK36" s="93"/>
      <c r="BL36" s="93"/>
      <c r="BM36" s="93"/>
      <c r="BN36" s="93"/>
      <c r="BO36" s="93"/>
      <c r="BP36" s="93"/>
      <c r="BQ36" s="93"/>
    </row>
    <row r="37" spans="1:69">
      <c r="A37" s="159">
        <f t="shared" si="12"/>
        <v>2021</v>
      </c>
      <c r="B37" s="159">
        <f t="shared" si="3"/>
        <v>365</v>
      </c>
      <c r="C37" s="160">
        <f t="shared" si="13"/>
        <v>0</v>
      </c>
      <c r="D37" s="160">
        <f t="shared" si="0"/>
        <v>8.2050579557430741</v>
      </c>
      <c r="E37" s="160">
        <f t="shared" si="4"/>
        <v>261.72944297081995</v>
      </c>
      <c r="F37" s="160">
        <f t="shared" si="14"/>
        <v>19.628981331378807</v>
      </c>
      <c r="G37" s="160">
        <f t="shared" si="1"/>
        <v>27.834039287121882</v>
      </c>
      <c r="H37" s="160">
        <f t="shared" si="5"/>
        <v>76.257641882525704</v>
      </c>
      <c r="I37" s="156"/>
      <c r="J37" s="160">
        <f>IF(AND(Input!$B$15=Lists!$Q$36,Input!$B$11="Oil"),0,G37*Input!$B$29/1000)</f>
        <v>92.779203155763369</v>
      </c>
      <c r="K37" s="160">
        <f t="shared" si="6"/>
        <v>254.18959768702294</v>
      </c>
      <c r="L37" s="156"/>
      <c r="M37" s="160">
        <f t="shared" si="7"/>
        <v>365</v>
      </c>
      <c r="N37" s="160">
        <f t="shared" si="8"/>
        <v>1</v>
      </c>
      <c r="O37" s="156"/>
      <c r="P37" s="160">
        <f>IF(Input!$B$11="Oil",MIN('Sched &amp; Prod Assumptions'!$C$19*'Sched &amp; Prod Assumptions'!$B$15*G37,J37),G37*'Sched &amp; Prod Assumptions'!$C$18)</f>
        <v>4.0081016573455504</v>
      </c>
      <c r="Q37" s="160">
        <f>IF(Input!$B$11="Oil",IF(P37&lt;J37,0,Production!G37*'Sched &amp; Prod Assumptions'!$C$19-Production!P37/'Sched &amp; Prod Assumptions'!$C$17*Input!$B$28/1000),0)</f>
        <v>0</v>
      </c>
      <c r="R37" s="156"/>
      <c r="S37" s="160">
        <f t="shared" si="9"/>
        <v>7</v>
      </c>
      <c r="T37" s="479">
        <f>IF($S37=0,0,INDEX(Overrides!$L$47:$L$88,$S37+1,1)*$T$21+INDEX(Overrides!$L$47:$L$88,$S37,1)*$T$22)*'Sensitivity Ranges'!$F$41</f>
        <v>0</v>
      </c>
      <c r="U37" s="479">
        <f>IF($S37=0,0,INDEX(Overrides!$M$47:$M$88,$S37+1,1)*$T$21+INDEX(Overrides!$M$47:$M$88,$S37,1)*$T$22)*'Sensitivity Ranges'!$F$41</f>
        <v>0</v>
      </c>
      <c r="V37" s="479">
        <f>IF($S37=0,0,INDEX(Overrides!$N$47:$N$88,$S37+1,1)*$T$21+INDEX(Overrides!$N$47:$N$88,$S37,1)*$T$22)*'Sensitivity Ranges'!$F$41</f>
        <v>0</v>
      </c>
      <c r="W37" s="200"/>
      <c r="X37" s="160">
        <f>IF($T$20=1,T37,IF(Input!$B$11="Gas",G37,J37)-P37)</f>
        <v>88.771101498417821</v>
      </c>
      <c r="Y37" s="160">
        <f>IF($T$20=1,U37,IF(Input!$B$11="Gas",0,G37-Q37))</f>
        <v>27.834039287121882</v>
      </c>
      <c r="Z37" s="160">
        <f>IF($T$20=1,V37,IF(Input!$B$11="Gas",J37,0))</f>
        <v>0</v>
      </c>
      <c r="AA37" s="200"/>
      <c r="AB37" s="160">
        <f>X37*Abandonment!$H22</f>
        <v>88.771101498417821</v>
      </c>
      <c r="AC37" s="160">
        <f>Y37*Abandonment!$H22</f>
        <v>27.834039287121882</v>
      </c>
      <c r="AD37" s="160">
        <f>Z37*Abandonment!$H22</f>
        <v>0</v>
      </c>
      <c r="AE37" s="156"/>
      <c r="AF37" s="156"/>
      <c r="AG37" s="160">
        <f t="shared" si="10"/>
        <v>88.771101498417821</v>
      </c>
      <c r="AH37" s="160">
        <f t="shared" si="2"/>
        <v>27.834039287121882</v>
      </c>
      <c r="AI37" s="160">
        <f t="shared" si="2"/>
        <v>0</v>
      </c>
      <c r="AJ37" s="156"/>
      <c r="AK37" s="160">
        <f>X37*Abandonment!H22</f>
        <v>88.771101498417821</v>
      </c>
      <c r="AL37" s="160">
        <f>Y37*Abandonment!H22</f>
        <v>27.834039287121882</v>
      </c>
      <c r="AM37" s="160">
        <f>Z37*Abandonment!H22</f>
        <v>0</v>
      </c>
      <c r="AN37" s="160">
        <f>AK37/'Sched &amp; Prod Assumptions'!$B$15+Production!AL37+AM37</f>
        <v>46.32801876595893</v>
      </c>
      <c r="AO37" s="160">
        <f t="shared" si="11"/>
        <v>126.92607881084639</v>
      </c>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row>
    <row r="38" spans="1:69">
      <c r="A38" s="159">
        <f t="shared" si="12"/>
        <v>2022</v>
      </c>
      <c r="B38" s="159">
        <f t="shared" si="3"/>
        <v>365</v>
      </c>
      <c r="C38" s="160">
        <f t="shared" si="13"/>
        <v>0</v>
      </c>
      <c r="D38" s="160">
        <f t="shared" si="0"/>
        <v>0</v>
      </c>
      <c r="E38" s="160">
        <f t="shared" si="4"/>
        <v>626.72944297081995</v>
      </c>
      <c r="F38" s="160">
        <f t="shared" si="14"/>
        <v>23.82176560599903</v>
      </c>
      <c r="G38" s="160">
        <f t="shared" si="1"/>
        <v>23.82176560599903</v>
      </c>
      <c r="H38" s="160">
        <f t="shared" si="5"/>
        <v>65.265111249312412</v>
      </c>
      <c r="I38" s="156"/>
      <c r="J38" s="160">
        <f>IF(AND(Input!$B$15=Lists!$Q$36,Input!$B$11="Oil"),0,G38*Input!$B$29/1000)</f>
        <v>79.405091294476577</v>
      </c>
      <c r="K38" s="160">
        <f t="shared" si="6"/>
        <v>217.54819532733308</v>
      </c>
      <c r="L38" s="156"/>
      <c r="M38" s="160">
        <f t="shared" si="7"/>
        <v>365</v>
      </c>
      <c r="N38" s="160">
        <f t="shared" si="8"/>
        <v>1</v>
      </c>
      <c r="O38" s="156"/>
      <c r="P38" s="160">
        <f>IF(Input!$B$11="Oil",MIN('Sched &amp; Prod Assumptions'!$C$19*'Sched &amp; Prod Assumptions'!$B$15*G38,J38),G38*'Sched &amp; Prod Assumptions'!$C$18)</f>
        <v>3.4303342472638598</v>
      </c>
      <c r="Q38" s="160">
        <f>IF(Input!$B$11="Oil",IF(P38&lt;J38,0,Production!G38*'Sched &amp; Prod Assumptions'!$C$19-Production!P38/'Sched &amp; Prod Assumptions'!$C$17*Input!$B$28/1000),0)</f>
        <v>0</v>
      </c>
      <c r="R38" s="156"/>
      <c r="S38" s="160">
        <f t="shared" si="9"/>
        <v>8</v>
      </c>
      <c r="T38" s="479">
        <f>IF($S38=0,0,INDEX(Overrides!$L$47:$L$88,$S38+1,1)*$T$21+INDEX(Overrides!$L$47:$L$88,$S38,1)*$T$22)*'Sensitivity Ranges'!$F$41</f>
        <v>0</v>
      </c>
      <c r="U38" s="479">
        <f>IF($S38=0,0,INDEX(Overrides!$M$47:$M$88,$S38+1,1)*$T$21+INDEX(Overrides!$M$47:$M$88,$S38,1)*$T$22)*'Sensitivity Ranges'!$F$41</f>
        <v>0</v>
      </c>
      <c r="V38" s="479">
        <f>IF($S38=0,0,INDEX(Overrides!$N$47:$N$88,$S38+1,1)*$T$21+INDEX(Overrides!$N$47:$N$88,$S38,1)*$T$22)*'Sensitivity Ranges'!$F$41</f>
        <v>0</v>
      </c>
      <c r="W38" s="200"/>
      <c r="X38" s="160">
        <f>IF($T$20=1,T38,IF(Input!$B$11="Gas",G38,J38)-P38)</f>
        <v>75.974757047212719</v>
      </c>
      <c r="Y38" s="160">
        <f>IF($T$20=1,U38,IF(Input!$B$11="Gas",0,G38-Q38))</f>
        <v>23.82176560599903</v>
      </c>
      <c r="Z38" s="160">
        <f>IF($T$20=1,V38,IF(Input!$B$11="Gas",J38,0))</f>
        <v>0</v>
      </c>
      <c r="AA38" s="200"/>
      <c r="AB38" s="160">
        <f>X38*Abandonment!$H23</f>
        <v>75.974757047212719</v>
      </c>
      <c r="AC38" s="160">
        <f>Y38*Abandonment!$H23</f>
        <v>23.82176560599903</v>
      </c>
      <c r="AD38" s="160">
        <f>Z38*Abandonment!$H23</f>
        <v>0</v>
      </c>
      <c r="AE38" s="156"/>
      <c r="AF38" s="156"/>
      <c r="AG38" s="160">
        <f t="shared" si="10"/>
        <v>75.974757047212719</v>
      </c>
      <c r="AH38" s="160">
        <f t="shared" si="2"/>
        <v>23.82176560599903</v>
      </c>
      <c r="AI38" s="160">
        <f t="shared" si="2"/>
        <v>0</v>
      </c>
      <c r="AJ38" s="156"/>
      <c r="AK38" s="160">
        <f>X38*Abandonment!H23</f>
        <v>75.974757047212719</v>
      </c>
      <c r="AL38" s="160">
        <f>Y38*Abandonment!H23</f>
        <v>23.82176560599903</v>
      </c>
      <c r="AM38" s="160">
        <f>Z38*Abandonment!H23</f>
        <v>0</v>
      </c>
      <c r="AN38" s="160">
        <f>AK38/'Sched &amp; Prod Assumptions'!$B$15+Production!AL38+AM38</f>
        <v>39.649839990835012</v>
      </c>
      <c r="AO38" s="160">
        <f t="shared" si="11"/>
        <v>108.62969860502743</v>
      </c>
      <c r="AP38" s="93"/>
      <c r="AQ38" s="93"/>
      <c r="AR38" s="93"/>
      <c r="AS38" s="93"/>
      <c r="AT38" s="93"/>
      <c r="AU38" s="93"/>
      <c r="AV38" s="93"/>
      <c r="AW38" s="93"/>
      <c r="AX38" s="93"/>
      <c r="AY38" s="93"/>
      <c r="AZ38" s="93"/>
      <c r="BA38" s="93"/>
      <c r="BB38" s="93"/>
      <c r="BC38" s="93"/>
      <c r="BD38" s="93"/>
      <c r="BE38" s="93"/>
      <c r="BF38" s="93"/>
      <c r="BG38" s="93"/>
      <c r="BH38" s="93"/>
      <c r="BI38" s="93"/>
      <c r="BJ38" s="93"/>
      <c r="BK38" s="93"/>
      <c r="BL38" s="93"/>
      <c r="BM38" s="93"/>
      <c r="BN38" s="93"/>
      <c r="BO38" s="93"/>
      <c r="BP38" s="93"/>
      <c r="BQ38" s="93"/>
    </row>
    <row r="39" spans="1:69">
      <c r="A39" s="159">
        <f t="shared" si="12"/>
        <v>2023</v>
      </c>
      <c r="B39" s="159">
        <f t="shared" si="3"/>
        <v>365</v>
      </c>
      <c r="C39" s="160">
        <f t="shared" si="13"/>
        <v>0</v>
      </c>
      <c r="D39" s="160">
        <f t="shared" si="0"/>
        <v>0</v>
      </c>
      <c r="E39" s="160">
        <f t="shared" si="4"/>
        <v>991.72944297081995</v>
      </c>
      <c r="F39" s="160">
        <f t="shared" si="14"/>
        <v>20.248500765099166</v>
      </c>
      <c r="G39" s="160">
        <f t="shared" si="1"/>
        <v>20.248500765099166</v>
      </c>
      <c r="H39" s="160">
        <f t="shared" si="5"/>
        <v>55.475344561915527</v>
      </c>
      <c r="I39" s="156"/>
      <c r="J39" s="160">
        <f>IF(AND(Input!$B$15=Lists!$Q$36,Input!$B$11="Oil"),0,G39*Input!$B$29/1000)</f>
        <v>67.494327600305056</v>
      </c>
      <c r="K39" s="160">
        <f t="shared" si="6"/>
        <v>184.91596602823304</v>
      </c>
      <c r="L39" s="156"/>
      <c r="M39" s="160">
        <f t="shared" si="7"/>
        <v>365</v>
      </c>
      <c r="N39" s="160">
        <f t="shared" si="8"/>
        <v>1</v>
      </c>
      <c r="O39" s="156"/>
      <c r="P39" s="160">
        <f>IF(Input!$B$11="Oil",MIN('Sched &amp; Prod Assumptions'!$C$19*'Sched &amp; Prod Assumptions'!$B$15*G39,J39),G39*'Sched &amp; Prod Assumptions'!$C$18)</f>
        <v>2.9157841101742799</v>
      </c>
      <c r="Q39" s="160">
        <f>IF(Input!$B$11="Oil",IF(P39&lt;J39,0,Production!G39*'Sched &amp; Prod Assumptions'!$C$19-Production!P39/'Sched &amp; Prod Assumptions'!$C$17*Input!$B$28/1000),0)</f>
        <v>0</v>
      </c>
      <c r="R39" s="156"/>
      <c r="S39" s="160">
        <f t="shared" si="9"/>
        <v>9</v>
      </c>
      <c r="T39" s="479">
        <f>IF($S39=0,0,INDEX(Overrides!$L$47:$L$88,$S39+1,1)*$T$21+INDEX(Overrides!$L$47:$L$88,$S39,1)*$T$22)*'Sensitivity Ranges'!$F$41</f>
        <v>0</v>
      </c>
      <c r="U39" s="479">
        <f>IF($S39=0,0,INDEX(Overrides!$M$47:$M$88,$S39+1,1)*$T$21+INDEX(Overrides!$M$47:$M$88,$S39,1)*$T$22)*'Sensitivity Ranges'!$F$41</f>
        <v>0</v>
      </c>
      <c r="V39" s="479">
        <f>IF($S39=0,0,INDEX(Overrides!$N$47:$N$88,$S39+1,1)*$T$21+INDEX(Overrides!$N$47:$N$88,$S39,1)*$T$22)*'Sensitivity Ranges'!$F$41</f>
        <v>0</v>
      </c>
      <c r="W39" s="200"/>
      <c r="X39" s="160">
        <f>IF($T$20=1,T39,IF(Input!$B$11="Gas",G39,J39)-P39)</f>
        <v>64.57854349013077</v>
      </c>
      <c r="Y39" s="160">
        <f>IF($T$20=1,U39,IF(Input!$B$11="Gas",0,G39-Q39))</f>
        <v>20.248500765099166</v>
      </c>
      <c r="Z39" s="160">
        <f>IF($T$20=1,V39,IF(Input!$B$11="Gas",J39,0))</f>
        <v>0</v>
      </c>
      <c r="AA39" s="200"/>
      <c r="AB39" s="160">
        <f>X39*Abandonment!$H24</f>
        <v>64.57854349013077</v>
      </c>
      <c r="AC39" s="160">
        <f>Y39*Abandonment!$H24</f>
        <v>20.248500765099166</v>
      </c>
      <c r="AD39" s="160">
        <f>Z39*Abandonment!$H24</f>
        <v>0</v>
      </c>
      <c r="AE39" s="156"/>
      <c r="AF39" s="156"/>
      <c r="AG39" s="160">
        <f t="shared" si="10"/>
        <v>64.57854349013077</v>
      </c>
      <c r="AH39" s="160">
        <f t="shared" si="2"/>
        <v>20.248500765099166</v>
      </c>
      <c r="AI39" s="160">
        <f t="shared" si="2"/>
        <v>0</v>
      </c>
      <c r="AJ39" s="156"/>
      <c r="AK39" s="160">
        <f>X39*Abandonment!H24</f>
        <v>64.57854349013077</v>
      </c>
      <c r="AL39" s="160">
        <f>Y39*Abandonment!H24</f>
        <v>20.248500765099166</v>
      </c>
      <c r="AM39" s="160">
        <f>Z39*Abandonment!H24</f>
        <v>0</v>
      </c>
      <c r="AN39" s="160">
        <f>AK39/'Sched &amp; Prod Assumptions'!$B$15+Production!AL39+AM39</f>
        <v>33.70236399220974</v>
      </c>
      <c r="AO39" s="160">
        <f t="shared" si="11"/>
        <v>92.335243814273269</v>
      </c>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row>
    <row r="40" spans="1:69">
      <c r="A40" s="159">
        <f t="shared" si="12"/>
        <v>2024</v>
      </c>
      <c r="B40" s="159">
        <f t="shared" si="3"/>
        <v>366</v>
      </c>
      <c r="C40" s="160">
        <f t="shared" si="13"/>
        <v>0</v>
      </c>
      <c r="D40" s="160">
        <f t="shared" si="0"/>
        <v>0</v>
      </c>
      <c r="E40" s="160">
        <f t="shared" si="4"/>
        <v>1357.7294429708199</v>
      </c>
      <c r="F40" s="160">
        <f t="shared" si="14"/>
        <v>17.25464205644338</v>
      </c>
      <c r="G40" s="160">
        <f t="shared" si="1"/>
        <v>17.25464205644338</v>
      </c>
      <c r="H40" s="160">
        <f t="shared" si="5"/>
        <v>47.143830755309786</v>
      </c>
      <c r="I40" s="156"/>
      <c r="J40" s="160">
        <f>IF(AND(Input!$B$15=Lists!$Q$36,Input!$B$11="Oil"),0,G40*Input!$B$29/1000)</f>
        <v>57.51489836674272</v>
      </c>
      <c r="K40" s="160">
        <f t="shared" si="6"/>
        <v>157.14453105667408</v>
      </c>
      <c r="L40" s="156"/>
      <c r="M40" s="160">
        <f t="shared" si="7"/>
        <v>366</v>
      </c>
      <c r="N40" s="160">
        <f t="shared" si="8"/>
        <v>1</v>
      </c>
      <c r="O40" s="156"/>
      <c r="P40" s="160">
        <f>IF(Input!$B$11="Oil",MIN('Sched &amp; Prod Assumptions'!$C$19*'Sched &amp; Prod Assumptions'!$B$15*G40,J40),G40*'Sched &amp; Prod Assumptions'!$C$18)</f>
        <v>2.4846684561278467</v>
      </c>
      <c r="Q40" s="160">
        <f>IF(Input!$B$11="Oil",IF(P40&lt;J40,0,Production!G40*'Sched &amp; Prod Assumptions'!$C$19-Production!P40/'Sched &amp; Prod Assumptions'!$C$17*Input!$B$28/1000),0)</f>
        <v>0</v>
      </c>
      <c r="R40" s="156"/>
      <c r="S40" s="160">
        <f t="shared" si="9"/>
        <v>10</v>
      </c>
      <c r="T40" s="479">
        <f>IF($S40=0,0,INDEX(Overrides!$L$47:$L$88,$S40+1,1)*$T$21+INDEX(Overrides!$L$47:$L$88,$S40,1)*$T$22)*'Sensitivity Ranges'!$F$41</f>
        <v>0</v>
      </c>
      <c r="U40" s="479">
        <f>IF($S40=0,0,INDEX(Overrides!$M$47:$M$88,$S40+1,1)*$T$21+INDEX(Overrides!$M$47:$M$88,$S40,1)*$T$22)*'Sensitivity Ranges'!$F$41</f>
        <v>0</v>
      </c>
      <c r="V40" s="479">
        <f>IF($S40=0,0,INDEX(Overrides!$N$47:$N$88,$S40+1,1)*$T$21+INDEX(Overrides!$N$47:$N$88,$S40,1)*$T$22)*'Sensitivity Ranges'!$F$41</f>
        <v>0</v>
      </c>
      <c r="W40" s="200"/>
      <c r="X40" s="160">
        <f>IF($T$20=1,T40,IF(Input!$B$11="Gas",G40,J40)-P40)</f>
        <v>55.030229910614871</v>
      </c>
      <c r="Y40" s="160">
        <f>IF($T$20=1,U40,IF(Input!$B$11="Gas",0,G40-Q40))</f>
        <v>17.25464205644338</v>
      </c>
      <c r="Z40" s="160">
        <f>IF($T$20=1,V40,IF(Input!$B$11="Gas",J40,0))</f>
        <v>0</v>
      </c>
      <c r="AA40" s="200"/>
      <c r="AB40" s="160">
        <f>X40*Abandonment!$H25</f>
        <v>55.030229910614871</v>
      </c>
      <c r="AC40" s="160">
        <f>Y40*Abandonment!$H25</f>
        <v>17.25464205644338</v>
      </c>
      <c r="AD40" s="160">
        <f>Z40*Abandonment!$H25</f>
        <v>0</v>
      </c>
      <c r="AE40" s="156"/>
      <c r="AF40" s="156"/>
      <c r="AG40" s="160">
        <f t="shared" si="10"/>
        <v>55.030229910614871</v>
      </c>
      <c r="AH40" s="160">
        <f t="shared" si="2"/>
        <v>17.25464205644338</v>
      </c>
      <c r="AI40" s="160">
        <f t="shared" si="2"/>
        <v>0</v>
      </c>
      <c r="AJ40" s="156"/>
      <c r="AK40" s="160">
        <f>X40*Abandonment!H25</f>
        <v>55.030229910614871</v>
      </c>
      <c r="AL40" s="160">
        <f>Y40*Abandonment!H25</f>
        <v>17.25464205644338</v>
      </c>
      <c r="AM40" s="160">
        <f>Z40*Abandonment!H25</f>
        <v>0</v>
      </c>
      <c r="AN40" s="160">
        <f>AK40/'Sched &amp; Prod Assumptions'!$B$15+Production!AL40+AM40</f>
        <v>28.71927328782148</v>
      </c>
      <c r="AO40" s="160">
        <f t="shared" si="11"/>
        <v>78.6829405145794</v>
      </c>
      <c r="AP40" s="93"/>
      <c r="AQ40" s="93"/>
      <c r="AR40" s="93"/>
      <c r="AS40" s="93"/>
      <c r="AT40" s="93"/>
      <c r="AU40" s="93"/>
      <c r="AV40" s="93"/>
      <c r="AW40" s="93"/>
      <c r="AX40" s="93"/>
      <c r="AY40" s="93"/>
      <c r="AZ40" s="93"/>
      <c r="BA40" s="93"/>
      <c r="BB40" s="93"/>
      <c r="BC40" s="93"/>
      <c r="BD40" s="93"/>
      <c r="BE40" s="93"/>
      <c r="BF40" s="93"/>
      <c r="BG40" s="93"/>
      <c r="BH40" s="93"/>
      <c r="BI40" s="93"/>
      <c r="BJ40" s="93"/>
      <c r="BK40" s="93"/>
      <c r="BL40" s="93"/>
      <c r="BM40" s="93"/>
      <c r="BN40" s="93"/>
      <c r="BO40" s="93"/>
      <c r="BP40" s="93"/>
      <c r="BQ40" s="93"/>
    </row>
    <row r="41" spans="1:69">
      <c r="A41" s="159">
        <f t="shared" si="12"/>
        <v>2025</v>
      </c>
      <c r="B41" s="159">
        <f t="shared" si="3"/>
        <v>365</v>
      </c>
      <c r="C41" s="160">
        <f t="shared" si="13"/>
        <v>0</v>
      </c>
      <c r="D41" s="160">
        <f t="shared" si="0"/>
        <v>0</v>
      </c>
      <c r="E41" s="160">
        <f t="shared" si="4"/>
        <v>1722.7294429708199</v>
      </c>
      <c r="F41" s="160">
        <f t="shared" si="14"/>
        <v>14.623029341867792</v>
      </c>
      <c r="G41" s="160">
        <f t="shared" si="1"/>
        <v>14.623029341867792</v>
      </c>
      <c r="H41" s="160">
        <f t="shared" si="5"/>
        <v>40.063094087309018</v>
      </c>
      <c r="I41" s="156"/>
      <c r="J41" s="160">
        <f>IF(AND(Input!$B$15=Lists!$Q$36,Input!$B$11="Oil"),0,G41*Input!$B$29/1000)</f>
        <v>48.74294370524791</v>
      </c>
      <c r="K41" s="160">
        <f t="shared" si="6"/>
        <v>133.54231152122713</v>
      </c>
      <c r="L41" s="156"/>
      <c r="M41" s="160">
        <f t="shared" si="7"/>
        <v>365</v>
      </c>
      <c r="N41" s="160">
        <f t="shared" si="8"/>
        <v>1</v>
      </c>
      <c r="O41" s="156"/>
      <c r="P41" s="160">
        <f>IF(Input!$B$11="Oil",MIN('Sched &amp; Prod Assumptions'!$C$19*'Sched &amp; Prod Assumptions'!$B$15*G41,J41),G41*'Sched &amp; Prod Assumptions'!$C$18)</f>
        <v>2.1057162252289618</v>
      </c>
      <c r="Q41" s="160">
        <f>IF(Input!$B$11="Oil",IF(P41&lt;J41,0,Production!G41*'Sched &amp; Prod Assumptions'!$C$19-Production!P41/'Sched &amp; Prod Assumptions'!$C$17*Input!$B$28/1000),0)</f>
        <v>0</v>
      </c>
      <c r="R41" s="156"/>
      <c r="S41" s="160">
        <f t="shared" si="9"/>
        <v>11</v>
      </c>
      <c r="T41" s="479">
        <f>IF($S41=0,0,INDEX(Overrides!$L$47:$L$88,$S41+1,1)*$T$21+INDEX(Overrides!$L$47:$L$88,$S41,1)*$T$22)*'Sensitivity Ranges'!$F$41</f>
        <v>0</v>
      </c>
      <c r="U41" s="479">
        <f>IF($S41=0,0,INDEX(Overrides!$M$47:$M$88,$S41+1,1)*$T$21+INDEX(Overrides!$M$47:$M$88,$S41,1)*$T$22)*'Sensitivity Ranges'!$F$41</f>
        <v>0</v>
      </c>
      <c r="V41" s="479">
        <f>IF($S41=0,0,INDEX(Overrides!$N$47:$N$88,$S41+1,1)*$T$21+INDEX(Overrides!$N$47:$N$88,$S41,1)*$T$22)*'Sensitivity Ranges'!$F$41</f>
        <v>0</v>
      </c>
      <c r="W41" s="200"/>
      <c r="X41" s="160">
        <f>IF($T$20=1,T41,IF(Input!$B$11="Gas",G41,J41)-P41)</f>
        <v>46.63722748001895</v>
      </c>
      <c r="Y41" s="160">
        <f>IF($T$20=1,U41,IF(Input!$B$11="Gas",0,G41-Q41))</f>
        <v>14.623029341867792</v>
      </c>
      <c r="Z41" s="160">
        <f>IF($T$20=1,V41,IF(Input!$B$11="Gas",J41,0))</f>
        <v>0</v>
      </c>
      <c r="AA41" s="200"/>
      <c r="AB41" s="160">
        <f>X41*Abandonment!$H26</f>
        <v>46.63722748001895</v>
      </c>
      <c r="AC41" s="160">
        <f>Y41*Abandonment!$H26</f>
        <v>14.623029341867792</v>
      </c>
      <c r="AD41" s="160">
        <f>Z41*Abandonment!$H26</f>
        <v>0</v>
      </c>
      <c r="AE41" s="156"/>
      <c r="AF41" s="156"/>
      <c r="AG41" s="160">
        <f t="shared" si="10"/>
        <v>46.63722748001895</v>
      </c>
      <c r="AH41" s="160">
        <f t="shared" si="2"/>
        <v>14.623029341867792</v>
      </c>
      <c r="AI41" s="160">
        <f t="shared" si="2"/>
        <v>0</v>
      </c>
      <c r="AJ41" s="156"/>
      <c r="AK41" s="160">
        <f>X41*Abandonment!H26</f>
        <v>46.63722748001895</v>
      </c>
      <c r="AL41" s="160">
        <f>Y41*Abandonment!H26</f>
        <v>14.623029341867792</v>
      </c>
      <c r="AM41" s="160">
        <f>Z41*Abandonment!H26</f>
        <v>0</v>
      </c>
      <c r="AN41" s="160">
        <f>AK41/'Sched &amp; Prod Assumptions'!$B$15+Production!AL41+AM41</f>
        <v>24.339118400205074</v>
      </c>
      <c r="AO41" s="160">
        <f t="shared" si="11"/>
        <v>66.682516164945412</v>
      </c>
      <c r="AP41" s="93"/>
      <c r="AQ41" s="93"/>
      <c r="AR41" s="93"/>
      <c r="AS41" s="93"/>
      <c r="AT41" s="93"/>
      <c r="AU41" s="93"/>
      <c r="AV41" s="93"/>
      <c r="AW41" s="93"/>
      <c r="AX41" s="93"/>
      <c r="AY41" s="93"/>
      <c r="AZ41" s="93"/>
      <c r="BA41" s="93"/>
      <c r="BB41" s="93"/>
      <c r="BC41" s="93"/>
      <c r="BD41" s="93"/>
      <c r="BE41" s="93"/>
      <c r="BF41" s="93"/>
      <c r="BG41" s="93"/>
      <c r="BH41" s="93"/>
      <c r="BI41" s="93"/>
      <c r="BJ41" s="93"/>
      <c r="BK41" s="93"/>
      <c r="BL41" s="93"/>
      <c r="BM41" s="93"/>
      <c r="BN41" s="93"/>
      <c r="BO41" s="93"/>
      <c r="BP41" s="93"/>
      <c r="BQ41" s="93"/>
    </row>
    <row r="42" spans="1:69">
      <c r="A42" s="159">
        <f t="shared" si="12"/>
        <v>2026</v>
      </c>
      <c r="B42" s="159">
        <f t="shared" si="3"/>
        <v>365</v>
      </c>
      <c r="C42" s="160">
        <f t="shared" si="13"/>
        <v>0</v>
      </c>
      <c r="D42" s="160">
        <f t="shared" si="0"/>
        <v>0</v>
      </c>
      <c r="E42" s="160">
        <f t="shared" si="4"/>
        <v>2087.7294429708199</v>
      </c>
      <c r="F42" s="160">
        <f t="shared" si="14"/>
        <v>12.429574940587624</v>
      </c>
      <c r="G42" s="160">
        <f t="shared" si="1"/>
        <v>12.429574940587624</v>
      </c>
      <c r="H42" s="160">
        <f t="shared" si="5"/>
        <v>34.053629974212669</v>
      </c>
      <c r="I42" s="156"/>
      <c r="J42" s="160">
        <f>IF(AND(Input!$B$15=Lists!$Q$36,Input!$B$11="Oil"),0,G42*Input!$B$29/1000)</f>
        <v>41.431502149460727</v>
      </c>
      <c r="K42" s="160">
        <f t="shared" si="6"/>
        <v>113.51096479304309</v>
      </c>
      <c r="L42" s="156"/>
      <c r="M42" s="160">
        <f t="shared" si="7"/>
        <v>365</v>
      </c>
      <c r="N42" s="160">
        <f t="shared" si="8"/>
        <v>1</v>
      </c>
      <c r="O42" s="156"/>
      <c r="P42" s="160">
        <f>IF(Input!$B$11="Oil",MIN('Sched &amp; Prod Assumptions'!$C$19*'Sched &amp; Prod Assumptions'!$B$15*G42,J42),G42*'Sched &amp; Prod Assumptions'!$C$18)</f>
        <v>1.7898587914446178</v>
      </c>
      <c r="Q42" s="160">
        <f>IF(Input!$B$11="Oil",IF(P42&lt;J42,0,Production!G42*'Sched &amp; Prod Assumptions'!$C$19-Production!P42/'Sched &amp; Prod Assumptions'!$C$17*Input!$B$28/1000),0)</f>
        <v>0</v>
      </c>
      <c r="R42" s="156"/>
      <c r="S42" s="160">
        <f t="shared" si="9"/>
        <v>12</v>
      </c>
      <c r="T42" s="479">
        <f>IF($S42=0,0,INDEX(Overrides!$L$47:$L$88,$S42+1,1)*$T$21+INDEX(Overrides!$L$47:$L$88,$S42,1)*$T$22)*'Sensitivity Ranges'!$F$41</f>
        <v>0</v>
      </c>
      <c r="U42" s="479">
        <f>IF($S42=0,0,INDEX(Overrides!$M$47:$M$88,$S42+1,1)*$T$21+INDEX(Overrides!$M$47:$M$88,$S42,1)*$T$22)*'Sensitivity Ranges'!$F$41</f>
        <v>0</v>
      </c>
      <c r="V42" s="479">
        <f>IF($S42=0,0,INDEX(Overrides!$N$47:$N$88,$S42+1,1)*$T$21+INDEX(Overrides!$N$47:$N$88,$S42,1)*$T$22)*'Sensitivity Ranges'!$F$41</f>
        <v>0</v>
      </c>
      <c r="W42" s="200"/>
      <c r="X42" s="160">
        <f>IF($T$20=1,T42,IF(Input!$B$11="Gas",G42,J42)-P42)</f>
        <v>39.641643358016111</v>
      </c>
      <c r="Y42" s="160">
        <f>IF($T$20=1,U42,IF(Input!$B$11="Gas",0,G42-Q42))</f>
        <v>12.429574940587624</v>
      </c>
      <c r="Z42" s="160">
        <f>IF($T$20=1,V42,IF(Input!$B$11="Gas",J42,0))</f>
        <v>0</v>
      </c>
      <c r="AA42" s="200"/>
      <c r="AB42" s="160">
        <f>X42*Abandonment!$H27</f>
        <v>39.641643358016111</v>
      </c>
      <c r="AC42" s="160">
        <f>Y42*Abandonment!$H27</f>
        <v>12.429574940587624</v>
      </c>
      <c r="AD42" s="160">
        <f>Z42*Abandonment!$H27</f>
        <v>0</v>
      </c>
      <c r="AE42" s="156"/>
      <c r="AF42" s="156"/>
      <c r="AG42" s="160">
        <f t="shared" si="10"/>
        <v>39.641643358016111</v>
      </c>
      <c r="AH42" s="160">
        <f t="shared" si="2"/>
        <v>12.429574940587624</v>
      </c>
      <c r="AI42" s="160">
        <f t="shared" si="2"/>
        <v>0</v>
      </c>
      <c r="AJ42" s="156"/>
      <c r="AK42" s="160">
        <f>X42*Abandonment!H27</f>
        <v>39.641643358016111</v>
      </c>
      <c r="AL42" s="160">
        <f>Y42*Abandonment!H27</f>
        <v>12.429574940587624</v>
      </c>
      <c r="AM42" s="160">
        <f>Z42*Abandonment!H27</f>
        <v>0</v>
      </c>
      <c r="AN42" s="160">
        <f>AK42/'Sched &amp; Prod Assumptions'!$B$15+Production!AL42+AM42</f>
        <v>20.688250640174317</v>
      </c>
      <c r="AO42" s="160">
        <f t="shared" si="11"/>
        <v>56.68013874020361</v>
      </c>
      <c r="AP42" s="93"/>
      <c r="AQ42" s="93"/>
      <c r="AR42" s="93"/>
      <c r="AS42" s="93"/>
      <c r="AT42" s="93"/>
      <c r="AU42" s="93"/>
      <c r="AV42" s="93"/>
      <c r="AW42" s="93"/>
      <c r="AX42" s="93"/>
      <c r="AY42" s="93"/>
      <c r="AZ42" s="93"/>
      <c r="BA42" s="93"/>
      <c r="BB42" s="93"/>
      <c r="BC42" s="93"/>
      <c r="BD42" s="93"/>
      <c r="BE42" s="93"/>
      <c r="BF42" s="93"/>
      <c r="BG42" s="93"/>
      <c r="BH42" s="93"/>
      <c r="BI42" s="93"/>
      <c r="BJ42" s="93"/>
      <c r="BK42" s="93"/>
      <c r="BL42" s="93"/>
      <c r="BM42" s="93"/>
      <c r="BN42" s="93"/>
      <c r="BO42" s="93"/>
      <c r="BP42" s="93"/>
      <c r="BQ42" s="93"/>
    </row>
    <row r="43" spans="1:69">
      <c r="A43" s="159">
        <f t="shared" si="12"/>
        <v>2027</v>
      </c>
      <c r="B43" s="159">
        <f t="shared" si="3"/>
        <v>365</v>
      </c>
      <c r="C43" s="160">
        <f t="shared" si="13"/>
        <v>0</v>
      </c>
      <c r="D43" s="160">
        <f t="shared" ref="D43:D70" si="15">IF($B$8&lt;$B$7,0,IF(A43&lt;$D$21,0,IF(A43=$D$21,(IF(A43=$D$22,$B$22,DATE(A43,12,31))-$B$21)*$B$11/1000,IF(A43&lt;$D$22,B43/1000*$B$11,IF(A43=$D$22,($B$22-DATE(A43-1,12,31))*$B$11/1000,0)))))</f>
        <v>0</v>
      </c>
      <c r="E43" s="160">
        <f t="shared" si="4"/>
        <v>2452.7294429708199</v>
      </c>
      <c r="F43" s="160">
        <f t="shared" si="14"/>
        <v>10.565138699499485</v>
      </c>
      <c r="G43" s="160">
        <f t="shared" si="1"/>
        <v>10.565138699499485</v>
      </c>
      <c r="H43" s="160">
        <f t="shared" si="5"/>
        <v>28.945585478080783</v>
      </c>
      <c r="I43" s="156"/>
      <c r="J43" s="160">
        <f>IF(AND(Input!$B$15=Lists!$Q$36,Input!$B$11="Oil"),0,G43*Input!$B$29/1000)</f>
        <v>35.216776827041635</v>
      </c>
      <c r="K43" s="160">
        <f t="shared" si="6"/>
        <v>96.484320074086668</v>
      </c>
      <c r="L43" s="156"/>
      <c r="M43" s="160">
        <f t="shared" si="7"/>
        <v>365</v>
      </c>
      <c r="N43" s="160">
        <f t="shared" si="8"/>
        <v>1</v>
      </c>
      <c r="O43" s="156"/>
      <c r="P43" s="160">
        <f>IF(Input!$B$11="Oil",MIN('Sched &amp; Prod Assumptions'!$C$19*'Sched &amp; Prod Assumptions'!$B$15*G43,J43),G43*'Sched &amp; Prod Assumptions'!$C$18)</f>
        <v>1.5213799727279258</v>
      </c>
      <c r="Q43" s="160">
        <f>IF(Input!$B$11="Oil",IF(P43&lt;J43,0,Production!G43*'Sched &amp; Prod Assumptions'!$C$19-Production!P43/'Sched &amp; Prod Assumptions'!$C$17*Input!$B$28/1000),0)</f>
        <v>0</v>
      </c>
      <c r="R43" s="156"/>
      <c r="S43" s="160">
        <f t="shared" si="9"/>
        <v>13</v>
      </c>
      <c r="T43" s="479">
        <f>IF($S43=0,0,INDEX(Overrides!$L$47:$L$88,$S43+1,1)*$T$21+INDEX(Overrides!$L$47:$L$88,$S43,1)*$T$22)*'Sensitivity Ranges'!$F$41</f>
        <v>0</v>
      </c>
      <c r="U43" s="479">
        <f>IF($S43=0,0,INDEX(Overrides!$M$47:$M$88,$S43+1,1)*$T$21+INDEX(Overrides!$M$47:$M$88,$S43,1)*$T$22)*'Sensitivity Ranges'!$F$41</f>
        <v>0</v>
      </c>
      <c r="V43" s="479">
        <f>IF($S43=0,0,INDEX(Overrides!$N$47:$N$88,$S43+1,1)*$T$21+INDEX(Overrides!$N$47:$N$88,$S43,1)*$T$22)*'Sensitivity Ranges'!$F$41</f>
        <v>0</v>
      </c>
      <c r="W43" s="200"/>
      <c r="X43" s="160">
        <f>IF($T$20=1,T43,IF(Input!$B$11="Gas",G43,J43)-P43)</f>
        <v>33.695396854313707</v>
      </c>
      <c r="Y43" s="160">
        <f>IF($T$20=1,U43,IF(Input!$B$11="Gas",0,G43-Q43))</f>
        <v>10.565138699499485</v>
      </c>
      <c r="Z43" s="160">
        <f>IF($T$20=1,V43,IF(Input!$B$11="Gas",J43,0))</f>
        <v>0</v>
      </c>
      <c r="AA43" s="200"/>
      <c r="AB43" s="160">
        <f>X43*Abandonment!$H28</f>
        <v>33.695396854313707</v>
      </c>
      <c r="AC43" s="160">
        <f>Y43*Abandonment!$H28</f>
        <v>10.565138699499485</v>
      </c>
      <c r="AD43" s="160">
        <f>Z43*Abandonment!$H28</f>
        <v>0</v>
      </c>
      <c r="AE43" s="156"/>
      <c r="AF43" s="156"/>
      <c r="AG43" s="160">
        <f t="shared" si="10"/>
        <v>33.695396854313707</v>
      </c>
      <c r="AH43" s="160">
        <f t="shared" si="2"/>
        <v>10.565138699499485</v>
      </c>
      <c r="AI43" s="160">
        <f t="shared" si="2"/>
        <v>0</v>
      </c>
      <c r="AJ43" s="156"/>
      <c r="AK43" s="160">
        <f>X43*Abandonment!H28</f>
        <v>33.695396854313707</v>
      </c>
      <c r="AL43" s="160">
        <f>Y43*Abandonment!H28</f>
        <v>10.565138699499485</v>
      </c>
      <c r="AM43" s="160">
        <f>Z43*Abandonment!H28</f>
        <v>0</v>
      </c>
      <c r="AN43" s="160">
        <f>AK43/'Sched &amp; Prod Assumptions'!$B$15+Production!AL43+AM43</f>
        <v>17.585013044148173</v>
      </c>
      <c r="AO43" s="160">
        <f t="shared" si="11"/>
        <v>48.178117929173077</v>
      </c>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row>
    <row r="44" spans="1:69">
      <c r="A44" s="159">
        <f t="shared" si="12"/>
        <v>2028</v>
      </c>
      <c r="B44" s="159">
        <f t="shared" si="3"/>
        <v>366</v>
      </c>
      <c r="C44" s="160">
        <f t="shared" si="13"/>
        <v>0</v>
      </c>
      <c r="D44" s="160">
        <f t="shared" si="15"/>
        <v>0</v>
      </c>
      <c r="E44" s="160">
        <f t="shared" si="4"/>
        <v>2818.7294429708199</v>
      </c>
      <c r="F44" s="160">
        <f t="shared" si="14"/>
        <v>9.0030214410122618</v>
      </c>
      <c r="G44" s="160">
        <f t="shared" si="1"/>
        <v>9.0030214410122618</v>
      </c>
      <c r="H44" s="160">
        <f t="shared" si="5"/>
        <v>24.598419237738419</v>
      </c>
      <c r="I44" s="156"/>
      <c r="J44" s="160">
        <f>IF(AND(Input!$B$15=Lists!$Q$36,Input!$B$11="Oil"),0,G44*Input!$B$29/1000)</f>
        <v>30.009771369326174</v>
      </c>
      <c r="K44" s="160">
        <f t="shared" si="6"/>
        <v>81.993910845153479</v>
      </c>
      <c r="L44" s="156"/>
      <c r="M44" s="160">
        <f t="shared" si="7"/>
        <v>366</v>
      </c>
      <c r="N44" s="160">
        <f t="shared" si="8"/>
        <v>1</v>
      </c>
      <c r="O44" s="156"/>
      <c r="P44" s="160">
        <f>IF(Input!$B$11="Oil",MIN('Sched &amp; Prod Assumptions'!$C$19*'Sched &amp; Prod Assumptions'!$B$15*G44,J44),G44*'Sched &amp; Prod Assumptions'!$C$18)</f>
        <v>1.2964350875057655</v>
      </c>
      <c r="Q44" s="160">
        <f>IF(Input!$B$11="Oil",IF(P44&lt;J44,0,Production!G44*'Sched &amp; Prod Assumptions'!$C$19-Production!P44/'Sched &amp; Prod Assumptions'!$C$17*Input!$B$28/1000),0)</f>
        <v>0</v>
      </c>
      <c r="R44" s="156"/>
      <c r="S44" s="160">
        <f t="shared" si="9"/>
        <v>14</v>
      </c>
      <c r="T44" s="479">
        <f>IF($S44=0,0,INDEX(Overrides!$L$47:$L$88,$S44+1,1)*$T$21+INDEX(Overrides!$L$47:$L$88,$S44,1)*$T$22)*'Sensitivity Ranges'!$F$41</f>
        <v>0</v>
      </c>
      <c r="U44" s="479">
        <f>IF($S44=0,0,INDEX(Overrides!$M$47:$M$88,$S44+1,1)*$T$21+INDEX(Overrides!$M$47:$M$88,$S44,1)*$T$22)*'Sensitivity Ranges'!$F$41</f>
        <v>0</v>
      </c>
      <c r="V44" s="479">
        <f>IF($S44=0,0,INDEX(Overrides!$N$47:$N$88,$S44+1,1)*$T$21+INDEX(Overrides!$N$47:$N$88,$S44,1)*$T$22)*'Sensitivity Ranges'!$F$41</f>
        <v>0</v>
      </c>
      <c r="W44" s="200"/>
      <c r="X44" s="160">
        <f>IF($T$20=1,T44,IF(Input!$B$11="Gas",G44,J44)-P44)</f>
        <v>28.713336281820407</v>
      </c>
      <c r="Y44" s="160">
        <f>IF($T$20=1,U44,IF(Input!$B$11="Gas",0,G44-Q44))</f>
        <v>9.0030214410122618</v>
      </c>
      <c r="Z44" s="160">
        <f>IF($T$20=1,V44,IF(Input!$B$11="Gas",J44,0))</f>
        <v>0</v>
      </c>
      <c r="AA44" s="200"/>
      <c r="AB44" s="160">
        <f>X44*Abandonment!$H29</f>
        <v>28.713336281820407</v>
      </c>
      <c r="AC44" s="160">
        <f>Y44*Abandonment!$H29</f>
        <v>9.0030214410122618</v>
      </c>
      <c r="AD44" s="160">
        <f>Z44*Abandonment!$H29</f>
        <v>0</v>
      </c>
      <c r="AE44" s="156"/>
      <c r="AF44" s="156"/>
      <c r="AG44" s="160">
        <f t="shared" si="10"/>
        <v>28.713336281820407</v>
      </c>
      <c r="AH44" s="160">
        <f t="shared" si="2"/>
        <v>9.0030214410122618</v>
      </c>
      <c r="AI44" s="160">
        <f t="shared" si="2"/>
        <v>0</v>
      </c>
      <c r="AJ44" s="156"/>
      <c r="AK44" s="160">
        <f>X44*Abandonment!H29</f>
        <v>28.713336281820407</v>
      </c>
      <c r="AL44" s="160">
        <f>Y44*Abandonment!H29</f>
        <v>9.0030214410122618</v>
      </c>
      <c r="AM44" s="160">
        <f>Z44*Abandonment!H29</f>
        <v>0</v>
      </c>
      <c r="AN44" s="160">
        <f>AK44/'Sched &amp; Prod Assumptions'!$B$15+Production!AL44+AM44</f>
        <v>14.984966499724846</v>
      </c>
      <c r="AO44" s="160">
        <f t="shared" si="11"/>
        <v>41.054702738972182</v>
      </c>
      <c r="AP44" s="93"/>
      <c r="AQ44" s="93"/>
      <c r="AR44" s="93"/>
      <c r="AS44" s="93"/>
      <c r="AT44" s="93"/>
      <c r="AU44" s="93"/>
      <c r="AV44" s="93"/>
      <c r="AW44" s="93"/>
      <c r="AX44" s="93"/>
      <c r="AY44" s="93"/>
      <c r="AZ44" s="93"/>
      <c r="BA44" s="93"/>
      <c r="BB44" s="93"/>
      <c r="BC44" s="93"/>
      <c r="BD44" s="93"/>
      <c r="BE44" s="93"/>
      <c r="BF44" s="93"/>
      <c r="BG44" s="93"/>
      <c r="BH44" s="93"/>
      <c r="BI44" s="93"/>
      <c r="BJ44" s="93"/>
      <c r="BK44" s="93"/>
      <c r="BL44" s="93"/>
      <c r="BM44" s="93"/>
      <c r="BN44" s="93"/>
      <c r="BO44" s="93"/>
      <c r="BP44" s="93"/>
      <c r="BQ44" s="93"/>
    </row>
    <row r="45" spans="1:69">
      <c r="A45" s="159">
        <f t="shared" si="12"/>
        <v>2029</v>
      </c>
      <c r="B45" s="159">
        <f t="shared" si="3"/>
        <v>365</v>
      </c>
      <c r="C45" s="160">
        <f t="shared" si="13"/>
        <v>0</v>
      </c>
      <c r="D45" s="160">
        <f t="shared" si="15"/>
        <v>0</v>
      </c>
      <c r="E45" s="160">
        <f t="shared" si="4"/>
        <v>3183.7294429708199</v>
      </c>
      <c r="F45" s="160">
        <f t="shared" si="14"/>
        <v>7.6299146784227165</v>
      </c>
      <c r="G45" s="160">
        <f t="shared" si="1"/>
        <v>7.6299146784227165</v>
      </c>
      <c r="H45" s="160">
        <f t="shared" si="5"/>
        <v>20.903875831295114</v>
      </c>
      <c r="I45" s="156"/>
      <c r="J45" s="160">
        <f>IF(AND(Input!$B$15=Lists!$Q$36,Input!$B$11="Oil"),0,G45*Input!$B$29/1000)</f>
        <v>25.432794597586444</v>
      </c>
      <c r="K45" s="160">
        <f t="shared" si="6"/>
        <v>69.678889308456007</v>
      </c>
      <c r="L45" s="156"/>
      <c r="M45" s="160">
        <f t="shared" si="7"/>
        <v>365</v>
      </c>
      <c r="N45" s="160">
        <f t="shared" si="8"/>
        <v>1</v>
      </c>
      <c r="O45" s="156"/>
      <c r="P45" s="160">
        <f>IF(Input!$B$11="Oil",MIN('Sched &amp; Prod Assumptions'!$C$19*'Sched &amp; Prod Assumptions'!$B$15*G45,J45),G45*'Sched &amp; Prod Assumptions'!$C$18)</f>
        <v>1.0987077136928711</v>
      </c>
      <c r="Q45" s="160">
        <f>IF(Input!$B$11="Oil",IF(P45&lt;J45,0,Production!G45*'Sched &amp; Prod Assumptions'!$C$19-Production!P45/'Sched &amp; Prod Assumptions'!$C$17*Input!$B$28/1000),0)</f>
        <v>0</v>
      </c>
      <c r="R45" s="156"/>
      <c r="S45" s="160">
        <f t="shared" si="9"/>
        <v>15</v>
      </c>
      <c r="T45" s="479">
        <f>IF($S45=0,0,INDEX(Overrides!$L$47:$L$88,$S45+1,1)*$T$21+INDEX(Overrides!$L$47:$L$88,$S45,1)*$T$22)*'Sensitivity Ranges'!$F$41</f>
        <v>0</v>
      </c>
      <c r="U45" s="479">
        <f>IF($S45=0,0,INDEX(Overrides!$M$47:$M$88,$S45+1,1)*$T$21+INDEX(Overrides!$M$47:$M$88,$S45,1)*$T$22)*'Sensitivity Ranges'!$F$41</f>
        <v>0</v>
      </c>
      <c r="V45" s="479">
        <f>IF($S45=0,0,INDEX(Overrides!$N$47:$N$88,$S45+1,1)*$T$21+INDEX(Overrides!$N$47:$N$88,$S45,1)*$T$22)*'Sensitivity Ranges'!$F$41</f>
        <v>0</v>
      </c>
      <c r="W45" s="200"/>
      <c r="X45" s="160">
        <f>IF($T$20=1,T45,IF(Input!$B$11="Gas",G45,J45)-P45)</f>
        <v>24.334086883893573</v>
      </c>
      <c r="Y45" s="160">
        <f>IF($T$20=1,U45,IF(Input!$B$11="Gas",0,G45-Q45))</f>
        <v>7.6299146784227165</v>
      </c>
      <c r="Z45" s="160">
        <f>IF($T$20=1,V45,IF(Input!$B$11="Gas",J45,0))</f>
        <v>0</v>
      </c>
      <c r="AA45" s="200"/>
      <c r="AB45" s="160">
        <f>X45*Abandonment!$H30</f>
        <v>24.334086883893573</v>
      </c>
      <c r="AC45" s="160">
        <f>Y45*Abandonment!$H30</f>
        <v>7.6299146784227165</v>
      </c>
      <c r="AD45" s="160">
        <f>Z45*Abandonment!$H30</f>
        <v>0</v>
      </c>
      <c r="AE45" s="156"/>
      <c r="AF45" s="156"/>
      <c r="AG45" s="160">
        <f t="shared" si="10"/>
        <v>24.334086883893573</v>
      </c>
      <c r="AH45" s="160">
        <f t="shared" si="2"/>
        <v>7.6299146784227165</v>
      </c>
      <c r="AI45" s="160">
        <f t="shared" si="2"/>
        <v>0</v>
      </c>
      <c r="AJ45" s="156"/>
      <c r="AK45" s="160">
        <f>X45*Abandonment!H30</f>
        <v>24.334086883893573</v>
      </c>
      <c r="AL45" s="160">
        <f>Y45*Abandonment!H30</f>
        <v>7.6299146784227165</v>
      </c>
      <c r="AM45" s="160">
        <f>Z45*Abandonment!H30</f>
        <v>0</v>
      </c>
      <c r="AN45" s="160">
        <f>AK45/'Sched &amp; Prod Assumptions'!$B$15+Production!AL45+AM45</f>
        <v>12.69951611256721</v>
      </c>
      <c r="AO45" s="160">
        <f t="shared" si="11"/>
        <v>34.793194828951258</v>
      </c>
      <c r="AP45" s="93"/>
      <c r="AQ45" s="93"/>
      <c r="AR45" s="93"/>
      <c r="AS45" s="93"/>
      <c r="AT45" s="93"/>
      <c r="AU45" s="93"/>
      <c r="AV45" s="93"/>
      <c r="AW45" s="93"/>
      <c r="AX45" s="93"/>
      <c r="AY45" s="93"/>
      <c r="AZ45" s="93"/>
      <c r="BA45" s="93"/>
      <c r="BB45" s="93"/>
      <c r="BC45" s="93"/>
      <c r="BD45" s="93"/>
      <c r="BE45" s="93"/>
      <c r="BF45" s="93"/>
      <c r="BG45" s="93"/>
      <c r="BH45" s="93"/>
      <c r="BI45" s="93"/>
      <c r="BJ45" s="93"/>
      <c r="BK45" s="93"/>
      <c r="BL45" s="93"/>
      <c r="BM45" s="93"/>
      <c r="BN45" s="93"/>
      <c r="BO45" s="93"/>
      <c r="BP45" s="93"/>
      <c r="BQ45" s="93"/>
    </row>
    <row r="46" spans="1:69">
      <c r="A46" s="159">
        <f t="shared" si="12"/>
        <v>2030</v>
      </c>
      <c r="B46" s="159">
        <f t="shared" si="3"/>
        <v>365</v>
      </c>
      <c r="C46" s="160">
        <f t="shared" si="13"/>
        <v>0</v>
      </c>
      <c r="D46" s="160">
        <f t="shared" si="15"/>
        <v>0</v>
      </c>
      <c r="E46" s="160">
        <f t="shared" si="4"/>
        <v>3548.7294429708199</v>
      </c>
      <c r="F46" s="160">
        <f t="shared" si="14"/>
        <v>6.4854274766593125</v>
      </c>
      <c r="G46" s="160">
        <f t="shared" si="1"/>
        <v>6.4854274766593125</v>
      </c>
      <c r="H46" s="160">
        <f t="shared" si="5"/>
        <v>17.768294456600856</v>
      </c>
      <c r="I46" s="156"/>
      <c r="J46" s="160">
        <f>IF(AND(Input!$B$15=Lists!$Q$36,Input!$B$11="Oil"),0,G46*Input!$B$29/1000)</f>
        <v>21.617875407948485</v>
      </c>
      <c r="K46" s="160">
        <f t="shared" si="6"/>
        <v>59.22705591218763</v>
      </c>
      <c r="L46" s="156"/>
      <c r="M46" s="160">
        <f t="shared" si="7"/>
        <v>365</v>
      </c>
      <c r="N46" s="160">
        <f t="shared" si="8"/>
        <v>1</v>
      </c>
      <c r="O46" s="156"/>
      <c r="P46" s="160">
        <f>IF(Input!$B$11="Oil",MIN('Sched &amp; Prod Assumptions'!$C$19*'Sched &amp; Prod Assumptions'!$B$15*G46,J46),G46*'Sched &amp; Prod Assumptions'!$C$18)</f>
        <v>0.93390155663894092</v>
      </c>
      <c r="Q46" s="160">
        <f>IF(Input!$B$11="Oil",IF(P46&lt;J46,0,Production!G46*'Sched &amp; Prod Assumptions'!$C$19-Production!P46/'Sched &amp; Prod Assumptions'!$C$17*Input!$B$28/1000),0)</f>
        <v>0</v>
      </c>
      <c r="R46" s="156"/>
      <c r="S46" s="160">
        <f t="shared" si="9"/>
        <v>16</v>
      </c>
      <c r="T46" s="479">
        <f>IF($S46=0,0,INDEX(Overrides!$L$47:$L$88,$S46+1,1)*$T$21+INDEX(Overrides!$L$47:$L$88,$S46,1)*$T$22)*'Sensitivity Ranges'!$F$41</f>
        <v>0</v>
      </c>
      <c r="U46" s="479">
        <f>IF($S46=0,0,INDEX(Overrides!$M$47:$M$88,$S46+1,1)*$T$21+INDEX(Overrides!$M$47:$M$88,$S46,1)*$T$22)*'Sensitivity Ranges'!$F$41</f>
        <v>0</v>
      </c>
      <c r="V46" s="479">
        <f>IF($S46=0,0,INDEX(Overrides!$N$47:$N$88,$S46+1,1)*$T$21+INDEX(Overrides!$N$47:$N$88,$S46,1)*$T$22)*'Sensitivity Ranges'!$F$41</f>
        <v>0</v>
      </c>
      <c r="W46" s="200"/>
      <c r="X46" s="160">
        <f>IF($T$20=1,T46,IF(Input!$B$11="Gas",G46,J46)-P46)</f>
        <v>20.683973851309545</v>
      </c>
      <c r="Y46" s="160">
        <f>IF($T$20=1,U46,IF(Input!$B$11="Gas",0,G46-Q46))</f>
        <v>6.4854274766593125</v>
      </c>
      <c r="Z46" s="160">
        <f>IF($T$20=1,V46,IF(Input!$B$11="Gas",J46,0))</f>
        <v>0</v>
      </c>
      <c r="AA46" s="200"/>
      <c r="AB46" s="160">
        <f>X46*Abandonment!$H31</f>
        <v>20.683973851309545</v>
      </c>
      <c r="AC46" s="160">
        <f>Y46*Abandonment!$H31</f>
        <v>6.4854274766593125</v>
      </c>
      <c r="AD46" s="160">
        <f>Z46*Abandonment!$H31</f>
        <v>0</v>
      </c>
      <c r="AE46" s="156"/>
      <c r="AF46" s="156"/>
      <c r="AG46" s="160">
        <f t="shared" si="10"/>
        <v>20.683973851309545</v>
      </c>
      <c r="AH46" s="160">
        <f t="shared" si="2"/>
        <v>6.4854274766593125</v>
      </c>
      <c r="AI46" s="160">
        <f t="shared" si="2"/>
        <v>0</v>
      </c>
      <c r="AJ46" s="156"/>
      <c r="AK46" s="160">
        <f>X46*Abandonment!H31</f>
        <v>20.683973851309545</v>
      </c>
      <c r="AL46" s="160">
        <f>Y46*Abandonment!H31</f>
        <v>6.4854274766593125</v>
      </c>
      <c r="AM46" s="160">
        <f>Z46*Abandonment!H31</f>
        <v>0</v>
      </c>
      <c r="AN46" s="160">
        <f>AK46/'Sched &amp; Prod Assumptions'!$B$15+Production!AL46+AM46</f>
        <v>10.794588695682135</v>
      </c>
      <c r="AO46" s="160">
        <f t="shared" si="11"/>
        <v>29.57421560460859</v>
      </c>
      <c r="AP46" s="93"/>
      <c r="AQ46" s="93"/>
      <c r="AR46" s="93"/>
      <c r="AS46" s="93"/>
      <c r="AT46" s="93"/>
      <c r="AU46" s="93"/>
      <c r="AV46" s="93"/>
      <c r="AW46" s="93"/>
      <c r="AX46" s="93"/>
      <c r="AY46" s="93"/>
      <c r="AZ46" s="93"/>
      <c r="BA46" s="93"/>
      <c r="BB46" s="93"/>
      <c r="BC46" s="93"/>
      <c r="BD46" s="93"/>
      <c r="BE46" s="93"/>
      <c r="BF46" s="93"/>
      <c r="BG46" s="93"/>
      <c r="BH46" s="93"/>
      <c r="BI46" s="93"/>
      <c r="BJ46" s="93"/>
      <c r="BK46" s="93"/>
      <c r="BL46" s="93"/>
      <c r="BM46" s="93"/>
      <c r="BN46" s="93"/>
      <c r="BO46" s="93"/>
      <c r="BP46" s="93"/>
      <c r="BQ46" s="93"/>
    </row>
    <row r="47" spans="1:69">
      <c r="A47" s="159">
        <f t="shared" si="12"/>
        <v>2031</v>
      </c>
      <c r="B47" s="159">
        <f t="shared" si="3"/>
        <v>365</v>
      </c>
      <c r="C47" s="160">
        <f t="shared" si="13"/>
        <v>0</v>
      </c>
      <c r="D47" s="160">
        <f t="shared" si="15"/>
        <v>0</v>
      </c>
      <c r="E47" s="160">
        <f t="shared" si="4"/>
        <v>3913.7294429708199</v>
      </c>
      <c r="F47" s="160">
        <f t="shared" si="14"/>
        <v>5.5126133551604131</v>
      </c>
      <c r="G47" s="160">
        <f t="shared" si="1"/>
        <v>5.5126133551604131</v>
      </c>
      <c r="H47" s="160">
        <f t="shared" si="5"/>
        <v>15.103050288110721</v>
      </c>
      <c r="I47" s="156"/>
      <c r="J47" s="160">
        <f>IF(AND(Input!$B$15=Lists!$Q$36,Input!$B$11="Oil"),0,G47*Input!$B$29/1000)</f>
        <v>18.375194096756204</v>
      </c>
      <c r="K47" s="160">
        <f t="shared" si="6"/>
        <v>50.342997525359465</v>
      </c>
      <c r="L47" s="156"/>
      <c r="M47" s="160">
        <f t="shared" si="7"/>
        <v>365</v>
      </c>
      <c r="N47" s="160">
        <f t="shared" si="8"/>
        <v>1</v>
      </c>
      <c r="O47" s="156"/>
      <c r="P47" s="160">
        <f>IF(Input!$B$11="Oil",MIN('Sched &amp; Prod Assumptions'!$C$19*'Sched &amp; Prod Assumptions'!$B$15*G47,J47),G47*'Sched &amp; Prod Assumptions'!$C$18)</f>
        <v>0.79381632314309947</v>
      </c>
      <c r="Q47" s="160">
        <f>IF(Input!$B$11="Oil",IF(P47&lt;J47,0,Production!G47*'Sched &amp; Prod Assumptions'!$C$19-Production!P47/'Sched &amp; Prod Assumptions'!$C$17*Input!$B$28/1000),0)</f>
        <v>0</v>
      </c>
      <c r="R47" s="156"/>
      <c r="S47" s="160">
        <f t="shared" si="9"/>
        <v>17</v>
      </c>
      <c r="T47" s="479">
        <f>IF($S47=0,0,INDEX(Overrides!$L$47:$L$88,$S47+1,1)*$T$21+INDEX(Overrides!$L$47:$L$88,$S47,1)*$T$22)*'Sensitivity Ranges'!$F$41</f>
        <v>0</v>
      </c>
      <c r="U47" s="479">
        <f>IF($S47=0,0,INDEX(Overrides!$M$47:$M$88,$S47+1,1)*$T$21+INDEX(Overrides!$M$47:$M$88,$S47,1)*$T$22)*'Sensitivity Ranges'!$F$41</f>
        <v>0</v>
      </c>
      <c r="V47" s="479">
        <f>IF($S47=0,0,INDEX(Overrides!$N$47:$N$88,$S47+1,1)*$T$21+INDEX(Overrides!$N$47:$N$88,$S47,1)*$T$22)*'Sensitivity Ranges'!$F$41</f>
        <v>0</v>
      </c>
      <c r="W47" s="200"/>
      <c r="X47" s="160">
        <f>IF($T$20=1,T47,IF(Input!$B$11="Gas",G47,J47)-P47)</f>
        <v>17.581377773613106</v>
      </c>
      <c r="Y47" s="160">
        <f>IF($T$20=1,U47,IF(Input!$B$11="Gas",0,G47-Q47))</f>
        <v>5.5126133551604131</v>
      </c>
      <c r="Z47" s="160">
        <f>IF($T$20=1,V47,IF(Input!$B$11="Gas",J47,0))</f>
        <v>0</v>
      </c>
      <c r="AA47" s="200"/>
      <c r="AB47" s="160">
        <f>X47*Abandonment!$H32</f>
        <v>17.581377773613106</v>
      </c>
      <c r="AC47" s="160">
        <f>Y47*Abandonment!$H32</f>
        <v>5.5126133551604131</v>
      </c>
      <c r="AD47" s="160">
        <f>Z47*Abandonment!$H32</f>
        <v>0</v>
      </c>
      <c r="AE47" s="156"/>
      <c r="AF47" s="156"/>
      <c r="AG47" s="160">
        <f t="shared" si="10"/>
        <v>17.581377773613106</v>
      </c>
      <c r="AH47" s="160">
        <f t="shared" si="2"/>
        <v>5.5126133551604131</v>
      </c>
      <c r="AI47" s="160">
        <f t="shared" si="2"/>
        <v>0</v>
      </c>
      <c r="AJ47" s="156"/>
      <c r="AK47" s="160">
        <f>X47*Abandonment!H32</f>
        <v>17.581377773613106</v>
      </c>
      <c r="AL47" s="160">
        <f>Y47*Abandonment!H32</f>
        <v>5.5126133551604131</v>
      </c>
      <c r="AM47" s="160">
        <f>Z47*Abandonment!H32</f>
        <v>0</v>
      </c>
      <c r="AN47" s="160">
        <f>AK47/'Sched &amp; Prod Assumptions'!$B$15+Production!AL47+AM47</f>
        <v>9.1754003913298092</v>
      </c>
      <c r="AO47" s="160">
        <f t="shared" si="11"/>
        <v>25.138083263917284</v>
      </c>
      <c r="AP47" s="93"/>
      <c r="AQ47" s="93"/>
      <c r="AR47" s="93"/>
      <c r="AS47" s="93"/>
      <c r="AT47" s="93"/>
      <c r="AU47" s="93"/>
      <c r="AV47" s="93"/>
      <c r="AW47" s="93"/>
      <c r="AX47" s="93"/>
      <c r="AY47" s="93"/>
      <c r="AZ47" s="93"/>
      <c r="BA47" s="93"/>
      <c r="BB47" s="93"/>
      <c r="BC47" s="93"/>
      <c r="BD47" s="93"/>
      <c r="BE47" s="93"/>
      <c r="BF47" s="93"/>
      <c r="BG47" s="93"/>
      <c r="BH47" s="93"/>
      <c r="BI47" s="93"/>
      <c r="BJ47" s="93"/>
      <c r="BK47" s="93"/>
      <c r="BL47" s="93"/>
      <c r="BM47" s="93"/>
      <c r="BN47" s="93"/>
      <c r="BO47" s="93"/>
      <c r="BP47" s="93"/>
      <c r="BQ47" s="93"/>
    </row>
    <row r="48" spans="1:69">
      <c r="A48" s="159">
        <f t="shared" si="12"/>
        <v>2032</v>
      </c>
      <c r="B48" s="159">
        <f t="shared" si="3"/>
        <v>366</v>
      </c>
      <c r="C48" s="160">
        <f t="shared" si="13"/>
        <v>0</v>
      </c>
      <c r="D48" s="160">
        <f t="shared" si="15"/>
        <v>0</v>
      </c>
      <c r="E48" s="160">
        <f t="shared" si="4"/>
        <v>4279.7294429708199</v>
      </c>
      <c r="F48" s="160">
        <f t="shared" si="14"/>
        <v>4.6975413805850996</v>
      </c>
      <c r="G48" s="160">
        <f t="shared" si="1"/>
        <v>4.6975413805850996</v>
      </c>
      <c r="H48" s="160">
        <f t="shared" si="5"/>
        <v>12.834812515259836</v>
      </c>
      <c r="I48" s="156"/>
      <c r="J48" s="160">
        <f>IF(AND(Input!$B$15=Lists!$Q$36,Input!$B$11="Oil"),0,G48*Input!$B$29/1000)</f>
        <v>15.658314683904313</v>
      </c>
      <c r="K48" s="160">
        <f t="shared" si="6"/>
        <v>42.782280557115612</v>
      </c>
      <c r="L48" s="156"/>
      <c r="M48" s="160">
        <f t="shared" si="7"/>
        <v>366</v>
      </c>
      <c r="N48" s="160">
        <f t="shared" si="8"/>
        <v>1</v>
      </c>
      <c r="O48" s="156"/>
      <c r="P48" s="160">
        <f>IF(Input!$B$11="Oil",MIN('Sched &amp; Prod Assumptions'!$C$19*'Sched &amp; Prod Assumptions'!$B$15*G48,J48),G48*'Sched &amp; Prod Assumptions'!$C$18)</f>
        <v>0.67644595880425429</v>
      </c>
      <c r="Q48" s="160">
        <f>IF(Input!$B$11="Oil",IF(P48&lt;J48,0,Production!G48*'Sched &amp; Prod Assumptions'!$C$19-Production!P48/'Sched &amp; Prod Assumptions'!$C$17*Input!$B$28/1000),0)</f>
        <v>0</v>
      </c>
      <c r="R48" s="156"/>
      <c r="S48" s="160">
        <f t="shared" si="9"/>
        <v>18</v>
      </c>
      <c r="T48" s="479">
        <f>IF($S48=0,0,INDEX(Overrides!$L$47:$L$88,$S48+1,1)*$T$21+INDEX(Overrides!$L$47:$L$88,$S48,1)*$T$22)*'Sensitivity Ranges'!$F$41</f>
        <v>0</v>
      </c>
      <c r="U48" s="479">
        <f>IF($S48=0,0,INDEX(Overrides!$M$47:$M$88,$S48+1,1)*$T$21+INDEX(Overrides!$M$47:$M$88,$S48,1)*$T$22)*'Sensitivity Ranges'!$F$41</f>
        <v>0</v>
      </c>
      <c r="V48" s="479">
        <f>IF($S48=0,0,INDEX(Overrides!$N$47:$N$88,$S48+1,1)*$T$21+INDEX(Overrides!$N$47:$N$88,$S48,1)*$T$22)*'Sensitivity Ranges'!$F$41</f>
        <v>0</v>
      </c>
      <c r="W48" s="200"/>
      <c r="X48" s="160">
        <f>IF($T$20=1,T48,IF(Input!$B$11="Gas",G48,J48)-P48)</f>
        <v>14.981868725100059</v>
      </c>
      <c r="Y48" s="160">
        <f>IF($T$20=1,U48,IF(Input!$B$11="Gas",0,G48-Q48))</f>
        <v>4.6975413805850996</v>
      </c>
      <c r="Z48" s="160">
        <f>IF($T$20=1,V48,IF(Input!$B$11="Gas",J48,0))</f>
        <v>0</v>
      </c>
      <c r="AA48" s="200"/>
      <c r="AB48" s="160">
        <f>X48*Abandonment!$H33</f>
        <v>14.981868725100059</v>
      </c>
      <c r="AC48" s="160">
        <f>Y48*Abandonment!$H33</f>
        <v>4.6975413805850996</v>
      </c>
      <c r="AD48" s="160">
        <f>Z48*Abandonment!$H33</f>
        <v>0</v>
      </c>
      <c r="AE48" s="156"/>
      <c r="AF48" s="156"/>
      <c r="AG48" s="160">
        <f t="shared" si="10"/>
        <v>14.981868725100059</v>
      </c>
      <c r="AH48" s="160">
        <f t="shared" si="2"/>
        <v>4.6975413805850996</v>
      </c>
      <c r="AI48" s="160">
        <f t="shared" si="2"/>
        <v>0</v>
      </c>
      <c r="AJ48" s="156"/>
      <c r="AK48" s="160">
        <f>X48*Abandonment!H33</f>
        <v>14.981868725100059</v>
      </c>
      <c r="AL48" s="160">
        <f>Y48*Abandonment!H33</f>
        <v>4.6975413805850996</v>
      </c>
      <c r="AM48" s="160">
        <f>Z48*Abandonment!H33</f>
        <v>0</v>
      </c>
      <c r="AN48" s="160">
        <f>AK48/'Sched &amp; Prod Assumptions'!$B$15+Production!AL48+AM48</f>
        <v>7.8187640316476124</v>
      </c>
      <c r="AO48" s="160">
        <f t="shared" si="11"/>
        <v>21.421271319582502</v>
      </c>
      <c r="AP48" s="93"/>
      <c r="AQ48" s="93"/>
      <c r="AR48" s="93"/>
      <c r="AS48" s="93"/>
      <c r="AT48" s="93"/>
      <c r="AU48" s="93"/>
      <c r="AV48" s="93"/>
      <c r="AW48" s="93"/>
      <c r="AX48" s="93"/>
      <c r="AY48" s="93"/>
      <c r="AZ48" s="93"/>
      <c r="BA48" s="93"/>
      <c r="BB48" s="93"/>
      <c r="BC48" s="93"/>
      <c r="BD48" s="93"/>
      <c r="BE48" s="93"/>
      <c r="BF48" s="93"/>
      <c r="BG48" s="93"/>
      <c r="BH48" s="93"/>
      <c r="BI48" s="93"/>
      <c r="BJ48" s="93"/>
      <c r="BK48" s="93"/>
      <c r="BL48" s="93"/>
      <c r="BM48" s="93"/>
      <c r="BN48" s="93"/>
      <c r="BO48" s="93"/>
      <c r="BP48" s="93"/>
      <c r="BQ48" s="93"/>
    </row>
    <row r="49" spans="1:69">
      <c r="A49" s="159">
        <f t="shared" si="12"/>
        <v>2033</v>
      </c>
      <c r="B49" s="159">
        <f t="shared" si="3"/>
        <v>365</v>
      </c>
      <c r="C49" s="160">
        <f t="shared" si="13"/>
        <v>0</v>
      </c>
      <c r="D49" s="160">
        <f t="shared" si="15"/>
        <v>0</v>
      </c>
      <c r="E49" s="160">
        <f t="shared" si="4"/>
        <v>4644.7294429708199</v>
      </c>
      <c r="F49" s="160">
        <f t="shared" si="14"/>
        <v>3.9810901447985874</v>
      </c>
      <c r="G49" s="160">
        <f t="shared" si="1"/>
        <v>3.9810901447985874</v>
      </c>
      <c r="H49" s="160">
        <f t="shared" si="5"/>
        <v>10.907096287119417</v>
      </c>
      <c r="I49" s="156"/>
      <c r="J49" s="160">
        <f>IF(AND(Input!$B$15=Lists!$Q$36,Input!$B$11="Oil"),0,G49*Input!$B$29/1000)</f>
        <v>13.270167779657131</v>
      </c>
      <c r="K49" s="160">
        <f t="shared" si="6"/>
        <v>36.356624053855157</v>
      </c>
      <c r="L49" s="156"/>
      <c r="M49" s="160">
        <f t="shared" si="7"/>
        <v>365</v>
      </c>
      <c r="N49" s="160">
        <f t="shared" si="8"/>
        <v>1</v>
      </c>
      <c r="O49" s="156"/>
      <c r="P49" s="160">
        <f>IF(Input!$B$11="Oil",MIN('Sched &amp; Prod Assumptions'!$C$19*'Sched &amp; Prod Assumptions'!$B$15*G49,J49),G49*'Sched &amp; Prod Assumptions'!$C$18)</f>
        <v>0.57327698085099654</v>
      </c>
      <c r="Q49" s="160">
        <f>IF(Input!$B$11="Oil",IF(P49&lt;J49,0,Production!G49*'Sched &amp; Prod Assumptions'!$C$19-Production!P49/'Sched &amp; Prod Assumptions'!$C$17*Input!$B$28/1000),0)</f>
        <v>0</v>
      </c>
      <c r="R49" s="156"/>
      <c r="S49" s="160">
        <f t="shared" si="9"/>
        <v>19</v>
      </c>
      <c r="T49" s="479">
        <f>IF($S49=0,0,INDEX(Overrides!$L$47:$L$88,$S49+1,1)*$T$21+INDEX(Overrides!$L$47:$L$88,$S49,1)*$T$22)*'Sensitivity Ranges'!$F$41</f>
        <v>0</v>
      </c>
      <c r="U49" s="479">
        <f>IF($S49=0,0,INDEX(Overrides!$M$47:$M$88,$S49+1,1)*$T$21+INDEX(Overrides!$M$47:$M$88,$S49,1)*$T$22)*'Sensitivity Ranges'!$F$41</f>
        <v>0</v>
      </c>
      <c r="V49" s="479">
        <f>IF($S49=0,0,INDEX(Overrides!$N$47:$N$88,$S49+1,1)*$T$21+INDEX(Overrides!$N$47:$N$88,$S49,1)*$T$22)*'Sensitivity Ranges'!$F$41</f>
        <v>0</v>
      </c>
      <c r="W49" s="200"/>
      <c r="X49" s="160">
        <f>IF($T$20=1,T49,IF(Input!$B$11="Gas",G49,J49)-P49)</f>
        <v>12.696890798806134</v>
      </c>
      <c r="Y49" s="160">
        <f>IF($T$20=1,U49,IF(Input!$B$11="Gas",0,G49-Q49))</f>
        <v>3.9810901447985874</v>
      </c>
      <c r="Z49" s="160">
        <f>IF($T$20=1,V49,IF(Input!$B$11="Gas",J49,0))</f>
        <v>0</v>
      </c>
      <c r="AA49" s="200"/>
      <c r="AB49" s="160">
        <f>X49*Abandonment!$H34</f>
        <v>12.696890798806134</v>
      </c>
      <c r="AC49" s="160">
        <f>Y49*Abandonment!$H34</f>
        <v>3.9810901447985874</v>
      </c>
      <c r="AD49" s="160">
        <f>Z49*Abandonment!$H34</f>
        <v>0</v>
      </c>
      <c r="AE49" s="156"/>
      <c r="AF49" s="156"/>
      <c r="AG49" s="160">
        <f t="shared" si="10"/>
        <v>12.696890798806134</v>
      </c>
      <c r="AH49" s="160">
        <f t="shared" si="2"/>
        <v>3.9810901447985874</v>
      </c>
      <c r="AI49" s="160">
        <f t="shared" si="2"/>
        <v>0</v>
      </c>
      <c r="AJ49" s="156"/>
      <c r="AK49" s="160">
        <f>X49*Abandonment!H34</f>
        <v>12.696890798806134</v>
      </c>
      <c r="AL49" s="160">
        <f>Y49*Abandonment!H34</f>
        <v>3.9810901447985874</v>
      </c>
      <c r="AM49" s="160">
        <f>Z49*Abandonment!H34</f>
        <v>0</v>
      </c>
      <c r="AN49" s="160">
        <f>AK49/'Sched &amp; Prod Assumptions'!$B$15+Production!AL49+AM49</f>
        <v>6.6262757278831987</v>
      </c>
      <c r="AO49" s="160">
        <f t="shared" si="11"/>
        <v>18.154180076392326</v>
      </c>
      <c r="AP49" s="93"/>
      <c r="AQ49" s="93"/>
      <c r="AR49" s="93"/>
      <c r="AS49" s="93"/>
      <c r="AT49" s="93"/>
      <c r="AU49" s="93"/>
      <c r="AV49" s="93"/>
      <c r="AW49" s="93"/>
      <c r="AX49" s="93"/>
      <c r="AY49" s="93"/>
      <c r="AZ49" s="93"/>
      <c r="BA49" s="93"/>
      <c r="BB49" s="93"/>
      <c r="BC49" s="93"/>
      <c r="BD49" s="93"/>
      <c r="BE49" s="93"/>
      <c r="BF49" s="93"/>
      <c r="BG49" s="93"/>
      <c r="BH49" s="93"/>
      <c r="BI49" s="93"/>
      <c r="BJ49" s="93"/>
      <c r="BK49" s="93"/>
      <c r="BL49" s="93"/>
      <c r="BM49" s="93"/>
      <c r="BN49" s="93"/>
      <c r="BO49" s="93"/>
      <c r="BP49" s="93"/>
      <c r="BQ49" s="93"/>
    </row>
    <row r="50" spans="1:69">
      <c r="A50" s="159">
        <f t="shared" si="12"/>
        <v>2034</v>
      </c>
      <c r="B50" s="159">
        <f t="shared" si="3"/>
        <v>365</v>
      </c>
      <c r="C50" s="160">
        <f t="shared" si="13"/>
        <v>0</v>
      </c>
      <c r="D50" s="160">
        <f t="shared" si="15"/>
        <v>0</v>
      </c>
      <c r="E50" s="160">
        <f t="shared" si="4"/>
        <v>5009.7294429708199</v>
      </c>
      <c r="F50" s="160">
        <f t="shared" si="14"/>
        <v>3.3839266230787941</v>
      </c>
      <c r="G50" s="160">
        <f t="shared" si="1"/>
        <v>3.3839266230787941</v>
      </c>
      <c r="H50" s="160">
        <f t="shared" si="5"/>
        <v>9.2710318440514907</v>
      </c>
      <c r="I50" s="156"/>
      <c r="J50" s="160">
        <f>IF(AND(Input!$B$15=Lists!$Q$36,Input!$B$11="Oil"),0,G50*Input!$B$29/1000)</f>
        <v>11.279642612708544</v>
      </c>
      <c r="K50" s="160">
        <f t="shared" si="6"/>
        <v>30.903130445776831</v>
      </c>
      <c r="L50" s="156"/>
      <c r="M50" s="160">
        <f t="shared" si="7"/>
        <v>365</v>
      </c>
      <c r="N50" s="160">
        <f t="shared" si="8"/>
        <v>1</v>
      </c>
      <c r="O50" s="156"/>
      <c r="P50" s="160">
        <f>IF(Input!$B$11="Oil",MIN('Sched &amp; Prod Assumptions'!$C$19*'Sched &amp; Prod Assumptions'!$B$15*G50,J50),G50*'Sched &amp; Prod Assumptions'!$C$18)</f>
        <v>0.48728543372334632</v>
      </c>
      <c r="Q50" s="160">
        <f>IF(Input!$B$11="Oil",IF(P50&lt;J50,0,Production!G50*'Sched &amp; Prod Assumptions'!$C$19-Production!P50/'Sched &amp; Prod Assumptions'!$C$17*Input!$B$28/1000),0)</f>
        <v>0</v>
      </c>
      <c r="R50" s="156"/>
      <c r="S50" s="160">
        <f t="shared" si="9"/>
        <v>20</v>
      </c>
      <c r="T50" s="479">
        <f>IF($S50=0,0,INDEX(Overrides!$L$47:$L$88,$S50+1,1)*$T$21+INDEX(Overrides!$L$47:$L$88,$S50,1)*$T$22)*'Sensitivity Ranges'!$F$41</f>
        <v>0</v>
      </c>
      <c r="U50" s="479">
        <f>IF($S50=0,0,INDEX(Overrides!$M$47:$M$88,$S50+1,1)*$T$21+INDEX(Overrides!$M$47:$M$88,$S50,1)*$T$22)*'Sensitivity Ranges'!$F$41</f>
        <v>0</v>
      </c>
      <c r="V50" s="479">
        <f>IF($S50=0,0,INDEX(Overrides!$N$47:$N$88,$S50+1,1)*$T$21+INDEX(Overrides!$N$47:$N$88,$S50,1)*$T$22)*'Sensitivity Ranges'!$F$41</f>
        <v>0</v>
      </c>
      <c r="W50" s="200"/>
      <c r="X50" s="160">
        <f>IF($T$20=1,T50,IF(Input!$B$11="Gas",G50,J50)-P50)</f>
        <v>10.792357178985197</v>
      </c>
      <c r="Y50" s="160">
        <f>IF($T$20=1,U50,IF(Input!$B$11="Gas",0,G50-Q50))</f>
        <v>3.3839266230787941</v>
      </c>
      <c r="Z50" s="160">
        <f>IF($T$20=1,V50,IF(Input!$B$11="Gas",J50,0))</f>
        <v>0</v>
      </c>
      <c r="AA50" s="200"/>
      <c r="AB50" s="160">
        <f>X50*Abandonment!$H35</f>
        <v>10.792357178985197</v>
      </c>
      <c r="AC50" s="160">
        <f>Y50*Abandonment!$H35</f>
        <v>3.3839266230787941</v>
      </c>
      <c r="AD50" s="160">
        <f>Z50*Abandonment!$H35</f>
        <v>0</v>
      </c>
      <c r="AE50" s="156"/>
      <c r="AF50" s="156"/>
      <c r="AG50" s="160">
        <f t="shared" si="10"/>
        <v>10.792357178985197</v>
      </c>
      <c r="AH50" s="160">
        <f t="shared" si="2"/>
        <v>3.3839266230787941</v>
      </c>
      <c r="AI50" s="160">
        <f t="shared" si="2"/>
        <v>0</v>
      </c>
      <c r="AJ50" s="156"/>
      <c r="AK50" s="160">
        <f>X50*Abandonment!H35</f>
        <v>10.792357178985197</v>
      </c>
      <c r="AL50" s="160">
        <f>Y50*Abandonment!H35</f>
        <v>3.3839266230787941</v>
      </c>
      <c r="AM50" s="160">
        <f>Z50*Abandonment!H35</f>
        <v>0</v>
      </c>
      <c r="AN50" s="160">
        <f>AK50/'Sched &amp; Prod Assumptions'!$B$15+Production!AL50+AM50</f>
        <v>5.6323343687007101</v>
      </c>
      <c r="AO50" s="160">
        <f t="shared" si="11"/>
        <v>15.431053064933453</v>
      </c>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3"/>
    </row>
    <row r="51" spans="1:69">
      <c r="A51" s="159">
        <f t="shared" si="12"/>
        <v>2035</v>
      </c>
      <c r="B51" s="159">
        <f t="shared" si="3"/>
        <v>365</v>
      </c>
      <c r="C51" s="160">
        <f t="shared" si="13"/>
        <v>0</v>
      </c>
      <c r="D51" s="160">
        <f t="shared" si="15"/>
        <v>0</v>
      </c>
      <c r="E51" s="160">
        <f t="shared" si="4"/>
        <v>5374.7294429708199</v>
      </c>
      <c r="F51" s="160">
        <f t="shared" si="14"/>
        <v>2.876337629616982</v>
      </c>
      <c r="G51" s="160">
        <f t="shared" si="1"/>
        <v>2.876337629616982</v>
      </c>
      <c r="H51" s="160">
        <f t="shared" si="5"/>
        <v>7.8803770674437859</v>
      </c>
      <c r="I51" s="156"/>
      <c r="J51" s="160">
        <f>IF(AND(Input!$B$15=Lists!$Q$36,Input!$B$11="Oil"),0,G51*Input!$B$29/1000)</f>
        <v>9.5876962208022878</v>
      </c>
      <c r="K51" s="160">
        <f t="shared" si="6"/>
        <v>26.267660878910377</v>
      </c>
      <c r="L51" s="156"/>
      <c r="M51" s="160">
        <f t="shared" si="7"/>
        <v>365</v>
      </c>
      <c r="N51" s="160">
        <f t="shared" si="8"/>
        <v>1</v>
      </c>
      <c r="O51" s="156"/>
      <c r="P51" s="160">
        <f>IF(Input!$B$11="Oil",MIN('Sched &amp; Prod Assumptions'!$C$19*'Sched &amp; Prod Assumptions'!$B$15*G51,J51),G51*'Sched &amp; Prod Assumptions'!$C$18)</f>
        <v>0.41419261866484536</v>
      </c>
      <c r="Q51" s="160">
        <f>IF(Input!$B$11="Oil",IF(P51&lt;J51,0,Production!G51*'Sched &amp; Prod Assumptions'!$C$19-Production!P51/'Sched &amp; Prod Assumptions'!$C$17*Input!$B$28/1000),0)</f>
        <v>0</v>
      </c>
      <c r="R51" s="156"/>
      <c r="S51" s="160">
        <f t="shared" si="9"/>
        <v>21</v>
      </c>
      <c r="T51" s="479">
        <f>IF($S51=0,0,INDEX(Overrides!$L$47:$L$88,$S51+1,1)*$T$21+INDEX(Overrides!$L$47:$L$88,$S51,1)*$T$22)*'Sensitivity Ranges'!$F$41</f>
        <v>0</v>
      </c>
      <c r="U51" s="479">
        <f>IF($S51=0,0,INDEX(Overrides!$M$47:$M$88,$S51+1,1)*$T$21+INDEX(Overrides!$M$47:$M$88,$S51,1)*$T$22)*'Sensitivity Ranges'!$F$41</f>
        <v>0</v>
      </c>
      <c r="V51" s="479">
        <f>IF($S51=0,0,INDEX(Overrides!$N$47:$N$88,$S51+1,1)*$T$21+INDEX(Overrides!$N$47:$N$88,$S51,1)*$T$22)*'Sensitivity Ranges'!$F$41</f>
        <v>0</v>
      </c>
      <c r="W51" s="200"/>
      <c r="X51" s="160">
        <f>IF($T$20=1,T51,IF(Input!$B$11="Gas",G51,J51)-P51)</f>
        <v>9.1735036021374423</v>
      </c>
      <c r="Y51" s="160">
        <f>IF($T$20=1,U51,IF(Input!$B$11="Gas",0,G51-Q51))</f>
        <v>2.876337629616982</v>
      </c>
      <c r="Z51" s="160">
        <f>IF($T$20=1,V51,IF(Input!$B$11="Gas",J51,0))</f>
        <v>0</v>
      </c>
      <c r="AA51" s="200"/>
      <c r="AB51" s="160">
        <f>X51*Abandonment!$H36</f>
        <v>9.1735036021374423</v>
      </c>
      <c r="AC51" s="160">
        <f>Y51*Abandonment!$H36</f>
        <v>2.876337629616982</v>
      </c>
      <c r="AD51" s="160">
        <f>Z51*Abandonment!$H36</f>
        <v>0</v>
      </c>
      <c r="AE51" s="156"/>
      <c r="AF51" s="156"/>
      <c r="AG51" s="160">
        <f t="shared" si="10"/>
        <v>9.1735036021374423</v>
      </c>
      <c r="AH51" s="160">
        <f t="shared" si="2"/>
        <v>2.876337629616982</v>
      </c>
      <c r="AI51" s="160">
        <f t="shared" si="2"/>
        <v>0</v>
      </c>
      <c r="AJ51" s="156"/>
      <c r="AK51" s="160">
        <f>X51*Abandonment!H36</f>
        <v>9.1735036021374423</v>
      </c>
      <c r="AL51" s="160">
        <f>Y51*Abandonment!H36</f>
        <v>2.876337629616982</v>
      </c>
      <c r="AM51" s="160">
        <f>Z51*Abandonment!H36</f>
        <v>0</v>
      </c>
      <c r="AN51" s="160">
        <f>AK51/'Sched &amp; Prod Assumptions'!$B$15+Production!AL51+AM51</f>
        <v>4.7874842133956159</v>
      </c>
      <c r="AO51" s="160">
        <f t="shared" si="11"/>
        <v>13.116395105193469</v>
      </c>
      <c r="AP51" s="93"/>
      <c r="AQ51" s="93"/>
      <c r="AR51" s="93"/>
      <c r="AS51" s="93"/>
      <c r="AT51" s="93"/>
      <c r="AU51" s="93"/>
      <c r="AV51" s="93"/>
      <c r="AW51" s="93"/>
      <c r="AX51" s="93"/>
      <c r="AY51" s="93"/>
      <c r="AZ51" s="93"/>
      <c r="BA51" s="93"/>
      <c r="BB51" s="93"/>
      <c r="BC51" s="93"/>
      <c r="BD51" s="93"/>
      <c r="BE51" s="93"/>
      <c r="BF51" s="93"/>
      <c r="BG51" s="93"/>
      <c r="BH51" s="93"/>
      <c r="BI51" s="93"/>
      <c r="BJ51" s="93"/>
      <c r="BK51" s="93"/>
      <c r="BL51" s="93"/>
      <c r="BM51" s="93"/>
      <c r="BN51" s="93"/>
      <c r="BO51" s="93"/>
      <c r="BP51" s="93"/>
      <c r="BQ51" s="93"/>
    </row>
    <row r="52" spans="1:69">
      <c r="A52" s="159">
        <f t="shared" si="12"/>
        <v>2036</v>
      </c>
      <c r="B52" s="159">
        <f t="shared" si="3"/>
        <v>366</v>
      </c>
      <c r="C52" s="160">
        <f t="shared" si="13"/>
        <v>0</v>
      </c>
      <c r="D52" s="160">
        <f t="shared" si="15"/>
        <v>0</v>
      </c>
      <c r="E52" s="160">
        <f t="shared" si="4"/>
        <v>5740.7294429708199</v>
      </c>
      <c r="F52" s="160">
        <f t="shared" si="14"/>
        <v>2.4510543673467198</v>
      </c>
      <c r="G52" s="160">
        <f t="shared" si="1"/>
        <v>2.4510543673467198</v>
      </c>
      <c r="H52" s="160">
        <f t="shared" si="5"/>
        <v>6.6968698561385791</v>
      </c>
      <c r="I52" s="156"/>
      <c r="J52" s="160">
        <f>IF(AND(Input!$B$15=Lists!$Q$36,Input!$B$11="Oil"),0,G52*Input!$B$29/1000)</f>
        <v>8.1700995226768214</v>
      </c>
      <c r="K52" s="160">
        <f t="shared" si="6"/>
        <v>22.322676291466724</v>
      </c>
      <c r="L52" s="156"/>
      <c r="M52" s="160">
        <f t="shared" si="7"/>
        <v>366</v>
      </c>
      <c r="N52" s="160">
        <f t="shared" si="8"/>
        <v>1</v>
      </c>
      <c r="O52" s="156"/>
      <c r="P52" s="160">
        <f>IF(Input!$B$11="Oil",MIN('Sched &amp; Prod Assumptions'!$C$19*'Sched &amp; Prod Assumptions'!$B$15*G52,J52),G52*'Sched &amp; Prod Assumptions'!$C$18)</f>
        <v>0.35295182889792764</v>
      </c>
      <c r="Q52" s="160">
        <f>IF(Input!$B$11="Oil",IF(P52&lt;J52,0,Production!G52*'Sched &amp; Prod Assumptions'!$C$19-Production!P52/'Sched &amp; Prod Assumptions'!$C$17*Input!$B$28/1000),0)</f>
        <v>0</v>
      </c>
      <c r="R52" s="156"/>
      <c r="S52" s="160">
        <f t="shared" si="9"/>
        <v>22</v>
      </c>
      <c r="T52" s="479">
        <f>IF($S52=0,0,INDEX(Overrides!$L$47:$L$88,$S52+1,1)*$T$21+INDEX(Overrides!$L$47:$L$88,$S52,1)*$T$22)*'Sensitivity Ranges'!$F$41</f>
        <v>0</v>
      </c>
      <c r="U52" s="479">
        <f>IF($S52=0,0,INDEX(Overrides!$M$47:$M$88,$S52+1,1)*$T$21+INDEX(Overrides!$M$47:$M$88,$S52,1)*$T$22)*'Sensitivity Ranges'!$F$41</f>
        <v>0</v>
      </c>
      <c r="V52" s="479">
        <f>IF($S52=0,0,INDEX(Overrides!$N$47:$N$88,$S52+1,1)*$T$21+INDEX(Overrides!$N$47:$N$88,$S52,1)*$T$22)*'Sensitivity Ranges'!$F$41</f>
        <v>0</v>
      </c>
      <c r="W52" s="200"/>
      <c r="X52" s="160">
        <f>IF($T$20=1,T52,IF(Input!$B$11="Gas",G52,J52)-P52)</f>
        <v>7.8171476937788942</v>
      </c>
      <c r="Y52" s="160">
        <f>IF($T$20=1,U52,IF(Input!$B$11="Gas",0,G52-Q52))</f>
        <v>2.4510543673467198</v>
      </c>
      <c r="Z52" s="160">
        <f>IF($T$20=1,V52,IF(Input!$B$11="Gas",J52,0))</f>
        <v>0</v>
      </c>
      <c r="AA52" s="200"/>
      <c r="AB52" s="160">
        <f>X52*Abandonment!$H37</f>
        <v>7.8171476937788942</v>
      </c>
      <c r="AC52" s="160">
        <f>Y52*Abandonment!$H37</f>
        <v>2.4510543673467198</v>
      </c>
      <c r="AD52" s="160">
        <f>Z52*Abandonment!$H37</f>
        <v>0</v>
      </c>
      <c r="AE52" s="156"/>
      <c r="AF52" s="156"/>
      <c r="AG52" s="160">
        <f t="shared" si="10"/>
        <v>7.8171476937788942</v>
      </c>
      <c r="AH52" s="160">
        <f t="shared" si="2"/>
        <v>2.4510543673467198</v>
      </c>
      <c r="AI52" s="160">
        <f t="shared" si="2"/>
        <v>0</v>
      </c>
      <c r="AJ52" s="156"/>
      <c r="AK52" s="160">
        <f>X52*Abandonment!H37</f>
        <v>7.8171476937788942</v>
      </c>
      <c r="AL52" s="160">
        <f>Y52*Abandonment!H37</f>
        <v>2.4510543673467198</v>
      </c>
      <c r="AM52" s="160">
        <f>Z52*Abandonment!H37</f>
        <v>0</v>
      </c>
      <c r="AN52" s="160">
        <f>AK52/'Sched &amp; Prod Assumptions'!$B$15+Production!AL52+AM52</f>
        <v>4.0796268035506564</v>
      </c>
      <c r="AO52" s="160">
        <f t="shared" si="11"/>
        <v>11.177059735755224</v>
      </c>
      <c r="AP52" s="93"/>
      <c r="AQ52" s="93"/>
      <c r="AR52" s="93"/>
      <c r="AS52" s="93"/>
      <c r="AT52" s="93"/>
      <c r="AU52" s="93"/>
      <c r="AV52" s="93"/>
      <c r="AW52" s="93"/>
      <c r="AX52" s="93"/>
      <c r="AY52" s="93"/>
      <c r="AZ52" s="93"/>
      <c r="BA52" s="93"/>
      <c r="BB52" s="93"/>
      <c r="BC52" s="93"/>
      <c r="BD52" s="93"/>
      <c r="BE52" s="93"/>
      <c r="BF52" s="93"/>
      <c r="BG52" s="93"/>
      <c r="BH52" s="93"/>
      <c r="BI52" s="93"/>
      <c r="BJ52" s="93"/>
      <c r="BK52" s="93"/>
      <c r="BL52" s="93"/>
      <c r="BM52" s="93"/>
      <c r="BN52" s="93"/>
      <c r="BO52" s="93"/>
      <c r="BP52" s="93"/>
      <c r="BQ52" s="93"/>
    </row>
    <row r="53" spans="1:69">
      <c r="A53" s="159">
        <f t="shared" si="12"/>
        <v>2037</v>
      </c>
      <c r="B53" s="159">
        <f t="shared" si="3"/>
        <v>365</v>
      </c>
      <c r="C53" s="160">
        <f t="shared" si="13"/>
        <v>0</v>
      </c>
      <c r="D53" s="160">
        <f t="shared" si="15"/>
        <v>0</v>
      </c>
      <c r="E53" s="160">
        <f t="shared" si="4"/>
        <v>6105.7294429708199</v>
      </c>
      <c r="F53" s="160">
        <f t="shared" si="14"/>
        <v>2.0772288300724266</v>
      </c>
      <c r="G53" s="160">
        <f t="shared" si="1"/>
        <v>2.0772288300724266</v>
      </c>
      <c r="H53" s="160">
        <f t="shared" si="5"/>
        <v>5.6910378906093877</v>
      </c>
      <c r="I53" s="156"/>
      <c r="J53" s="160">
        <f>IF(AND(Input!$B$15=Lists!$Q$36,Input!$B$11="Oil"),0,G53*Input!$B$29/1000)</f>
        <v>6.9240268592804206</v>
      </c>
      <c r="K53" s="160">
        <f t="shared" si="6"/>
        <v>18.969936600768275</v>
      </c>
      <c r="L53" s="156"/>
      <c r="M53" s="160">
        <f t="shared" si="7"/>
        <v>365</v>
      </c>
      <c r="N53" s="160">
        <f t="shared" si="8"/>
        <v>1</v>
      </c>
      <c r="O53" s="156"/>
      <c r="P53" s="160">
        <f>IF(Input!$B$11="Oil",MIN('Sched &amp; Prod Assumptions'!$C$19*'Sched &amp; Prod Assumptions'!$B$15*G53,J53),G53*'Sched &amp; Prod Assumptions'!$C$18)</f>
        <v>0.29912095153042939</v>
      </c>
      <c r="Q53" s="160">
        <f>IF(Input!$B$11="Oil",IF(P53&lt;J53,0,Production!G53*'Sched &amp; Prod Assumptions'!$C$19-Production!P53/'Sched &amp; Prod Assumptions'!$C$17*Input!$B$28/1000),0)</f>
        <v>0</v>
      </c>
      <c r="R53" s="156"/>
      <c r="S53" s="160">
        <f t="shared" si="9"/>
        <v>23</v>
      </c>
      <c r="T53" s="479">
        <f>IF($S53=0,0,INDEX(Overrides!$L$47:$L$88,$S53+1,1)*$T$21+INDEX(Overrides!$L$47:$L$88,$S53,1)*$T$22)*'Sensitivity Ranges'!$F$41</f>
        <v>0</v>
      </c>
      <c r="U53" s="479">
        <f>IF($S53=0,0,INDEX(Overrides!$M$47:$M$88,$S53+1,1)*$T$21+INDEX(Overrides!$M$47:$M$88,$S53,1)*$T$22)*'Sensitivity Ranges'!$F$41</f>
        <v>0</v>
      </c>
      <c r="V53" s="479">
        <f>IF($S53=0,0,INDEX(Overrides!$N$47:$N$88,$S53+1,1)*$T$21+INDEX(Overrides!$N$47:$N$88,$S53,1)*$T$22)*'Sensitivity Ranges'!$F$41</f>
        <v>0</v>
      </c>
      <c r="W53" s="200"/>
      <c r="X53" s="160">
        <f>IF($T$20=1,T53,IF(Input!$B$11="Gas",G53,J53)-P53)</f>
        <v>6.6249059077499908</v>
      </c>
      <c r="Y53" s="160">
        <f>IF($T$20=1,U53,IF(Input!$B$11="Gas",0,G53-Q53))</f>
        <v>2.0772288300724266</v>
      </c>
      <c r="Z53" s="160">
        <f>IF($T$20=1,V53,IF(Input!$B$11="Gas",J53,0))</f>
        <v>0</v>
      </c>
      <c r="AA53" s="200"/>
      <c r="AB53" s="160">
        <f>X53*Abandonment!$H38</f>
        <v>6.6249059077499908</v>
      </c>
      <c r="AC53" s="160">
        <f>Y53*Abandonment!$H38</f>
        <v>2.0772288300724266</v>
      </c>
      <c r="AD53" s="160">
        <f>Z53*Abandonment!$H38</f>
        <v>0</v>
      </c>
      <c r="AE53" s="156"/>
      <c r="AF53" s="156"/>
      <c r="AG53" s="160">
        <f t="shared" si="10"/>
        <v>6.6249059077499908</v>
      </c>
      <c r="AH53" s="160">
        <f t="shared" si="2"/>
        <v>2.0772288300724266</v>
      </c>
      <c r="AI53" s="160">
        <f t="shared" si="2"/>
        <v>0</v>
      </c>
      <c r="AJ53" s="156"/>
      <c r="AK53" s="160">
        <f>X53*Abandonment!H38</f>
        <v>6.6249059077499908</v>
      </c>
      <c r="AL53" s="160">
        <f>Y53*Abandonment!H38</f>
        <v>2.0772288300724266</v>
      </c>
      <c r="AM53" s="160">
        <f>Z53*Abandonment!H38</f>
        <v>0</v>
      </c>
      <c r="AN53" s="160">
        <f>AK53/'Sched &amp; Prod Assumptions'!$B$15+Production!AL53+AM53</f>
        <v>3.457417560853675</v>
      </c>
      <c r="AO53" s="160">
        <f t="shared" si="11"/>
        <v>9.4723768790511649</v>
      </c>
      <c r="AP53" s="93"/>
      <c r="AQ53" s="93"/>
      <c r="AR53" s="93"/>
      <c r="AS53" s="93"/>
      <c r="AT53" s="93"/>
      <c r="AU53" s="93"/>
      <c r="AV53" s="93"/>
      <c r="AW53" s="93"/>
      <c r="AX53" s="93"/>
      <c r="AY53" s="93"/>
      <c r="AZ53" s="93"/>
      <c r="BA53" s="93"/>
      <c r="BB53" s="93"/>
      <c r="BC53" s="93"/>
      <c r="BD53" s="93"/>
      <c r="BE53" s="93"/>
      <c r="BF53" s="93"/>
      <c r="BG53" s="93"/>
      <c r="BH53" s="93"/>
      <c r="BI53" s="93"/>
      <c r="BJ53" s="93"/>
      <c r="BK53" s="93"/>
      <c r="BL53" s="93"/>
      <c r="BM53" s="93"/>
      <c r="BN53" s="93"/>
      <c r="BO53" s="93"/>
      <c r="BP53" s="93"/>
      <c r="BQ53" s="93"/>
    </row>
    <row r="54" spans="1:69">
      <c r="A54" s="159">
        <f t="shared" si="12"/>
        <v>2038</v>
      </c>
      <c r="B54" s="159">
        <f t="shared" si="3"/>
        <v>365</v>
      </c>
      <c r="C54" s="160">
        <f t="shared" si="13"/>
        <v>0</v>
      </c>
      <c r="D54" s="160">
        <f t="shared" si="15"/>
        <v>0</v>
      </c>
      <c r="E54" s="160">
        <f t="shared" si="4"/>
        <v>6470.7294429708199</v>
      </c>
      <c r="F54" s="160">
        <f t="shared" si="14"/>
        <v>1.7656445055615619</v>
      </c>
      <c r="G54" s="160">
        <f t="shared" si="1"/>
        <v>1.7656445055615619</v>
      </c>
      <c r="H54" s="160">
        <f t="shared" si="5"/>
        <v>4.8373822070179777</v>
      </c>
      <c r="I54" s="156"/>
      <c r="J54" s="160">
        <f>IF(AND(Input!$B$15=Lists!$Q$36,Input!$B$11="Oil"),0,G54*Input!$B$29/1000)</f>
        <v>5.8854228303883547</v>
      </c>
      <c r="K54" s="160">
        <f t="shared" si="6"/>
        <v>16.124446110653025</v>
      </c>
      <c r="L54" s="156"/>
      <c r="M54" s="160">
        <f t="shared" si="7"/>
        <v>365</v>
      </c>
      <c r="N54" s="160">
        <f t="shared" si="8"/>
        <v>1</v>
      </c>
      <c r="O54" s="156"/>
      <c r="P54" s="160">
        <f>IF(Input!$B$11="Oil",MIN('Sched &amp; Prod Assumptions'!$C$19*'Sched &amp; Prod Assumptions'!$B$15*G54,J54),G54*'Sched &amp; Prod Assumptions'!$C$18)</f>
        <v>0.25425280880086493</v>
      </c>
      <c r="Q54" s="160">
        <f>IF(Input!$B$11="Oil",IF(P54&lt;J54,0,Production!G54*'Sched &amp; Prod Assumptions'!$C$19-Production!P54/'Sched &amp; Prod Assumptions'!$C$17*Input!$B$28/1000),0)</f>
        <v>0</v>
      </c>
      <c r="R54" s="156"/>
      <c r="S54" s="160">
        <f t="shared" si="9"/>
        <v>24</v>
      </c>
      <c r="T54" s="479">
        <f>IF($S54=0,0,INDEX(Overrides!$L$47:$L$88,$S54+1,1)*$T$21+INDEX(Overrides!$L$47:$L$88,$S54,1)*$T$22)*'Sensitivity Ranges'!$F$41</f>
        <v>0</v>
      </c>
      <c r="U54" s="479">
        <f>IF($S54=0,0,INDEX(Overrides!$M$47:$M$88,$S54+1,1)*$T$21+INDEX(Overrides!$M$47:$M$88,$S54,1)*$T$22)*'Sensitivity Ranges'!$F$41</f>
        <v>0</v>
      </c>
      <c r="V54" s="479">
        <f>IF($S54=0,0,INDEX(Overrides!$N$47:$N$88,$S54+1,1)*$T$21+INDEX(Overrides!$N$47:$N$88,$S54,1)*$T$22)*'Sensitivity Ranges'!$F$41</f>
        <v>0</v>
      </c>
      <c r="W54" s="200"/>
      <c r="X54" s="160">
        <f>IF($T$20=1,T54,IF(Input!$B$11="Gas",G54,J54)-P54)</f>
        <v>5.63117002158749</v>
      </c>
      <c r="Y54" s="160">
        <f>IF($T$20=1,U54,IF(Input!$B$11="Gas",0,G54-Q54))</f>
        <v>1.7656445055615619</v>
      </c>
      <c r="Z54" s="160">
        <f>IF($T$20=1,V54,IF(Input!$B$11="Gas",J54,0))</f>
        <v>0</v>
      </c>
      <c r="AA54" s="200"/>
      <c r="AB54" s="160">
        <f>X54*Abandonment!$H39</f>
        <v>5.63117002158749</v>
      </c>
      <c r="AC54" s="160">
        <f>Y54*Abandonment!$H39</f>
        <v>1.7656445055615619</v>
      </c>
      <c r="AD54" s="160">
        <f>Z54*Abandonment!$H39</f>
        <v>0</v>
      </c>
      <c r="AE54" s="156"/>
      <c r="AF54" s="156"/>
      <c r="AG54" s="160">
        <f t="shared" si="10"/>
        <v>5.63117002158749</v>
      </c>
      <c r="AH54" s="160">
        <f t="shared" si="2"/>
        <v>1.7656445055615619</v>
      </c>
      <c r="AI54" s="160">
        <f t="shared" si="2"/>
        <v>0</v>
      </c>
      <c r="AJ54" s="156"/>
      <c r="AK54" s="160">
        <f>X54*Abandonment!H39</f>
        <v>5.63117002158749</v>
      </c>
      <c r="AL54" s="160">
        <f>Y54*Abandonment!H39</f>
        <v>1.7656445055615619</v>
      </c>
      <c r="AM54" s="160">
        <f>Z54*Abandonment!H39</f>
        <v>0</v>
      </c>
      <c r="AN54" s="160">
        <f>AK54/'Sched &amp; Prod Assumptions'!$B$15+Production!AL54+AM54</f>
        <v>2.9388049267256227</v>
      </c>
      <c r="AO54" s="160">
        <f t="shared" si="11"/>
        <v>8.0515203471934864</v>
      </c>
      <c r="AP54" s="93"/>
      <c r="AQ54" s="93"/>
      <c r="AR54" s="93"/>
      <c r="AS54" s="93"/>
      <c r="AT54" s="93"/>
      <c r="AU54" s="93"/>
      <c r="AV54" s="93"/>
      <c r="AW54" s="93"/>
      <c r="AX54" s="93"/>
      <c r="AY54" s="93"/>
      <c r="AZ54" s="93"/>
      <c r="BA54" s="93"/>
      <c r="BB54" s="93"/>
      <c r="BC54" s="93"/>
      <c r="BD54" s="93"/>
      <c r="BE54" s="93"/>
      <c r="BF54" s="93"/>
      <c r="BG54" s="93"/>
      <c r="BH54" s="93"/>
      <c r="BI54" s="93"/>
      <c r="BJ54" s="93"/>
      <c r="BK54" s="93"/>
      <c r="BL54" s="93"/>
      <c r="BM54" s="93"/>
      <c r="BN54" s="93"/>
      <c r="BO54" s="93"/>
      <c r="BP54" s="93"/>
      <c r="BQ54" s="93"/>
    </row>
    <row r="55" spans="1:69">
      <c r="A55" s="159">
        <f t="shared" si="12"/>
        <v>2039</v>
      </c>
      <c r="B55" s="159">
        <f t="shared" si="3"/>
        <v>365</v>
      </c>
      <c r="C55" s="160">
        <f t="shared" si="13"/>
        <v>0</v>
      </c>
      <c r="D55" s="160">
        <f t="shared" si="15"/>
        <v>0</v>
      </c>
      <c r="E55" s="160">
        <f t="shared" si="4"/>
        <v>6835.7294429708199</v>
      </c>
      <c r="F55" s="160">
        <f t="shared" si="14"/>
        <v>1.500797829727325</v>
      </c>
      <c r="G55" s="160">
        <f t="shared" si="1"/>
        <v>1.500797829727325</v>
      </c>
      <c r="H55" s="160">
        <f t="shared" si="5"/>
        <v>4.1117748759652741</v>
      </c>
      <c r="I55" s="156"/>
      <c r="J55" s="160">
        <f>IF(AND(Input!$B$15=Lists!$Q$36,Input!$B$11="Oil"),0,G55*Input!$B$29/1000)</f>
        <v>5.0026094058300927</v>
      </c>
      <c r="K55" s="160">
        <f t="shared" si="6"/>
        <v>13.705779194055049</v>
      </c>
      <c r="L55" s="156"/>
      <c r="M55" s="160">
        <f t="shared" si="7"/>
        <v>365</v>
      </c>
      <c r="N55" s="160">
        <f t="shared" si="8"/>
        <v>1</v>
      </c>
      <c r="O55" s="156"/>
      <c r="P55" s="160">
        <f>IF(Input!$B$11="Oil",MIN('Sched &amp; Prod Assumptions'!$C$19*'Sched &amp; Prod Assumptions'!$B$15*G55,J55),G55*'Sched &amp; Prod Assumptions'!$C$18)</f>
        <v>0.21611488748073479</v>
      </c>
      <c r="Q55" s="160">
        <f>IF(Input!$B$11="Oil",IF(P55&lt;J55,0,Production!G55*'Sched &amp; Prod Assumptions'!$C$19-Production!P55/'Sched &amp; Prod Assumptions'!$C$17*Input!$B$28/1000),0)</f>
        <v>0</v>
      </c>
      <c r="R55" s="156"/>
      <c r="S55" s="160">
        <f t="shared" si="9"/>
        <v>25</v>
      </c>
      <c r="T55" s="479">
        <f>IF($S55=0,0,INDEX(Overrides!$L$47:$L$88,$S55+1,1)*$T$21+INDEX(Overrides!$L$47:$L$88,$S55,1)*$T$22)*'Sensitivity Ranges'!$F$41</f>
        <v>0</v>
      </c>
      <c r="U55" s="479">
        <f>IF($S55=0,0,INDEX(Overrides!$M$47:$M$88,$S55+1,1)*$T$21+INDEX(Overrides!$M$47:$M$88,$S55,1)*$T$22)*'Sensitivity Ranges'!$F$41</f>
        <v>0</v>
      </c>
      <c r="V55" s="479">
        <f>IF($S55=0,0,INDEX(Overrides!$N$47:$N$88,$S55+1,1)*$T$21+INDEX(Overrides!$N$47:$N$88,$S55,1)*$T$22)*'Sensitivity Ranges'!$F$41</f>
        <v>0</v>
      </c>
      <c r="W55" s="200"/>
      <c r="X55" s="160">
        <f>IF($T$20=1,T55,IF(Input!$B$11="Gas",G55,J55)-P55)</f>
        <v>4.7864945183493584</v>
      </c>
      <c r="Y55" s="160">
        <f>IF($T$20=1,U55,IF(Input!$B$11="Gas",0,G55-Q55))</f>
        <v>1.500797829727325</v>
      </c>
      <c r="Z55" s="160">
        <f>IF($T$20=1,V55,IF(Input!$B$11="Gas",J55,0))</f>
        <v>0</v>
      </c>
      <c r="AA55" s="200"/>
      <c r="AB55" s="160">
        <f>X55*Abandonment!$H40</f>
        <v>4.7864945183493584</v>
      </c>
      <c r="AC55" s="160">
        <f>Y55*Abandonment!$H40</f>
        <v>1.500797829727325</v>
      </c>
      <c r="AD55" s="160">
        <f>Z55*Abandonment!$H40</f>
        <v>0</v>
      </c>
      <c r="AE55" s="156"/>
      <c r="AF55" s="156"/>
      <c r="AG55" s="160">
        <f t="shared" si="10"/>
        <v>4.7864945183493584</v>
      </c>
      <c r="AH55" s="160">
        <f t="shared" si="2"/>
        <v>1.500797829727325</v>
      </c>
      <c r="AI55" s="160">
        <f t="shared" si="2"/>
        <v>0</v>
      </c>
      <c r="AJ55" s="156"/>
      <c r="AK55" s="160">
        <f>X55*Abandonment!H40</f>
        <v>4.7864945183493584</v>
      </c>
      <c r="AL55" s="160">
        <f>Y55*Abandonment!H40</f>
        <v>1.500797829727325</v>
      </c>
      <c r="AM55" s="160">
        <f>Z55*Abandonment!H40</f>
        <v>0</v>
      </c>
      <c r="AN55" s="160">
        <f>AK55/'Sched &amp; Prod Assumptions'!$B$15+Production!AL55+AM55</f>
        <v>2.4979841877167748</v>
      </c>
      <c r="AO55" s="160">
        <f t="shared" si="11"/>
        <v>6.8437922951144516</v>
      </c>
      <c r="AP55" s="93"/>
      <c r="AQ55" s="93"/>
      <c r="AR55" s="93"/>
      <c r="AS55" s="93"/>
      <c r="AT55" s="93"/>
      <c r="AU55" s="93"/>
      <c r="AV55" s="93"/>
      <c r="AW55" s="93"/>
      <c r="AX55" s="93"/>
      <c r="AY55" s="93"/>
      <c r="AZ55" s="93"/>
      <c r="BA55" s="93"/>
      <c r="BB55" s="93"/>
      <c r="BC55" s="93"/>
      <c r="BD55" s="93"/>
      <c r="BE55" s="93"/>
      <c r="BF55" s="93"/>
      <c r="BG55" s="93"/>
      <c r="BH55" s="93"/>
      <c r="BI55" s="93"/>
      <c r="BJ55" s="93"/>
      <c r="BK55" s="93"/>
      <c r="BL55" s="93"/>
      <c r="BM55" s="93"/>
      <c r="BN55" s="93"/>
      <c r="BO55" s="93"/>
      <c r="BP55" s="93"/>
      <c r="BQ55" s="93"/>
    </row>
    <row r="56" spans="1:69">
      <c r="A56" s="159">
        <f t="shared" si="12"/>
        <v>2040</v>
      </c>
      <c r="B56" s="159">
        <f t="shared" si="3"/>
        <v>366</v>
      </c>
      <c r="C56" s="160">
        <f t="shared" si="13"/>
        <v>0</v>
      </c>
      <c r="D56" s="160">
        <f t="shared" si="15"/>
        <v>0</v>
      </c>
      <c r="E56" s="160">
        <f t="shared" si="4"/>
        <v>7201.7294429708199</v>
      </c>
      <c r="F56" s="160">
        <f t="shared" si="14"/>
        <v>1.2788961341605409</v>
      </c>
      <c r="G56" s="160">
        <f t="shared" si="1"/>
        <v>1.2788961341605409</v>
      </c>
      <c r="H56" s="160">
        <f t="shared" si="5"/>
        <v>3.4942517326790736</v>
      </c>
      <c r="I56" s="156"/>
      <c r="J56" s="160">
        <f>IF(AND(Input!$B$15=Lists!$Q$36,Input!$B$11="Oil"),0,G56*Input!$B$29/1000)</f>
        <v>4.2629444839973312</v>
      </c>
      <c r="K56" s="160">
        <f t="shared" si="6"/>
        <v>11.647389300539155</v>
      </c>
      <c r="L56" s="156"/>
      <c r="M56" s="160">
        <f t="shared" si="7"/>
        <v>366</v>
      </c>
      <c r="N56" s="160">
        <f t="shared" si="8"/>
        <v>1</v>
      </c>
      <c r="O56" s="156"/>
      <c r="P56" s="160">
        <f>IF(Input!$B$11="Oil",MIN('Sched &amp; Prod Assumptions'!$C$19*'Sched &amp; Prod Assumptions'!$B$15*G56,J56),G56*'Sched &amp; Prod Assumptions'!$C$18)</f>
        <v>0.18416104331911787</v>
      </c>
      <c r="Q56" s="160">
        <f>IF(Input!$B$11="Oil",IF(P56&lt;J56,0,Production!G56*'Sched &amp; Prod Assumptions'!$C$19-Production!P56/'Sched &amp; Prod Assumptions'!$C$17*Input!$B$28/1000),0)</f>
        <v>0</v>
      </c>
      <c r="R56" s="156"/>
      <c r="S56" s="160">
        <f t="shared" si="9"/>
        <v>26</v>
      </c>
      <c r="T56" s="479">
        <f>IF($S56=0,0,INDEX(Overrides!$L$47:$L$88,$S56+1,1)*$T$21+INDEX(Overrides!$L$47:$L$88,$S56,1)*$T$22)*'Sensitivity Ranges'!$F$41</f>
        <v>0</v>
      </c>
      <c r="U56" s="479">
        <f>IF($S56=0,0,INDEX(Overrides!$M$47:$M$88,$S56+1,1)*$T$21+INDEX(Overrides!$M$47:$M$88,$S56,1)*$T$22)*'Sensitivity Ranges'!$F$41</f>
        <v>0</v>
      </c>
      <c r="V56" s="479">
        <f>IF($S56=0,0,INDEX(Overrides!$N$47:$N$88,$S56+1,1)*$T$21+INDEX(Overrides!$N$47:$N$88,$S56,1)*$T$22)*'Sensitivity Ranges'!$F$41</f>
        <v>0</v>
      </c>
      <c r="W56" s="200"/>
      <c r="X56" s="160">
        <f>IF($T$20=1,T56,IF(Input!$B$11="Gas",G56,J56)-P56)</f>
        <v>4.0787834406782135</v>
      </c>
      <c r="Y56" s="160">
        <f>IF($T$20=1,U56,IF(Input!$B$11="Gas",0,G56-Q56))</f>
        <v>1.2788961341605409</v>
      </c>
      <c r="Z56" s="160">
        <f>IF($T$20=1,V56,IF(Input!$B$11="Gas",J56,0))</f>
        <v>0</v>
      </c>
      <c r="AA56" s="200"/>
      <c r="AB56" s="160">
        <f>X56*Abandonment!$H41</f>
        <v>4.0787834406782135</v>
      </c>
      <c r="AC56" s="160">
        <f>Y56*Abandonment!$H41</f>
        <v>1.2788961341605409</v>
      </c>
      <c r="AD56" s="160">
        <f>Z56*Abandonment!$H41</f>
        <v>0</v>
      </c>
      <c r="AE56" s="156"/>
      <c r="AF56" s="156"/>
      <c r="AG56" s="160">
        <f t="shared" si="10"/>
        <v>4.0787834406782135</v>
      </c>
      <c r="AH56" s="160">
        <f t="shared" si="2"/>
        <v>1.2788961341605409</v>
      </c>
      <c r="AI56" s="160">
        <f t="shared" si="2"/>
        <v>0</v>
      </c>
      <c r="AJ56" s="156"/>
      <c r="AK56" s="160">
        <f>X56*Abandonment!H41</f>
        <v>4.0787834406782135</v>
      </c>
      <c r="AL56" s="160">
        <f>Y56*Abandonment!H41</f>
        <v>1.2788961341605409</v>
      </c>
      <c r="AM56" s="160">
        <f>Z56*Abandonment!H41</f>
        <v>0</v>
      </c>
      <c r="AN56" s="160">
        <f>AK56/'Sched &amp; Prod Assumptions'!$B$15+Production!AL56+AM56</f>
        <v>2.1286426843018353</v>
      </c>
      <c r="AO56" s="160">
        <f t="shared" si="11"/>
        <v>5.831897765210508</v>
      </c>
      <c r="AP56" s="93"/>
      <c r="AQ56" s="93"/>
      <c r="AR56" s="93"/>
      <c r="AS56" s="93"/>
      <c r="AT56" s="93"/>
      <c r="AU56" s="93"/>
      <c r="AV56" s="93"/>
      <c r="AW56" s="93"/>
      <c r="AX56" s="93"/>
      <c r="AY56" s="93"/>
      <c r="AZ56" s="93"/>
      <c r="BA56" s="93"/>
      <c r="BB56" s="93"/>
      <c r="BC56" s="93"/>
      <c r="BD56" s="93"/>
      <c r="BE56" s="93"/>
      <c r="BF56" s="93"/>
      <c r="BG56" s="93"/>
      <c r="BH56" s="93"/>
      <c r="BI56" s="93"/>
      <c r="BJ56" s="93"/>
      <c r="BK56" s="93"/>
      <c r="BL56" s="93"/>
      <c r="BM56" s="93"/>
      <c r="BN56" s="93"/>
      <c r="BO56" s="93"/>
      <c r="BP56" s="93"/>
      <c r="BQ56" s="93"/>
    </row>
    <row r="57" spans="1:69">
      <c r="A57" s="159">
        <f t="shared" si="12"/>
        <v>2041</v>
      </c>
      <c r="B57" s="159">
        <f t="shared" si="3"/>
        <v>365</v>
      </c>
      <c r="C57" s="160">
        <f t="shared" si="13"/>
        <v>0</v>
      </c>
      <c r="D57" s="160">
        <f t="shared" si="15"/>
        <v>0</v>
      </c>
      <c r="E57" s="160">
        <f t="shared" si="4"/>
        <v>7566.7294429708199</v>
      </c>
      <c r="F57" s="160">
        <f t="shared" si="14"/>
        <v>1.083843735144145</v>
      </c>
      <c r="G57" s="160">
        <f t="shared" si="1"/>
        <v>1.083843735144145</v>
      </c>
      <c r="H57" s="160">
        <f t="shared" si="5"/>
        <v>2.9694348908058763</v>
      </c>
      <c r="I57" s="156"/>
      <c r="J57" s="160">
        <f>IF(AND(Input!$B$15=Lists!$Q$36,Input!$B$11="Oil"),0,G57*Input!$B$29/1000)</f>
        <v>3.6127763223559786</v>
      </c>
      <c r="K57" s="160">
        <f t="shared" si="6"/>
        <v>9.8980173215232288</v>
      </c>
      <c r="L57" s="156"/>
      <c r="M57" s="160">
        <f t="shared" si="7"/>
        <v>365</v>
      </c>
      <c r="N57" s="160">
        <f t="shared" si="8"/>
        <v>1</v>
      </c>
      <c r="O57" s="156"/>
      <c r="P57" s="160">
        <f>IF(Input!$B$11="Oil",MIN('Sched &amp; Prod Assumptions'!$C$19*'Sched &amp; Prod Assumptions'!$B$15*G57,J57),G57*'Sched &amp; Prod Assumptions'!$C$18)</f>
        <v>0.15607349786075686</v>
      </c>
      <c r="Q57" s="160">
        <f>IF(Input!$B$11="Oil",IF(P57&lt;J57,0,Production!G57*'Sched &amp; Prod Assumptions'!$C$19-Production!P57/'Sched &amp; Prod Assumptions'!$C$17*Input!$B$28/1000),0)</f>
        <v>0</v>
      </c>
      <c r="R57" s="156"/>
      <c r="S57" s="160">
        <f t="shared" si="9"/>
        <v>27</v>
      </c>
      <c r="T57" s="479">
        <f>IF($S57=0,0,INDEX(Overrides!$L$47:$L$88,$S57+1,1)*$T$21+INDEX(Overrides!$L$47:$L$88,$S57,1)*$T$22)*'Sensitivity Ranges'!$F$41</f>
        <v>0</v>
      </c>
      <c r="U57" s="479">
        <f>IF($S57=0,0,INDEX(Overrides!$M$47:$M$88,$S57+1,1)*$T$21+INDEX(Overrides!$M$47:$M$88,$S57,1)*$T$22)*'Sensitivity Ranges'!$F$41</f>
        <v>0</v>
      </c>
      <c r="V57" s="479">
        <f>IF($S57=0,0,INDEX(Overrides!$N$47:$N$88,$S57+1,1)*$T$21+INDEX(Overrides!$N$47:$N$88,$S57,1)*$T$22)*'Sensitivity Ranges'!$F$41</f>
        <v>0</v>
      </c>
      <c r="W57" s="200"/>
      <c r="X57" s="160">
        <f>IF($T$20=1,T57,IF(Input!$B$11="Gas",G57,J57)-P57)</f>
        <v>3.4567028244952218</v>
      </c>
      <c r="Y57" s="160">
        <f>IF($T$20=1,U57,IF(Input!$B$11="Gas",0,G57-Q57))</f>
        <v>1.083843735144145</v>
      </c>
      <c r="Z57" s="160">
        <f>IF($T$20=1,V57,IF(Input!$B$11="Gas",J57,0))</f>
        <v>0</v>
      </c>
      <c r="AA57" s="200"/>
      <c r="AB57" s="160">
        <f>X57*Abandonment!$H42</f>
        <v>0</v>
      </c>
      <c r="AC57" s="160">
        <f>Y57*Abandonment!$H42</f>
        <v>0</v>
      </c>
      <c r="AD57" s="160">
        <f>Z57*Abandonment!$H42</f>
        <v>0</v>
      </c>
      <c r="AE57" s="156"/>
      <c r="AF57" s="156"/>
      <c r="AG57" s="160">
        <f t="shared" si="10"/>
        <v>0</v>
      </c>
      <c r="AH57" s="160">
        <f t="shared" si="2"/>
        <v>0</v>
      </c>
      <c r="AI57" s="160">
        <f t="shared" si="2"/>
        <v>0</v>
      </c>
      <c r="AJ57" s="156"/>
      <c r="AK57" s="160">
        <f>X57*Abandonment!H42</f>
        <v>0</v>
      </c>
      <c r="AL57" s="160">
        <f>Y57*Abandonment!H42</f>
        <v>0</v>
      </c>
      <c r="AM57" s="160">
        <f>Z57*Abandonment!H42</f>
        <v>0</v>
      </c>
      <c r="AN57" s="160">
        <f>AK57/'Sched &amp; Prod Assumptions'!$B$15+Production!AL57+AM57</f>
        <v>0</v>
      </c>
      <c r="AO57" s="160">
        <f t="shared" si="11"/>
        <v>0</v>
      </c>
      <c r="AP57" s="93"/>
      <c r="AQ57" s="93"/>
      <c r="AR57" s="93"/>
      <c r="AS57" s="93"/>
      <c r="AT57" s="93"/>
      <c r="AU57" s="93"/>
      <c r="AV57" s="93"/>
      <c r="AW57" s="93"/>
      <c r="AX57" s="93"/>
      <c r="AY57" s="93"/>
      <c r="AZ57" s="93"/>
      <c r="BA57" s="93"/>
      <c r="BB57" s="93"/>
      <c r="BC57" s="93"/>
      <c r="BD57" s="93"/>
      <c r="BE57" s="93"/>
      <c r="BF57" s="93"/>
      <c r="BG57" s="93"/>
      <c r="BH57" s="93"/>
      <c r="BI57" s="93"/>
      <c r="BJ57" s="93"/>
      <c r="BK57" s="93"/>
      <c r="BL57" s="93"/>
      <c r="BM57" s="93"/>
      <c r="BN57" s="93"/>
      <c r="BO57" s="93"/>
      <c r="BP57" s="93"/>
      <c r="BQ57" s="93"/>
    </row>
    <row r="58" spans="1:69">
      <c r="A58" s="159">
        <f t="shared" si="12"/>
        <v>2042</v>
      </c>
      <c r="B58" s="159">
        <f t="shared" si="3"/>
        <v>365</v>
      </c>
      <c r="C58" s="160">
        <f t="shared" si="13"/>
        <v>0</v>
      </c>
      <c r="D58" s="160">
        <f t="shared" si="15"/>
        <v>0</v>
      </c>
      <c r="E58" s="160">
        <f t="shared" si="4"/>
        <v>7931.7294429708199</v>
      </c>
      <c r="F58" s="160">
        <f t="shared" si="14"/>
        <v>0.92126717487252574</v>
      </c>
      <c r="G58" s="160">
        <f t="shared" si="1"/>
        <v>0.92126717487252574</v>
      </c>
      <c r="H58" s="160">
        <f t="shared" si="5"/>
        <v>2.524019657185002</v>
      </c>
      <c r="I58" s="156"/>
      <c r="J58" s="160">
        <f>IF(AND(Input!$B$15=Lists!$Q$36,Input!$B$11="Oil"),0,G58*Input!$B$29/1000)</f>
        <v>3.0708598740025899</v>
      </c>
      <c r="K58" s="160">
        <f t="shared" si="6"/>
        <v>8.413314723294766</v>
      </c>
      <c r="L58" s="156"/>
      <c r="M58" s="160">
        <f t="shared" si="7"/>
        <v>365</v>
      </c>
      <c r="N58" s="160">
        <f t="shared" si="8"/>
        <v>1</v>
      </c>
      <c r="O58" s="156"/>
      <c r="P58" s="160">
        <f>IF(Input!$B$11="Oil",MIN('Sched &amp; Prod Assumptions'!$C$19*'Sched &amp; Prod Assumptions'!$B$15*G58,J58),G58*'Sched &amp; Prod Assumptions'!$C$18)</f>
        <v>0.1326624731816437</v>
      </c>
      <c r="Q58" s="160">
        <f>IF(Input!$B$11="Oil",IF(P58&lt;J58,0,Production!G58*'Sched &amp; Prod Assumptions'!$C$19-Production!P58/'Sched &amp; Prod Assumptions'!$C$17*Input!$B$28/1000),0)</f>
        <v>0</v>
      </c>
      <c r="R58" s="156"/>
      <c r="S58" s="160">
        <f t="shared" si="9"/>
        <v>28</v>
      </c>
      <c r="T58" s="479">
        <f>IF($S58=0,0,INDEX(Overrides!$L$47:$L$88,$S58+1,1)*$T$21+INDEX(Overrides!$L$47:$L$88,$S58,1)*$T$22)*'Sensitivity Ranges'!$F$41</f>
        <v>0</v>
      </c>
      <c r="U58" s="479">
        <f>IF($S58=0,0,INDEX(Overrides!$M$47:$M$88,$S58+1,1)*$T$21+INDEX(Overrides!$M$47:$M$88,$S58,1)*$T$22)*'Sensitivity Ranges'!$F$41</f>
        <v>0</v>
      </c>
      <c r="V58" s="479">
        <f>IF($S58=0,0,INDEX(Overrides!$N$47:$N$88,$S58+1,1)*$T$21+INDEX(Overrides!$N$47:$N$88,$S58,1)*$T$22)*'Sensitivity Ranges'!$F$41</f>
        <v>0</v>
      </c>
      <c r="W58" s="200"/>
      <c r="X58" s="160">
        <f>IF($T$20=1,T58,IF(Input!$B$11="Gas",G58,J58)-P58)</f>
        <v>2.9381974008209459</v>
      </c>
      <c r="Y58" s="160">
        <f>IF($T$20=1,U58,IF(Input!$B$11="Gas",0,G58-Q58))</f>
        <v>0.92126717487252574</v>
      </c>
      <c r="Z58" s="160">
        <f>IF($T$20=1,V58,IF(Input!$B$11="Gas",J58,0))</f>
        <v>0</v>
      </c>
      <c r="AA58" s="200"/>
      <c r="AB58" s="160">
        <f>X58*Abandonment!$H43</f>
        <v>0</v>
      </c>
      <c r="AC58" s="160">
        <f>Y58*Abandonment!$H43</f>
        <v>0</v>
      </c>
      <c r="AD58" s="160">
        <f>Z58*Abandonment!$H43</f>
        <v>0</v>
      </c>
      <c r="AE58" s="156"/>
      <c r="AF58" s="156"/>
      <c r="AG58" s="160">
        <f t="shared" si="10"/>
        <v>0</v>
      </c>
      <c r="AH58" s="160">
        <f t="shared" si="2"/>
        <v>0</v>
      </c>
      <c r="AI58" s="160">
        <f t="shared" si="2"/>
        <v>0</v>
      </c>
      <c r="AJ58" s="156"/>
      <c r="AK58" s="160">
        <f>X58*Abandonment!H43</f>
        <v>0</v>
      </c>
      <c r="AL58" s="160">
        <f>Y58*Abandonment!H43</f>
        <v>0</v>
      </c>
      <c r="AM58" s="160">
        <f>Z58*Abandonment!H43</f>
        <v>0</v>
      </c>
      <c r="AN58" s="160">
        <f>AK58/'Sched &amp; Prod Assumptions'!$B$15+Production!AL58+AM58</f>
        <v>0</v>
      </c>
      <c r="AO58" s="160">
        <f t="shared" si="11"/>
        <v>0</v>
      </c>
      <c r="AP58" s="93"/>
      <c r="AQ58" s="93"/>
      <c r="AR58" s="93"/>
      <c r="AS58" s="93"/>
      <c r="AT58" s="93"/>
      <c r="AU58" s="93"/>
      <c r="AV58" s="93"/>
      <c r="AW58" s="93"/>
      <c r="AX58" s="93"/>
      <c r="AY58" s="93"/>
      <c r="AZ58" s="93"/>
      <c r="BA58" s="93"/>
      <c r="BB58" s="93"/>
      <c r="BC58" s="93"/>
      <c r="BD58" s="93"/>
      <c r="BE58" s="93"/>
      <c r="BF58" s="93"/>
      <c r="BG58" s="93"/>
      <c r="BH58" s="93"/>
      <c r="BI58" s="93"/>
      <c r="BJ58" s="93"/>
      <c r="BK58" s="93"/>
      <c r="BL58" s="93"/>
      <c r="BM58" s="93"/>
      <c r="BN58" s="93"/>
      <c r="BO58" s="93"/>
      <c r="BP58" s="93"/>
      <c r="BQ58" s="93"/>
    </row>
    <row r="59" spans="1:69">
      <c r="A59" s="159">
        <f t="shared" si="12"/>
        <v>2043</v>
      </c>
      <c r="B59" s="159">
        <f t="shared" si="3"/>
        <v>365</v>
      </c>
      <c r="C59" s="160">
        <f t="shared" si="13"/>
        <v>0</v>
      </c>
      <c r="D59" s="160">
        <f t="shared" si="15"/>
        <v>0</v>
      </c>
      <c r="E59" s="160">
        <f t="shared" si="4"/>
        <v>8295.0521954071864</v>
      </c>
      <c r="F59" s="160">
        <f t="shared" si="14"/>
        <v>0.77976195290531669</v>
      </c>
      <c r="G59" s="160">
        <f t="shared" si="1"/>
        <v>0.77976195290531669</v>
      </c>
      <c r="H59" s="160">
        <f t="shared" si="5"/>
        <v>2.1461963162956237</v>
      </c>
      <c r="I59" s="156"/>
      <c r="J59" s="160">
        <f>IF(AND(Input!$B$15=Lists!$Q$36,Input!$B$11="Oil"),0,G59*Input!$B$29/1000)</f>
        <v>2.5991805176192924</v>
      </c>
      <c r="K59" s="160">
        <f t="shared" si="6"/>
        <v>7.1539161811082037</v>
      </c>
      <c r="L59" s="156"/>
      <c r="M59" s="160">
        <f t="shared" si="7"/>
        <v>363.3227524363665</v>
      </c>
      <c r="N59" s="160">
        <f t="shared" si="8"/>
        <v>0.99540480119552466</v>
      </c>
      <c r="O59" s="156"/>
      <c r="P59" s="160">
        <f>IF(Input!$B$11="Oil",MIN('Sched &amp; Prod Assumptions'!$C$19*'Sched &amp; Prod Assumptions'!$B$15*G59,J59),G59*'Sched &amp; Prod Assumptions'!$C$18)</f>
        <v>0.11228572121836559</v>
      </c>
      <c r="Q59" s="160">
        <f>IF(Input!$B$11="Oil",IF(P59&lt;J59,0,Production!G59*'Sched &amp; Prod Assumptions'!$C$19-Production!P59/'Sched &amp; Prod Assumptions'!$C$17*Input!$B$28/1000),0)</f>
        <v>0</v>
      </c>
      <c r="R59" s="156"/>
      <c r="S59" s="160">
        <f t="shared" si="9"/>
        <v>29</v>
      </c>
      <c r="T59" s="479">
        <f>IF($S59=0,0,INDEX(Overrides!$L$47:$L$88,$S59+1,1)*$T$21+INDEX(Overrides!$L$47:$L$88,$S59,1)*$T$22)*'Sensitivity Ranges'!$F$41</f>
        <v>0</v>
      </c>
      <c r="U59" s="479">
        <f>IF($S59=0,0,INDEX(Overrides!$M$47:$M$88,$S59+1,1)*$T$21+INDEX(Overrides!$M$47:$M$88,$S59,1)*$T$22)*'Sensitivity Ranges'!$F$41</f>
        <v>0</v>
      </c>
      <c r="V59" s="479">
        <f>IF($S59=0,0,INDEX(Overrides!$N$47:$N$88,$S59+1,1)*$T$21+INDEX(Overrides!$N$47:$N$88,$S59,1)*$T$22)*'Sensitivity Ranges'!$F$41</f>
        <v>0</v>
      </c>
      <c r="W59" s="200"/>
      <c r="X59" s="160">
        <f>IF($T$20=1,T59,IF(Input!$B$11="Gas",G59,J59)-P59)</f>
        <v>2.4868947964009269</v>
      </c>
      <c r="Y59" s="160">
        <f>IF($T$20=1,U59,IF(Input!$B$11="Gas",0,G59-Q59))</f>
        <v>0.77976195290531669</v>
      </c>
      <c r="Z59" s="160">
        <f>IF($T$20=1,V59,IF(Input!$B$11="Gas",J59,0))</f>
        <v>0</v>
      </c>
      <c r="AA59" s="200"/>
      <c r="AB59" s="160">
        <f>X59*Abandonment!$H44</f>
        <v>0</v>
      </c>
      <c r="AC59" s="160">
        <f>Y59*Abandonment!$H44</f>
        <v>0</v>
      </c>
      <c r="AD59" s="160">
        <f>Z59*Abandonment!$H44</f>
        <v>0</v>
      </c>
      <c r="AE59" s="156"/>
      <c r="AF59" s="156"/>
      <c r="AG59" s="160">
        <f t="shared" si="10"/>
        <v>0</v>
      </c>
      <c r="AH59" s="160">
        <f t="shared" si="2"/>
        <v>0</v>
      </c>
      <c r="AI59" s="160">
        <f t="shared" si="2"/>
        <v>0</v>
      </c>
      <c r="AJ59" s="156"/>
      <c r="AK59" s="160">
        <f>X59*Abandonment!H44</f>
        <v>0</v>
      </c>
      <c r="AL59" s="160">
        <f>Y59*Abandonment!H44</f>
        <v>0</v>
      </c>
      <c r="AM59" s="160">
        <f>Z59*Abandonment!H44</f>
        <v>0</v>
      </c>
      <c r="AN59" s="160">
        <f>AK59/'Sched &amp; Prod Assumptions'!$B$15+Production!AL59+AM59</f>
        <v>0</v>
      </c>
      <c r="AO59" s="160">
        <f t="shared" si="11"/>
        <v>0</v>
      </c>
      <c r="AP59" s="93"/>
      <c r="AQ59" s="93"/>
      <c r="AR59" s="93"/>
      <c r="AS59" s="93"/>
      <c r="AT59" s="93"/>
      <c r="AU59" s="93"/>
      <c r="AV59" s="93"/>
      <c r="AW59" s="93"/>
      <c r="AX59" s="93"/>
      <c r="AY59" s="93"/>
      <c r="AZ59" s="93"/>
      <c r="BA59" s="93"/>
      <c r="BB59" s="93"/>
      <c r="BC59" s="93"/>
      <c r="BD59" s="93"/>
      <c r="BE59" s="93"/>
      <c r="BF59" s="93"/>
      <c r="BG59" s="93"/>
      <c r="BH59" s="93"/>
      <c r="BI59" s="93"/>
      <c r="BJ59" s="93"/>
      <c r="BK59" s="93"/>
      <c r="BL59" s="93"/>
      <c r="BM59" s="93"/>
      <c r="BN59" s="93"/>
      <c r="BO59" s="93"/>
      <c r="BP59" s="93"/>
      <c r="BQ59" s="93"/>
    </row>
    <row r="60" spans="1:69">
      <c r="A60" s="159">
        <f t="shared" si="12"/>
        <v>2044</v>
      </c>
      <c r="B60" s="159">
        <f t="shared" si="3"/>
        <v>366</v>
      </c>
      <c r="C60" s="160">
        <f t="shared" si="13"/>
        <v>0</v>
      </c>
      <c r="D60" s="160">
        <f t="shared" si="15"/>
        <v>0</v>
      </c>
      <c r="E60" s="160">
        <f t="shared" si="4"/>
        <v>8295.0521954071864</v>
      </c>
      <c r="F60" s="160">
        <f t="shared" si="14"/>
        <v>0</v>
      </c>
      <c r="G60" s="160">
        <f t="shared" si="1"/>
        <v>0</v>
      </c>
      <c r="H60" s="160">
        <f t="shared" si="5"/>
        <v>0</v>
      </c>
      <c r="I60" s="156"/>
      <c r="J60" s="160">
        <f>IF(AND(Input!$B$15=Lists!$Q$36,Input!$B$11="Oil"),0,G60*Input!$B$29/1000)</f>
        <v>0</v>
      </c>
      <c r="K60" s="160">
        <f t="shared" si="6"/>
        <v>0</v>
      </c>
      <c r="L60" s="156"/>
      <c r="M60" s="160">
        <f t="shared" si="7"/>
        <v>0</v>
      </c>
      <c r="N60" s="160">
        <f t="shared" si="8"/>
        <v>0</v>
      </c>
      <c r="O60" s="156"/>
      <c r="P60" s="160">
        <f>IF(Input!$B$11="Oil",MIN('Sched &amp; Prod Assumptions'!$C$19*'Sched &amp; Prod Assumptions'!$B$15*G60,J60),G60*'Sched &amp; Prod Assumptions'!$C$18)</f>
        <v>0</v>
      </c>
      <c r="Q60" s="160">
        <f>IF(Input!$B$11="Oil",IF(P60&lt;J60,0,Production!G60*'Sched &amp; Prod Assumptions'!$C$19-Production!P60/'Sched &amp; Prod Assumptions'!$C$17*Input!$B$28/1000),0)</f>
        <v>0</v>
      </c>
      <c r="R60" s="156"/>
      <c r="S60" s="160">
        <f t="shared" si="9"/>
        <v>30</v>
      </c>
      <c r="T60" s="479">
        <f>IF($S60=0,0,INDEX(Overrides!$L$47:$L$88,$S60+1,1)*$T$21+INDEX(Overrides!$L$47:$L$88,$S60,1)*$T$22)*'Sensitivity Ranges'!$F$41</f>
        <v>0</v>
      </c>
      <c r="U60" s="479">
        <f>IF($S60=0,0,INDEX(Overrides!$M$47:$M$88,$S60+1,1)*$T$21+INDEX(Overrides!$M$47:$M$88,$S60,1)*$T$22)*'Sensitivity Ranges'!$F$41</f>
        <v>0</v>
      </c>
      <c r="V60" s="479">
        <f>IF($S60=0,0,INDEX(Overrides!$N$47:$N$88,$S60+1,1)*$T$21+INDEX(Overrides!$N$47:$N$88,$S60,1)*$T$22)*'Sensitivity Ranges'!$F$41</f>
        <v>0</v>
      </c>
      <c r="W60" s="200"/>
      <c r="X60" s="160">
        <f>IF($T$20=1,T60,IF(Input!$B$11="Gas",G60,J60)-P60)</f>
        <v>0</v>
      </c>
      <c r="Y60" s="160">
        <f>IF($T$20=1,U60,IF(Input!$B$11="Gas",0,G60-Q60))</f>
        <v>0</v>
      </c>
      <c r="Z60" s="160">
        <f>IF($T$20=1,V60,IF(Input!$B$11="Gas",J60,0))</f>
        <v>0</v>
      </c>
      <c r="AA60" s="200"/>
      <c r="AB60" s="160">
        <f>X60*Abandonment!$H45</f>
        <v>0</v>
      </c>
      <c r="AC60" s="160">
        <f>Y60*Abandonment!$H45</f>
        <v>0</v>
      </c>
      <c r="AD60" s="160">
        <f>Z60*Abandonment!$H45</f>
        <v>0</v>
      </c>
      <c r="AE60" s="156"/>
      <c r="AF60" s="156"/>
      <c r="AG60" s="160">
        <f t="shared" si="10"/>
        <v>0</v>
      </c>
      <c r="AH60" s="160">
        <f t="shared" si="2"/>
        <v>0</v>
      </c>
      <c r="AI60" s="160">
        <f t="shared" si="2"/>
        <v>0</v>
      </c>
      <c r="AJ60" s="156"/>
      <c r="AK60" s="160">
        <f>X60*Abandonment!H45</f>
        <v>0</v>
      </c>
      <c r="AL60" s="160">
        <f>Y60*Abandonment!H45</f>
        <v>0</v>
      </c>
      <c r="AM60" s="160">
        <f>Z60*Abandonment!H45</f>
        <v>0</v>
      </c>
      <c r="AN60" s="160">
        <f>AK60/'Sched &amp; Prod Assumptions'!$B$15+Production!AL60+AM60</f>
        <v>0</v>
      </c>
      <c r="AO60" s="160">
        <f t="shared" si="11"/>
        <v>0</v>
      </c>
      <c r="AP60" s="93"/>
      <c r="AQ60" s="93"/>
      <c r="AR60" s="93"/>
      <c r="AS60" s="93"/>
      <c r="AT60" s="93"/>
      <c r="AU60" s="93"/>
      <c r="AV60" s="93"/>
      <c r="AW60" s="93"/>
      <c r="AX60" s="93"/>
      <c r="AY60" s="93"/>
      <c r="AZ60" s="93"/>
      <c r="BA60" s="93"/>
      <c r="BB60" s="93"/>
      <c r="BC60" s="93"/>
      <c r="BD60" s="93"/>
      <c r="BE60" s="93"/>
      <c r="BF60" s="93"/>
      <c r="BG60" s="93"/>
      <c r="BH60" s="93"/>
      <c r="BI60" s="93"/>
      <c r="BJ60" s="93"/>
      <c r="BK60" s="93"/>
      <c r="BL60" s="93"/>
      <c r="BM60" s="93"/>
      <c r="BN60" s="93"/>
      <c r="BO60" s="93"/>
      <c r="BP60" s="93"/>
      <c r="BQ60" s="93"/>
    </row>
    <row r="61" spans="1:69">
      <c r="A61" s="159">
        <f t="shared" si="12"/>
        <v>2045</v>
      </c>
      <c r="B61" s="159">
        <f t="shared" si="3"/>
        <v>365</v>
      </c>
      <c r="C61" s="160">
        <f t="shared" si="13"/>
        <v>0</v>
      </c>
      <c r="D61" s="160">
        <f t="shared" si="15"/>
        <v>0</v>
      </c>
      <c r="E61" s="160">
        <f t="shared" si="4"/>
        <v>8295.0521954071864</v>
      </c>
      <c r="F61" s="160">
        <f t="shared" si="14"/>
        <v>0</v>
      </c>
      <c r="G61" s="160">
        <f t="shared" si="1"/>
        <v>0</v>
      </c>
      <c r="H61" s="160">
        <f t="shared" si="5"/>
        <v>0</v>
      </c>
      <c r="I61" s="156"/>
      <c r="J61" s="160">
        <f>IF(AND(Input!$B$15=Lists!$Q$36,Input!$B$11="Oil"),0,G61*Input!$B$29/1000)</f>
        <v>0</v>
      </c>
      <c r="K61" s="160">
        <f t="shared" si="6"/>
        <v>0</v>
      </c>
      <c r="L61" s="156"/>
      <c r="M61" s="160">
        <f t="shared" si="7"/>
        <v>0</v>
      </c>
      <c r="N61" s="160">
        <f t="shared" si="8"/>
        <v>0</v>
      </c>
      <c r="O61" s="156"/>
      <c r="P61" s="160">
        <f>IF(Input!$B$11="Oil",MIN('Sched &amp; Prod Assumptions'!$C$19*'Sched &amp; Prod Assumptions'!$B$15*G61,J61),G61*'Sched &amp; Prod Assumptions'!$C$18)</f>
        <v>0</v>
      </c>
      <c r="Q61" s="160">
        <f>IF(Input!$B$11="Oil",IF(P61&lt;J61,0,Production!G61*'Sched &amp; Prod Assumptions'!$C$19-Production!P61/'Sched &amp; Prod Assumptions'!$C$17*Input!$B$28/1000),0)</f>
        <v>0</v>
      </c>
      <c r="R61" s="156"/>
      <c r="S61" s="160">
        <f t="shared" si="9"/>
        <v>31</v>
      </c>
      <c r="T61" s="479">
        <f>IF($S61=0,0,INDEX(Overrides!$L$47:$L$88,$S61+1,1)*$T$21+INDEX(Overrides!$L$47:$L$88,$S61,1)*$T$22)*'Sensitivity Ranges'!$F$41</f>
        <v>0</v>
      </c>
      <c r="U61" s="479">
        <f>IF($S61=0,0,INDEX(Overrides!$M$47:$M$88,$S61+1,1)*$T$21+INDEX(Overrides!$M$47:$M$88,$S61,1)*$T$22)*'Sensitivity Ranges'!$F$41</f>
        <v>0</v>
      </c>
      <c r="V61" s="479">
        <f>IF($S61=0,0,INDEX(Overrides!$N$47:$N$88,$S61+1,1)*$T$21+INDEX(Overrides!$N$47:$N$88,$S61,1)*$T$22)*'Sensitivity Ranges'!$F$41</f>
        <v>0</v>
      </c>
      <c r="W61" s="200"/>
      <c r="X61" s="160">
        <f>IF($T$20=1,T61,IF(Input!$B$11="Gas",G61,J61)-P61)</f>
        <v>0</v>
      </c>
      <c r="Y61" s="160">
        <f>IF($T$20=1,U61,IF(Input!$B$11="Gas",0,G61-Q61))</f>
        <v>0</v>
      </c>
      <c r="Z61" s="160">
        <f>IF($T$20=1,V61,IF(Input!$B$11="Gas",J61,0))</f>
        <v>0</v>
      </c>
      <c r="AA61" s="200"/>
      <c r="AB61" s="160">
        <f>X61*Abandonment!$H46</f>
        <v>0</v>
      </c>
      <c r="AC61" s="160">
        <f>Y61*Abandonment!$H46</f>
        <v>0</v>
      </c>
      <c r="AD61" s="160">
        <f>Z61*Abandonment!$H46</f>
        <v>0</v>
      </c>
      <c r="AE61" s="156"/>
      <c r="AF61" s="156"/>
      <c r="AG61" s="160">
        <f t="shared" si="10"/>
        <v>0</v>
      </c>
      <c r="AH61" s="160">
        <f t="shared" si="2"/>
        <v>0</v>
      </c>
      <c r="AI61" s="160">
        <f t="shared" si="2"/>
        <v>0</v>
      </c>
      <c r="AJ61" s="156"/>
      <c r="AK61" s="160">
        <f>X61*Abandonment!H46</f>
        <v>0</v>
      </c>
      <c r="AL61" s="160">
        <f>Y61*Abandonment!H46</f>
        <v>0</v>
      </c>
      <c r="AM61" s="160">
        <f>Z61*Abandonment!H46</f>
        <v>0</v>
      </c>
      <c r="AN61" s="160">
        <f>AK61/'Sched &amp; Prod Assumptions'!$B$15+Production!AL61+AM61</f>
        <v>0</v>
      </c>
      <c r="AO61" s="160">
        <f t="shared" si="11"/>
        <v>0</v>
      </c>
      <c r="AP61" s="93"/>
      <c r="AQ61" s="174"/>
      <c r="AR61" s="93"/>
      <c r="AS61" s="93"/>
      <c r="AT61" s="93"/>
      <c r="AU61" s="93"/>
      <c r="AV61" s="93"/>
      <c r="AW61" s="93"/>
      <c r="AX61" s="93"/>
      <c r="AY61" s="93"/>
      <c r="AZ61" s="93"/>
      <c r="BA61" s="93"/>
      <c r="BB61" s="93"/>
      <c r="BC61" s="93"/>
      <c r="BD61" s="93"/>
      <c r="BE61" s="93"/>
      <c r="BF61" s="93"/>
      <c r="BG61" s="93"/>
      <c r="BH61" s="93"/>
      <c r="BI61" s="93"/>
      <c r="BJ61" s="93"/>
      <c r="BK61" s="93"/>
      <c r="BL61" s="93"/>
      <c r="BM61" s="93"/>
      <c r="BN61" s="93"/>
      <c r="BO61" s="93"/>
      <c r="BP61" s="93"/>
      <c r="BQ61" s="93"/>
    </row>
    <row r="62" spans="1:69">
      <c r="A62" s="159">
        <f t="shared" si="12"/>
        <v>2046</v>
      </c>
      <c r="B62" s="159">
        <f t="shared" si="3"/>
        <v>365</v>
      </c>
      <c r="C62" s="160">
        <f t="shared" si="13"/>
        <v>0</v>
      </c>
      <c r="D62" s="160">
        <f t="shared" si="15"/>
        <v>0</v>
      </c>
      <c r="E62" s="160">
        <f t="shared" si="4"/>
        <v>8295.0521954071864</v>
      </c>
      <c r="F62" s="160">
        <f t="shared" si="14"/>
        <v>0</v>
      </c>
      <c r="G62" s="160">
        <f t="shared" si="1"/>
        <v>0</v>
      </c>
      <c r="H62" s="160">
        <f t="shared" si="5"/>
        <v>0</v>
      </c>
      <c r="I62" s="156"/>
      <c r="J62" s="160">
        <f>IF(AND(Input!$B$15=Lists!$Q$36,Input!$B$11="Oil"),0,G62*Input!$B$29/1000)</f>
        <v>0</v>
      </c>
      <c r="K62" s="160">
        <f t="shared" si="6"/>
        <v>0</v>
      </c>
      <c r="L62" s="156"/>
      <c r="M62" s="160">
        <f t="shared" si="7"/>
        <v>0</v>
      </c>
      <c r="N62" s="160">
        <f t="shared" si="8"/>
        <v>0</v>
      </c>
      <c r="O62" s="156"/>
      <c r="P62" s="160">
        <f>IF(Input!$B$11="Oil",MIN('Sched &amp; Prod Assumptions'!$C$19*'Sched &amp; Prod Assumptions'!$B$15*G62,J62),G62*'Sched &amp; Prod Assumptions'!$C$18)</f>
        <v>0</v>
      </c>
      <c r="Q62" s="160">
        <f>IF(Input!$B$11="Oil",IF(P62&lt;J62,0,Production!G62*'Sched &amp; Prod Assumptions'!$C$19-Production!P62/'Sched &amp; Prod Assumptions'!$C$17*Input!$B$28/1000),0)</f>
        <v>0</v>
      </c>
      <c r="R62" s="156"/>
      <c r="S62" s="160">
        <f t="shared" si="9"/>
        <v>32</v>
      </c>
      <c r="T62" s="479">
        <f>IF($S62=0,0,INDEX(Overrides!$L$47:$L$88,$S62+1,1)*$T$21+INDEX(Overrides!$L$47:$L$88,$S62,1)*$T$22)*'Sensitivity Ranges'!$F$41</f>
        <v>0</v>
      </c>
      <c r="U62" s="479">
        <f>IF($S62=0,0,INDEX(Overrides!$M$47:$M$88,$S62+1,1)*$T$21+INDEX(Overrides!$M$47:$M$88,$S62,1)*$T$22)*'Sensitivity Ranges'!$F$41</f>
        <v>0</v>
      </c>
      <c r="V62" s="479">
        <f>IF($S62=0,0,INDEX(Overrides!$N$47:$N$88,$S62+1,1)*$T$21+INDEX(Overrides!$N$47:$N$88,$S62,1)*$T$22)*'Sensitivity Ranges'!$F$41</f>
        <v>0</v>
      </c>
      <c r="W62" s="200"/>
      <c r="X62" s="160">
        <f>IF($T$20=1,T62,IF(Input!$B$11="Gas",G62,J62)-P62)</f>
        <v>0</v>
      </c>
      <c r="Y62" s="160">
        <f>IF($T$20=1,U62,IF(Input!$B$11="Gas",0,G62-Q62))</f>
        <v>0</v>
      </c>
      <c r="Z62" s="160">
        <f>IF($T$20=1,V62,IF(Input!$B$11="Gas",J62,0))</f>
        <v>0</v>
      </c>
      <c r="AA62" s="200"/>
      <c r="AB62" s="160">
        <f>X62*Abandonment!$H47</f>
        <v>0</v>
      </c>
      <c r="AC62" s="160">
        <f>Y62*Abandonment!$H47</f>
        <v>0</v>
      </c>
      <c r="AD62" s="160">
        <f>Z62*Abandonment!$H47</f>
        <v>0</v>
      </c>
      <c r="AE62" s="156"/>
      <c r="AF62" s="156"/>
      <c r="AG62" s="160">
        <f t="shared" si="10"/>
        <v>0</v>
      </c>
      <c r="AH62" s="160">
        <f t="shared" si="2"/>
        <v>0</v>
      </c>
      <c r="AI62" s="160">
        <f t="shared" si="2"/>
        <v>0</v>
      </c>
      <c r="AJ62" s="156"/>
      <c r="AK62" s="160">
        <f>X62*Abandonment!H47</f>
        <v>0</v>
      </c>
      <c r="AL62" s="160">
        <f>Y62*Abandonment!H47</f>
        <v>0</v>
      </c>
      <c r="AM62" s="160">
        <f>Z62*Abandonment!H47</f>
        <v>0</v>
      </c>
      <c r="AN62" s="160">
        <f>AK62/'Sched &amp; Prod Assumptions'!$B$15+Production!AL62+AM62</f>
        <v>0</v>
      </c>
      <c r="AO62" s="160">
        <f t="shared" si="11"/>
        <v>0</v>
      </c>
      <c r="AP62" s="93"/>
      <c r="AQ62" s="174"/>
      <c r="AR62" s="93"/>
      <c r="AS62" s="93"/>
      <c r="AT62" s="93"/>
      <c r="AU62" s="93"/>
      <c r="AV62" s="93"/>
      <c r="AW62" s="93"/>
      <c r="AX62" s="93"/>
      <c r="AY62" s="93"/>
      <c r="AZ62" s="93"/>
      <c r="BA62" s="93"/>
      <c r="BB62" s="93"/>
      <c r="BC62" s="93"/>
      <c r="BD62" s="93"/>
      <c r="BE62" s="93"/>
      <c r="BF62" s="93"/>
      <c r="BG62" s="93"/>
      <c r="BH62" s="93"/>
      <c r="BI62" s="93"/>
      <c r="BJ62" s="93"/>
      <c r="BK62" s="93"/>
      <c r="BL62" s="93"/>
      <c r="BM62" s="93"/>
      <c r="BN62" s="93"/>
      <c r="BO62" s="93"/>
      <c r="BP62" s="93"/>
      <c r="BQ62" s="93"/>
    </row>
    <row r="63" spans="1:69">
      <c r="A63" s="159">
        <f t="shared" si="12"/>
        <v>2047</v>
      </c>
      <c r="B63" s="159">
        <f t="shared" si="3"/>
        <v>365</v>
      </c>
      <c r="C63" s="160">
        <f t="shared" si="13"/>
        <v>0</v>
      </c>
      <c r="D63" s="160">
        <f t="shared" si="15"/>
        <v>0</v>
      </c>
      <c r="E63" s="160">
        <f t="shared" si="4"/>
        <v>8295.0521954071864</v>
      </c>
      <c r="F63" s="160">
        <f t="shared" si="14"/>
        <v>0</v>
      </c>
      <c r="G63" s="160">
        <f t="shared" si="1"/>
        <v>0</v>
      </c>
      <c r="H63" s="160">
        <f t="shared" si="5"/>
        <v>0</v>
      </c>
      <c r="I63" s="156"/>
      <c r="J63" s="160">
        <f>IF(AND(Input!$B$15=Lists!$Q$36,Input!$B$11="Oil"),0,G63*Input!$B$29/1000)</f>
        <v>0</v>
      </c>
      <c r="K63" s="160">
        <f t="shared" si="6"/>
        <v>0</v>
      </c>
      <c r="L63" s="156"/>
      <c r="M63" s="160">
        <f t="shared" si="7"/>
        <v>0</v>
      </c>
      <c r="N63" s="160">
        <f t="shared" si="8"/>
        <v>0</v>
      </c>
      <c r="O63" s="156"/>
      <c r="P63" s="160">
        <f>IF(Input!$B$11="Oil",MIN('Sched &amp; Prod Assumptions'!$C$19*'Sched &amp; Prod Assumptions'!$B$15*G63,J63),G63*'Sched &amp; Prod Assumptions'!$C$18)</f>
        <v>0</v>
      </c>
      <c r="Q63" s="160">
        <f>IF(Input!$B$11="Oil",IF(P63&lt;J63,0,Production!G63*'Sched &amp; Prod Assumptions'!$C$19-Production!P63/'Sched &amp; Prod Assumptions'!$C$17*Input!$B$28/1000),0)</f>
        <v>0</v>
      </c>
      <c r="R63" s="156"/>
      <c r="S63" s="160">
        <f t="shared" si="9"/>
        <v>33</v>
      </c>
      <c r="T63" s="479">
        <f>IF($S63=0,0,INDEX(Overrides!$L$47:$L$88,$S63+1,1)*$T$21+INDEX(Overrides!$L$47:$L$88,$S63,1)*$T$22)*'Sensitivity Ranges'!$F$41</f>
        <v>0</v>
      </c>
      <c r="U63" s="479">
        <f>IF($S63=0,0,INDEX(Overrides!$M$47:$M$88,$S63+1,1)*$T$21+INDEX(Overrides!$M$47:$M$88,$S63,1)*$T$22)*'Sensitivity Ranges'!$F$41</f>
        <v>0</v>
      </c>
      <c r="V63" s="479">
        <f>IF($S63=0,0,INDEX(Overrides!$N$47:$N$88,$S63+1,1)*$T$21+INDEX(Overrides!$N$47:$N$88,$S63,1)*$T$22)*'Sensitivity Ranges'!$F$41</f>
        <v>0</v>
      </c>
      <c r="W63" s="200"/>
      <c r="X63" s="160">
        <f>IF($T$20=1,T63,IF(Input!$B$11="Gas",G63,J63)-P63)</f>
        <v>0</v>
      </c>
      <c r="Y63" s="160">
        <f>IF($T$20=1,U63,IF(Input!$B$11="Gas",0,G63-Q63))</f>
        <v>0</v>
      </c>
      <c r="Z63" s="160">
        <f>IF($T$20=1,V63,IF(Input!$B$11="Gas",J63,0))</f>
        <v>0</v>
      </c>
      <c r="AA63" s="200"/>
      <c r="AB63" s="160">
        <f>X63*Abandonment!$H48</f>
        <v>0</v>
      </c>
      <c r="AC63" s="160">
        <f>Y63*Abandonment!$H48</f>
        <v>0</v>
      </c>
      <c r="AD63" s="160">
        <f>Z63*Abandonment!$H48</f>
        <v>0</v>
      </c>
      <c r="AE63" s="156"/>
      <c r="AF63" s="156"/>
      <c r="AG63" s="160">
        <f t="shared" si="10"/>
        <v>0</v>
      </c>
      <c r="AH63" s="160">
        <f t="shared" si="2"/>
        <v>0</v>
      </c>
      <c r="AI63" s="160">
        <f t="shared" si="2"/>
        <v>0</v>
      </c>
      <c r="AJ63" s="156"/>
      <c r="AK63" s="160">
        <f>X63*Abandonment!H48</f>
        <v>0</v>
      </c>
      <c r="AL63" s="160">
        <f>Y63*Abandonment!H48</f>
        <v>0</v>
      </c>
      <c r="AM63" s="160">
        <f>Z63*Abandonment!H48</f>
        <v>0</v>
      </c>
      <c r="AN63" s="160">
        <f>AK63/'Sched &amp; Prod Assumptions'!$B$15+Production!AL63+AM63</f>
        <v>0</v>
      </c>
      <c r="AO63" s="160">
        <f t="shared" si="11"/>
        <v>0</v>
      </c>
      <c r="AP63" s="93"/>
      <c r="AQ63" s="174"/>
      <c r="AR63" s="93"/>
      <c r="AS63" s="93"/>
      <c r="AT63" s="93"/>
      <c r="AU63" s="93"/>
      <c r="AV63" s="93"/>
      <c r="AW63" s="93"/>
      <c r="AX63" s="93"/>
      <c r="AY63" s="93"/>
      <c r="AZ63" s="93"/>
      <c r="BA63" s="93"/>
      <c r="BB63" s="93"/>
      <c r="BC63" s="93"/>
      <c r="BD63" s="93"/>
      <c r="BE63" s="93"/>
      <c r="BF63" s="93"/>
      <c r="BG63" s="93"/>
      <c r="BH63" s="93"/>
      <c r="BI63" s="93"/>
      <c r="BJ63" s="93"/>
      <c r="BK63" s="93"/>
      <c r="BL63" s="93"/>
      <c r="BM63" s="93"/>
      <c r="BN63" s="93"/>
      <c r="BO63" s="93"/>
      <c r="BP63" s="93"/>
      <c r="BQ63" s="93"/>
    </row>
    <row r="64" spans="1:69">
      <c r="A64" s="159">
        <f t="shared" si="12"/>
        <v>2048</v>
      </c>
      <c r="B64" s="159">
        <f t="shared" si="3"/>
        <v>366</v>
      </c>
      <c r="C64" s="160">
        <f t="shared" si="13"/>
        <v>0</v>
      </c>
      <c r="D64" s="160">
        <f t="shared" si="15"/>
        <v>0</v>
      </c>
      <c r="E64" s="160">
        <f t="shared" si="4"/>
        <v>8295.0521954071864</v>
      </c>
      <c r="F64" s="160">
        <f t="shared" si="14"/>
        <v>0</v>
      </c>
      <c r="G64" s="160">
        <f t="shared" si="1"/>
        <v>0</v>
      </c>
      <c r="H64" s="160">
        <f t="shared" si="5"/>
        <v>0</v>
      </c>
      <c r="I64" s="156"/>
      <c r="J64" s="160">
        <f>IF(AND(Input!$B$15=Lists!$Q$36,Input!$B$11="Oil"),0,G64*Input!$B$29/1000)</f>
        <v>0</v>
      </c>
      <c r="K64" s="160">
        <f t="shared" si="6"/>
        <v>0</v>
      </c>
      <c r="L64" s="156"/>
      <c r="M64" s="160">
        <f t="shared" si="7"/>
        <v>0</v>
      </c>
      <c r="N64" s="160">
        <f t="shared" si="8"/>
        <v>0</v>
      </c>
      <c r="O64" s="156"/>
      <c r="P64" s="160">
        <f>IF(Input!$B$11="Oil",MIN('Sched &amp; Prod Assumptions'!$C$19*'Sched &amp; Prod Assumptions'!$B$15*G64,J64),G64*'Sched &amp; Prod Assumptions'!$C$18)</f>
        <v>0</v>
      </c>
      <c r="Q64" s="160">
        <f>IF(Input!$B$11="Oil",IF(P64&lt;J64,0,Production!G64*'Sched &amp; Prod Assumptions'!$C$19-Production!P64/'Sched &amp; Prod Assumptions'!$C$17*Input!$B$28/1000),0)</f>
        <v>0</v>
      </c>
      <c r="R64" s="156"/>
      <c r="S64" s="160">
        <f t="shared" si="9"/>
        <v>34</v>
      </c>
      <c r="T64" s="479">
        <f>IF($S64=0,0,INDEX(Overrides!$L$47:$L$88,$S64+1,1)*$T$21+INDEX(Overrides!$L$47:$L$88,$S64,1)*$T$22)*'Sensitivity Ranges'!$F$41</f>
        <v>0</v>
      </c>
      <c r="U64" s="479">
        <f>IF($S64=0,0,INDEX(Overrides!$M$47:$M$88,$S64+1,1)*$T$21+INDEX(Overrides!$M$47:$M$88,$S64,1)*$T$22)*'Sensitivity Ranges'!$F$41</f>
        <v>0</v>
      </c>
      <c r="V64" s="479">
        <f>IF($S64=0,0,INDEX(Overrides!$N$47:$N$88,$S64+1,1)*$T$21+INDEX(Overrides!$N$47:$N$88,$S64,1)*$T$22)*'Sensitivity Ranges'!$F$41</f>
        <v>0</v>
      </c>
      <c r="W64" s="200"/>
      <c r="X64" s="160">
        <f>IF($T$20=1,T64,IF(Input!$B$11="Gas",G64,J64)-P64)</f>
        <v>0</v>
      </c>
      <c r="Y64" s="160">
        <f>IF($T$20=1,U64,IF(Input!$B$11="Gas",0,G64-Q64))</f>
        <v>0</v>
      </c>
      <c r="Z64" s="160">
        <f>IF($T$20=1,V64,IF(Input!$B$11="Gas",J64,0))</f>
        <v>0</v>
      </c>
      <c r="AA64" s="200"/>
      <c r="AB64" s="160">
        <f>X64*Abandonment!$H49</f>
        <v>0</v>
      </c>
      <c r="AC64" s="160">
        <f>Y64*Abandonment!$H49</f>
        <v>0</v>
      </c>
      <c r="AD64" s="160">
        <f>Z64*Abandonment!$H49</f>
        <v>0</v>
      </c>
      <c r="AE64" s="156"/>
      <c r="AF64" s="156"/>
      <c r="AG64" s="160">
        <f t="shared" si="10"/>
        <v>0</v>
      </c>
      <c r="AH64" s="160">
        <f t="shared" si="2"/>
        <v>0</v>
      </c>
      <c r="AI64" s="160">
        <f t="shared" si="2"/>
        <v>0</v>
      </c>
      <c r="AJ64" s="156"/>
      <c r="AK64" s="160">
        <f>X64*Abandonment!H49</f>
        <v>0</v>
      </c>
      <c r="AL64" s="160">
        <f>Y64*Abandonment!H49</f>
        <v>0</v>
      </c>
      <c r="AM64" s="160">
        <f>Z64*Abandonment!H49</f>
        <v>0</v>
      </c>
      <c r="AN64" s="160">
        <f>AK64/'Sched &amp; Prod Assumptions'!$B$15+Production!AL64+AM64</f>
        <v>0</v>
      </c>
      <c r="AO64" s="160">
        <f t="shared" si="11"/>
        <v>0</v>
      </c>
      <c r="AP64" s="93"/>
      <c r="AQ64" s="174"/>
      <c r="AR64" s="93"/>
      <c r="AS64" s="93"/>
      <c r="AT64" s="93"/>
      <c r="AU64" s="93"/>
      <c r="AV64" s="93"/>
      <c r="AW64" s="93"/>
      <c r="AX64" s="93"/>
      <c r="AY64" s="93"/>
      <c r="AZ64" s="93"/>
      <c r="BA64" s="93"/>
      <c r="BB64" s="93"/>
      <c r="BC64" s="93"/>
      <c r="BD64" s="93"/>
      <c r="BE64" s="93"/>
      <c r="BF64" s="93"/>
      <c r="BG64" s="93"/>
      <c r="BH64" s="93"/>
      <c r="BI64" s="93"/>
      <c r="BJ64" s="93"/>
      <c r="BK64" s="93"/>
      <c r="BL64" s="93"/>
      <c r="BM64" s="93"/>
      <c r="BN64" s="93"/>
      <c r="BO64" s="93"/>
      <c r="BP64" s="93"/>
      <c r="BQ64" s="93"/>
    </row>
    <row r="65" spans="1:69">
      <c r="A65" s="159">
        <f t="shared" si="12"/>
        <v>2049</v>
      </c>
      <c r="B65" s="159">
        <f t="shared" si="3"/>
        <v>365</v>
      </c>
      <c r="C65" s="160">
        <f t="shared" si="13"/>
        <v>0</v>
      </c>
      <c r="D65" s="160">
        <f t="shared" si="15"/>
        <v>0</v>
      </c>
      <c r="E65" s="160">
        <f t="shared" si="4"/>
        <v>8295.0521954071864</v>
      </c>
      <c r="F65" s="160">
        <f t="shared" si="14"/>
        <v>0</v>
      </c>
      <c r="G65" s="160">
        <f t="shared" si="1"/>
        <v>0</v>
      </c>
      <c r="H65" s="160">
        <f t="shared" si="5"/>
        <v>0</v>
      </c>
      <c r="I65" s="156"/>
      <c r="J65" s="160">
        <f>IF(AND(Input!$B$15=Lists!$Q$36,Input!$B$11="Oil"),0,G65*Input!$B$29/1000)</f>
        <v>0</v>
      </c>
      <c r="K65" s="160">
        <f t="shared" si="6"/>
        <v>0</v>
      </c>
      <c r="L65" s="156"/>
      <c r="M65" s="160">
        <f t="shared" si="7"/>
        <v>0</v>
      </c>
      <c r="N65" s="160">
        <f t="shared" si="8"/>
        <v>0</v>
      </c>
      <c r="O65" s="156"/>
      <c r="P65" s="160">
        <f>IF(Input!$B$11="Oil",MIN('Sched &amp; Prod Assumptions'!$C$19*'Sched &amp; Prod Assumptions'!$B$15*G65,J65),G65*'Sched &amp; Prod Assumptions'!$C$18)</f>
        <v>0</v>
      </c>
      <c r="Q65" s="160">
        <f>IF(Input!$B$11="Oil",IF(P65&lt;J65,0,Production!G65*'Sched &amp; Prod Assumptions'!$C$19-Production!P65/'Sched &amp; Prod Assumptions'!$C$17*Input!$B$28/1000),0)</f>
        <v>0</v>
      </c>
      <c r="R65" s="156"/>
      <c r="S65" s="160">
        <f t="shared" si="9"/>
        <v>35</v>
      </c>
      <c r="T65" s="479">
        <f>IF($S65=0,0,INDEX(Overrides!$L$47:$L$88,$S65+1,1)*$T$21+INDEX(Overrides!$L$47:$L$88,$S65,1)*$T$22)*'Sensitivity Ranges'!$F$41</f>
        <v>0</v>
      </c>
      <c r="U65" s="479">
        <f>IF($S65=0,0,INDEX(Overrides!$M$47:$M$88,$S65+1,1)*$T$21+INDEX(Overrides!$M$47:$M$88,$S65,1)*$T$22)*'Sensitivity Ranges'!$F$41</f>
        <v>0</v>
      </c>
      <c r="V65" s="479">
        <f>IF($S65=0,0,INDEX(Overrides!$N$47:$N$88,$S65+1,1)*$T$21+INDEX(Overrides!$N$47:$N$88,$S65,1)*$T$22)*'Sensitivity Ranges'!$F$41</f>
        <v>0</v>
      </c>
      <c r="W65" s="200"/>
      <c r="X65" s="160">
        <f>IF($T$20=1,T65,IF(Input!$B$11="Gas",G65,J65)-P65)</f>
        <v>0</v>
      </c>
      <c r="Y65" s="160">
        <f>IF($T$20=1,U65,IF(Input!$B$11="Gas",0,G65-Q65))</f>
        <v>0</v>
      </c>
      <c r="Z65" s="160">
        <f>IF($T$20=1,V65,IF(Input!$B$11="Gas",J65,0))</f>
        <v>0</v>
      </c>
      <c r="AA65" s="200"/>
      <c r="AB65" s="160">
        <f>X65*Abandonment!$H50</f>
        <v>0</v>
      </c>
      <c r="AC65" s="160">
        <f>Y65*Abandonment!$H50</f>
        <v>0</v>
      </c>
      <c r="AD65" s="160">
        <f>Z65*Abandonment!$H50</f>
        <v>0</v>
      </c>
      <c r="AE65" s="156"/>
      <c r="AF65" s="156"/>
      <c r="AG65" s="160">
        <f t="shared" si="10"/>
        <v>0</v>
      </c>
      <c r="AH65" s="160">
        <f t="shared" si="2"/>
        <v>0</v>
      </c>
      <c r="AI65" s="160">
        <f t="shared" si="2"/>
        <v>0</v>
      </c>
      <c r="AJ65" s="156"/>
      <c r="AK65" s="160">
        <f>X65*Abandonment!H50</f>
        <v>0</v>
      </c>
      <c r="AL65" s="160">
        <f>Y65*Abandonment!H50</f>
        <v>0</v>
      </c>
      <c r="AM65" s="160">
        <f>Z65*Abandonment!H50</f>
        <v>0</v>
      </c>
      <c r="AN65" s="160">
        <f>AK65/'Sched &amp; Prod Assumptions'!$B$15+Production!AL65+AM65</f>
        <v>0</v>
      </c>
      <c r="AO65" s="160">
        <f t="shared" si="11"/>
        <v>0</v>
      </c>
      <c r="AP65" s="174"/>
      <c r="AQ65" s="174"/>
      <c r="AR65" s="93"/>
      <c r="AS65" s="93"/>
      <c r="AT65" s="93"/>
      <c r="AU65" s="93"/>
      <c r="AV65" s="93"/>
      <c r="AW65" s="93"/>
      <c r="AX65" s="93"/>
      <c r="AY65" s="93"/>
      <c r="AZ65" s="93"/>
      <c r="BA65" s="93"/>
      <c r="BB65" s="93"/>
      <c r="BC65" s="93"/>
      <c r="BD65" s="93"/>
      <c r="BE65" s="93"/>
      <c r="BF65" s="93"/>
      <c r="BG65" s="93"/>
      <c r="BH65" s="93"/>
      <c r="BI65" s="93"/>
      <c r="BJ65" s="93"/>
      <c r="BK65" s="93"/>
      <c r="BL65" s="93"/>
      <c r="BM65" s="93"/>
      <c r="BN65" s="93"/>
      <c r="BO65" s="93"/>
      <c r="BP65" s="93"/>
      <c r="BQ65" s="93"/>
    </row>
    <row r="66" spans="1:69">
      <c r="A66" s="159">
        <f t="shared" si="12"/>
        <v>2050</v>
      </c>
      <c r="B66" s="159">
        <f t="shared" si="3"/>
        <v>365</v>
      </c>
      <c r="C66" s="160">
        <f t="shared" si="13"/>
        <v>0</v>
      </c>
      <c r="D66" s="160">
        <f t="shared" si="15"/>
        <v>0</v>
      </c>
      <c r="E66" s="160">
        <f t="shared" si="4"/>
        <v>8295.0521954071864</v>
      </c>
      <c r="F66" s="160">
        <f t="shared" si="14"/>
        <v>0</v>
      </c>
      <c r="G66" s="160">
        <f t="shared" si="1"/>
        <v>0</v>
      </c>
      <c r="H66" s="160">
        <f t="shared" si="5"/>
        <v>0</v>
      </c>
      <c r="I66" s="156"/>
      <c r="J66" s="160">
        <f>IF(AND(Input!$B$15=Lists!$Q$36,Input!$B$11="Oil"),0,G66*Input!$B$29/1000)</f>
        <v>0</v>
      </c>
      <c r="K66" s="160">
        <f t="shared" si="6"/>
        <v>0</v>
      </c>
      <c r="L66" s="156"/>
      <c r="M66" s="160">
        <f t="shared" si="7"/>
        <v>0</v>
      </c>
      <c r="N66" s="160">
        <f t="shared" si="8"/>
        <v>0</v>
      </c>
      <c r="O66" s="156"/>
      <c r="P66" s="160">
        <f>IF(Input!$B$11="Oil",MIN('Sched &amp; Prod Assumptions'!$C$19*'Sched &amp; Prod Assumptions'!$B$15*G66,J66),G66*'Sched &amp; Prod Assumptions'!$C$18)</f>
        <v>0</v>
      </c>
      <c r="Q66" s="160">
        <f>IF(Input!$B$11="Oil",IF(P66&lt;J66,0,Production!G66*'Sched &amp; Prod Assumptions'!$C$19-Production!P66/'Sched &amp; Prod Assumptions'!$C$17*Input!$B$28/1000),0)</f>
        <v>0</v>
      </c>
      <c r="R66" s="156"/>
      <c r="S66" s="160">
        <f t="shared" si="9"/>
        <v>36</v>
      </c>
      <c r="T66" s="479">
        <f>IF($S66=0,0,INDEX(Overrides!$L$47:$L$88,$S66+1,1)*$T$21+INDEX(Overrides!$L$47:$L$88,$S66,1)*$T$22)*'Sensitivity Ranges'!$F$41</f>
        <v>0</v>
      </c>
      <c r="U66" s="479">
        <f>IF($S66=0,0,INDEX(Overrides!$M$47:$M$88,$S66+1,1)*$T$21+INDEX(Overrides!$M$47:$M$88,$S66,1)*$T$22)*'Sensitivity Ranges'!$F$41</f>
        <v>0</v>
      </c>
      <c r="V66" s="479">
        <f>IF($S66=0,0,INDEX(Overrides!$N$47:$N$88,$S66+1,1)*$T$21+INDEX(Overrides!$N$47:$N$88,$S66,1)*$T$22)*'Sensitivity Ranges'!$F$41</f>
        <v>0</v>
      </c>
      <c r="W66" s="200"/>
      <c r="X66" s="160">
        <f>IF($T$20=1,T66,IF(Input!$B$11="Gas",G66,J66)-P66)</f>
        <v>0</v>
      </c>
      <c r="Y66" s="160">
        <f>IF($T$20=1,U66,IF(Input!$B$11="Gas",0,G66-Q66))</f>
        <v>0</v>
      </c>
      <c r="Z66" s="160">
        <f>IF($T$20=1,V66,IF(Input!$B$11="Gas",J66,0))</f>
        <v>0</v>
      </c>
      <c r="AA66" s="200"/>
      <c r="AB66" s="160">
        <f>X66*Abandonment!$H51</f>
        <v>0</v>
      </c>
      <c r="AC66" s="160">
        <f>Y66*Abandonment!$H51</f>
        <v>0</v>
      </c>
      <c r="AD66" s="160">
        <f>Z66*Abandonment!$H51</f>
        <v>0</v>
      </c>
      <c r="AE66" s="156"/>
      <c r="AF66" s="156"/>
      <c r="AG66" s="160">
        <f t="shared" si="10"/>
        <v>0</v>
      </c>
      <c r="AH66" s="160">
        <f t="shared" si="2"/>
        <v>0</v>
      </c>
      <c r="AI66" s="160">
        <f t="shared" si="2"/>
        <v>0</v>
      </c>
      <c r="AJ66" s="156"/>
      <c r="AK66" s="160">
        <f>X66*Abandonment!H51</f>
        <v>0</v>
      </c>
      <c r="AL66" s="160">
        <f>Y66*Abandonment!H51</f>
        <v>0</v>
      </c>
      <c r="AM66" s="160">
        <f>Z66*Abandonment!H51</f>
        <v>0</v>
      </c>
      <c r="AN66" s="160">
        <f>AK66/'Sched &amp; Prod Assumptions'!$B$15+Production!AL66+AM66</f>
        <v>0</v>
      </c>
      <c r="AO66" s="160">
        <f t="shared" si="11"/>
        <v>0</v>
      </c>
      <c r="AP66" s="174"/>
      <c r="AQ66" s="93"/>
      <c r="AR66" s="93"/>
      <c r="AS66" s="93"/>
      <c r="AT66" s="93"/>
      <c r="AU66" s="93"/>
      <c r="AV66" s="93"/>
      <c r="AW66" s="93"/>
      <c r="AX66" s="93"/>
      <c r="AY66" s="93"/>
      <c r="AZ66" s="93"/>
      <c r="BA66" s="93"/>
      <c r="BB66" s="93"/>
      <c r="BC66" s="93"/>
      <c r="BD66" s="93"/>
      <c r="BE66" s="93"/>
      <c r="BF66" s="93"/>
      <c r="BG66" s="93"/>
      <c r="BH66" s="93"/>
      <c r="BI66" s="93"/>
      <c r="BJ66" s="93"/>
      <c r="BK66" s="93"/>
      <c r="BL66" s="93"/>
      <c r="BM66" s="93"/>
      <c r="BN66" s="93"/>
      <c r="BO66" s="93"/>
      <c r="BP66" s="93"/>
      <c r="BQ66" s="93"/>
    </row>
    <row r="67" spans="1:69">
      <c r="A67" s="159">
        <f t="shared" si="12"/>
        <v>2051</v>
      </c>
      <c r="B67" s="159">
        <f t="shared" si="3"/>
        <v>365</v>
      </c>
      <c r="C67" s="160">
        <f t="shared" si="13"/>
        <v>0</v>
      </c>
      <c r="D67" s="160">
        <f t="shared" si="15"/>
        <v>0</v>
      </c>
      <c r="E67" s="160">
        <f t="shared" si="4"/>
        <v>8295.0521954071864</v>
      </c>
      <c r="F67" s="160">
        <f t="shared" si="14"/>
        <v>0</v>
      </c>
      <c r="G67" s="160">
        <f t="shared" si="1"/>
        <v>0</v>
      </c>
      <c r="H67" s="160">
        <f t="shared" si="5"/>
        <v>0</v>
      </c>
      <c r="I67" s="156"/>
      <c r="J67" s="160">
        <f>IF(AND(Input!$B$15=Lists!$Q$36,Input!$B$11="Oil"),0,G67*Input!$B$29/1000)</f>
        <v>0</v>
      </c>
      <c r="K67" s="160">
        <f t="shared" si="6"/>
        <v>0</v>
      </c>
      <c r="L67" s="156"/>
      <c r="M67" s="160">
        <f t="shared" si="7"/>
        <v>0</v>
      </c>
      <c r="N67" s="160">
        <f t="shared" si="8"/>
        <v>0</v>
      </c>
      <c r="O67" s="156"/>
      <c r="P67" s="160">
        <f>IF(Input!$B$11="Oil",MIN('Sched &amp; Prod Assumptions'!$C$19*'Sched &amp; Prod Assumptions'!$B$15*G67,J67),G67*'Sched &amp; Prod Assumptions'!$C$18)</f>
        <v>0</v>
      </c>
      <c r="Q67" s="160">
        <f>IF(Input!$B$11="Oil",IF(P67&lt;J67,0,Production!G67*'Sched &amp; Prod Assumptions'!$C$19-Production!P67/'Sched &amp; Prod Assumptions'!$C$17*Input!$B$28/1000),0)</f>
        <v>0</v>
      </c>
      <c r="R67" s="156"/>
      <c r="S67" s="160">
        <f t="shared" si="9"/>
        <v>37</v>
      </c>
      <c r="T67" s="479">
        <f>IF($S67=0,0,INDEX(Overrides!$L$47:$L$88,$S67+1,1)*$T$21+INDEX(Overrides!$L$47:$L$88,$S67,1)*$T$22)*'Sensitivity Ranges'!$F$41</f>
        <v>0</v>
      </c>
      <c r="U67" s="479">
        <f>IF($S67=0,0,INDEX(Overrides!$M$47:$M$88,$S67+1,1)*$T$21+INDEX(Overrides!$M$47:$M$88,$S67,1)*$T$22)*'Sensitivity Ranges'!$F$41</f>
        <v>0</v>
      </c>
      <c r="V67" s="479">
        <f>IF($S67=0,0,INDEX(Overrides!$N$47:$N$88,$S67+1,1)*$T$21+INDEX(Overrides!$N$47:$N$88,$S67,1)*$T$22)*'Sensitivity Ranges'!$F$41</f>
        <v>0</v>
      </c>
      <c r="W67" s="200"/>
      <c r="X67" s="160">
        <f>IF($T$20=1,T67,IF(Input!$B$11="Gas",G67,J67)-P67)</f>
        <v>0</v>
      </c>
      <c r="Y67" s="160">
        <f>IF($T$20=1,U67,IF(Input!$B$11="Gas",0,G67-Q67))</f>
        <v>0</v>
      </c>
      <c r="Z67" s="160">
        <f>IF($T$20=1,V67,IF(Input!$B$11="Gas",J67,0))</f>
        <v>0</v>
      </c>
      <c r="AA67" s="200"/>
      <c r="AB67" s="160">
        <f>X67*Abandonment!$H52</f>
        <v>0</v>
      </c>
      <c r="AC67" s="160">
        <f>Y67*Abandonment!$H52</f>
        <v>0</v>
      </c>
      <c r="AD67" s="160">
        <f>Z67*Abandonment!$H52</f>
        <v>0</v>
      </c>
      <c r="AE67" s="156"/>
      <c r="AF67" s="156"/>
      <c r="AG67" s="160">
        <f t="shared" si="10"/>
        <v>0</v>
      </c>
      <c r="AH67" s="160">
        <f t="shared" si="2"/>
        <v>0</v>
      </c>
      <c r="AI67" s="160">
        <f t="shared" si="2"/>
        <v>0</v>
      </c>
      <c r="AJ67" s="156"/>
      <c r="AK67" s="160">
        <f>X67*Abandonment!H52</f>
        <v>0</v>
      </c>
      <c r="AL67" s="160">
        <f>Y67*Abandonment!H52</f>
        <v>0</v>
      </c>
      <c r="AM67" s="160">
        <f>Z67*Abandonment!H52</f>
        <v>0</v>
      </c>
      <c r="AN67" s="160">
        <f>AK67/'Sched &amp; Prod Assumptions'!$B$15+Production!AL67+AM67</f>
        <v>0</v>
      </c>
      <c r="AO67" s="160">
        <f t="shared" si="11"/>
        <v>0</v>
      </c>
      <c r="AP67" s="93"/>
      <c r="AQ67" s="93"/>
      <c r="AR67" s="93"/>
      <c r="AS67" s="93"/>
      <c r="AT67" s="93"/>
      <c r="AU67" s="93"/>
      <c r="AV67" s="93"/>
      <c r="AW67" s="93"/>
      <c r="AX67" s="93"/>
      <c r="AY67" s="93"/>
      <c r="AZ67" s="93"/>
      <c r="BA67" s="93"/>
      <c r="BB67" s="93"/>
      <c r="BC67" s="93"/>
      <c r="BD67" s="93"/>
      <c r="BE67" s="93"/>
      <c r="BF67" s="93"/>
      <c r="BG67" s="93"/>
      <c r="BH67" s="93"/>
      <c r="BI67" s="93"/>
      <c r="BJ67" s="93"/>
      <c r="BK67" s="93"/>
      <c r="BL67" s="93"/>
      <c r="BM67" s="93"/>
      <c r="BN67" s="93"/>
      <c r="BO67" s="93"/>
      <c r="BP67" s="93"/>
      <c r="BQ67" s="93"/>
    </row>
    <row r="68" spans="1:69">
      <c r="A68" s="159">
        <f t="shared" si="12"/>
        <v>2052</v>
      </c>
      <c r="B68" s="159">
        <f t="shared" si="3"/>
        <v>366</v>
      </c>
      <c r="C68" s="160">
        <f t="shared" si="13"/>
        <v>0</v>
      </c>
      <c r="D68" s="160">
        <f t="shared" si="15"/>
        <v>0</v>
      </c>
      <c r="E68" s="160">
        <f t="shared" si="4"/>
        <v>8295.0521954071864</v>
      </c>
      <c r="F68" s="160">
        <f t="shared" si="14"/>
        <v>0</v>
      </c>
      <c r="G68" s="160">
        <f t="shared" si="1"/>
        <v>0</v>
      </c>
      <c r="H68" s="160">
        <f t="shared" si="5"/>
        <v>0</v>
      </c>
      <c r="I68" s="156"/>
      <c r="J68" s="160">
        <f>IF(AND(Input!$B$15=Lists!$Q$36,Input!$B$11="Oil"),0,G68*Input!$B$29/1000)</f>
        <v>0</v>
      </c>
      <c r="K68" s="160">
        <f t="shared" si="6"/>
        <v>0</v>
      </c>
      <c r="L68" s="156"/>
      <c r="M68" s="160">
        <f t="shared" si="7"/>
        <v>0</v>
      </c>
      <c r="N68" s="160">
        <f t="shared" si="8"/>
        <v>0</v>
      </c>
      <c r="O68" s="156"/>
      <c r="P68" s="160">
        <f>IF(Input!$B$11="Oil",MIN('Sched &amp; Prod Assumptions'!$C$19*'Sched &amp; Prod Assumptions'!$B$15*G68,J68),G68*'Sched &amp; Prod Assumptions'!$C$18)</f>
        <v>0</v>
      </c>
      <c r="Q68" s="160">
        <f>IF(Input!$B$11="Oil",IF(P68&lt;J68,0,Production!G68*'Sched &amp; Prod Assumptions'!$C$19-Production!P68/'Sched &amp; Prod Assumptions'!$C$17*Input!$B$28/1000),0)</f>
        <v>0</v>
      </c>
      <c r="R68" s="156"/>
      <c r="S68" s="160">
        <f t="shared" si="9"/>
        <v>38</v>
      </c>
      <c r="T68" s="479">
        <f>IF($S68=0,0,INDEX(Overrides!$L$47:$L$88,$S68+1,1)*$T$21+INDEX(Overrides!$L$47:$L$88,$S68,1)*$T$22)*'Sensitivity Ranges'!$F$41</f>
        <v>0</v>
      </c>
      <c r="U68" s="479">
        <f>IF($S68=0,0,INDEX(Overrides!$M$47:$M$88,$S68+1,1)*$T$21+INDEX(Overrides!$M$47:$M$88,$S68,1)*$T$22)*'Sensitivity Ranges'!$F$41</f>
        <v>0</v>
      </c>
      <c r="V68" s="479">
        <f>IF($S68=0,0,INDEX(Overrides!$N$47:$N$88,$S68+1,1)*$T$21+INDEX(Overrides!$N$47:$N$88,$S68,1)*$T$22)*'Sensitivity Ranges'!$F$41</f>
        <v>0</v>
      </c>
      <c r="W68" s="200"/>
      <c r="X68" s="160">
        <f>IF($T$20=1,T68,IF(Input!$B$11="Gas",G68,J68)-P68)</f>
        <v>0</v>
      </c>
      <c r="Y68" s="160">
        <f>IF($T$20=1,U68,IF(Input!$B$11="Gas",0,G68-Q68))</f>
        <v>0</v>
      </c>
      <c r="Z68" s="160">
        <f>IF($T$20=1,V68,IF(Input!$B$11="Gas",J68,0))</f>
        <v>0</v>
      </c>
      <c r="AA68" s="200"/>
      <c r="AB68" s="160">
        <f>X68*Abandonment!$H53</f>
        <v>0</v>
      </c>
      <c r="AC68" s="160">
        <f>Y68*Abandonment!$H53</f>
        <v>0</v>
      </c>
      <c r="AD68" s="160">
        <f>Z68*Abandonment!$H53</f>
        <v>0</v>
      </c>
      <c r="AE68" s="156"/>
      <c r="AF68" s="156"/>
      <c r="AG68" s="160">
        <f t="shared" si="10"/>
        <v>0</v>
      </c>
      <c r="AH68" s="160">
        <f t="shared" si="2"/>
        <v>0</v>
      </c>
      <c r="AI68" s="160">
        <f t="shared" si="2"/>
        <v>0</v>
      </c>
      <c r="AJ68" s="156"/>
      <c r="AK68" s="160">
        <f>X68*Abandonment!H53</f>
        <v>0</v>
      </c>
      <c r="AL68" s="160">
        <f>Y68*Abandonment!H53</f>
        <v>0</v>
      </c>
      <c r="AM68" s="160">
        <f>Z68*Abandonment!H53</f>
        <v>0</v>
      </c>
      <c r="AN68" s="160">
        <f>AK68/'Sched &amp; Prod Assumptions'!$B$15+Production!AL68+AM68</f>
        <v>0</v>
      </c>
      <c r="AO68" s="160">
        <f t="shared" si="11"/>
        <v>0</v>
      </c>
      <c r="AP68" s="93"/>
      <c r="AQ68" s="93"/>
      <c r="AR68" s="93"/>
      <c r="AS68" s="93"/>
      <c r="AT68" s="93"/>
      <c r="AU68" s="93"/>
      <c r="AV68" s="93"/>
      <c r="AW68" s="93"/>
      <c r="AX68" s="93"/>
      <c r="AY68" s="93"/>
      <c r="AZ68" s="93"/>
      <c r="BA68" s="93"/>
      <c r="BB68" s="93"/>
      <c r="BC68" s="93"/>
      <c r="BD68" s="93"/>
      <c r="BE68" s="93"/>
      <c r="BF68" s="93"/>
      <c r="BG68" s="93"/>
      <c r="BH68" s="93"/>
      <c r="BI68" s="93"/>
      <c r="BJ68" s="93"/>
      <c r="BK68" s="93"/>
      <c r="BL68" s="93"/>
      <c r="BM68" s="93"/>
      <c r="BN68" s="93"/>
      <c r="BO68" s="93"/>
      <c r="BP68" s="93"/>
      <c r="BQ68" s="93"/>
    </row>
    <row r="69" spans="1:69">
      <c r="A69" s="159">
        <f t="shared" si="12"/>
        <v>2053</v>
      </c>
      <c r="B69" s="159">
        <f t="shared" si="3"/>
        <v>365</v>
      </c>
      <c r="C69" s="160">
        <f t="shared" si="13"/>
        <v>0</v>
      </c>
      <c r="D69" s="160">
        <f t="shared" si="15"/>
        <v>0</v>
      </c>
      <c r="E69" s="160">
        <f t="shared" si="4"/>
        <v>8295.0521954071864</v>
      </c>
      <c r="F69" s="160">
        <f t="shared" si="14"/>
        <v>0</v>
      </c>
      <c r="G69" s="160">
        <f t="shared" si="1"/>
        <v>0</v>
      </c>
      <c r="H69" s="160">
        <f t="shared" si="5"/>
        <v>0</v>
      </c>
      <c r="I69" s="156"/>
      <c r="J69" s="160">
        <f>IF(AND(Input!$B$15=Lists!$Q$36,Input!$B$11="Oil"),0,G69*Input!$B$29/1000)</f>
        <v>0</v>
      </c>
      <c r="K69" s="160">
        <f t="shared" si="6"/>
        <v>0</v>
      </c>
      <c r="L69" s="156"/>
      <c r="M69" s="160">
        <f t="shared" si="7"/>
        <v>0</v>
      </c>
      <c r="N69" s="160">
        <f t="shared" si="8"/>
        <v>0</v>
      </c>
      <c r="O69" s="156"/>
      <c r="P69" s="160">
        <f>IF(Input!$B$11="Oil",MIN('Sched &amp; Prod Assumptions'!$C$19*'Sched &amp; Prod Assumptions'!$B$15*G69,J69),G69*'Sched &amp; Prod Assumptions'!$C$18)</f>
        <v>0</v>
      </c>
      <c r="Q69" s="160">
        <f>IF(Input!$B$11="Oil",IF(P69&lt;J69,0,Production!G69*'Sched &amp; Prod Assumptions'!$C$19-Production!P69/'Sched &amp; Prod Assumptions'!$C$17*Input!$B$28/1000),0)</f>
        <v>0</v>
      </c>
      <c r="R69" s="156"/>
      <c r="S69" s="160">
        <f t="shared" si="9"/>
        <v>39</v>
      </c>
      <c r="T69" s="479">
        <f>IF($S69=0,0,INDEX(Overrides!$L$47:$L$88,$S69+1,1)*$T$21+INDEX(Overrides!$L$47:$L$88,$S69,1)*$T$22)*'Sensitivity Ranges'!$F$41</f>
        <v>0</v>
      </c>
      <c r="U69" s="479">
        <f>IF($S69=0,0,INDEX(Overrides!$M$47:$M$88,$S69+1,1)*$T$21+INDEX(Overrides!$M$47:$M$88,$S69,1)*$T$22)*'Sensitivity Ranges'!$F$41</f>
        <v>0</v>
      </c>
      <c r="V69" s="479">
        <f>IF($S69=0,0,INDEX(Overrides!$N$47:$N$88,$S69+1,1)*$T$21+INDEX(Overrides!$N$47:$N$88,$S69,1)*$T$22)*'Sensitivity Ranges'!$F$41</f>
        <v>0</v>
      </c>
      <c r="W69" s="200"/>
      <c r="X69" s="160">
        <f>IF($T$20=1,T69,IF(Input!$B$11="Gas",G69,J69)-P69)</f>
        <v>0</v>
      </c>
      <c r="Y69" s="160">
        <f>IF($T$20=1,U69,IF(Input!$B$11="Gas",0,G69-Q69))</f>
        <v>0</v>
      </c>
      <c r="Z69" s="160">
        <f>IF($T$20=1,V69,IF(Input!$B$11="Gas",J69,0))</f>
        <v>0</v>
      </c>
      <c r="AA69" s="200"/>
      <c r="AB69" s="160">
        <f>X69*Abandonment!$H54</f>
        <v>0</v>
      </c>
      <c r="AC69" s="160">
        <f>Y69*Abandonment!$H54</f>
        <v>0</v>
      </c>
      <c r="AD69" s="160">
        <f>Z69*Abandonment!$H54</f>
        <v>0</v>
      </c>
      <c r="AE69" s="156"/>
      <c r="AF69" s="156"/>
      <c r="AG69" s="160">
        <f t="shared" si="10"/>
        <v>0</v>
      </c>
      <c r="AH69" s="160">
        <f t="shared" si="2"/>
        <v>0</v>
      </c>
      <c r="AI69" s="160">
        <f t="shared" si="2"/>
        <v>0</v>
      </c>
      <c r="AJ69" s="156"/>
      <c r="AK69" s="160">
        <f>X69*Abandonment!H54</f>
        <v>0</v>
      </c>
      <c r="AL69" s="160">
        <f>Y69*Abandonment!H54</f>
        <v>0</v>
      </c>
      <c r="AM69" s="160">
        <f>Z69*Abandonment!H54</f>
        <v>0</v>
      </c>
      <c r="AN69" s="160">
        <f>AK69/'Sched &amp; Prod Assumptions'!$B$15+Production!AL69+AM69</f>
        <v>0</v>
      </c>
      <c r="AO69" s="160">
        <f t="shared" si="11"/>
        <v>0</v>
      </c>
      <c r="AP69" s="93"/>
      <c r="AQ69" s="93"/>
      <c r="AR69" s="93"/>
      <c r="AS69" s="93"/>
      <c r="AT69" s="93"/>
      <c r="AU69" s="93"/>
      <c r="AV69" s="93"/>
      <c r="AW69" s="93"/>
      <c r="AX69" s="93"/>
      <c r="AY69" s="133"/>
      <c r="AZ69" s="93"/>
      <c r="BA69" s="93"/>
      <c r="BB69" s="93"/>
      <c r="BC69" s="93"/>
      <c r="BD69" s="133"/>
      <c r="BE69" s="133"/>
      <c r="BF69" s="133"/>
      <c r="BG69" s="133"/>
      <c r="BH69" s="133"/>
      <c r="BI69" s="133"/>
      <c r="BJ69" s="133"/>
      <c r="BK69" s="133"/>
      <c r="BL69" s="133"/>
      <c r="BM69" s="133"/>
      <c r="BN69" s="133"/>
      <c r="BO69" s="93"/>
      <c r="BP69" s="93"/>
      <c r="BQ69" s="133"/>
    </row>
    <row r="70" spans="1:69">
      <c r="A70" s="161">
        <f t="shared" si="12"/>
        <v>2054</v>
      </c>
      <c r="B70" s="161">
        <f t="shared" si="3"/>
        <v>365</v>
      </c>
      <c r="C70" s="162">
        <f t="shared" si="13"/>
        <v>0</v>
      </c>
      <c r="D70" s="162">
        <f t="shared" si="15"/>
        <v>0</v>
      </c>
      <c r="E70" s="162">
        <f t="shared" si="4"/>
        <v>8295.0521954071864</v>
      </c>
      <c r="F70" s="162">
        <f t="shared" si="14"/>
        <v>0</v>
      </c>
      <c r="G70" s="162">
        <f t="shared" si="1"/>
        <v>0</v>
      </c>
      <c r="H70" s="162">
        <f t="shared" si="5"/>
        <v>0</v>
      </c>
      <c r="I70" s="156"/>
      <c r="J70" s="162">
        <f>IF(AND(Input!$B$15=Lists!$Q$36,Input!$B$11="Oil"),0,G70*Input!$B$29/1000)</f>
        <v>0</v>
      </c>
      <c r="K70" s="162">
        <f t="shared" si="6"/>
        <v>0</v>
      </c>
      <c r="L70" s="156"/>
      <c r="M70" s="162">
        <f t="shared" si="7"/>
        <v>0</v>
      </c>
      <c r="N70" s="162">
        <f t="shared" si="8"/>
        <v>0</v>
      </c>
      <c r="O70" s="156"/>
      <c r="P70" s="162">
        <f>IF(Input!$B$11="Oil",MIN('Sched &amp; Prod Assumptions'!$C$19*'Sched &amp; Prod Assumptions'!$B$15*G70,J70),G70*'Sched &amp; Prod Assumptions'!$C$18)</f>
        <v>0</v>
      </c>
      <c r="Q70" s="162">
        <f>IF(Input!$B$11="Oil",IF(P70&lt;J70,0,Production!G70*'Sched &amp; Prod Assumptions'!$C$19-Production!P70/'Sched &amp; Prod Assumptions'!$C$17*Input!$B$28/1000),0)</f>
        <v>0</v>
      </c>
      <c r="R70" s="156"/>
      <c r="S70" s="162">
        <f t="shared" si="9"/>
        <v>40</v>
      </c>
      <c r="T70" s="480">
        <f>IF($S70=0,0,INDEX(Overrides!$L$47:$L$88,$S70+1,1)*$T$21+INDEX(Overrides!$L$47:$L$88,$S70,1)*$T$22)*'Sensitivity Ranges'!$F$41</f>
        <v>0</v>
      </c>
      <c r="U70" s="480">
        <f>IF($S70=0,0,INDEX(Overrides!$M$47:$M$88,$S70+1,1)*$T$21+INDEX(Overrides!$M$47:$M$88,$S70,1)*$T$22)*'Sensitivity Ranges'!$F$41</f>
        <v>0</v>
      </c>
      <c r="V70" s="480">
        <f>IF($S70=0,0,INDEX(Overrides!$N$47:$N$88,$S70+1,1)*$T$21+INDEX(Overrides!$N$47:$N$88,$S70,1)*$T$22)*'Sensitivity Ranges'!$F$41</f>
        <v>0</v>
      </c>
      <c r="W70" s="200"/>
      <c r="X70" s="162">
        <f>IF($T$20=1,T70,IF(Input!$B$11="Gas",G70,J70)-P70)</f>
        <v>0</v>
      </c>
      <c r="Y70" s="162">
        <f>IF($T$20=1,U70,IF(Input!$B$11="Gas",0,G70-Q70))</f>
        <v>0</v>
      </c>
      <c r="Z70" s="162">
        <f>IF($T$20=1,V70,IF(Input!$B$11="Gas",J70,0))</f>
        <v>0</v>
      </c>
      <c r="AA70" s="200"/>
      <c r="AB70" s="162">
        <f>X70*Abandonment!$H55</f>
        <v>0</v>
      </c>
      <c r="AC70" s="162">
        <f>Y70*Abandonment!$H55</f>
        <v>0</v>
      </c>
      <c r="AD70" s="162">
        <f>Z70*Abandonment!$H55</f>
        <v>0</v>
      </c>
      <c r="AE70" s="156"/>
      <c r="AF70" s="156"/>
      <c r="AG70" s="162">
        <f t="shared" si="10"/>
        <v>0</v>
      </c>
      <c r="AH70" s="162">
        <f t="shared" si="2"/>
        <v>0</v>
      </c>
      <c r="AI70" s="162">
        <f t="shared" si="2"/>
        <v>0</v>
      </c>
      <c r="AJ70" s="156"/>
      <c r="AK70" s="162">
        <f>X70*Abandonment!H55</f>
        <v>0</v>
      </c>
      <c r="AL70" s="162">
        <f>Y70*Abandonment!H55</f>
        <v>0</v>
      </c>
      <c r="AM70" s="162">
        <f>Z70*Abandonment!H55</f>
        <v>0</v>
      </c>
      <c r="AN70" s="162">
        <f>AK70/'Sched &amp; Prod Assumptions'!$B$15+Production!AL70+AM70</f>
        <v>0</v>
      </c>
      <c r="AO70" s="162">
        <f t="shared" si="11"/>
        <v>0</v>
      </c>
      <c r="AP70" s="93"/>
      <c r="AQ70" s="93"/>
      <c r="AR70" s="93"/>
      <c r="AS70" s="93"/>
      <c r="AT70" s="93"/>
      <c r="AU70" s="93"/>
      <c r="AV70" s="93"/>
      <c r="AW70" s="93"/>
      <c r="AX70" s="93"/>
      <c r="AY70" s="93"/>
      <c r="AZ70" s="93"/>
      <c r="BA70" s="93"/>
      <c r="BB70" s="93"/>
      <c r="BC70" s="93"/>
      <c r="BD70" s="93"/>
      <c r="BE70" s="93"/>
      <c r="BF70" s="93"/>
      <c r="BG70" s="93"/>
      <c r="BH70" s="93"/>
      <c r="BI70" s="93"/>
      <c r="BJ70" s="93"/>
      <c r="BK70" s="93"/>
      <c r="BL70" s="93"/>
      <c r="BM70" s="93"/>
      <c r="BN70" s="93"/>
      <c r="BO70" s="93"/>
      <c r="BP70" s="93"/>
      <c r="BQ70" s="93"/>
    </row>
    <row r="71" spans="1:69">
      <c r="A71" s="93"/>
      <c r="B71" s="93"/>
      <c r="C71" s="93"/>
      <c r="D71" s="93"/>
      <c r="E71" s="93"/>
      <c r="F71" s="93"/>
      <c r="G71" s="93"/>
      <c r="H71" s="93"/>
      <c r="I71" s="93"/>
      <c r="J71" s="93"/>
      <c r="K71" s="93"/>
      <c r="L71" s="93"/>
      <c r="M71" s="93"/>
      <c r="N71" s="93"/>
      <c r="O71" s="93"/>
      <c r="P71" s="93"/>
      <c r="Q71" s="93"/>
      <c r="R71" s="93"/>
      <c r="S71" s="93"/>
      <c r="T71" s="93"/>
      <c r="U71" s="93"/>
      <c r="V71" s="93"/>
      <c r="W71" s="93"/>
      <c r="X71" s="93"/>
      <c r="Y71" s="93"/>
      <c r="Z71" s="93"/>
      <c r="AA71" s="93"/>
      <c r="AB71" s="93"/>
      <c r="AC71" s="93"/>
      <c r="AD71" s="93"/>
      <c r="AE71" s="93"/>
      <c r="AF71" s="93"/>
      <c r="AG71" s="173"/>
      <c r="AH71" s="93"/>
      <c r="AI71" s="93"/>
      <c r="AJ71" s="93"/>
      <c r="AK71" s="93"/>
      <c r="AL71" s="93"/>
      <c r="AM71" s="93"/>
      <c r="AN71" s="93"/>
      <c r="AO71" s="93"/>
      <c r="AP71" s="93"/>
      <c r="AQ71" s="93"/>
      <c r="AR71" s="93"/>
      <c r="AS71" s="93"/>
      <c r="AT71" s="93"/>
      <c r="AU71" s="93"/>
      <c r="AV71" s="93"/>
      <c r="AW71" s="93"/>
      <c r="AX71" s="93"/>
      <c r="AY71" s="93"/>
      <c r="AZ71" s="93"/>
      <c r="BA71" s="93"/>
      <c r="BB71" s="93"/>
      <c r="BC71" s="93"/>
      <c r="BD71" s="93"/>
      <c r="BE71" s="93"/>
      <c r="BF71" s="93"/>
      <c r="BG71" s="93"/>
      <c r="BH71" s="93"/>
      <c r="BI71" s="93"/>
      <c r="BJ71" s="93"/>
      <c r="BK71" s="93"/>
      <c r="BL71" s="93"/>
      <c r="BM71" s="93"/>
      <c r="BN71" s="93"/>
      <c r="BO71" s="93"/>
      <c r="BP71" s="93"/>
      <c r="BQ71" s="93"/>
    </row>
    <row r="72" spans="1:69">
      <c r="A72" s="93"/>
      <c r="B72" s="93"/>
      <c r="C72" s="93"/>
      <c r="D72" s="93"/>
      <c r="E72" s="93"/>
      <c r="F72" s="93"/>
      <c r="G72" s="93"/>
      <c r="H72" s="93"/>
      <c r="I72" s="93"/>
      <c r="J72" s="93"/>
      <c r="K72" s="93"/>
      <c r="L72" s="93"/>
      <c r="M72" s="93"/>
      <c r="N72" s="93"/>
      <c r="O72" s="93"/>
      <c r="P72" s="93"/>
      <c r="Q72" s="93"/>
      <c r="R72" s="134"/>
      <c r="S72" s="147"/>
      <c r="T72" s="93"/>
      <c r="U72" s="93"/>
      <c r="V72" s="93"/>
      <c r="W72" s="93"/>
      <c r="X72" s="93"/>
      <c r="Y72" s="93"/>
      <c r="Z72" s="93"/>
      <c r="AA72" s="93"/>
      <c r="AB72" s="93"/>
      <c r="AC72" s="93"/>
      <c r="AD72" s="93"/>
      <c r="AE72" s="93"/>
      <c r="AF72" s="93"/>
      <c r="AG72" s="93"/>
      <c r="AH72" s="93"/>
      <c r="AI72" s="93"/>
      <c r="AJ72" s="93"/>
      <c r="AK72" s="93"/>
      <c r="AL72" s="93"/>
      <c r="AM72" s="93"/>
      <c r="AN72" s="93"/>
      <c r="AO72" s="93"/>
      <c r="AP72" s="93"/>
      <c r="AQ72" s="93"/>
      <c r="AR72" s="93"/>
      <c r="AS72" s="93"/>
      <c r="AT72" s="93"/>
      <c r="AU72" s="93"/>
      <c r="AV72" s="93"/>
      <c r="AW72" s="93"/>
      <c r="AX72" s="93"/>
      <c r="AY72" s="93"/>
      <c r="AZ72" s="93"/>
      <c r="BA72" s="93"/>
      <c r="BB72" s="93"/>
      <c r="BC72" s="93"/>
      <c r="BD72" s="93"/>
      <c r="BE72" s="93"/>
      <c r="BF72" s="93"/>
      <c r="BG72" s="93"/>
      <c r="BH72" s="93"/>
      <c r="BI72" s="93"/>
      <c r="BJ72" s="93"/>
      <c r="BK72" s="93"/>
      <c r="BL72" s="93"/>
      <c r="BM72" s="93"/>
      <c r="BN72" s="93"/>
      <c r="BO72" s="93"/>
      <c r="BP72" s="93"/>
      <c r="BQ72" s="93"/>
    </row>
    <row r="73" spans="1:69">
      <c r="A73" s="93"/>
      <c r="B73" s="93"/>
      <c r="C73" s="134"/>
      <c r="D73" s="134"/>
      <c r="E73" s="134"/>
      <c r="F73" s="134"/>
      <c r="G73" s="134"/>
      <c r="H73" s="134"/>
      <c r="I73" s="134"/>
      <c r="J73" s="134"/>
      <c r="K73" s="134"/>
      <c r="L73" s="134"/>
      <c r="M73" s="134"/>
      <c r="N73" s="134"/>
      <c r="O73" s="134"/>
      <c r="P73" s="93"/>
      <c r="Q73" s="93"/>
      <c r="R73" s="134"/>
      <c r="S73" s="188"/>
      <c r="T73" s="93"/>
      <c r="U73" s="93"/>
      <c r="V73" s="93"/>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c r="AW73" s="93"/>
      <c r="AX73" s="93"/>
      <c r="AY73" s="93"/>
      <c r="AZ73" s="93"/>
      <c r="BA73" s="93"/>
      <c r="BB73" s="93"/>
      <c r="BC73" s="93"/>
      <c r="BD73" s="93"/>
      <c r="BE73" s="93"/>
      <c r="BF73" s="93"/>
      <c r="BG73" s="93"/>
      <c r="BH73" s="93"/>
      <c r="BI73" s="93"/>
      <c r="BJ73" s="93"/>
      <c r="BK73" s="93"/>
      <c r="BL73" s="93"/>
      <c r="BM73" s="93"/>
      <c r="BN73" s="93"/>
      <c r="BO73" s="93"/>
      <c r="BP73" s="93"/>
      <c r="BQ73" s="93"/>
    </row>
    <row r="74" spans="1:69">
      <c r="A74" s="93"/>
      <c r="B74" s="93"/>
      <c r="C74" s="189"/>
      <c r="D74" s="189"/>
      <c r="E74" s="189"/>
      <c r="F74" s="189"/>
      <c r="G74" s="189"/>
      <c r="H74" s="189"/>
      <c r="I74" s="189"/>
      <c r="J74" s="189"/>
      <c r="K74" s="189"/>
      <c r="L74" s="189"/>
      <c r="M74" s="189"/>
      <c r="N74" s="189"/>
      <c r="O74" s="189"/>
      <c r="P74" s="189"/>
      <c r="Q74" s="93"/>
      <c r="R74" s="189"/>
      <c r="S74" s="155"/>
      <c r="T74" s="190"/>
      <c r="U74" s="190"/>
      <c r="V74" s="190"/>
      <c r="W74" s="190"/>
      <c r="X74" s="190"/>
      <c r="Y74" s="190"/>
      <c r="Z74" s="190"/>
      <c r="AA74" s="190"/>
      <c r="AB74" s="93"/>
      <c r="AC74" s="155"/>
      <c r="AD74" s="155"/>
      <c r="AE74" s="155"/>
      <c r="AF74" s="190"/>
      <c r="AG74" s="190"/>
      <c r="AH74" s="190"/>
      <c r="AI74" s="190"/>
      <c r="AJ74" s="190"/>
      <c r="AK74" s="190"/>
      <c r="AL74" s="155"/>
      <c r="AM74" s="222"/>
      <c r="AN74" s="93"/>
      <c r="AO74" s="155"/>
      <c r="AP74" s="155"/>
      <c r="AQ74" s="189"/>
      <c r="AR74" s="189"/>
      <c r="AS74" s="189"/>
      <c r="AT74" s="189"/>
      <c r="AU74" s="189"/>
      <c r="AV74" s="189"/>
      <c r="AW74" s="155"/>
      <c r="AX74" s="93"/>
      <c r="AY74" s="189"/>
      <c r="AZ74" s="189"/>
      <c r="BA74" s="189"/>
      <c r="BB74" s="93"/>
      <c r="BC74" s="93"/>
      <c r="BD74" s="192"/>
      <c r="BE74" s="193"/>
      <c r="BF74" s="93"/>
      <c r="BG74" s="155"/>
      <c r="BH74" s="139"/>
      <c r="BI74" s="194"/>
      <c r="BJ74" s="194"/>
      <c r="BK74" s="194"/>
      <c r="BL74" s="194"/>
      <c r="BM74" s="194"/>
      <c r="BN74" s="194"/>
      <c r="BO74" s="155"/>
      <c r="BP74" s="93"/>
      <c r="BQ74" s="189"/>
    </row>
    <row r="75" spans="1:69">
      <c r="A75" s="93"/>
      <c r="B75" s="189"/>
      <c r="C75" s="195"/>
      <c r="D75" s="93"/>
      <c r="E75" s="93"/>
      <c r="F75" s="93"/>
      <c r="G75" s="93"/>
      <c r="H75" s="93"/>
      <c r="I75" s="93"/>
      <c r="J75" s="93"/>
      <c r="K75" s="93"/>
      <c r="L75" s="93"/>
      <c r="M75" s="93"/>
      <c r="N75" s="93"/>
      <c r="O75" s="93"/>
      <c r="P75" s="93"/>
      <c r="Q75" s="93"/>
      <c r="R75" s="93"/>
      <c r="S75" s="93"/>
      <c r="T75" s="93"/>
      <c r="U75" s="93"/>
      <c r="V75" s="93"/>
      <c r="W75" s="93"/>
      <c r="X75" s="93"/>
      <c r="Y75" s="93"/>
      <c r="Z75" s="93"/>
      <c r="AA75" s="93"/>
      <c r="AB75" s="93"/>
      <c r="AC75" s="196"/>
      <c r="AD75" s="196"/>
      <c r="AE75" s="196"/>
      <c r="AF75" s="196"/>
      <c r="AG75" s="196"/>
      <c r="AH75" s="196"/>
      <c r="AI75" s="196"/>
      <c r="AJ75" s="196"/>
      <c r="AK75" s="196"/>
      <c r="AL75" s="93"/>
      <c r="AM75" s="93"/>
      <c r="AN75" s="93"/>
      <c r="AO75" s="93"/>
      <c r="AP75" s="93"/>
      <c r="AQ75" s="93"/>
      <c r="AR75" s="93"/>
      <c r="AS75" s="93"/>
      <c r="AT75" s="93"/>
      <c r="AU75" s="93"/>
      <c r="AV75" s="93"/>
      <c r="AW75" s="93"/>
      <c r="AX75" s="93"/>
      <c r="AY75" s="93"/>
      <c r="AZ75" s="93"/>
      <c r="BA75" s="93"/>
      <c r="BB75" s="93"/>
      <c r="BC75" s="134"/>
      <c r="BD75" s="197"/>
      <c r="BE75" s="198"/>
      <c r="BF75" s="134"/>
      <c r="BG75" s="147"/>
      <c r="BH75" s="147"/>
      <c r="BI75" s="147"/>
      <c r="BJ75" s="147"/>
      <c r="BK75" s="147"/>
      <c r="BL75" s="147"/>
      <c r="BM75" s="147"/>
      <c r="BN75" s="147"/>
      <c r="BO75" s="93"/>
      <c r="BP75" s="93"/>
      <c r="BQ75" s="93"/>
    </row>
    <row r="76" spans="1:69">
      <c r="A76" s="93"/>
      <c r="B76" s="93"/>
      <c r="C76" s="93"/>
      <c r="D76" s="93"/>
      <c r="E76" s="93"/>
      <c r="F76" s="93"/>
      <c r="G76" s="93"/>
      <c r="H76" s="93"/>
      <c r="I76" s="93"/>
      <c r="J76" s="93"/>
      <c r="K76" s="93"/>
      <c r="L76" s="93"/>
      <c r="M76" s="93"/>
      <c r="N76" s="93"/>
      <c r="O76" s="93"/>
      <c r="P76" s="93"/>
      <c r="Q76" s="93"/>
      <c r="R76" s="93"/>
      <c r="S76" s="93"/>
      <c r="T76" s="93"/>
      <c r="U76" s="93"/>
      <c r="V76" s="93"/>
      <c r="W76" s="93"/>
      <c r="X76" s="93"/>
      <c r="Y76" s="93"/>
      <c r="Z76" s="93"/>
      <c r="AA76" s="93"/>
      <c r="AB76" s="93"/>
      <c r="AC76" s="196"/>
      <c r="AD76" s="196"/>
      <c r="AE76" s="196"/>
      <c r="AF76" s="93"/>
      <c r="AG76" s="93"/>
      <c r="AH76" s="93"/>
      <c r="AI76" s="93"/>
      <c r="AJ76" s="93"/>
      <c r="AK76" s="93"/>
      <c r="AL76" s="93"/>
      <c r="AM76" s="93"/>
      <c r="AN76" s="93"/>
      <c r="AO76" s="196"/>
      <c r="AP76" s="196"/>
      <c r="AQ76" s="93"/>
      <c r="AR76" s="93"/>
      <c r="AS76" s="93"/>
      <c r="AT76" s="93"/>
      <c r="AU76" s="93"/>
      <c r="AV76" s="93"/>
      <c r="AW76" s="93"/>
      <c r="AX76" s="93"/>
      <c r="AY76" s="93"/>
      <c r="AZ76" s="93"/>
      <c r="BA76" s="93"/>
      <c r="BB76" s="93"/>
      <c r="BC76" s="134"/>
      <c r="BD76" s="197"/>
      <c r="BE76" s="93"/>
      <c r="BF76" s="93"/>
      <c r="BG76" s="196"/>
      <c r="BH76" s="196"/>
      <c r="BI76" s="93"/>
      <c r="BJ76" s="93"/>
      <c r="BK76" s="93"/>
      <c r="BL76" s="93"/>
      <c r="BM76" s="93"/>
      <c r="BN76" s="93"/>
      <c r="BO76" s="93"/>
      <c r="BP76" s="93"/>
      <c r="BQ76" s="93"/>
    </row>
    <row r="77" spans="1:69">
      <c r="A77" s="155"/>
      <c r="B77" s="182"/>
      <c r="C77" s="182"/>
      <c r="D77" s="182"/>
      <c r="E77" s="182"/>
      <c r="F77" s="182"/>
      <c r="G77" s="182"/>
      <c r="H77" s="182"/>
      <c r="I77" s="182"/>
      <c r="J77" s="182"/>
      <c r="K77" s="182"/>
      <c r="L77" s="182"/>
      <c r="M77" s="182"/>
      <c r="N77" s="182"/>
      <c r="O77" s="182"/>
      <c r="P77" s="182"/>
      <c r="Q77" s="93"/>
      <c r="R77" s="93"/>
      <c r="S77" s="182"/>
      <c r="T77" s="182"/>
      <c r="U77" s="182"/>
      <c r="V77" s="182"/>
      <c r="W77" s="182"/>
      <c r="X77" s="182"/>
      <c r="Y77" s="182"/>
      <c r="Z77" s="182"/>
      <c r="AA77" s="182"/>
      <c r="AB77" s="93"/>
      <c r="AC77" s="182"/>
      <c r="AD77" s="182"/>
      <c r="AE77" s="182"/>
      <c r="AF77" s="182"/>
      <c r="AG77" s="182"/>
      <c r="AH77" s="182"/>
      <c r="AI77" s="182"/>
      <c r="AJ77" s="182"/>
      <c r="AK77" s="182"/>
      <c r="AL77" s="182"/>
      <c r="AM77" s="227"/>
      <c r="AN77" s="93"/>
      <c r="AO77" s="182"/>
      <c r="AP77" s="182"/>
      <c r="AQ77" s="182"/>
      <c r="AR77" s="182"/>
      <c r="AS77" s="182"/>
      <c r="AT77" s="182"/>
      <c r="AU77" s="182"/>
      <c r="AV77" s="182"/>
      <c r="AW77" s="182"/>
      <c r="AX77" s="93"/>
      <c r="AY77" s="182"/>
      <c r="AZ77" s="182"/>
      <c r="BA77" s="182"/>
      <c r="BB77" s="173"/>
      <c r="BC77" s="93"/>
      <c r="BD77" s="206"/>
      <c r="BE77" s="227"/>
      <c r="BF77" s="93"/>
      <c r="BG77" s="182"/>
      <c r="BH77" s="182"/>
      <c r="BI77" s="182"/>
      <c r="BJ77" s="182"/>
      <c r="BK77" s="182"/>
      <c r="BL77" s="182"/>
      <c r="BM77" s="182"/>
      <c r="BN77" s="182"/>
      <c r="BO77" s="182"/>
      <c r="BP77" s="93"/>
      <c r="BQ77" s="182"/>
    </row>
    <row r="78" spans="1:69">
      <c r="A78" s="139"/>
      <c r="B78" s="202"/>
      <c r="C78" s="202"/>
      <c r="D78" s="202"/>
      <c r="E78" s="202"/>
      <c r="F78" s="202"/>
      <c r="G78" s="202"/>
      <c r="H78" s="202"/>
      <c r="I78" s="202"/>
      <c r="J78" s="202"/>
      <c r="K78" s="202"/>
      <c r="L78" s="202"/>
      <c r="M78" s="202"/>
      <c r="N78" s="202"/>
      <c r="O78" s="202"/>
      <c r="P78" s="202"/>
      <c r="Q78" s="173"/>
      <c r="R78" s="201"/>
      <c r="S78" s="202"/>
      <c r="T78" s="202"/>
      <c r="U78" s="202"/>
      <c r="V78" s="202"/>
      <c r="W78" s="202"/>
      <c r="X78" s="202"/>
      <c r="Y78" s="202"/>
      <c r="Z78" s="202"/>
      <c r="AA78" s="202"/>
      <c r="AB78" s="93"/>
      <c r="AC78" s="202"/>
      <c r="AD78" s="202"/>
      <c r="AE78" s="202"/>
      <c r="AF78" s="202"/>
      <c r="AG78" s="202"/>
      <c r="AH78" s="202"/>
      <c r="AI78" s="202"/>
      <c r="AJ78" s="202"/>
      <c r="AK78" s="202"/>
      <c r="AL78" s="202"/>
      <c r="AM78" s="227"/>
      <c r="AN78" s="173"/>
      <c r="AO78" s="202"/>
      <c r="AP78" s="202"/>
      <c r="AQ78" s="202"/>
      <c r="AR78" s="202"/>
      <c r="AS78" s="202"/>
      <c r="AT78" s="202"/>
      <c r="AU78" s="202"/>
      <c r="AV78" s="202"/>
      <c r="AW78" s="202"/>
      <c r="AX78" s="173"/>
      <c r="AY78" s="202"/>
      <c r="AZ78" s="202"/>
      <c r="BA78" s="202"/>
      <c r="BB78" s="173"/>
      <c r="BC78" s="93"/>
      <c r="BD78" s="202"/>
      <c r="BE78" s="227"/>
      <c r="BF78" s="173"/>
      <c r="BG78" s="204"/>
      <c r="BH78" s="204"/>
      <c r="BI78" s="204"/>
      <c r="BJ78" s="204"/>
      <c r="BK78" s="204"/>
      <c r="BL78" s="204"/>
      <c r="BM78" s="204"/>
      <c r="BN78" s="204"/>
      <c r="BO78" s="202"/>
      <c r="BP78" s="93"/>
      <c r="BQ78" s="202"/>
    </row>
    <row r="79" spans="1:69">
      <c r="A79" s="140"/>
      <c r="B79" s="204"/>
      <c r="C79" s="204"/>
      <c r="D79" s="204"/>
      <c r="E79" s="204"/>
      <c r="F79" s="204"/>
      <c r="G79" s="204"/>
      <c r="H79" s="204"/>
      <c r="I79" s="204"/>
      <c r="J79" s="204"/>
      <c r="K79" s="204"/>
      <c r="L79" s="204"/>
      <c r="M79" s="204"/>
      <c r="N79" s="204"/>
      <c r="O79" s="204"/>
      <c r="P79" s="204"/>
      <c r="Q79" s="173"/>
      <c r="R79" s="203"/>
      <c r="S79" s="204"/>
      <c r="T79" s="204"/>
      <c r="U79" s="204"/>
      <c r="V79" s="204"/>
      <c r="W79" s="204"/>
      <c r="X79" s="204"/>
      <c r="Y79" s="204"/>
      <c r="Z79" s="204"/>
      <c r="AA79" s="204"/>
      <c r="AB79" s="93"/>
      <c r="AC79" s="204"/>
      <c r="AD79" s="204"/>
      <c r="AE79" s="204"/>
      <c r="AF79" s="204"/>
      <c r="AG79" s="204"/>
      <c r="AH79" s="204"/>
      <c r="AI79" s="204"/>
      <c r="AJ79" s="204"/>
      <c r="AK79" s="204"/>
      <c r="AL79" s="204"/>
      <c r="AM79" s="227"/>
      <c r="AN79" s="173"/>
      <c r="AO79" s="204"/>
      <c r="AP79" s="204"/>
      <c r="AQ79" s="204"/>
      <c r="AR79" s="204"/>
      <c r="AS79" s="204"/>
      <c r="AT79" s="204"/>
      <c r="AU79" s="204"/>
      <c r="AV79" s="204"/>
      <c r="AW79" s="204"/>
      <c r="AX79" s="173"/>
      <c r="AY79" s="204"/>
      <c r="AZ79" s="204"/>
      <c r="BA79" s="204"/>
      <c r="BB79" s="173"/>
      <c r="BC79" s="93"/>
      <c r="BD79" s="204"/>
      <c r="BE79" s="227"/>
      <c r="BF79" s="173"/>
      <c r="BG79" s="204"/>
      <c r="BH79" s="204"/>
      <c r="BI79" s="204"/>
      <c r="BJ79" s="204"/>
      <c r="BK79" s="204"/>
      <c r="BL79" s="204"/>
      <c r="BM79" s="204"/>
      <c r="BN79" s="204"/>
      <c r="BO79" s="204"/>
      <c r="BP79" s="93"/>
      <c r="BQ79" s="204"/>
    </row>
    <row r="80" spans="1:69">
      <c r="A80" s="140"/>
      <c r="B80" s="204"/>
      <c r="C80" s="204"/>
      <c r="D80" s="204"/>
      <c r="E80" s="204"/>
      <c r="F80" s="204"/>
      <c r="G80" s="204"/>
      <c r="H80" s="204"/>
      <c r="I80" s="204"/>
      <c r="J80" s="204"/>
      <c r="K80" s="204"/>
      <c r="L80" s="204"/>
      <c r="M80" s="204"/>
      <c r="N80" s="204"/>
      <c r="O80" s="204"/>
      <c r="P80" s="204"/>
      <c r="Q80" s="173"/>
      <c r="R80" s="203"/>
      <c r="S80" s="204"/>
      <c r="T80" s="204"/>
      <c r="U80" s="204"/>
      <c r="V80" s="204"/>
      <c r="W80" s="204"/>
      <c r="X80" s="204"/>
      <c r="Y80" s="204"/>
      <c r="Z80" s="204"/>
      <c r="AA80" s="204"/>
      <c r="AB80" s="93"/>
      <c r="AC80" s="204"/>
      <c r="AD80" s="204"/>
      <c r="AE80" s="204"/>
      <c r="AF80" s="204"/>
      <c r="AG80" s="204"/>
      <c r="AH80" s="204"/>
      <c r="AI80" s="204"/>
      <c r="AJ80" s="204"/>
      <c r="AK80" s="204"/>
      <c r="AL80" s="204"/>
      <c r="AM80" s="227"/>
      <c r="AN80" s="173"/>
      <c r="AO80" s="204"/>
      <c r="AP80" s="204"/>
      <c r="AQ80" s="204"/>
      <c r="AR80" s="204"/>
      <c r="AS80" s="204"/>
      <c r="AT80" s="204"/>
      <c r="AU80" s="204"/>
      <c r="AV80" s="204"/>
      <c r="AW80" s="204"/>
      <c r="AX80" s="173"/>
      <c r="AY80" s="204"/>
      <c r="AZ80" s="204"/>
      <c r="BA80" s="204"/>
      <c r="BB80" s="173"/>
      <c r="BC80" s="93"/>
      <c r="BD80" s="204"/>
      <c r="BE80" s="227"/>
      <c r="BF80" s="173"/>
      <c r="BG80" s="204"/>
      <c r="BH80" s="204"/>
      <c r="BI80" s="204"/>
      <c r="BJ80" s="204"/>
      <c r="BK80" s="204"/>
      <c r="BL80" s="204"/>
      <c r="BM80" s="204"/>
      <c r="BN80" s="204"/>
      <c r="BO80" s="204"/>
      <c r="BP80" s="93"/>
      <c r="BQ80" s="204"/>
    </row>
    <row r="81" spans="1:69">
      <c r="A81" s="140"/>
      <c r="B81" s="204"/>
      <c r="C81" s="204"/>
      <c r="D81" s="204"/>
      <c r="E81" s="204"/>
      <c r="F81" s="204"/>
      <c r="G81" s="204"/>
      <c r="H81" s="204"/>
      <c r="I81" s="204"/>
      <c r="J81" s="204"/>
      <c r="K81" s="204"/>
      <c r="L81" s="204"/>
      <c r="M81" s="204"/>
      <c r="N81" s="204"/>
      <c r="O81" s="204"/>
      <c r="P81" s="204"/>
      <c r="Q81" s="173"/>
      <c r="R81" s="203"/>
      <c r="S81" s="204"/>
      <c r="T81" s="204"/>
      <c r="U81" s="204"/>
      <c r="V81" s="204"/>
      <c r="W81" s="204"/>
      <c r="X81" s="204"/>
      <c r="Y81" s="204"/>
      <c r="Z81" s="204"/>
      <c r="AA81" s="204"/>
      <c r="AB81" s="93"/>
      <c r="AC81" s="204"/>
      <c r="AD81" s="204"/>
      <c r="AE81" s="204"/>
      <c r="AF81" s="204"/>
      <c r="AG81" s="204"/>
      <c r="AH81" s="204"/>
      <c r="AI81" s="204"/>
      <c r="AJ81" s="204"/>
      <c r="AK81" s="204"/>
      <c r="AL81" s="204"/>
      <c r="AM81" s="227"/>
      <c r="AN81" s="173"/>
      <c r="AO81" s="204"/>
      <c r="AP81" s="204"/>
      <c r="AQ81" s="204"/>
      <c r="AR81" s="204"/>
      <c r="AS81" s="204"/>
      <c r="AT81" s="204"/>
      <c r="AU81" s="204"/>
      <c r="AV81" s="204"/>
      <c r="AW81" s="204"/>
      <c r="AX81" s="173"/>
      <c r="AY81" s="204"/>
      <c r="AZ81" s="204"/>
      <c r="BA81" s="204"/>
      <c r="BB81" s="173"/>
      <c r="BC81" s="93"/>
      <c r="BD81" s="204"/>
      <c r="BE81" s="227"/>
      <c r="BF81" s="173"/>
      <c r="BG81" s="204"/>
      <c r="BH81" s="204"/>
      <c r="BI81" s="204"/>
      <c r="BJ81" s="204"/>
      <c r="BK81" s="204"/>
      <c r="BL81" s="204"/>
      <c r="BM81" s="204"/>
      <c r="BN81" s="204"/>
      <c r="BO81" s="204"/>
      <c r="BP81" s="93"/>
      <c r="BQ81" s="204"/>
    </row>
    <row r="82" spans="1:69">
      <c r="A82" s="140"/>
      <c r="B82" s="204"/>
      <c r="C82" s="204"/>
      <c r="D82" s="204"/>
      <c r="E82" s="204"/>
      <c r="F82" s="204"/>
      <c r="G82" s="204"/>
      <c r="H82" s="204"/>
      <c r="I82" s="204"/>
      <c r="J82" s="204"/>
      <c r="K82" s="204"/>
      <c r="L82" s="204"/>
      <c r="M82" s="204"/>
      <c r="N82" s="204"/>
      <c r="O82" s="204"/>
      <c r="P82" s="204"/>
      <c r="Q82" s="173"/>
      <c r="R82" s="203"/>
      <c r="S82" s="204"/>
      <c r="T82" s="204"/>
      <c r="U82" s="204"/>
      <c r="V82" s="204"/>
      <c r="W82" s="204"/>
      <c r="X82" s="204"/>
      <c r="Y82" s="204"/>
      <c r="Z82" s="204"/>
      <c r="AA82" s="204"/>
      <c r="AB82" s="93"/>
      <c r="AC82" s="204"/>
      <c r="AD82" s="204"/>
      <c r="AE82" s="204"/>
      <c r="AF82" s="204"/>
      <c r="AG82" s="204"/>
      <c r="AH82" s="204"/>
      <c r="AI82" s="204"/>
      <c r="AJ82" s="204"/>
      <c r="AK82" s="204"/>
      <c r="AL82" s="204"/>
      <c r="AM82" s="227"/>
      <c r="AN82" s="173"/>
      <c r="AO82" s="204"/>
      <c r="AP82" s="204"/>
      <c r="AQ82" s="204"/>
      <c r="AR82" s="204"/>
      <c r="AS82" s="204"/>
      <c r="AT82" s="204"/>
      <c r="AU82" s="204"/>
      <c r="AV82" s="204"/>
      <c r="AW82" s="204"/>
      <c r="AX82" s="173"/>
      <c r="AY82" s="204"/>
      <c r="AZ82" s="204"/>
      <c r="BA82" s="204"/>
      <c r="BB82" s="173"/>
      <c r="BC82" s="93"/>
      <c r="BD82" s="204"/>
      <c r="BE82" s="227"/>
      <c r="BF82" s="173"/>
      <c r="BG82" s="204"/>
      <c r="BH82" s="204"/>
      <c r="BI82" s="204"/>
      <c r="BJ82" s="204"/>
      <c r="BK82" s="204"/>
      <c r="BL82" s="204"/>
      <c r="BM82" s="204"/>
      <c r="BN82" s="204"/>
      <c r="BO82" s="204"/>
      <c r="BP82" s="204"/>
      <c r="BQ82" s="204"/>
    </row>
    <row r="83" spans="1:69">
      <c r="A83" s="140"/>
      <c r="B83" s="204"/>
      <c r="C83" s="204"/>
      <c r="D83" s="204"/>
      <c r="E83" s="204"/>
      <c r="F83" s="204"/>
      <c r="G83" s="204"/>
      <c r="H83" s="204"/>
      <c r="I83" s="204"/>
      <c r="J83" s="204"/>
      <c r="K83" s="204"/>
      <c r="L83" s="204"/>
      <c r="M83" s="204"/>
      <c r="N83" s="204"/>
      <c r="O83" s="204"/>
      <c r="P83" s="204"/>
      <c r="Q83" s="173"/>
      <c r="R83" s="203"/>
      <c r="S83" s="204"/>
      <c r="T83" s="204"/>
      <c r="U83" s="204"/>
      <c r="V83" s="204"/>
      <c r="W83" s="204"/>
      <c r="X83" s="204"/>
      <c r="Y83" s="204"/>
      <c r="Z83" s="204"/>
      <c r="AA83" s="204"/>
      <c r="AB83" s="93"/>
      <c r="AC83" s="204"/>
      <c r="AD83" s="204"/>
      <c r="AE83" s="204"/>
      <c r="AF83" s="204"/>
      <c r="AG83" s="204"/>
      <c r="AH83" s="204"/>
      <c r="AI83" s="204"/>
      <c r="AJ83" s="204"/>
      <c r="AK83" s="204"/>
      <c r="AL83" s="204"/>
      <c r="AM83" s="227"/>
      <c r="AN83" s="173"/>
      <c r="AO83" s="204"/>
      <c r="AP83" s="204"/>
      <c r="AQ83" s="204"/>
      <c r="AR83" s="204"/>
      <c r="AS83" s="204"/>
      <c r="AT83" s="204"/>
      <c r="AU83" s="204"/>
      <c r="AV83" s="204"/>
      <c r="AW83" s="204"/>
      <c r="AX83" s="173"/>
      <c r="AY83" s="204"/>
      <c r="AZ83" s="204"/>
      <c r="BA83" s="204"/>
      <c r="BB83" s="173"/>
      <c r="BC83" s="93"/>
      <c r="BD83" s="204"/>
      <c r="BE83" s="227"/>
      <c r="BF83" s="173"/>
      <c r="BG83" s="204"/>
      <c r="BH83" s="204"/>
      <c r="BI83" s="204"/>
      <c r="BJ83" s="204"/>
      <c r="BK83" s="204"/>
      <c r="BL83" s="204"/>
      <c r="BM83" s="204"/>
      <c r="BN83" s="204"/>
      <c r="BO83" s="204"/>
      <c r="BP83" s="204"/>
      <c r="BQ83" s="204"/>
    </row>
    <row r="84" spans="1:69">
      <c r="A84" s="140"/>
      <c r="B84" s="204"/>
      <c r="C84" s="204"/>
      <c r="D84" s="204"/>
      <c r="E84" s="204"/>
      <c r="F84" s="204"/>
      <c r="G84" s="204"/>
      <c r="H84" s="204"/>
      <c r="I84" s="204"/>
      <c r="J84" s="204"/>
      <c r="K84" s="204"/>
      <c r="L84" s="204"/>
      <c r="M84" s="204"/>
      <c r="N84" s="204"/>
      <c r="O84" s="204"/>
      <c r="P84" s="204"/>
      <c r="Q84" s="173"/>
      <c r="R84" s="203"/>
      <c r="S84" s="204"/>
      <c r="T84" s="204"/>
      <c r="U84" s="204"/>
      <c r="V84" s="204"/>
      <c r="W84" s="204"/>
      <c r="X84" s="204"/>
      <c r="Y84" s="204"/>
      <c r="Z84" s="204"/>
      <c r="AA84" s="204"/>
      <c r="AB84" s="93"/>
      <c r="AC84" s="204"/>
      <c r="AD84" s="204"/>
      <c r="AE84" s="204"/>
      <c r="AF84" s="204"/>
      <c r="AG84" s="204"/>
      <c r="AH84" s="204"/>
      <c r="AI84" s="204"/>
      <c r="AJ84" s="204"/>
      <c r="AK84" s="204"/>
      <c r="AL84" s="204"/>
      <c r="AM84" s="227"/>
      <c r="AN84" s="173"/>
      <c r="AO84" s="204"/>
      <c r="AP84" s="204"/>
      <c r="AQ84" s="204"/>
      <c r="AR84" s="204"/>
      <c r="AS84" s="204"/>
      <c r="AT84" s="204"/>
      <c r="AU84" s="204"/>
      <c r="AV84" s="204"/>
      <c r="AW84" s="204"/>
      <c r="AX84" s="173"/>
      <c r="AY84" s="204"/>
      <c r="AZ84" s="204"/>
      <c r="BA84" s="204"/>
      <c r="BB84" s="173"/>
      <c r="BC84" s="93"/>
      <c r="BD84" s="204"/>
      <c r="BE84" s="227"/>
      <c r="BF84" s="173"/>
      <c r="BG84" s="204"/>
      <c r="BH84" s="204"/>
      <c r="BI84" s="204"/>
      <c r="BJ84" s="204"/>
      <c r="BK84" s="204"/>
      <c r="BL84" s="204"/>
      <c r="BM84" s="204"/>
      <c r="BN84" s="204"/>
      <c r="BO84" s="204"/>
      <c r="BP84" s="204"/>
      <c r="BQ84" s="204"/>
    </row>
    <row r="85" spans="1:69">
      <c r="A85" s="140"/>
      <c r="B85" s="204"/>
      <c r="C85" s="204"/>
      <c r="D85" s="204"/>
      <c r="E85" s="204"/>
      <c r="F85" s="204"/>
      <c r="G85" s="204"/>
      <c r="H85" s="204"/>
      <c r="I85" s="204"/>
      <c r="J85" s="204"/>
      <c r="K85" s="204"/>
      <c r="L85" s="204"/>
      <c r="M85" s="204"/>
      <c r="N85" s="204"/>
      <c r="O85" s="204"/>
      <c r="P85" s="204"/>
      <c r="Q85" s="173"/>
      <c r="R85" s="203"/>
      <c r="S85" s="204"/>
      <c r="T85" s="204"/>
      <c r="U85" s="204"/>
      <c r="V85" s="204"/>
      <c r="W85" s="204"/>
      <c r="X85" s="204"/>
      <c r="Y85" s="204"/>
      <c r="Z85" s="204"/>
      <c r="AA85" s="204"/>
      <c r="AB85" s="93"/>
      <c r="AC85" s="204"/>
      <c r="AD85" s="204"/>
      <c r="AE85" s="204"/>
      <c r="AF85" s="204"/>
      <c r="AG85" s="204"/>
      <c r="AH85" s="204"/>
      <c r="AI85" s="204"/>
      <c r="AJ85" s="204"/>
      <c r="AK85" s="204"/>
      <c r="AL85" s="204"/>
      <c r="AM85" s="227"/>
      <c r="AN85" s="173"/>
      <c r="AO85" s="204"/>
      <c r="AP85" s="204"/>
      <c r="AQ85" s="204"/>
      <c r="AR85" s="204"/>
      <c r="AS85" s="204"/>
      <c r="AT85" s="204"/>
      <c r="AU85" s="204"/>
      <c r="AV85" s="204"/>
      <c r="AW85" s="204"/>
      <c r="AX85" s="173"/>
      <c r="AY85" s="204"/>
      <c r="AZ85" s="204"/>
      <c r="BA85" s="204"/>
      <c r="BB85" s="173"/>
      <c r="BC85" s="93"/>
      <c r="BD85" s="204"/>
      <c r="BE85" s="227"/>
      <c r="BF85" s="173"/>
      <c r="BG85" s="204"/>
      <c r="BH85" s="204"/>
      <c r="BI85" s="204"/>
      <c r="BJ85" s="204"/>
      <c r="BK85" s="204"/>
      <c r="BL85" s="204"/>
      <c r="BM85" s="204"/>
      <c r="BN85" s="204"/>
      <c r="BO85" s="204"/>
      <c r="BP85" s="204"/>
      <c r="BQ85" s="204"/>
    </row>
    <row r="86" spans="1:69">
      <c r="A86" s="140"/>
      <c r="B86" s="204"/>
      <c r="C86" s="204"/>
      <c r="D86" s="204"/>
      <c r="E86" s="204"/>
      <c r="F86" s="204"/>
      <c r="G86" s="204"/>
      <c r="H86" s="204"/>
      <c r="I86" s="204"/>
      <c r="J86" s="204"/>
      <c r="K86" s="204"/>
      <c r="L86" s="204"/>
      <c r="M86" s="204"/>
      <c r="N86" s="204"/>
      <c r="O86" s="204"/>
      <c r="P86" s="204"/>
      <c r="Q86" s="173"/>
      <c r="R86" s="203"/>
      <c r="S86" s="204"/>
      <c r="T86" s="204"/>
      <c r="U86" s="204"/>
      <c r="V86" s="204"/>
      <c r="W86" s="204"/>
      <c r="X86" s="204"/>
      <c r="Y86" s="204"/>
      <c r="Z86" s="204"/>
      <c r="AA86" s="204"/>
      <c r="AB86" s="93"/>
      <c r="AC86" s="204"/>
      <c r="AD86" s="204"/>
      <c r="AE86" s="204"/>
      <c r="AF86" s="204"/>
      <c r="AG86" s="204"/>
      <c r="AH86" s="204"/>
      <c r="AI86" s="204"/>
      <c r="AJ86" s="204"/>
      <c r="AK86" s="204"/>
      <c r="AL86" s="204"/>
      <c r="AM86" s="227"/>
      <c r="AN86" s="173"/>
      <c r="AO86" s="204"/>
      <c r="AP86" s="204"/>
      <c r="AQ86" s="204"/>
      <c r="AR86" s="204"/>
      <c r="AS86" s="204"/>
      <c r="AT86" s="204"/>
      <c r="AU86" s="204"/>
      <c r="AV86" s="204"/>
      <c r="AW86" s="204"/>
      <c r="AX86" s="173"/>
      <c r="AY86" s="204"/>
      <c r="AZ86" s="204"/>
      <c r="BA86" s="204"/>
      <c r="BB86" s="173"/>
      <c r="BC86" s="93"/>
      <c r="BD86" s="204"/>
      <c r="BE86" s="227"/>
      <c r="BF86" s="173"/>
      <c r="BG86" s="204"/>
      <c r="BH86" s="204"/>
      <c r="BI86" s="204"/>
      <c r="BJ86" s="204"/>
      <c r="BK86" s="204"/>
      <c r="BL86" s="204"/>
      <c r="BM86" s="204"/>
      <c r="BN86" s="204"/>
      <c r="BO86" s="204"/>
      <c r="BP86" s="204"/>
      <c r="BQ86" s="204"/>
    </row>
    <row r="87" spans="1:69">
      <c r="A87" s="140"/>
      <c r="B87" s="204"/>
      <c r="C87" s="204"/>
      <c r="D87" s="204"/>
      <c r="E87" s="204"/>
      <c r="F87" s="204"/>
      <c r="G87" s="204"/>
      <c r="H87" s="204"/>
      <c r="I87" s="204"/>
      <c r="J87" s="204"/>
      <c r="K87" s="204"/>
      <c r="L87" s="204"/>
      <c r="M87" s="204"/>
      <c r="N87" s="204"/>
      <c r="O87" s="204"/>
      <c r="P87" s="204"/>
      <c r="Q87" s="173"/>
      <c r="R87" s="203"/>
      <c r="S87" s="204"/>
      <c r="T87" s="204"/>
      <c r="U87" s="204"/>
      <c r="V87" s="204"/>
      <c r="W87" s="204"/>
      <c r="X87" s="204"/>
      <c r="Y87" s="204"/>
      <c r="Z87" s="204"/>
      <c r="AA87" s="204"/>
      <c r="AB87" s="93"/>
      <c r="AC87" s="204"/>
      <c r="AD87" s="204"/>
      <c r="AE87" s="204"/>
      <c r="AF87" s="204"/>
      <c r="AG87" s="204"/>
      <c r="AH87" s="204"/>
      <c r="AI87" s="204"/>
      <c r="AJ87" s="204"/>
      <c r="AK87" s="204"/>
      <c r="AL87" s="204"/>
      <c r="AM87" s="227"/>
      <c r="AN87" s="173"/>
      <c r="AO87" s="204"/>
      <c r="AP87" s="204"/>
      <c r="AQ87" s="204"/>
      <c r="AR87" s="204"/>
      <c r="AS87" s="204"/>
      <c r="AT87" s="204"/>
      <c r="AU87" s="204"/>
      <c r="AV87" s="204"/>
      <c r="AW87" s="204"/>
      <c r="AX87" s="173"/>
      <c r="AY87" s="204"/>
      <c r="AZ87" s="204"/>
      <c r="BA87" s="204"/>
      <c r="BB87" s="173"/>
      <c r="BC87" s="93"/>
      <c r="BD87" s="204"/>
      <c r="BE87" s="227"/>
      <c r="BF87" s="173"/>
      <c r="BG87" s="204"/>
      <c r="BH87" s="204"/>
      <c r="BI87" s="204"/>
      <c r="BJ87" s="204"/>
      <c r="BK87" s="204"/>
      <c r="BL87" s="204"/>
      <c r="BM87" s="204"/>
      <c r="BN87" s="204"/>
      <c r="BO87" s="204"/>
      <c r="BP87" s="204"/>
      <c r="BQ87" s="204"/>
    </row>
    <row r="88" spans="1:69">
      <c r="A88" s="140"/>
      <c r="B88" s="204"/>
      <c r="C88" s="204"/>
      <c r="D88" s="204"/>
      <c r="E88" s="204"/>
      <c r="F88" s="204"/>
      <c r="G88" s="204"/>
      <c r="H88" s="204"/>
      <c r="I88" s="204"/>
      <c r="J88" s="204"/>
      <c r="K88" s="204"/>
      <c r="L88" s="204"/>
      <c r="M88" s="204"/>
      <c r="N88" s="204"/>
      <c r="O88" s="204"/>
      <c r="P88" s="204"/>
      <c r="Q88" s="173"/>
      <c r="R88" s="203"/>
      <c r="S88" s="204"/>
      <c r="T88" s="204"/>
      <c r="U88" s="204"/>
      <c r="V88" s="204"/>
      <c r="W88" s="204"/>
      <c r="X88" s="204"/>
      <c r="Y88" s="204"/>
      <c r="Z88" s="204"/>
      <c r="AA88" s="204"/>
      <c r="AB88" s="93"/>
      <c r="AC88" s="204"/>
      <c r="AD88" s="204"/>
      <c r="AE88" s="204"/>
      <c r="AF88" s="204"/>
      <c r="AG88" s="204"/>
      <c r="AH88" s="204"/>
      <c r="AI88" s="204"/>
      <c r="AJ88" s="204"/>
      <c r="AK88" s="204"/>
      <c r="AL88" s="204"/>
      <c r="AM88" s="227"/>
      <c r="AN88" s="173"/>
      <c r="AO88" s="204"/>
      <c r="AP88" s="204"/>
      <c r="AQ88" s="204"/>
      <c r="AR88" s="204"/>
      <c r="AS88" s="204"/>
      <c r="AT88" s="204"/>
      <c r="AU88" s="204"/>
      <c r="AV88" s="204"/>
      <c r="AW88" s="204"/>
      <c r="AX88" s="173"/>
      <c r="AY88" s="204"/>
      <c r="AZ88" s="204"/>
      <c r="BA88" s="204"/>
      <c r="BB88" s="173"/>
      <c r="BC88" s="93"/>
      <c r="BD88" s="204"/>
      <c r="BE88" s="227"/>
      <c r="BF88" s="173"/>
      <c r="BG88" s="204"/>
      <c r="BH88" s="204"/>
      <c r="BI88" s="204"/>
      <c r="BJ88" s="204"/>
      <c r="BK88" s="204"/>
      <c r="BL88" s="204"/>
      <c r="BM88" s="204"/>
      <c r="BN88" s="204"/>
      <c r="BO88" s="204"/>
      <c r="BP88" s="204"/>
      <c r="BQ88" s="204"/>
    </row>
    <row r="89" spans="1:69">
      <c r="A89" s="140"/>
      <c r="B89" s="204"/>
      <c r="C89" s="204"/>
      <c r="D89" s="204"/>
      <c r="E89" s="204"/>
      <c r="F89" s="204"/>
      <c r="G89" s="204"/>
      <c r="H89" s="204"/>
      <c r="I89" s="204"/>
      <c r="J89" s="204"/>
      <c r="K89" s="204"/>
      <c r="L89" s="204"/>
      <c r="M89" s="204"/>
      <c r="N89" s="204"/>
      <c r="O89" s="204"/>
      <c r="P89" s="204"/>
      <c r="Q89" s="173"/>
      <c r="R89" s="203"/>
      <c r="S89" s="204"/>
      <c r="T89" s="204"/>
      <c r="U89" s="204"/>
      <c r="V89" s="204"/>
      <c r="W89" s="204"/>
      <c r="X89" s="204"/>
      <c r="Y89" s="204"/>
      <c r="Z89" s="204"/>
      <c r="AA89" s="204"/>
      <c r="AB89" s="93"/>
      <c r="AC89" s="204"/>
      <c r="AD89" s="204"/>
      <c r="AE89" s="204"/>
      <c r="AF89" s="204"/>
      <c r="AG89" s="204"/>
      <c r="AH89" s="204"/>
      <c r="AI89" s="204"/>
      <c r="AJ89" s="204"/>
      <c r="AK89" s="204"/>
      <c r="AL89" s="204"/>
      <c r="AM89" s="227"/>
      <c r="AN89" s="173"/>
      <c r="AO89" s="204"/>
      <c r="AP89" s="204"/>
      <c r="AQ89" s="204"/>
      <c r="AR89" s="204"/>
      <c r="AS89" s="204"/>
      <c r="AT89" s="204"/>
      <c r="AU89" s="204"/>
      <c r="AV89" s="204"/>
      <c r="AW89" s="204"/>
      <c r="AX89" s="173"/>
      <c r="AY89" s="204"/>
      <c r="AZ89" s="204"/>
      <c r="BA89" s="204"/>
      <c r="BB89" s="173"/>
      <c r="BC89" s="93"/>
      <c r="BD89" s="204"/>
      <c r="BE89" s="227"/>
      <c r="BF89" s="173"/>
      <c r="BG89" s="204"/>
      <c r="BH89" s="204"/>
      <c r="BI89" s="204"/>
      <c r="BJ89" s="204"/>
      <c r="BK89" s="204"/>
      <c r="BL89" s="204"/>
      <c r="BM89" s="204"/>
      <c r="BN89" s="204"/>
      <c r="BO89" s="204"/>
      <c r="BP89" s="204"/>
      <c r="BQ89" s="204"/>
    </row>
    <row r="90" spans="1:69">
      <c r="A90" s="140"/>
      <c r="B90" s="204"/>
      <c r="C90" s="204"/>
      <c r="D90" s="204"/>
      <c r="E90" s="204"/>
      <c r="F90" s="204"/>
      <c r="G90" s="204"/>
      <c r="H90" s="204"/>
      <c r="I90" s="204"/>
      <c r="J90" s="204"/>
      <c r="K90" s="204"/>
      <c r="L90" s="204"/>
      <c r="M90" s="204"/>
      <c r="N90" s="204"/>
      <c r="O90" s="204"/>
      <c r="P90" s="204"/>
      <c r="Q90" s="173"/>
      <c r="R90" s="203"/>
      <c r="S90" s="204"/>
      <c r="T90" s="204"/>
      <c r="U90" s="204"/>
      <c r="V90" s="204"/>
      <c r="W90" s="204"/>
      <c r="X90" s="204"/>
      <c r="Y90" s="204"/>
      <c r="Z90" s="204"/>
      <c r="AA90" s="204"/>
      <c r="AB90" s="93"/>
      <c r="AC90" s="204"/>
      <c r="AD90" s="204"/>
      <c r="AE90" s="204"/>
      <c r="AF90" s="204"/>
      <c r="AG90" s="204"/>
      <c r="AH90" s="204"/>
      <c r="AI90" s="204"/>
      <c r="AJ90" s="204"/>
      <c r="AK90" s="204"/>
      <c r="AL90" s="204"/>
      <c r="AM90" s="227"/>
      <c r="AN90" s="173"/>
      <c r="AO90" s="204"/>
      <c r="AP90" s="204"/>
      <c r="AQ90" s="204"/>
      <c r="AR90" s="204"/>
      <c r="AS90" s="204"/>
      <c r="AT90" s="204"/>
      <c r="AU90" s="204"/>
      <c r="AV90" s="204"/>
      <c r="AW90" s="204"/>
      <c r="AX90" s="173"/>
      <c r="AY90" s="204"/>
      <c r="AZ90" s="204"/>
      <c r="BA90" s="204"/>
      <c r="BB90" s="173"/>
      <c r="BC90" s="93"/>
      <c r="BD90" s="204"/>
      <c r="BE90" s="227"/>
      <c r="BF90" s="173"/>
      <c r="BG90" s="204"/>
      <c r="BH90" s="204"/>
      <c r="BI90" s="204"/>
      <c r="BJ90" s="204"/>
      <c r="BK90" s="204"/>
      <c r="BL90" s="204"/>
      <c r="BM90" s="204"/>
      <c r="BN90" s="204"/>
      <c r="BO90" s="204"/>
      <c r="BP90" s="204"/>
      <c r="BQ90" s="204"/>
    </row>
    <row r="91" spans="1:69">
      <c r="A91" s="140"/>
      <c r="B91" s="204"/>
      <c r="C91" s="204"/>
      <c r="D91" s="204"/>
      <c r="E91" s="204"/>
      <c r="F91" s="204"/>
      <c r="G91" s="204"/>
      <c r="H91" s="204"/>
      <c r="I91" s="204"/>
      <c r="J91" s="204"/>
      <c r="K91" s="204"/>
      <c r="L91" s="204"/>
      <c r="M91" s="204"/>
      <c r="N91" s="204"/>
      <c r="O91" s="204"/>
      <c r="P91" s="204"/>
      <c r="Q91" s="173"/>
      <c r="R91" s="203"/>
      <c r="S91" s="204"/>
      <c r="T91" s="204"/>
      <c r="U91" s="204"/>
      <c r="V91" s="204"/>
      <c r="W91" s="204"/>
      <c r="X91" s="204"/>
      <c r="Y91" s="204"/>
      <c r="Z91" s="204"/>
      <c r="AA91" s="204"/>
      <c r="AB91" s="93"/>
      <c r="AC91" s="204"/>
      <c r="AD91" s="204"/>
      <c r="AE91" s="204"/>
      <c r="AF91" s="204"/>
      <c r="AG91" s="204"/>
      <c r="AH91" s="204"/>
      <c r="AI91" s="204"/>
      <c r="AJ91" s="204"/>
      <c r="AK91" s="204"/>
      <c r="AL91" s="204"/>
      <c r="AM91" s="227"/>
      <c r="AN91" s="173"/>
      <c r="AO91" s="204"/>
      <c r="AP91" s="204"/>
      <c r="AQ91" s="204"/>
      <c r="AR91" s="204"/>
      <c r="AS91" s="204"/>
      <c r="AT91" s="204"/>
      <c r="AU91" s="204"/>
      <c r="AV91" s="204"/>
      <c r="AW91" s="204"/>
      <c r="AX91" s="173"/>
      <c r="AY91" s="204"/>
      <c r="AZ91" s="204"/>
      <c r="BA91" s="204"/>
      <c r="BB91" s="173"/>
      <c r="BC91" s="93"/>
      <c r="BD91" s="204"/>
      <c r="BE91" s="227"/>
      <c r="BF91" s="173"/>
      <c r="BG91" s="204"/>
      <c r="BH91" s="204"/>
      <c r="BI91" s="204"/>
      <c r="BJ91" s="204"/>
      <c r="BK91" s="204"/>
      <c r="BL91" s="204"/>
      <c r="BM91" s="204"/>
      <c r="BN91" s="204"/>
      <c r="BO91" s="204"/>
      <c r="BP91" s="204"/>
      <c r="BQ91" s="204"/>
    </row>
    <row r="92" spans="1:69">
      <c r="A92" s="140"/>
      <c r="B92" s="204"/>
      <c r="C92" s="204"/>
      <c r="D92" s="204"/>
      <c r="E92" s="204"/>
      <c r="F92" s="204"/>
      <c r="G92" s="204"/>
      <c r="H92" s="204"/>
      <c r="I92" s="204"/>
      <c r="J92" s="204"/>
      <c r="K92" s="204"/>
      <c r="L92" s="204"/>
      <c r="M92" s="204"/>
      <c r="N92" s="204"/>
      <c r="O92" s="204"/>
      <c r="P92" s="204"/>
      <c r="Q92" s="173"/>
      <c r="R92" s="203"/>
      <c r="S92" s="204"/>
      <c r="T92" s="204"/>
      <c r="U92" s="204"/>
      <c r="V92" s="204"/>
      <c r="W92" s="204"/>
      <c r="X92" s="204"/>
      <c r="Y92" s="204"/>
      <c r="Z92" s="204"/>
      <c r="AA92" s="204"/>
      <c r="AB92" s="93"/>
      <c r="AC92" s="204"/>
      <c r="AD92" s="204"/>
      <c r="AE92" s="204"/>
      <c r="AF92" s="204"/>
      <c r="AG92" s="204"/>
      <c r="AH92" s="204"/>
      <c r="AI92" s="204"/>
      <c r="AJ92" s="204"/>
      <c r="AK92" s="204"/>
      <c r="AL92" s="204"/>
      <c r="AM92" s="227"/>
      <c r="AN92" s="173"/>
      <c r="AO92" s="204"/>
      <c r="AP92" s="204"/>
      <c r="AQ92" s="204"/>
      <c r="AR92" s="204"/>
      <c r="AS92" s="204"/>
      <c r="AT92" s="204"/>
      <c r="AU92" s="204"/>
      <c r="AV92" s="204"/>
      <c r="AW92" s="204"/>
      <c r="AX92" s="173"/>
      <c r="AY92" s="204"/>
      <c r="AZ92" s="204"/>
      <c r="BA92" s="204"/>
      <c r="BB92" s="173"/>
      <c r="BC92" s="93"/>
      <c r="BD92" s="204"/>
      <c r="BE92" s="227"/>
      <c r="BF92" s="173"/>
      <c r="BG92" s="204"/>
      <c r="BH92" s="204"/>
      <c r="BI92" s="204"/>
      <c r="BJ92" s="204"/>
      <c r="BK92" s="204"/>
      <c r="BL92" s="204"/>
      <c r="BM92" s="204"/>
      <c r="BN92" s="204"/>
      <c r="BO92" s="204"/>
      <c r="BP92" s="204"/>
      <c r="BQ92" s="204"/>
    </row>
    <row r="93" spans="1:69">
      <c r="A93" s="140"/>
      <c r="B93" s="204"/>
      <c r="C93" s="204"/>
      <c r="D93" s="204"/>
      <c r="E93" s="204"/>
      <c r="F93" s="204"/>
      <c r="G93" s="204"/>
      <c r="H93" s="204"/>
      <c r="I93" s="204"/>
      <c r="J93" s="204"/>
      <c r="K93" s="204"/>
      <c r="L93" s="204"/>
      <c r="M93" s="204"/>
      <c r="N93" s="204"/>
      <c r="O93" s="204"/>
      <c r="P93" s="204"/>
      <c r="Q93" s="173"/>
      <c r="R93" s="203"/>
      <c r="S93" s="204"/>
      <c r="T93" s="204"/>
      <c r="U93" s="204"/>
      <c r="V93" s="204"/>
      <c r="W93" s="204"/>
      <c r="X93" s="204"/>
      <c r="Y93" s="204"/>
      <c r="Z93" s="204"/>
      <c r="AA93" s="204"/>
      <c r="AB93" s="93"/>
      <c r="AC93" s="204"/>
      <c r="AD93" s="204"/>
      <c r="AE93" s="204"/>
      <c r="AF93" s="204"/>
      <c r="AG93" s="204"/>
      <c r="AH93" s="204"/>
      <c r="AI93" s="204"/>
      <c r="AJ93" s="204"/>
      <c r="AK93" s="204"/>
      <c r="AL93" s="204"/>
      <c r="AM93" s="227"/>
      <c r="AN93" s="173"/>
      <c r="AO93" s="204"/>
      <c r="AP93" s="204"/>
      <c r="AQ93" s="204"/>
      <c r="AR93" s="204"/>
      <c r="AS93" s="204"/>
      <c r="AT93" s="204"/>
      <c r="AU93" s="204"/>
      <c r="AV93" s="204"/>
      <c r="AW93" s="204"/>
      <c r="AX93" s="173"/>
      <c r="AY93" s="204"/>
      <c r="AZ93" s="204"/>
      <c r="BA93" s="204"/>
      <c r="BB93" s="173"/>
      <c r="BC93" s="93"/>
      <c r="BD93" s="204"/>
      <c r="BE93" s="227"/>
      <c r="BF93" s="173"/>
      <c r="BG93" s="204"/>
      <c r="BH93" s="204"/>
      <c r="BI93" s="204"/>
      <c r="BJ93" s="204"/>
      <c r="BK93" s="204"/>
      <c r="BL93" s="204"/>
      <c r="BM93" s="204"/>
      <c r="BN93" s="204"/>
      <c r="BO93" s="204"/>
      <c r="BP93" s="204"/>
      <c r="BQ93" s="204"/>
    </row>
    <row r="94" spans="1:69">
      <c r="A94" s="140"/>
      <c r="B94" s="204"/>
      <c r="C94" s="204"/>
      <c r="D94" s="204"/>
      <c r="E94" s="204"/>
      <c r="F94" s="204"/>
      <c r="G94" s="204"/>
      <c r="H94" s="204"/>
      <c r="I94" s="204"/>
      <c r="J94" s="204"/>
      <c r="K94" s="204"/>
      <c r="L94" s="204"/>
      <c r="M94" s="204"/>
      <c r="N94" s="204"/>
      <c r="O94" s="204"/>
      <c r="P94" s="204"/>
      <c r="Q94" s="173"/>
      <c r="R94" s="203"/>
      <c r="S94" s="204"/>
      <c r="T94" s="204"/>
      <c r="U94" s="204"/>
      <c r="V94" s="204"/>
      <c r="W94" s="204"/>
      <c r="X94" s="204"/>
      <c r="Y94" s="204"/>
      <c r="Z94" s="204"/>
      <c r="AA94" s="204"/>
      <c r="AB94" s="93"/>
      <c r="AC94" s="204"/>
      <c r="AD94" s="204"/>
      <c r="AE94" s="204"/>
      <c r="AF94" s="204"/>
      <c r="AG94" s="204"/>
      <c r="AH94" s="204"/>
      <c r="AI94" s="204"/>
      <c r="AJ94" s="204"/>
      <c r="AK94" s="204"/>
      <c r="AL94" s="204"/>
      <c r="AM94" s="227"/>
      <c r="AN94" s="173"/>
      <c r="AO94" s="204"/>
      <c r="AP94" s="204"/>
      <c r="AQ94" s="204"/>
      <c r="AR94" s="204"/>
      <c r="AS94" s="204"/>
      <c r="AT94" s="204"/>
      <c r="AU94" s="204"/>
      <c r="AV94" s="204"/>
      <c r="AW94" s="204"/>
      <c r="AX94" s="173"/>
      <c r="AY94" s="204"/>
      <c r="AZ94" s="204"/>
      <c r="BA94" s="204"/>
      <c r="BB94" s="173"/>
      <c r="BC94" s="93"/>
      <c r="BD94" s="204"/>
      <c r="BE94" s="227"/>
      <c r="BF94" s="173"/>
      <c r="BG94" s="204"/>
      <c r="BH94" s="204"/>
      <c r="BI94" s="204"/>
      <c r="BJ94" s="204"/>
      <c r="BK94" s="204"/>
      <c r="BL94" s="204"/>
      <c r="BM94" s="204"/>
      <c r="BN94" s="204"/>
      <c r="BO94" s="204"/>
      <c r="BP94" s="204"/>
      <c r="BQ94" s="204"/>
    </row>
    <row r="95" spans="1:69">
      <c r="A95" s="140"/>
      <c r="B95" s="204"/>
      <c r="C95" s="204"/>
      <c r="D95" s="204"/>
      <c r="E95" s="204"/>
      <c r="F95" s="204"/>
      <c r="G95" s="204"/>
      <c r="H95" s="204"/>
      <c r="I95" s="204"/>
      <c r="J95" s="204"/>
      <c r="K95" s="204"/>
      <c r="L95" s="204"/>
      <c r="M95" s="204"/>
      <c r="N95" s="204"/>
      <c r="O95" s="204"/>
      <c r="P95" s="204"/>
      <c r="Q95" s="173"/>
      <c r="R95" s="203"/>
      <c r="S95" s="204"/>
      <c r="T95" s="204"/>
      <c r="U95" s="204"/>
      <c r="V95" s="204"/>
      <c r="W95" s="204"/>
      <c r="X95" s="204"/>
      <c r="Y95" s="204"/>
      <c r="Z95" s="204"/>
      <c r="AA95" s="204"/>
      <c r="AB95" s="93"/>
      <c r="AC95" s="204"/>
      <c r="AD95" s="204"/>
      <c r="AE95" s="204"/>
      <c r="AF95" s="204"/>
      <c r="AG95" s="204"/>
      <c r="AH95" s="204"/>
      <c r="AI95" s="204"/>
      <c r="AJ95" s="204"/>
      <c r="AK95" s="204"/>
      <c r="AL95" s="204"/>
      <c r="AM95" s="227"/>
      <c r="AN95" s="173"/>
      <c r="AO95" s="204"/>
      <c r="AP95" s="204"/>
      <c r="AQ95" s="204"/>
      <c r="AR95" s="204"/>
      <c r="AS95" s="204"/>
      <c r="AT95" s="204"/>
      <c r="AU95" s="204"/>
      <c r="AV95" s="204"/>
      <c r="AW95" s="204"/>
      <c r="AX95" s="173"/>
      <c r="AY95" s="204"/>
      <c r="AZ95" s="204"/>
      <c r="BA95" s="204"/>
      <c r="BB95" s="173"/>
      <c r="BC95" s="93"/>
      <c r="BD95" s="204"/>
      <c r="BE95" s="227"/>
      <c r="BF95" s="173"/>
      <c r="BG95" s="204"/>
      <c r="BH95" s="204"/>
      <c r="BI95" s="204"/>
      <c r="BJ95" s="204"/>
      <c r="BK95" s="204"/>
      <c r="BL95" s="204"/>
      <c r="BM95" s="204"/>
      <c r="BN95" s="204"/>
      <c r="BO95" s="204"/>
      <c r="BP95" s="204"/>
      <c r="BQ95" s="204"/>
    </row>
    <row r="96" spans="1:69">
      <c r="A96" s="140"/>
      <c r="B96" s="204"/>
      <c r="C96" s="204"/>
      <c r="D96" s="204"/>
      <c r="E96" s="204"/>
      <c r="F96" s="204"/>
      <c r="G96" s="204"/>
      <c r="H96" s="204"/>
      <c r="I96" s="204"/>
      <c r="J96" s="204"/>
      <c r="K96" s="204"/>
      <c r="L96" s="204"/>
      <c r="M96" s="204"/>
      <c r="N96" s="204"/>
      <c r="O96" s="204"/>
      <c r="P96" s="204"/>
      <c r="Q96" s="173"/>
      <c r="R96" s="203"/>
      <c r="S96" s="204"/>
      <c r="T96" s="204"/>
      <c r="U96" s="204"/>
      <c r="V96" s="204"/>
      <c r="W96" s="204"/>
      <c r="X96" s="204"/>
      <c r="Y96" s="204"/>
      <c r="Z96" s="204"/>
      <c r="AA96" s="204"/>
      <c r="AB96" s="93"/>
      <c r="AC96" s="204"/>
      <c r="AD96" s="204"/>
      <c r="AE96" s="204"/>
      <c r="AF96" s="204"/>
      <c r="AG96" s="204"/>
      <c r="AH96" s="204"/>
      <c r="AI96" s="204"/>
      <c r="AJ96" s="204"/>
      <c r="AK96" s="204"/>
      <c r="AL96" s="204"/>
      <c r="AM96" s="227"/>
      <c r="AN96" s="173"/>
      <c r="AO96" s="204"/>
      <c r="AP96" s="204"/>
      <c r="AQ96" s="204"/>
      <c r="AR96" s="204"/>
      <c r="AS96" s="204"/>
      <c r="AT96" s="204"/>
      <c r="AU96" s="204"/>
      <c r="AV96" s="204"/>
      <c r="AW96" s="204"/>
      <c r="AX96" s="173"/>
      <c r="AY96" s="204"/>
      <c r="AZ96" s="204"/>
      <c r="BA96" s="204"/>
      <c r="BB96" s="173"/>
      <c r="BC96" s="93"/>
      <c r="BD96" s="204"/>
      <c r="BE96" s="227"/>
      <c r="BF96" s="173"/>
      <c r="BG96" s="204"/>
      <c r="BH96" s="204"/>
      <c r="BI96" s="204"/>
      <c r="BJ96" s="204"/>
      <c r="BK96" s="204"/>
      <c r="BL96" s="204"/>
      <c r="BM96" s="204"/>
      <c r="BN96" s="204"/>
      <c r="BO96" s="204"/>
      <c r="BP96" s="204"/>
      <c r="BQ96" s="204"/>
    </row>
    <row r="97" spans="1:69">
      <c r="A97" s="140"/>
      <c r="B97" s="204"/>
      <c r="C97" s="204"/>
      <c r="D97" s="204"/>
      <c r="E97" s="204"/>
      <c r="F97" s="204"/>
      <c r="G97" s="204"/>
      <c r="H97" s="204"/>
      <c r="I97" s="204"/>
      <c r="J97" s="204"/>
      <c r="K97" s="204"/>
      <c r="L97" s="204"/>
      <c r="M97" s="204"/>
      <c r="N97" s="204"/>
      <c r="O97" s="204"/>
      <c r="P97" s="204"/>
      <c r="Q97" s="173"/>
      <c r="R97" s="203"/>
      <c r="S97" s="204"/>
      <c r="T97" s="204"/>
      <c r="U97" s="204"/>
      <c r="V97" s="204"/>
      <c r="W97" s="204"/>
      <c r="X97" s="204"/>
      <c r="Y97" s="204"/>
      <c r="Z97" s="204"/>
      <c r="AA97" s="204"/>
      <c r="AB97" s="93"/>
      <c r="AC97" s="204"/>
      <c r="AD97" s="204"/>
      <c r="AE97" s="204"/>
      <c r="AF97" s="204"/>
      <c r="AG97" s="204"/>
      <c r="AH97" s="204"/>
      <c r="AI97" s="204"/>
      <c r="AJ97" s="204"/>
      <c r="AK97" s="204"/>
      <c r="AL97" s="204"/>
      <c r="AM97" s="227"/>
      <c r="AN97" s="173"/>
      <c r="AO97" s="204"/>
      <c r="AP97" s="204"/>
      <c r="AQ97" s="204"/>
      <c r="AR97" s="204"/>
      <c r="AS97" s="204"/>
      <c r="AT97" s="204"/>
      <c r="AU97" s="204"/>
      <c r="AV97" s="204"/>
      <c r="AW97" s="204"/>
      <c r="AX97" s="173"/>
      <c r="AY97" s="204"/>
      <c r="AZ97" s="204"/>
      <c r="BA97" s="204"/>
      <c r="BB97" s="173"/>
      <c r="BC97" s="93"/>
      <c r="BD97" s="204"/>
      <c r="BE97" s="227"/>
      <c r="BF97" s="173"/>
      <c r="BG97" s="204"/>
      <c r="BH97" s="204"/>
      <c r="BI97" s="204"/>
      <c r="BJ97" s="204"/>
      <c r="BK97" s="204"/>
      <c r="BL97" s="204"/>
      <c r="BM97" s="204"/>
      <c r="BN97" s="204"/>
      <c r="BO97" s="204"/>
      <c r="BP97" s="204"/>
      <c r="BQ97" s="204"/>
    </row>
    <row r="98" spans="1:69">
      <c r="A98" s="140"/>
      <c r="B98" s="204"/>
      <c r="C98" s="204"/>
      <c r="D98" s="204"/>
      <c r="E98" s="204"/>
      <c r="F98" s="204"/>
      <c r="G98" s="204"/>
      <c r="H98" s="204"/>
      <c r="I98" s="204"/>
      <c r="J98" s="204"/>
      <c r="K98" s="204"/>
      <c r="L98" s="204"/>
      <c r="M98" s="204"/>
      <c r="N98" s="204"/>
      <c r="O98" s="204"/>
      <c r="P98" s="204"/>
      <c r="Q98" s="173"/>
      <c r="R98" s="203"/>
      <c r="S98" s="204"/>
      <c r="T98" s="204"/>
      <c r="U98" s="204"/>
      <c r="V98" s="204"/>
      <c r="W98" s="204"/>
      <c r="X98" s="204"/>
      <c r="Y98" s="204"/>
      <c r="Z98" s="204"/>
      <c r="AA98" s="204"/>
      <c r="AB98" s="93"/>
      <c r="AC98" s="204"/>
      <c r="AD98" s="204"/>
      <c r="AE98" s="204"/>
      <c r="AF98" s="204"/>
      <c r="AG98" s="204"/>
      <c r="AH98" s="204"/>
      <c r="AI98" s="204"/>
      <c r="AJ98" s="204"/>
      <c r="AK98" s="204"/>
      <c r="AL98" s="204"/>
      <c r="AM98" s="227"/>
      <c r="AN98" s="173"/>
      <c r="AO98" s="204"/>
      <c r="AP98" s="204"/>
      <c r="AQ98" s="204"/>
      <c r="AR98" s="204"/>
      <c r="AS98" s="204"/>
      <c r="AT98" s="204"/>
      <c r="AU98" s="204"/>
      <c r="AV98" s="204"/>
      <c r="AW98" s="204"/>
      <c r="AX98" s="173"/>
      <c r="AY98" s="204"/>
      <c r="AZ98" s="204"/>
      <c r="BA98" s="204"/>
      <c r="BB98" s="173"/>
      <c r="BC98" s="93"/>
      <c r="BD98" s="204"/>
      <c r="BE98" s="227"/>
      <c r="BF98" s="173"/>
      <c r="BG98" s="204"/>
      <c r="BH98" s="204"/>
      <c r="BI98" s="204"/>
      <c r="BJ98" s="204"/>
      <c r="BK98" s="204"/>
      <c r="BL98" s="204"/>
      <c r="BM98" s="204"/>
      <c r="BN98" s="204"/>
      <c r="BO98" s="204"/>
      <c r="BP98" s="204"/>
      <c r="BQ98" s="204"/>
    </row>
    <row r="99" spans="1:69">
      <c r="A99" s="140"/>
      <c r="B99" s="204"/>
      <c r="C99" s="204"/>
      <c r="D99" s="204"/>
      <c r="E99" s="204"/>
      <c r="F99" s="204"/>
      <c r="G99" s="204"/>
      <c r="H99" s="204"/>
      <c r="I99" s="204"/>
      <c r="J99" s="204"/>
      <c r="K99" s="204"/>
      <c r="L99" s="204"/>
      <c r="M99" s="204"/>
      <c r="N99" s="204"/>
      <c r="O99" s="204"/>
      <c r="P99" s="204"/>
      <c r="Q99" s="173"/>
      <c r="R99" s="203"/>
      <c r="S99" s="204"/>
      <c r="T99" s="204"/>
      <c r="U99" s="204"/>
      <c r="V99" s="204"/>
      <c r="W99" s="204"/>
      <c r="X99" s="204"/>
      <c r="Y99" s="204"/>
      <c r="Z99" s="204"/>
      <c r="AA99" s="204"/>
      <c r="AB99" s="93"/>
      <c r="AC99" s="204"/>
      <c r="AD99" s="204"/>
      <c r="AE99" s="204"/>
      <c r="AF99" s="204"/>
      <c r="AG99" s="204"/>
      <c r="AH99" s="204"/>
      <c r="AI99" s="204"/>
      <c r="AJ99" s="204"/>
      <c r="AK99" s="204"/>
      <c r="AL99" s="204"/>
      <c r="AM99" s="227"/>
      <c r="AN99" s="173"/>
      <c r="AO99" s="204"/>
      <c r="AP99" s="204"/>
      <c r="AQ99" s="204"/>
      <c r="AR99" s="204"/>
      <c r="AS99" s="204"/>
      <c r="AT99" s="204"/>
      <c r="AU99" s="204"/>
      <c r="AV99" s="204"/>
      <c r="AW99" s="204"/>
      <c r="AX99" s="173"/>
      <c r="AY99" s="204"/>
      <c r="AZ99" s="204"/>
      <c r="BA99" s="204"/>
      <c r="BB99" s="173"/>
      <c r="BC99" s="93"/>
      <c r="BD99" s="204"/>
      <c r="BE99" s="227"/>
      <c r="BF99" s="173"/>
      <c r="BG99" s="204"/>
      <c r="BH99" s="204"/>
      <c r="BI99" s="204"/>
      <c r="BJ99" s="204"/>
      <c r="BK99" s="204"/>
      <c r="BL99" s="204"/>
      <c r="BM99" s="204"/>
      <c r="BN99" s="204"/>
      <c r="BO99" s="204"/>
      <c r="BP99" s="204"/>
      <c r="BQ99" s="204"/>
    </row>
    <row r="100" spans="1:69">
      <c r="A100" s="140"/>
      <c r="B100" s="204"/>
      <c r="C100" s="204"/>
      <c r="D100" s="204"/>
      <c r="E100" s="204"/>
      <c r="F100" s="204"/>
      <c r="G100" s="204"/>
      <c r="H100" s="204"/>
      <c r="I100" s="204"/>
      <c r="J100" s="204"/>
      <c r="K100" s="204"/>
      <c r="L100" s="204"/>
      <c r="M100" s="204"/>
      <c r="N100" s="204"/>
      <c r="O100" s="204"/>
      <c r="P100" s="204"/>
      <c r="Q100" s="173"/>
      <c r="R100" s="203"/>
      <c r="S100" s="204"/>
      <c r="T100" s="204"/>
      <c r="U100" s="204"/>
      <c r="V100" s="204"/>
      <c r="W100" s="204"/>
      <c r="X100" s="204"/>
      <c r="Y100" s="204"/>
      <c r="Z100" s="204"/>
      <c r="AA100" s="204"/>
      <c r="AB100" s="93"/>
      <c r="AC100" s="204"/>
      <c r="AD100" s="204"/>
      <c r="AE100" s="204"/>
      <c r="AF100" s="204"/>
      <c r="AG100" s="204"/>
      <c r="AH100" s="204"/>
      <c r="AI100" s="204"/>
      <c r="AJ100" s="204"/>
      <c r="AK100" s="204"/>
      <c r="AL100" s="204"/>
      <c r="AM100" s="227"/>
      <c r="AN100" s="173"/>
      <c r="AO100" s="204"/>
      <c r="AP100" s="204"/>
      <c r="AQ100" s="204"/>
      <c r="AR100" s="204"/>
      <c r="AS100" s="204"/>
      <c r="AT100" s="204"/>
      <c r="AU100" s="204"/>
      <c r="AV100" s="204"/>
      <c r="AW100" s="204"/>
      <c r="AX100" s="173"/>
      <c r="AY100" s="204"/>
      <c r="AZ100" s="204"/>
      <c r="BA100" s="204"/>
      <c r="BB100" s="173"/>
      <c r="BC100" s="93"/>
      <c r="BD100" s="204"/>
      <c r="BE100" s="227"/>
      <c r="BF100" s="173"/>
      <c r="BG100" s="204"/>
      <c r="BH100" s="204"/>
      <c r="BI100" s="204"/>
      <c r="BJ100" s="204"/>
      <c r="BK100" s="204"/>
      <c r="BL100" s="204"/>
      <c r="BM100" s="204"/>
      <c r="BN100" s="204"/>
      <c r="BO100" s="204"/>
      <c r="BP100" s="204"/>
      <c r="BQ100" s="204"/>
    </row>
    <row r="101" spans="1:69">
      <c r="A101" s="140"/>
      <c r="B101" s="204"/>
      <c r="C101" s="204"/>
      <c r="D101" s="204"/>
      <c r="E101" s="204"/>
      <c r="F101" s="204"/>
      <c r="G101" s="204"/>
      <c r="H101" s="204"/>
      <c r="I101" s="204"/>
      <c r="J101" s="204"/>
      <c r="K101" s="204"/>
      <c r="L101" s="204"/>
      <c r="M101" s="204"/>
      <c r="N101" s="204"/>
      <c r="O101" s="204"/>
      <c r="P101" s="204"/>
      <c r="Q101" s="173"/>
      <c r="R101" s="203"/>
      <c r="S101" s="204"/>
      <c r="T101" s="204"/>
      <c r="U101" s="204"/>
      <c r="V101" s="204"/>
      <c r="W101" s="204"/>
      <c r="X101" s="204"/>
      <c r="Y101" s="204"/>
      <c r="Z101" s="204"/>
      <c r="AA101" s="204"/>
      <c r="AB101" s="93"/>
      <c r="AC101" s="204"/>
      <c r="AD101" s="204"/>
      <c r="AE101" s="204"/>
      <c r="AF101" s="204"/>
      <c r="AG101" s="204"/>
      <c r="AH101" s="204"/>
      <c r="AI101" s="204"/>
      <c r="AJ101" s="204"/>
      <c r="AK101" s="204"/>
      <c r="AL101" s="204"/>
      <c r="AM101" s="227"/>
      <c r="AN101" s="173"/>
      <c r="AO101" s="204"/>
      <c r="AP101" s="204"/>
      <c r="AQ101" s="204"/>
      <c r="AR101" s="204"/>
      <c r="AS101" s="204"/>
      <c r="AT101" s="204"/>
      <c r="AU101" s="204"/>
      <c r="AV101" s="204"/>
      <c r="AW101" s="204"/>
      <c r="AX101" s="173"/>
      <c r="AY101" s="204"/>
      <c r="AZ101" s="204"/>
      <c r="BA101" s="204"/>
      <c r="BB101" s="173"/>
      <c r="BC101" s="93"/>
      <c r="BD101" s="204"/>
      <c r="BE101" s="227"/>
      <c r="BF101" s="173"/>
      <c r="BG101" s="204"/>
      <c r="BH101" s="204"/>
      <c r="BI101" s="204"/>
      <c r="BJ101" s="204"/>
      <c r="BK101" s="204"/>
      <c r="BL101" s="204"/>
      <c r="BM101" s="204"/>
      <c r="BN101" s="204"/>
      <c r="BO101" s="204"/>
      <c r="BP101" s="204"/>
      <c r="BQ101" s="204"/>
    </row>
    <row r="102" spans="1:69">
      <c r="A102" s="140"/>
      <c r="B102" s="204"/>
      <c r="C102" s="204"/>
      <c r="D102" s="204"/>
      <c r="E102" s="204"/>
      <c r="F102" s="204"/>
      <c r="G102" s="204"/>
      <c r="H102" s="204"/>
      <c r="I102" s="204"/>
      <c r="J102" s="204"/>
      <c r="K102" s="204"/>
      <c r="L102" s="204"/>
      <c r="M102" s="204"/>
      <c r="N102" s="204"/>
      <c r="O102" s="204"/>
      <c r="P102" s="204"/>
      <c r="Q102" s="173"/>
      <c r="R102" s="203"/>
      <c r="S102" s="204"/>
      <c r="T102" s="204"/>
      <c r="U102" s="204"/>
      <c r="V102" s="204"/>
      <c r="W102" s="204"/>
      <c r="X102" s="204"/>
      <c r="Y102" s="204"/>
      <c r="Z102" s="204"/>
      <c r="AA102" s="204"/>
      <c r="AB102" s="93"/>
      <c r="AC102" s="204"/>
      <c r="AD102" s="204"/>
      <c r="AE102" s="204"/>
      <c r="AF102" s="204"/>
      <c r="AG102" s="204"/>
      <c r="AH102" s="204"/>
      <c r="AI102" s="204"/>
      <c r="AJ102" s="204"/>
      <c r="AK102" s="204"/>
      <c r="AL102" s="204"/>
      <c r="AM102" s="227"/>
      <c r="AN102" s="173"/>
      <c r="AO102" s="204"/>
      <c r="AP102" s="204"/>
      <c r="AQ102" s="204"/>
      <c r="AR102" s="204"/>
      <c r="AS102" s="204"/>
      <c r="AT102" s="204"/>
      <c r="AU102" s="204"/>
      <c r="AV102" s="204"/>
      <c r="AW102" s="204"/>
      <c r="AX102" s="173"/>
      <c r="AY102" s="204"/>
      <c r="AZ102" s="204"/>
      <c r="BA102" s="204"/>
      <c r="BB102" s="173"/>
      <c r="BC102" s="93"/>
      <c r="BD102" s="204"/>
      <c r="BE102" s="227"/>
      <c r="BF102" s="173"/>
      <c r="BG102" s="204"/>
      <c r="BH102" s="204"/>
      <c r="BI102" s="204"/>
      <c r="BJ102" s="204"/>
      <c r="BK102" s="204"/>
      <c r="BL102" s="204"/>
      <c r="BM102" s="204"/>
      <c r="BN102" s="204"/>
      <c r="BO102" s="204"/>
      <c r="BP102" s="204"/>
      <c r="BQ102" s="204"/>
    </row>
    <row r="103" spans="1:69">
      <c r="A103" s="140"/>
      <c r="B103" s="204"/>
      <c r="C103" s="204"/>
      <c r="D103" s="204"/>
      <c r="E103" s="204"/>
      <c r="F103" s="204"/>
      <c r="G103" s="204"/>
      <c r="H103" s="204"/>
      <c r="I103" s="204"/>
      <c r="J103" s="204"/>
      <c r="K103" s="204"/>
      <c r="L103" s="204"/>
      <c r="M103" s="204"/>
      <c r="N103" s="204"/>
      <c r="O103" s="204"/>
      <c r="P103" s="204"/>
      <c r="Q103" s="173"/>
      <c r="R103" s="203"/>
      <c r="S103" s="204"/>
      <c r="T103" s="204"/>
      <c r="U103" s="204"/>
      <c r="V103" s="204"/>
      <c r="W103" s="204"/>
      <c r="X103" s="204"/>
      <c r="Y103" s="204"/>
      <c r="Z103" s="204"/>
      <c r="AA103" s="204"/>
      <c r="AB103" s="93"/>
      <c r="AC103" s="204"/>
      <c r="AD103" s="204"/>
      <c r="AE103" s="204"/>
      <c r="AF103" s="204"/>
      <c r="AG103" s="204"/>
      <c r="AH103" s="204"/>
      <c r="AI103" s="204"/>
      <c r="AJ103" s="204"/>
      <c r="AK103" s="204"/>
      <c r="AL103" s="204"/>
      <c r="AM103" s="227"/>
      <c r="AN103" s="173"/>
      <c r="AO103" s="204"/>
      <c r="AP103" s="204"/>
      <c r="AQ103" s="204"/>
      <c r="AR103" s="204"/>
      <c r="AS103" s="204"/>
      <c r="AT103" s="204"/>
      <c r="AU103" s="204"/>
      <c r="AV103" s="204"/>
      <c r="AW103" s="204"/>
      <c r="AX103" s="173"/>
      <c r="AY103" s="204"/>
      <c r="AZ103" s="204"/>
      <c r="BA103" s="204"/>
      <c r="BB103" s="173"/>
      <c r="BC103" s="93"/>
      <c r="BD103" s="204"/>
      <c r="BE103" s="227"/>
      <c r="BF103" s="173"/>
      <c r="BG103" s="204"/>
      <c r="BH103" s="204"/>
      <c r="BI103" s="204"/>
      <c r="BJ103" s="204"/>
      <c r="BK103" s="204"/>
      <c r="BL103" s="204"/>
      <c r="BM103" s="204"/>
      <c r="BN103" s="204"/>
      <c r="BO103" s="204"/>
      <c r="BP103" s="204"/>
      <c r="BQ103" s="204"/>
    </row>
    <row r="104" spans="1:69">
      <c r="A104" s="140"/>
      <c r="B104" s="204"/>
      <c r="C104" s="204"/>
      <c r="D104" s="204"/>
      <c r="E104" s="204"/>
      <c r="F104" s="204"/>
      <c r="G104" s="204"/>
      <c r="H104" s="204"/>
      <c r="I104" s="204"/>
      <c r="J104" s="204"/>
      <c r="K104" s="204"/>
      <c r="L104" s="204"/>
      <c r="M104" s="204"/>
      <c r="N104" s="204"/>
      <c r="O104" s="204"/>
      <c r="P104" s="204"/>
      <c r="Q104" s="173"/>
      <c r="R104" s="203"/>
      <c r="S104" s="204"/>
      <c r="T104" s="204"/>
      <c r="U104" s="204"/>
      <c r="V104" s="204"/>
      <c r="W104" s="204"/>
      <c r="X104" s="204"/>
      <c r="Y104" s="204"/>
      <c r="Z104" s="204"/>
      <c r="AA104" s="204"/>
      <c r="AB104" s="93"/>
      <c r="AC104" s="204"/>
      <c r="AD104" s="204"/>
      <c r="AE104" s="204"/>
      <c r="AF104" s="204"/>
      <c r="AG104" s="204"/>
      <c r="AH104" s="204"/>
      <c r="AI104" s="204"/>
      <c r="AJ104" s="204"/>
      <c r="AK104" s="204"/>
      <c r="AL104" s="204"/>
      <c r="AM104" s="227"/>
      <c r="AN104" s="173"/>
      <c r="AO104" s="204"/>
      <c r="AP104" s="204"/>
      <c r="AQ104" s="204"/>
      <c r="AR104" s="204"/>
      <c r="AS104" s="204"/>
      <c r="AT104" s="204"/>
      <c r="AU104" s="204"/>
      <c r="AV104" s="204"/>
      <c r="AW104" s="204"/>
      <c r="AX104" s="173"/>
      <c r="AY104" s="204"/>
      <c r="AZ104" s="204"/>
      <c r="BA104" s="204"/>
      <c r="BB104" s="173"/>
      <c r="BC104" s="93"/>
      <c r="BD104" s="204"/>
      <c r="BE104" s="227"/>
      <c r="BF104" s="173"/>
      <c r="BG104" s="204"/>
      <c r="BH104" s="204"/>
      <c r="BI104" s="204"/>
      <c r="BJ104" s="204"/>
      <c r="BK104" s="204"/>
      <c r="BL104" s="204"/>
      <c r="BM104" s="204"/>
      <c r="BN104" s="204"/>
      <c r="BO104" s="204"/>
      <c r="BP104" s="204"/>
      <c r="BQ104" s="204"/>
    </row>
    <row r="105" spans="1:69">
      <c r="A105" s="140"/>
      <c r="B105" s="204"/>
      <c r="C105" s="204"/>
      <c r="D105" s="204"/>
      <c r="E105" s="204"/>
      <c r="F105" s="204"/>
      <c r="G105" s="204"/>
      <c r="H105" s="204"/>
      <c r="I105" s="204"/>
      <c r="J105" s="204"/>
      <c r="K105" s="204"/>
      <c r="L105" s="204"/>
      <c r="M105" s="204"/>
      <c r="N105" s="204"/>
      <c r="O105" s="204"/>
      <c r="P105" s="204"/>
      <c r="Q105" s="173"/>
      <c r="R105" s="203"/>
      <c r="S105" s="204"/>
      <c r="T105" s="204"/>
      <c r="U105" s="204"/>
      <c r="V105" s="204"/>
      <c r="W105" s="204"/>
      <c r="X105" s="204"/>
      <c r="Y105" s="204"/>
      <c r="Z105" s="204"/>
      <c r="AA105" s="204"/>
      <c r="AB105" s="93"/>
      <c r="AC105" s="204"/>
      <c r="AD105" s="204"/>
      <c r="AE105" s="204"/>
      <c r="AF105" s="204"/>
      <c r="AG105" s="204"/>
      <c r="AH105" s="204"/>
      <c r="AI105" s="204"/>
      <c r="AJ105" s="204"/>
      <c r="AK105" s="204"/>
      <c r="AL105" s="204"/>
      <c r="AM105" s="227"/>
      <c r="AN105" s="173"/>
      <c r="AO105" s="204"/>
      <c r="AP105" s="204"/>
      <c r="AQ105" s="204"/>
      <c r="AR105" s="204"/>
      <c r="AS105" s="204"/>
      <c r="AT105" s="204"/>
      <c r="AU105" s="204"/>
      <c r="AV105" s="204"/>
      <c r="AW105" s="204"/>
      <c r="AX105" s="173"/>
      <c r="AY105" s="204"/>
      <c r="AZ105" s="204"/>
      <c r="BA105" s="204"/>
      <c r="BB105" s="173"/>
      <c r="BC105" s="93"/>
      <c r="BD105" s="204"/>
      <c r="BE105" s="227"/>
      <c r="BF105" s="173"/>
      <c r="BG105" s="204"/>
      <c r="BH105" s="204"/>
      <c r="BI105" s="204"/>
      <c r="BJ105" s="204"/>
      <c r="BK105" s="204"/>
      <c r="BL105" s="204"/>
      <c r="BM105" s="204"/>
      <c r="BN105" s="204"/>
      <c r="BO105" s="204"/>
      <c r="BP105" s="204"/>
      <c r="BQ105" s="204"/>
    </row>
    <row r="106" spans="1:69">
      <c r="A106" s="140"/>
      <c r="B106" s="204"/>
      <c r="C106" s="204"/>
      <c r="D106" s="204"/>
      <c r="E106" s="204"/>
      <c r="F106" s="204"/>
      <c r="G106" s="204"/>
      <c r="H106" s="204"/>
      <c r="I106" s="204"/>
      <c r="J106" s="204"/>
      <c r="K106" s="204"/>
      <c r="L106" s="204"/>
      <c r="M106" s="204"/>
      <c r="N106" s="204"/>
      <c r="O106" s="204"/>
      <c r="P106" s="204"/>
      <c r="Q106" s="173"/>
      <c r="R106" s="203"/>
      <c r="S106" s="204"/>
      <c r="T106" s="204"/>
      <c r="U106" s="204"/>
      <c r="V106" s="204"/>
      <c r="W106" s="204"/>
      <c r="X106" s="204"/>
      <c r="Y106" s="204"/>
      <c r="Z106" s="204"/>
      <c r="AA106" s="204"/>
      <c r="AB106" s="93"/>
      <c r="AC106" s="204"/>
      <c r="AD106" s="204"/>
      <c r="AE106" s="204"/>
      <c r="AF106" s="204"/>
      <c r="AG106" s="204"/>
      <c r="AH106" s="204"/>
      <c r="AI106" s="204"/>
      <c r="AJ106" s="204"/>
      <c r="AK106" s="204"/>
      <c r="AL106" s="204"/>
      <c r="AM106" s="227"/>
      <c r="AN106" s="173"/>
      <c r="AO106" s="204"/>
      <c r="AP106" s="204"/>
      <c r="AQ106" s="204"/>
      <c r="AR106" s="204"/>
      <c r="AS106" s="204"/>
      <c r="AT106" s="204"/>
      <c r="AU106" s="204"/>
      <c r="AV106" s="204"/>
      <c r="AW106" s="204"/>
      <c r="AX106" s="173"/>
      <c r="AY106" s="204"/>
      <c r="AZ106" s="204"/>
      <c r="BA106" s="204"/>
      <c r="BB106" s="173"/>
      <c r="BC106" s="93"/>
      <c r="BD106" s="204"/>
      <c r="BE106" s="227"/>
      <c r="BF106" s="173"/>
      <c r="BG106" s="204"/>
      <c r="BH106" s="204"/>
      <c r="BI106" s="204"/>
      <c r="BJ106" s="204"/>
      <c r="BK106" s="204"/>
      <c r="BL106" s="204"/>
      <c r="BM106" s="204"/>
      <c r="BN106" s="204"/>
      <c r="BO106" s="204"/>
      <c r="BP106" s="204"/>
      <c r="BQ106" s="204"/>
    </row>
    <row r="107" spans="1:69">
      <c r="A107" s="140"/>
      <c r="B107" s="204"/>
      <c r="C107" s="204"/>
      <c r="D107" s="204"/>
      <c r="E107" s="204"/>
      <c r="F107" s="204"/>
      <c r="G107" s="204"/>
      <c r="H107" s="204"/>
      <c r="I107" s="204"/>
      <c r="J107" s="204"/>
      <c r="K107" s="204"/>
      <c r="L107" s="204"/>
      <c r="M107" s="204"/>
      <c r="N107" s="204"/>
      <c r="O107" s="204"/>
      <c r="P107" s="204"/>
      <c r="Q107" s="173"/>
      <c r="R107" s="203"/>
      <c r="S107" s="204"/>
      <c r="T107" s="204"/>
      <c r="U107" s="204"/>
      <c r="V107" s="204"/>
      <c r="W107" s="204"/>
      <c r="X107" s="204"/>
      <c r="Y107" s="204"/>
      <c r="Z107" s="204"/>
      <c r="AA107" s="204"/>
      <c r="AB107" s="93"/>
      <c r="AC107" s="204"/>
      <c r="AD107" s="204"/>
      <c r="AE107" s="204"/>
      <c r="AF107" s="204"/>
      <c r="AG107" s="204"/>
      <c r="AH107" s="204"/>
      <c r="AI107" s="204"/>
      <c r="AJ107" s="204"/>
      <c r="AK107" s="204"/>
      <c r="AL107" s="204"/>
      <c r="AM107" s="227"/>
      <c r="AN107" s="173"/>
      <c r="AO107" s="204"/>
      <c r="AP107" s="204"/>
      <c r="AQ107" s="204"/>
      <c r="AR107" s="204"/>
      <c r="AS107" s="204"/>
      <c r="AT107" s="204"/>
      <c r="AU107" s="204"/>
      <c r="AV107" s="204"/>
      <c r="AW107" s="204"/>
      <c r="AX107" s="173"/>
      <c r="AY107" s="204"/>
      <c r="AZ107" s="204"/>
      <c r="BA107" s="204"/>
      <c r="BB107" s="173"/>
      <c r="BC107" s="93"/>
      <c r="BD107" s="204"/>
      <c r="BE107" s="227"/>
      <c r="BF107" s="173"/>
      <c r="BG107" s="204"/>
      <c r="BH107" s="204"/>
      <c r="BI107" s="204"/>
      <c r="BJ107" s="204"/>
      <c r="BK107" s="204"/>
      <c r="BL107" s="204"/>
      <c r="BM107" s="204"/>
      <c r="BN107" s="204"/>
      <c r="BO107" s="204"/>
      <c r="BP107" s="204"/>
      <c r="BQ107" s="204"/>
    </row>
    <row r="108" spans="1:69">
      <c r="A108" s="140"/>
      <c r="B108" s="204"/>
      <c r="C108" s="204"/>
      <c r="D108" s="204"/>
      <c r="E108" s="204"/>
      <c r="F108" s="204"/>
      <c r="G108" s="204"/>
      <c r="H108" s="204"/>
      <c r="I108" s="204"/>
      <c r="J108" s="204"/>
      <c r="K108" s="204"/>
      <c r="L108" s="204"/>
      <c r="M108" s="204"/>
      <c r="N108" s="204"/>
      <c r="O108" s="204"/>
      <c r="P108" s="204"/>
      <c r="Q108" s="173"/>
      <c r="R108" s="203"/>
      <c r="S108" s="204"/>
      <c r="T108" s="204"/>
      <c r="U108" s="204"/>
      <c r="V108" s="204"/>
      <c r="W108" s="204"/>
      <c r="X108" s="204"/>
      <c r="Y108" s="204"/>
      <c r="Z108" s="204"/>
      <c r="AA108" s="204"/>
      <c r="AB108" s="93"/>
      <c r="AC108" s="204"/>
      <c r="AD108" s="204"/>
      <c r="AE108" s="204"/>
      <c r="AF108" s="204"/>
      <c r="AG108" s="204"/>
      <c r="AH108" s="204"/>
      <c r="AI108" s="204"/>
      <c r="AJ108" s="204"/>
      <c r="AK108" s="204"/>
      <c r="AL108" s="204"/>
      <c r="AM108" s="227"/>
      <c r="AN108" s="173"/>
      <c r="AO108" s="204"/>
      <c r="AP108" s="204"/>
      <c r="AQ108" s="204"/>
      <c r="AR108" s="204"/>
      <c r="AS108" s="204"/>
      <c r="AT108" s="204"/>
      <c r="AU108" s="204"/>
      <c r="AV108" s="204"/>
      <c r="AW108" s="204"/>
      <c r="AX108" s="173"/>
      <c r="AY108" s="204"/>
      <c r="AZ108" s="204"/>
      <c r="BA108" s="204"/>
      <c r="BB108" s="173"/>
      <c r="BC108" s="93"/>
      <c r="BD108" s="204"/>
      <c r="BE108" s="227"/>
      <c r="BF108" s="173"/>
      <c r="BG108" s="204"/>
      <c r="BH108" s="204"/>
      <c r="BI108" s="204"/>
      <c r="BJ108" s="204"/>
      <c r="BK108" s="204"/>
      <c r="BL108" s="204"/>
      <c r="BM108" s="204"/>
      <c r="BN108" s="204"/>
      <c r="BO108" s="204"/>
      <c r="BP108" s="204"/>
      <c r="BQ108" s="204"/>
    </row>
    <row r="109" spans="1:69">
      <c r="A109" s="140"/>
      <c r="B109" s="204"/>
      <c r="C109" s="204"/>
      <c r="D109" s="204"/>
      <c r="E109" s="204"/>
      <c r="F109" s="204"/>
      <c r="G109" s="204"/>
      <c r="H109" s="204"/>
      <c r="I109" s="204"/>
      <c r="J109" s="204"/>
      <c r="K109" s="204"/>
      <c r="L109" s="204"/>
      <c r="M109" s="204"/>
      <c r="N109" s="204"/>
      <c r="O109" s="204"/>
      <c r="P109" s="204"/>
      <c r="Q109" s="173"/>
      <c r="R109" s="203"/>
      <c r="S109" s="204"/>
      <c r="T109" s="204"/>
      <c r="U109" s="204"/>
      <c r="V109" s="204"/>
      <c r="W109" s="204"/>
      <c r="X109" s="204"/>
      <c r="Y109" s="204"/>
      <c r="Z109" s="204"/>
      <c r="AA109" s="204"/>
      <c r="AB109" s="93"/>
      <c r="AC109" s="204"/>
      <c r="AD109" s="204"/>
      <c r="AE109" s="204"/>
      <c r="AF109" s="204"/>
      <c r="AG109" s="204"/>
      <c r="AH109" s="204"/>
      <c r="AI109" s="204"/>
      <c r="AJ109" s="204"/>
      <c r="AK109" s="204"/>
      <c r="AL109" s="204"/>
      <c r="AM109" s="227"/>
      <c r="AN109" s="173"/>
      <c r="AO109" s="204"/>
      <c r="AP109" s="204"/>
      <c r="AQ109" s="204"/>
      <c r="AR109" s="204"/>
      <c r="AS109" s="204"/>
      <c r="AT109" s="204"/>
      <c r="AU109" s="204"/>
      <c r="AV109" s="204"/>
      <c r="AW109" s="204"/>
      <c r="AX109" s="173"/>
      <c r="AY109" s="204"/>
      <c r="AZ109" s="204"/>
      <c r="BA109" s="204"/>
      <c r="BB109" s="173"/>
      <c r="BC109" s="93"/>
      <c r="BD109" s="204"/>
      <c r="BE109" s="227"/>
      <c r="BF109" s="173"/>
      <c r="BG109" s="204"/>
      <c r="BH109" s="204"/>
      <c r="BI109" s="204"/>
      <c r="BJ109" s="204"/>
      <c r="BK109" s="204"/>
      <c r="BL109" s="204"/>
      <c r="BM109" s="204"/>
      <c r="BN109" s="204"/>
      <c r="BO109" s="204"/>
      <c r="BP109" s="204"/>
      <c r="BQ109" s="204"/>
    </row>
    <row r="110" spans="1:69">
      <c r="A110" s="140"/>
      <c r="B110" s="204"/>
      <c r="C110" s="204"/>
      <c r="D110" s="204"/>
      <c r="E110" s="204"/>
      <c r="F110" s="204"/>
      <c r="G110" s="204"/>
      <c r="H110" s="204"/>
      <c r="I110" s="204"/>
      <c r="J110" s="204"/>
      <c r="K110" s="204"/>
      <c r="L110" s="204"/>
      <c r="M110" s="204"/>
      <c r="N110" s="204"/>
      <c r="O110" s="204"/>
      <c r="P110" s="204"/>
      <c r="Q110" s="173"/>
      <c r="R110" s="203"/>
      <c r="S110" s="204"/>
      <c r="T110" s="204"/>
      <c r="U110" s="204"/>
      <c r="V110" s="204"/>
      <c r="W110" s="204"/>
      <c r="X110" s="204"/>
      <c r="Y110" s="204"/>
      <c r="Z110" s="204"/>
      <c r="AA110" s="204"/>
      <c r="AB110" s="93"/>
      <c r="AC110" s="204"/>
      <c r="AD110" s="204"/>
      <c r="AE110" s="204"/>
      <c r="AF110" s="204"/>
      <c r="AG110" s="204"/>
      <c r="AH110" s="204"/>
      <c r="AI110" s="204"/>
      <c r="AJ110" s="204"/>
      <c r="AK110" s="204"/>
      <c r="AL110" s="204"/>
      <c r="AM110" s="227"/>
      <c r="AN110" s="173"/>
      <c r="AO110" s="204"/>
      <c r="AP110" s="204"/>
      <c r="AQ110" s="204"/>
      <c r="AR110" s="204"/>
      <c r="AS110" s="204"/>
      <c r="AT110" s="204"/>
      <c r="AU110" s="204"/>
      <c r="AV110" s="204"/>
      <c r="AW110" s="204"/>
      <c r="AX110" s="173"/>
      <c r="AY110" s="204"/>
      <c r="AZ110" s="204"/>
      <c r="BA110" s="204"/>
      <c r="BB110" s="173"/>
      <c r="BC110" s="93"/>
      <c r="BD110" s="204"/>
      <c r="BE110" s="227"/>
      <c r="BF110" s="173"/>
      <c r="BG110" s="204"/>
      <c r="BH110" s="204"/>
      <c r="BI110" s="204"/>
      <c r="BJ110" s="204"/>
      <c r="BK110" s="204"/>
      <c r="BL110" s="204"/>
      <c r="BM110" s="204"/>
      <c r="BN110" s="204"/>
      <c r="BO110" s="204"/>
      <c r="BP110" s="204"/>
      <c r="BQ110" s="204"/>
    </row>
    <row r="111" spans="1:69">
      <c r="A111" s="140"/>
      <c r="B111" s="204"/>
      <c r="C111" s="204"/>
      <c r="D111" s="204"/>
      <c r="E111" s="204"/>
      <c r="F111" s="204"/>
      <c r="G111" s="204"/>
      <c r="H111" s="204"/>
      <c r="I111" s="204"/>
      <c r="J111" s="204"/>
      <c r="K111" s="204"/>
      <c r="L111" s="204"/>
      <c r="M111" s="204"/>
      <c r="N111" s="204"/>
      <c r="O111" s="204"/>
      <c r="P111" s="204"/>
      <c r="Q111" s="173"/>
      <c r="R111" s="203"/>
      <c r="S111" s="204"/>
      <c r="T111" s="204"/>
      <c r="U111" s="204"/>
      <c r="V111" s="204"/>
      <c r="W111" s="204"/>
      <c r="X111" s="204"/>
      <c r="Y111" s="204"/>
      <c r="Z111" s="204"/>
      <c r="AA111" s="204"/>
      <c r="AB111" s="93"/>
      <c r="AC111" s="204"/>
      <c r="AD111" s="204"/>
      <c r="AE111" s="204"/>
      <c r="AF111" s="204"/>
      <c r="AG111" s="204"/>
      <c r="AH111" s="204"/>
      <c r="AI111" s="204"/>
      <c r="AJ111" s="204"/>
      <c r="AK111" s="204"/>
      <c r="AL111" s="204"/>
      <c r="AM111" s="227"/>
      <c r="AN111" s="173"/>
      <c r="AO111" s="204"/>
      <c r="AP111" s="204"/>
      <c r="AQ111" s="204"/>
      <c r="AR111" s="204"/>
      <c r="AS111" s="204"/>
      <c r="AT111" s="204"/>
      <c r="AU111" s="204"/>
      <c r="AV111" s="204"/>
      <c r="AW111" s="204"/>
      <c r="AX111" s="173"/>
      <c r="AY111" s="204"/>
      <c r="AZ111" s="204"/>
      <c r="BA111" s="204"/>
      <c r="BB111" s="173"/>
      <c r="BC111" s="93"/>
      <c r="BD111" s="204"/>
      <c r="BE111" s="227"/>
      <c r="BF111" s="173"/>
      <c r="BG111" s="204"/>
      <c r="BH111" s="204"/>
      <c r="BI111" s="204"/>
      <c r="BJ111" s="204"/>
      <c r="BK111" s="204"/>
      <c r="BL111" s="204"/>
      <c r="BM111" s="204"/>
      <c r="BN111" s="204"/>
      <c r="BO111" s="204"/>
      <c r="BP111" s="204"/>
      <c r="BQ111" s="204"/>
    </row>
    <row r="112" spans="1:69">
      <c r="A112" s="140"/>
      <c r="B112" s="204"/>
      <c r="C112" s="204"/>
      <c r="D112" s="204"/>
      <c r="E112" s="204"/>
      <c r="F112" s="204"/>
      <c r="G112" s="204"/>
      <c r="H112" s="204"/>
      <c r="I112" s="204"/>
      <c r="J112" s="204"/>
      <c r="K112" s="204"/>
      <c r="L112" s="204"/>
      <c r="M112" s="204"/>
      <c r="N112" s="204"/>
      <c r="O112" s="204"/>
      <c r="P112" s="204"/>
      <c r="Q112" s="173"/>
      <c r="R112" s="203"/>
      <c r="S112" s="204"/>
      <c r="T112" s="204"/>
      <c r="U112" s="204"/>
      <c r="V112" s="204"/>
      <c r="W112" s="204"/>
      <c r="X112" s="204"/>
      <c r="Y112" s="204"/>
      <c r="Z112" s="204"/>
      <c r="AA112" s="204"/>
      <c r="AB112" s="93"/>
      <c r="AC112" s="204"/>
      <c r="AD112" s="204"/>
      <c r="AE112" s="204"/>
      <c r="AF112" s="204"/>
      <c r="AG112" s="204"/>
      <c r="AH112" s="204"/>
      <c r="AI112" s="204"/>
      <c r="AJ112" s="204"/>
      <c r="AK112" s="204"/>
      <c r="AL112" s="204"/>
      <c r="AM112" s="227"/>
      <c r="AN112" s="173"/>
      <c r="AO112" s="204"/>
      <c r="AP112" s="204"/>
      <c r="AQ112" s="204"/>
      <c r="AR112" s="204"/>
      <c r="AS112" s="204"/>
      <c r="AT112" s="204"/>
      <c r="AU112" s="204"/>
      <c r="AV112" s="204"/>
      <c r="AW112" s="204"/>
      <c r="AX112" s="173"/>
      <c r="AY112" s="204"/>
      <c r="AZ112" s="204"/>
      <c r="BA112" s="204"/>
      <c r="BB112" s="173"/>
      <c r="BC112" s="93"/>
      <c r="BD112" s="204"/>
      <c r="BE112" s="227"/>
      <c r="BF112" s="173"/>
      <c r="BG112" s="204"/>
      <c r="BH112" s="204"/>
      <c r="BI112" s="204"/>
      <c r="BJ112" s="204"/>
      <c r="BK112" s="204"/>
      <c r="BL112" s="204"/>
      <c r="BM112" s="204"/>
      <c r="BN112" s="204"/>
      <c r="BO112" s="204"/>
      <c r="BP112" s="204"/>
      <c r="BQ112" s="204"/>
    </row>
    <row r="113" spans="1:69">
      <c r="A113" s="140"/>
      <c r="B113" s="204"/>
      <c r="C113" s="204"/>
      <c r="D113" s="204"/>
      <c r="E113" s="204"/>
      <c r="F113" s="204"/>
      <c r="G113" s="204"/>
      <c r="H113" s="204"/>
      <c r="I113" s="204"/>
      <c r="J113" s="204"/>
      <c r="K113" s="204"/>
      <c r="L113" s="204"/>
      <c r="M113" s="204"/>
      <c r="N113" s="204"/>
      <c r="O113" s="204"/>
      <c r="P113" s="204"/>
      <c r="Q113" s="173"/>
      <c r="R113" s="203"/>
      <c r="S113" s="204"/>
      <c r="T113" s="204"/>
      <c r="U113" s="204"/>
      <c r="V113" s="204"/>
      <c r="W113" s="204"/>
      <c r="X113" s="204"/>
      <c r="Y113" s="204"/>
      <c r="Z113" s="204"/>
      <c r="AA113" s="204"/>
      <c r="AB113" s="93"/>
      <c r="AC113" s="204"/>
      <c r="AD113" s="204"/>
      <c r="AE113" s="204"/>
      <c r="AF113" s="204"/>
      <c r="AG113" s="204"/>
      <c r="AH113" s="204"/>
      <c r="AI113" s="204"/>
      <c r="AJ113" s="204"/>
      <c r="AK113" s="204"/>
      <c r="AL113" s="204"/>
      <c r="AM113" s="227"/>
      <c r="AN113" s="173"/>
      <c r="AO113" s="204"/>
      <c r="AP113" s="204"/>
      <c r="AQ113" s="204"/>
      <c r="AR113" s="204"/>
      <c r="AS113" s="204"/>
      <c r="AT113" s="204"/>
      <c r="AU113" s="204"/>
      <c r="AV113" s="204"/>
      <c r="AW113" s="204"/>
      <c r="AX113" s="173"/>
      <c r="AY113" s="204"/>
      <c r="AZ113" s="204"/>
      <c r="BA113" s="204"/>
      <c r="BB113" s="173"/>
      <c r="BC113" s="93"/>
      <c r="BD113" s="204"/>
      <c r="BE113" s="227"/>
      <c r="BF113" s="173"/>
      <c r="BG113" s="204"/>
      <c r="BH113" s="204"/>
      <c r="BI113" s="204"/>
      <c r="BJ113" s="204"/>
      <c r="BK113" s="204"/>
      <c r="BL113" s="204"/>
      <c r="BM113" s="204"/>
      <c r="BN113" s="204"/>
      <c r="BO113" s="204"/>
      <c r="BP113" s="204"/>
      <c r="BQ113" s="204"/>
    </row>
    <row r="114" spans="1:69">
      <c r="A114" s="140"/>
      <c r="B114" s="204"/>
      <c r="C114" s="204"/>
      <c r="D114" s="204"/>
      <c r="E114" s="204"/>
      <c r="F114" s="204"/>
      <c r="G114" s="204"/>
      <c r="H114" s="204"/>
      <c r="I114" s="204"/>
      <c r="J114" s="204"/>
      <c r="K114" s="204"/>
      <c r="L114" s="204"/>
      <c r="M114" s="204"/>
      <c r="N114" s="204"/>
      <c r="O114" s="204"/>
      <c r="P114" s="204"/>
      <c r="Q114" s="173"/>
      <c r="R114" s="203"/>
      <c r="S114" s="204"/>
      <c r="T114" s="204"/>
      <c r="U114" s="204"/>
      <c r="V114" s="204"/>
      <c r="W114" s="204"/>
      <c r="X114" s="204"/>
      <c r="Y114" s="204"/>
      <c r="Z114" s="204"/>
      <c r="AA114" s="204"/>
      <c r="AB114" s="93"/>
      <c r="AC114" s="204"/>
      <c r="AD114" s="204"/>
      <c r="AE114" s="204"/>
      <c r="AF114" s="204"/>
      <c r="AG114" s="204"/>
      <c r="AH114" s="204"/>
      <c r="AI114" s="204"/>
      <c r="AJ114" s="204"/>
      <c r="AK114" s="204"/>
      <c r="AL114" s="204"/>
      <c r="AM114" s="227"/>
      <c r="AN114" s="173"/>
      <c r="AO114" s="204"/>
      <c r="AP114" s="204"/>
      <c r="AQ114" s="204"/>
      <c r="AR114" s="204"/>
      <c r="AS114" s="204"/>
      <c r="AT114" s="204"/>
      <c r="AU114" s="204"/>
      <c r="AV114" s="204"/>
      <c r="AW114" s="204"/>
      <c r="AX114" s="173"/>
      <c r="AY114" s="204"/>
      <c r="AZ114" s="204"/>
      <c r="BA114" s="204"/>
      <c r="BB114" s="173"/>
      <c r="BC114" s="93"/>
      <c r="BD114" s="204"/>
      <c r="BE114" s="227"/>
      <c r="BF114" s="173"/>
      <c r="BG114" s="204"/>
      <c r="BH114" s="204"/>
      <c r="BI114" s="204"/>
      <c r="BJ114" s="204"/>
      <c r="BK114" s="204"/>
      <c r="BL114" s="204"/>
      <c r="BM114" s="204"/>
      <c r="BN114" s="204"/>
      <c r="BO114" s="204"/>
      <c r="BP114" s="204"/>
      <c r="BQ114" s="204"/>
    </row>
    <row r="115" spans="1:69">
      <c r="A115" s="140"/>
      <c r="B115" s="204"/>
      <c r="C115" s="204"/>
      <c r="D115" s="204"/>
      <c r="E115" s="204"/>
      <c r="F115" s="204"/>
      <c r="G115" s="204"/>
      <c r="H115" s="204"/>
      <c r="I115" s="204"/>
      <c r="J115" s="204"/>
      <c r="K115" s="204"/>
      <c r="L115" s="204"/>
      <c r="M115" s="204"/>
      <c r="N115" s="204"/>
      <c r="O115" s="204"/>
      <c r="P115" s="204"/>
      <c r="Q115" s="173"/>
      <c r="R115" s="203"/>
      <c r="S115" s="204"/>
      <c r="T115" s="204"/>
      <c r="U115" s="204"/>
      <c r="V115" s="204"/>
      <c r="W115" s="204"/>
      <c r="X115" s="204"/>
      <c r="Y115" s="204"/>
      <c r="Z115" s="204"/>
      <c r="AA115" s="204"/>
      <c r="AB115" s="93"/>
      <c r="AC115" s="204"/>
      <c r="AD115" s="204"/>
      <c r="AE115" s="204"/>
      <c r="AF115" s="204"/>
      <c r="AG115" s="204"/>
      <c r="AH115" s="204"/>
      <c r="AI115" s="204"/>
      <c r="AJ115" s="204"/>
      <c r="AK115" s="204"/>
      <c r="AL115" s="204"/>
      <c r="AM115" s="227"/>
      <c r="AN115" s="173"/>
      <c r="AO115" s="204"/>
      <c r="AP115" s="204"/>
      <c r="AQ115" s="204"/>
      <c r="AR115" s="204"/>
      <c r="AS115" s="204"/>
      <c r="AT115" s="204"/>
      <c r="AU115" s="204"/>
      <c r="AV115" s="204"/>
      <c r="AW115" s="204"/>
      <c r="AX115" s="173"/>
      <c r="AY115" s="204"/>
      <c r="AZ115" s="204"/>
      <c r="BA115" s="204"/>
      <c r="BB115" s="173"/>
      <c r="BC115" s="93"/>
      <c r="BD115" s="204"/>
      <c r="BE115" s="227"/>
      <c r="BF115" s="173"/>
      <c r="BG115" s="204"/>
      <c r="BH115" s="204"/>
      <c r="BI115" s="204"/>
      <c r="BJ115" s="204"/>
      <c r="BK115" s="204"/>
      <c r="BL115" s="204"/>
      <c r="BM115" s="204"/>
      <c r="BN115" s="204"/>
      <c r="BO115" s="204"/>
      <c r="BP115" s="204"/>
      <c r="BQ115" s="204"/>
    </row>
    <row r="116" spans="1:69">
      <c r="A116" s="140"/>
      <c r="B116" s="204"/>
      <c r="C116" s="204"/>
      <c r="D116" s="204"/>
      <c r="E116" s="204"/>
      <c r="F116" s="204"/>
      <c r="G116" s="204"/>
      <c r="H116" s="204"/>
      <c r="I116" s="204"/>
      <c r="J116" s="204"/>
      <c r="K116" s="204"/>
      <c r="L116" s="204"/>
      <c r="M116" s="204"/>
      <c r="N116" s="204"/>
      <c r="O116" s="204"/>
      <c r="P116" s="204"/>
      <c r="Q116" s="173"/>
      <c r="R116" s="203"/>
      <c r="S116" s="204"/>
      <c r="T116" s="204"/>
      <c r="U116" s="204"/>
      <c r="V116" s="204"/>
      <c r="W116" s="204"/>
      <c r="X116" s="204"/>
      <c r="Y116" s="204"/>
      <c r="Z116" s="204"/>
      <c r="AA116" s="204"/>
      <c r="AB116" s="93"/>
      <c r="AC116" s="204"/>
      <c r="AD116" s="204"/>
      <c r="AE116" s="204"/>
      <c r="AF116" s="204"/>
      <c r="AG116" s="204"/>
      <c r="AH116" s="204"/>
      <c r="AI116" s="204"/>
      <c r="AJ116" s="204"/>
      <c r="AK116" s="204"/>
      <c r="AL116" s="204"/>
      <c r="AM116" s="227"/>
      <c r="AN116" s="173"/>
      <c r="AO116" s="204"/>
      <c r="AP116" s="204"/>
      <c r="AQ116" s="204"/>
      <c r="AR116" s="204"/>
      <c r="AS116" s="204"/>
      <c r="AT116" s="204"/>
      <c r="AU116" s="204"/>
      <c r="AV116" s="204"/>
      <c r="AW116" s="204"/>
      <c r="AX116" s="173"/>
      <c r="AY116" s="204"/>
      <c r="AZ116" s="204"/>
      <c r="BA116" s="204"/>
      <c r="BB116" s="173"/>
      <c r="BC116" s="93"/>
      <c r="BD116" s="204"/>
      <c r="BE116" s="227"/>
      <c r="BF116" s="173"/>
      <c r="BG116" s="204"/>
      <c r="BH116" s="204"/>
      <c r="BI116" s="204"/>
      <c r="BJ116" s="204"/>
      <c r="BK116" s="204"/>
      <c r="BL116" s="204"/>
      <c r="BM116" s="204"/>
      <c r="BN116" s="204"/>
      <c r="BO116" s="204"/>
      <c r="BP116" s="204"/>
      <c r="BQ116" s="204"/>
    </row>
    <row r="117" spans="1:69">
      <c r="A117" s="148"/>
      <c r="B117" s="206"/>
      <c r="C117" s="206"/>
      <c r="D117" s="206"/>
      <c r="E117" s="206"/>
      <c r="F117" s="206"/>
      <c r="G117" s="206"/>
      <c r="H117" s="206"/>
      <c r="I117" s="206"/>
      <c r="J117" s="206"/>
      <c r="K117" s="206"/>
      <c r="L117" s="206"/>
      <c r="M117" s="206"/>
      <c r="N117" s="206"/>
      <c r="O117" s="206"/>
      <c r="P117" s="204"/>
      <c r="Q117" s="173"/>
      <c r="R117" s="205"/>
      <c r="S117" s="206"/>
      <c r="T117" s="206"/>
      <c r="U117" s="206"/>
      <c r="V117" s="206"/>
      <c r="W117" s="206"/>
      <c r="X117" s="206"/>
      <c r="Y117" s="206"/>
      <c r="Z117" s="206"/>
      <c r="AA117" s="206"/>
      <c r="AB117" s="93"/>
      <c r="AC117" s="206"/>
      <c r="AD117" s="206"/>
      <c r="AE117" s="206"/>
      <c r="AF117" s="206"/>
      <c r="AG117" s="206"/>
      <c r="AH117" s="206"/>
      <c r="AI117" s="206"/>
      <c r="AJ117" s="206"/>
      <c r="AK117" s="206"/>
      <c r="AL117" s="206"/>
      <c r="AM117" s="227"/>
      <c r="AN117" s="173"/>
      <c r="AO117" s="206"/>
      <c r="AP117" s="206"/>
      <c r="AQ117" s="206"/>
      <c r="AR117" s="206"/>
      <c r="AS117" s="206"/>
      <c r="AT117" s="206"/>
      <c r="AU117" s="206"/>
      <c r="AV117" s="206"/>
      <c r="AW117" s="206"/>
      <c r="AX117" s="173"/>
      <c r="AY117" s="206"/>
      <c r="AZ117" s="206"/>
      <c r="BA117" s="206"/>
      <c r="BB117" s="173"/>
      <c r="BC117" s="93"/>
      <c r="BD117" s="206"/>
      <c r="BE117" s="227"/>
      <c r="BF117" s="173"/>
      <c r="BG117" s="206"/>
      <c r="BH117" s="206"/>
      <c r="BI117" s="206"/>
      <c r="BJ117" s="206"/>
      <c r="BK117" s="206"/>
      <c r="BL117" s="206"/>
      <c r="BM117" s="206"/>
      <c r="BN117" s="206"/>
      <c r="BO117" s="206"/>
      <c r="BP117" s="204"/>
      <c r="BQ117" s="206"/>
    </row>
  </sheetData>
  <sheetProtection algorithmName="SHA-512" hashValue="1WqxDcuT0x182A+ewEVnSomm2fjMb0Scs3BxGtq8yJrkUL7x3p/VqJzwwK6fFXfUsTC2WBTYy65zMGuCHEa5KA==" saltValue="UbtJpflMp7Ni3vjYG/ZJqA==" spinCount="100000" sheet="1" objects="1" scenarios="1"/>
  <mergeCells count="1">
    <mergeCell ref="S26:S27"/>
  </mergeCells>
  <hyperlinks>
    <hyperlink ref="F1" location="Guide" display="Guide"/>
    <hyperlink ref="F2" location="Input" display="Input"/>
  </hyperlinks>
  <pageMargins left="0.7" right="0.7" top="0.75" bottom="0.75" header="0.3" footer="0.3"/>
  <pageSetup paperSize="9" scale="31" orientation="portrait" r:id="rId1"/>
  <headerFooter>
    <oddFooter>&amp;LNova Scotia Exploration Economics Model&amp;Rwww.indeva.com</oddFooter>
  </headerFooter>
  <colBreaks count="1" manualBreakCount="1">
    <brk id="18" max="69"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79998168889431442"/>
  </sheetPr>
  <dimension ref="A1:AG50"/>
  <sheetViews>
    <sheetView showGridLines="0" showZeros="0" zoomScale="75" zoomScaleNormal="75" workbookViewId="0">
      <pane xSplit="1" ySplit="10" topLeftCell="B11" activePane="bottomRight" state="frozen"/>
      <selection activeCell="D43" sqref="D43"/>
      <selection pane="topRight" activeCell="D43" sqref="D43"/>
      <selection pane="bottomLeft" activeCell="D43" sqref="D43"/>
      <selection pane="bottomRight" activeCell="B11" sqref="B11"/>
    </sheetView>
  </sheetViews>
  <sheetFormatPr defaultRowHeight="14.5"/>
  <cols>
    <col min="2" max="2" width="13.81640625" customWidth="1"/>
    <col min="3" max="3" width="12" customWidth="1"/>
    <col min="4" max="4" width="12.54296875" customWidth="1"/>
    <col min="5" max="5" width="15.26953125" customWidth="1"/>
    <col min="6" max="6" width="14.453125" customWidth="1"/>
    <col min="7" max="7" width="12.1796875" hidden="1" customWidth="1"/>
    <col min="8" max="11" width="14.7265625" customWidth="1"/>
    <col min="12" max="12" width="11.54296875" customWidth="1"/>
    <col min="14" max="14" width="10.81640625" customWidth="1"/>
    <col min="15" max="16" width="12" customWidth="1"/>
    <col min="17" max="17" width="10.26953125" customWidth="1"/>
    <col min="19" max="19" width="11.81640625" customWidth="1"/>
    <col min="20" max="21" width="12" customWidth="1"/>
    <col min="22" max="22" width="10.81640625" customWidth="1"/>
    <col min="24" max="24" width="11" customWidth="1"/>
  </cols>
  <sheetData>
    <row r="1" spans="1:33" ht="18.5">
      <c r="A1" s="228"/>
      <c r="B1" s="208" t="str">
        <f>Input!B8</f>
        <v>Prospect X</v>
      </c>
      <c r="C1" s="208" t="s">
        <v>346</v>
      </c>
      <c r="D1" s="209"/>
      <c r="E1" s="209"/>
      <c r="F1" s="143" t="s">
        <v>768</v>
      </c>
      <c r="G1" s="209"/>
      <c r="H1" s="209"/>
      <c r="I1" s="209"/>
      <c r="J1" s="209"/>
      <c r="K1" s="209"/>
      <c r="L1" s="209"/>
      <c r="M1" s="209"/>
      <c r="N1" s="209"/>
      <c r="O1" s="209"/>
      <c r="P1" s="209"/>
      <c r="Q1" s="209"/>
      <c r="R1" s="209"/>
      <c r="S1" s="209"/>
      <c r="T1" s="209"/>
      <c r="U1" s="209"/>
      <c r="V1" s="209"/>
      <c r="W1" s="209"/>
      <c r="X1" s="209"/>
      <c r="Y1" s="209"/>
      <c r="Z1" s="209"/>
      <c r="AA1" s="209"/>
      <c r="AB1" s="209"/>
      <c r="AC1" s="209"/>
      <c r="AD1" s="209"/>
      <c r="AE1" s="209"/>
      <c r="AF1" s="209"/>
      <c r="AG1" s="210"/>
    </row>
    <row r="2" spans="1:33" ht="18.5">
      <c r="A2" s="211"/>
      <c r="B2" s="169"/>
      <c r="C2" s="169"/>
      <c r="D2" s="169"/>
      <c r="E2" s="169"/>
      <c r="F2" s="143" t="s">
        <v>143</v>
      </c>
      <c r="G2" s="169"/>
      <c r="H2" s="169"/>
      <c r="I2" s="169"/>
      <c r="J2" s="169"/>
      <c r="K2" s="169"/>
      <c r="L2" s="169"/>
      <c r="M2" s="169"/>
      <c r="N2" s="169"/>
      <c r="O2" s="169"/>
      <c r="P2" s="169"/>
      <c r="Q2" s="169"/>
      <c r="R2" s="169"/>
      <c r="S2" s="169"/>
      <c r="T2" s="169"/>
      <c r="U2" s="169"/>
      <c r="V2" s="169"/>
      <c r="W2" s="169"/>
      <c r="X2" s="169"/>
      <c r="Y2" s="169"/>
      <c r="Z2" s="169"/>
      <c r="AA2" s="169"/>
      <c r="AB2" s="169"/>
      <c r="AC2" s="169"/>
      <c r="AD2" s="169"/>
      <c r="AE2" s="169"/>
      <c r="AF2" s="169"/>
      <c r="AG2" s="212"/>
    </row>
    <row r="3" spans="1:33" ht="15.5">
      <c r="A3" s="93"/>
      <c r="B3" s="229" t="s">
        <v>347</v>
      </c>
      <c r="C3" s="93"/>
      <c r="D3" s="93"/>
      <c r="E3" s="93"/>
      <c r="F3" s="93"/>
      <c r="G3" s="93"/>
      <c r="H3" s="93"/>
      <c r="I3" s="93"/>
      <c r="J3" s="93"/>
      <c r="K3" s="93"/>
      <c r="L3" s="93"/>
      <c r="M3" s="93"/>
      <c r="N3" s="133" t="s">
        <v>348</v>
      </c>
      <c r="O3" s="93"/>
      <c r="P3" s="93"/>
      <c r="Q3" s="93"/>
      <c r="R3" s="93"/>
      <c r="S3" s="229" t="s">
        <v>349</v>
      </c>
      <c r="T3" s="93"/>
      <c r="U3" s="93"/>
      <c r="V3" s="93"/>
      <c r="W3" s="93"/>
      <c r="X3" s="133" t="s">
        <v>350</v>
      </c>
      <c r="Y3" s="93"/>
      <c r="Z3" s="93"/>
      <c r="AA3" s="93"/>
      <c r="AB3" s="93"/>
      <c r="AC3" s="93"/>
      <c r="AD3" s="93"/>
      <c r="AE3" s="93"/>
      <c r="AF3" s="93"/>
      <c r="AG3" s="93"/>
    </row>
    <row r="4" spans="1:33">
      <c r="A4" s="93"/>
      <c r="B4" s="93"/>
      <c r="C4" s="93"/>
      <c r="D4" s="93"/>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row>
    <row r="5" spans="1:33">
      <c r="A5" s="139" t="s">
        <v>14</v>
      </c>
      <c r="B5" s="139" t="s">
        <v>340</v>
      </c>
      <c r="C5" s="139" t="s">
        <v>118</v>
      </c>
      <c r="D5" s="139" t="s">
        <v>129</v>
      </c>
      <c r="E5" s="139" t="s">
        <v>647</v>
      </c>
      <c r="F5" s="139" t="s">
        <v>647</v>
      </c>
      <c r="G5" s="139" t="s">
        <v>342</v>
      </c>
      <c r="H5" s="139" t="s">
        <v>647</v>
      </c>
      <c r="I5" s="139" t="s">
        <v>1053</v>
      </c>
      <c r="J5" s="139" t="s">
        <v>1053</v>
      </c>
      <c r="K5" s="139" t="s">
        <v>1053</v>
      </c>
      <c r="L5" s="139" t="s">
        <v>13</v>
      </c>
      <c r="M5" s="93"/>
      <c r="N5" s="139" t="s">
        <v>351</v>
      </c>
      <c r="O5" s="139" t="s">
        <v>647</v>
      </c>
      <c r="P5" s="139" t="s">
        <v>1053</v>
      </c>
      <c r="Q5" s="139" t="s">
        <v>13</v>
      </c>
      <c r="R5" s="93"/>
      <c r="S5" s="139" t="s">
        <v>351</v>
      </c>
      <c r="T5" s="139" t="s">
        <v>647</v>
      </c>
      <c r="U5" s="139" t="s">
        <v>1053</v>
      </c>
      <c r="V5" s="139" t="s">
        <v>13</v>
      </c>
      <c r="W5" s="93"/>
      <c r="X5" s="139" t="s">
        <v>13</v>
      </c>
      <c r="Y5" s="93"/>
      <c r="Z5" s="93"/>
      <c r="AA5" s="93"/>
      <c r="AB5" s="93"/>
      <c r="AC5" s="93"/>
      <c r="AD5" s="93"/>
      <c r="AE5" s="93"/>
      <c r="AF5" s="93"/>
      <c r="AG5" s="93"/>
    </row>
    <row r="6" spans="1:33">
      <c r="A6" s="140"/>
      <c r="B6" s="140" t="s">
        <v>352</v>
      </c>
      <c r="C6" s="140"/>
      <c r="D6" s="140"/>
      <c r="E6" s="140" t="s">
        <v>352</v>
      </c>
      <c r="F6" s="140" t="s">
        <v>353</v>
      </c>
      <c r="G6" s="140"/>
      <c r="H6" s="140" t="s">
        <v>15</v>
      </c>
      <c r="I6" s="140" t="s">
        <v>352</v>
      </c>
      <c r="J6" s="140" t="s">
        <v>353</v>
      </c>
      <c r="K6" s="140" t="s">
        <v>15</v>
      </c>
      <c r="L6" s="140" t="s">
        <v>15</v>
      </c>
      <c r="M6" s="93"/>
      <c r="N6" s="140" t="s">
        <v>15</v>
      </c>
      <c r="O6" s="140" t="s">
        <v>15</v>
      </c>
      <c r="P6" s="140" t="s">
        <v>15</v>
      </c>
      <c r="Q6" s="140" t="s">
        <v>15</v>
      </c>
      <c r="R6" s="93"/>
      <c r="S6" s="140" t="s">
        <v>15</v>
      </c>
      <c r="T6" s="140" t="s">
        <v>15</v>
      </c>
      <c r="U6" s="140" t="s">
        <v>15</v>
      </c>
      <c r="V6" s="140" t="s">
        <v>15</v>
      </c>
      <c r="W6" s="93"/>
      <c r="X6" s="140" t="s">
        <v>15</v>
      </c>
      <c r="Y6" s="93"/>
      <c r="Z6" s="93"/>
      <c r="AA6" s="93"/>
      <c r="AB6" s="93"/>
      <c r="AC6" s="93"/>
      <c r="AD6" s="93"/>
      <c r="AE6" s="93"/>
      <c r="AF6" s="93"/>
      <c r="AG6" s="93"/>
    </row>
    <row r="7" spans="1:33">
      <c r="A7" s="148"/>
      <c r="B7" s="148" t="s">
        <v>4</v>
      </c>
      <c r="C7" s="148" t="s">
        <v>354</v>
      </c>
      <c r="D7" s="148" t="s">
        <v>355</v>
      </c>
      <c r="E7" s="148" t="s">
        <v>648</v>
      </c>
      <c r="F7" s="148" t="s">
        <v>356</v>
      </c>
      <c r="G7" s="148" t="s">
        <v>15</v>
      </c>
      <c r="H7" s="148" t="s">
        <v>355</v>
      </c>
      <c r="I7" s="148" t="s">
        <v>648</v>
      </c>
      <c r="J7" s="148" t="s">
        <v>356</v>
      </c>
      <c r="K7" s="148" t="s">
        <v>355</v>
      </c>
      <c r="L7" s="148" t="s">
        <v>355</v>
      </c>
      <c r="M7" s="93"/>
      <c r="N7" s="148" t="s">
        <v>355</v>
      </c>
      <c r="O7" s="148" t="s">
        <v>355</v>
      </c>
      <c r="P7" s="148" t="s">
        <v>355</v>
      </c>
      <c r="Q7" s="148" t="s">
        <v>355</v>
      </c>
      <c r="R7" s="93"/>
      <c r="S7" s="147">
        <f>Development!BP88</f>
        <v>1</v>
      </c>
      <c r="T7" s="147">
        <f>S7</f>
        <v>1</v>
      </c>
      <c r="U7" s="147">
        <f>T7</f>
        <v>1</v>
      </c>
      <c r="V7" s="148" t="s">
        <v>355</v>
      </c>
      <c r="W7" s="93"/>
      <c r="X7" s="148" t="s">
        <v>355</v>
      </c>
      <c r="Y7" s="93"/>
      <c r="Z7" s="93"/>
      <c r="AA7" s="93"/>
      <c r="AB7" s="93"/>
      <c r="AC7" s="93"/>
      <c r="AD7" s="93"/>
      <c r="AE7" s="93"/>
      <c r="AF7" s="93"/>
      <c r="AG7" s="93"/>
    </row>
    <row r="8" spans="1:33">
      <c r="A8" s="155" t="s">
        <v>13</v>
      </c>
      <c r="B8" s="230">
        <f>SUM(B11:B50)</f>
        <v>924.89700000000005</v>
      </c>
      <c r="C8" s="230">
        <f t="shared" ref="C8:V8" si="0">SUM(C11:C50)</f>
        <v>375.39545458402864</v>
      </c>
      <c r="D8" s="230">
        <f t="shared" si="0"/>
        <v>6062.420367652574</v>
      </c>
      <c r="E8" s="230">
        <f t="shared" si="0"/>
        <v>290.00000000000006</v>
      </c>
      <c r="F8" s="230"/>
      <c r="G8" s="230">
        <f t="shared" si="0"/>
        <v>0</v>
      </c>
      <c r="H8" s="230">
        <f t="shared" si="0"/>
        <v>32073.753334424186</v>
      </c>
      <c r="I8" s="230"/>
      <c r="J8" s="230"/>
      <c r="K8" s="230"/>
      <c r="L8" s="230">
        <f t="shared" si="0"/>
        <v>38136.173702076761</v>
      </c>
      <c r="M8" s="156"/>
      <c r="N8" s="230">
        <f t="shared" si="0"/>
        <v>5965.9355881603187</v>
      </c>
      <c r="O8" s="230">
        <f t="shared" si="0"/>
        <v>31559.429355631044</v>
      </c>
      <c r="P8" s="230">
        <f t="shared" si="0"/>
        <v>0</v>
      </c>
      <c r="Q8" s="230">
        <f t="shared" si="0"/>
        <v>37525.364943791363</v>
      </c>
      <c r="R8" s="156"/>
      <c r="S8" s="230">
        <f t="shared" si="0"/>
        <v>5965.9355881603187</v>
      </c>
      <c r="T8" s="230">
        <f t="shared" si="0"/>
        <v>31559.429355631044</v>
      </c>
      <c r="U8" s="230">
        <f>SUM(U11:U50)</f>
        <v>0</v>
      </c>
      <c r="V8" s="230">
        <f t="shared" si="0"/>
        <v>37525.364943791363</v>
      </c>
      <c r="W8" s="156"/>
      <c r="X8" s="230">
        <f>SUM(X11:X50)</f>
        <v>37525.364943791363</v>
      </c>
      <c r="Y8" s="93"/>
      <c r="Z8" s="93"/>
      <c r="AA8" s="93"/>
      <c r="AB8" s="93"/>
      <c r="AC8" s="93"/>
      <c r="AD8" s="93"/>
      <c r="AE8" s="93"/>
      <c r="AF8" s="93"/>
      <c r="AG8" s="93"/>
    </row>
    <row r="9" spans="1:33">
      <c r="A9" s="222"/>
      <c r="B9" s="231"/>
      <c r="C9" s="231"/>
      <c r="D9" s="231"/>
      <c r="E9" s="231"/>
      <c r="F9" s="231"/>
      <c r="G9" s="231"/>
      <c r="H9" s="231"/>
      <c r="I9" s="231"/>
      <c r="J9" s="231"/>
      <c r="K9" s="231"/>
      <c r="L9" s="231"/>
      <c r="M9" s="156"/>
      <c r="N9" s="156"/>
      <c r="O9" s="156"/>
      <c r="P9" s="156"/>
      <c r="Q9" s="200"/>
      <c r="R9" s="156"/>
      <c r="S9" s="200"/>
      <c r="T9" s="200"/>
      <c r="U9" s="200"/>
      <c r="V9" s="200"/>
      <c r="W9" s="156"/>
      <c r="X9" s="156"/>
      <c r="Y9" s="93"/>
      <c r="Z9" s="93"/>
      <c r="AA9" s="93"/>
      <c r="AB9" s="93"/>
      <c r="AC9" s="93"/>
      <c r="AD9" s="93"/>
      <c r="AE9" s="93"/>
      <c r="AF9" s="93"/>
      <c r="AG9" s="93"/>
    </row>
    <row r="10" spans="1:33">
      <c r="A10" s="93"/>
      <c r="B10" s="156"/>
      <c r="C10" s="156"/>
      <c r="D10" s="156"/>
      <c r="E10" s="156"/>
      <c r="F10" s="156"/>
      <c r="G10" s="156"/>
      <c r="H10" s="156"/>
      <c r="I10" s="156"/>
      <c r="J10" s="156"/>
      <c r="K10" s="156"/>
      <c r="L10" s="156"/>
      <c r="M10" s="156"/>
      <c r="N10" s="156"/>
      <c r="O10" s="156"/>
      <c r="P10" s="156"/>
      <c r="Q10" s="156"/>
      <c r="R10" s="156"/>
      <c r="S10" s="156"/>
      <c r="T10" s="156"/>
      <c r="U10" s="156"/>
      <c r="V10" s="156"/>
      <c r="W10" s="156"/>
      <c r="X10" s="156"/>
      <c r="Y10" s="93"/>
      <c r="Z10" s="93"/>
      <c r="AA10" s="93"/>
      <c r="AB10" s="93"/>
      <c r="AC10" s="93"/>
      <c r="AD10" s="93"/>
      <c r="AE10" s="93"/>
      <c r="AF10" s="93"/>
      <c r="AG10" s="93"/>
    </row>
    <row r="11" spans="1:33">
      <c r="A11" s="157">
        <f>'Success Cash Flow'!A10</f>
        <v>2015</v>
      </c>
      <c r="B11" s="158">
        <f>Production!X31</f>
        <v>0</v>
      </c>
      <c r="C11" s="158">
        <f>'Selected Economics'!D11/'Selected Economics'!E11*Input!$B$28/1000*'Sensitivity Ranges'!$F$42</f>
        <v>3.763157894736842</v>
      </c>
      <c r="D11" s="158">
        <f>C11*B11</f>
        <v>0</v>
      </c>
      <c r="E11" s="158">
        <f>Production!Y31</f>
        <v>0</v>
      </c>
      <c r="F11" s="158">
        <f>'Selected Economics'!C11/'Selected Economics'!E11*'Sensitivity Ranges'!$F$47</f>
        <v>60.526315789473685</v>
      </c>
      <c r="G11" s="158"/>
      <c r="H11" s="158">
        <f>F11*E11</f>
        <v>0</v>
      </c>
      <c r="I11" s="158">
        <f>Production!Z31</f>
        <v>0</v>
      </c>
      <c r="J11" s="158">
        <f>'Selected Economics'!B11/'Selected Economics'!E11*'Sensitivity Ranges'!$F$47</f>
        <v>48.421052631578952</v>
      </c>
      <c r="K11" s="158">
        <f>J11*I11</f>
        <v>0</v>
      </c>
      <c r="L11" s="158">
        <f>H11+D11+K11</f>
        <v>0</v>
      </c>
      <c r="M11" s="156"/>
      <c r="N11" s="158">
        <f>D11*Abandonment!H16</f>
        <v>0</v>
      </c>
      <c r="O11" s="158">
        <f>H11*Abandonment!H16</f>
        <v>0</v>
      </c>
      <c r="P11" s="158">
        <f>K11*Abandonment!H16</f>
        <v>0</v>
      </c>
      <c r="Q11" s="158">
        <f t="shared" ref="Q11:Q17" si="1">O11+N11+P11</f>
        <v>0</v>
      </c>
      <c r="R11" s="156"/>
      <c r="S11" s="158">
        <f>N11*S$7</f>
        <v>0</v>
      </c>
      <c r="T11" s="158">
        <f t="shared" ref="T11:U50" si="2">O11*T$7</f>
        <v>0</v>
      </c>
      <c r="U11" s="158">
        <f t="shared" si="2"/>
        <v>0</v>
      </c>
      <c r="V11" s="158">
        <f>SUM(S11:U11)</f>
        <v>0</v>
      </c>
      <c r="W11" s="156"/>
      <c r="X11" s="158">
        <f>L11*Abandonment!H16</f>
        <v>0</v>
      </c>
      <c r="Y11" s="93"/>
      <c r="Z11" s="93"/>
      <c r="AA11" s="93"/>
      <c r="AB11" s="93"/>
      <c r="AC11" s="93"/>
      <c r="AD11" s="93"/>
      <c r="AE11" s="93"/>
      <c r="AF11" s="93"/>
      <c r="AG11" s="93"/>
    </row>
    <row r="12" spans="1:33">
      <c r="A12" s="159">
        <f>A11+1</f>
        <v>2016</v>
      </c>
      <c r="B12" s="160">
        <f>Production!X32</f>
        <v>0</v>
      </c>
      <c r="C12" s="160">
        <f>'Selected Economics'!D12/'Selected Economics'!E12*Input!$B$28/1000*'Sensitivity Ranges'!$F$42</f>
        <v>3.9999999999999996</v>
      </c>
      <c r="D12" s="160">
        <f t="shared" ref="D12:D50" si="3">C12*B12</f>
        <v>0</v>
      </c>
      <c r="E12" s="160">
        <f>Production!Y32</f>
        <v>0</v>
      </c>
      <c r="F12" s="160">
        <f>'Selected Economics'!C12/'Selected Economics'!E12*'Sensitivity Ranges'!$F$47</f>
        <v>70.512820512820511</v>
      </c>
      <c r="G12" s="160"/>
      <c r="H12" s="160">
        <f t="shared" ref="H12:H50" si="4">F12*E12</f>
        <v>0</v>
      </c>
      <c r="I12" s="160">
        <f>Production!Z32</f>
        <v>0</v>
      </c>
      <c r="J12" s="160">
        <f>'Selected Economics'!B12/'Selected Economics'!E12*'Sensitivity Ranges'!$F$47</f>
        <v>56.410256410256409</v>
      </c>
      <c r="K12" s="160">
        <f t="shared" ref="K12:K50" si="5">J12*I12</f>
        <v>0</v>
      </c>
      <c r="L12" s="160">
        <f t="shared" ref="L12:L50" si="6">H12+D12+K12</f>
        <v>0</v>
      </c>
      <c r="M12" s="156"/>
      <c r="N12" s="160">
        <f>D12*Abandonment!H17</f>
        <v>0</v>
      </c>
      <c r="O12" s="160">
        <f>H12*Abandonment!H17</f>
        <v>0</v>
      </c>
      <c r="P12" s="160">
        <f>K12*Abandonment!H17</f>
        <v>0</v>
      </c>
      <c r="Q12" s="160">
        <f t="shared" si="1"/>
        <v>0</v>
      </c>
      <c r="R12" s="156"/>
      <c r="S12" s="160">
        <f t="shared" ref="S12:S50" si="7">N12*S$7</f>
        <v>0</v>
      </c>
      <c r="T12" s="160">
        <f t="shared" si="2"/>
        <v>0</v>
      </c>
      <c r="U12" s="160">
        <f t="shared" si="2"/>
        <v>0</v>
      </c>
      <c r="V12" s="160">
        <f t="shared" ref="V12:V50" si="8">SUM(S12:U12)</f>
        <v>0</v>
      </c>
      <c r="W12" s="156"/>
      <c r="X12" s="160">
        <f>L12*Abandonment!H17</f>
        <v>0</v>
      </c>
      <c r="Y12" s="93"/>
      <c r="Z12" s="93"/>
      <c r="AA12" s="93"/>
      <c r="AB12" s="93"/>
      <c r="AC12" s="93"/>
      <c r="AD12" s="93"/>
      <c r="AE12" s="93"/>
      <c r="AF12" s="93"/>
      <c r="AG12" s="93"/>
    </row>
    <row r="13" spans="1:33">
      <c r="A13" s="159">
        <f t="shared" ref="A13:A50" si="9">A12+1</f>
        <v>2017</v>
      </c>
      <c r="B13" s="160">
        <f>Production!X33</f>
        <v>66.067912223392355</v>
      </c>
      <c r="C13" s="160">
        <f>'Selected Economics'!D13/'Selected Economics'!E13*Input!$B$28/1000*'Sensitivity Ranges'!$F$42</f>
        <v>4.337411764705883</v>
      </c>
      <c r="D13" s="160">
        <f t="shared" si="3"/>
        <v>286.56373974729763</v>
      </c>
      <c r="E13" s="160">
        <f>Production!Y33</f>
        <v>20.715489989462377</v>
      </c>
      <c r="F13" s="160">
        <f>'Selected Economics'!C13/'Selected Economics'!E13*'Sensitivity Ranges'!$F$47</f>
        <v>83.323529411764696</v>
      </c>
      <c r="G13" s="160"/>
      <c r="H13" s="160">
        <f t="shared" si="4"/>
        <v>1726.0877394160855</v>
      </c>
      <c r="I13" s="160">
        <f>Production!Z33</f>
        <v>0</v>
      </c>
      <c r="J13" s="160">
        <f>'Selected Economics'!B13/'Selected Economics'!E13*'Sensitivity Ranges'!$F$47</f>
        <v>66.658823529411762</v>
      </c>
      <c r="K13" s="160">
        <f t="shared" si="5"/>
        <v>0</v>
      </c>
      <c r="L13" s="160">
        <f t="shared" si="6"/>
        <v>2012.6514791633831</v>
      </c>
      <c r="M13" s="156"/>
      <c r="N13" s="160">
        <f>D13*Abandonment!H18</f>
        <v>286.56373974729763</v>
      </c>
      <c r="O13" s="160">
        <f>H13*Abandonment!H18</f>
        <v>1726.0877394160855</v>
      </c>
      <c r="P13" s="160">
        <f>K13*Abandonment!H18</f>
        <v>0</v>
      </c>
      <c r="Q13" s="160">
        <f t="shared" si="1"/>
        <v>2012.6514791633831</v>
      </c>
      <c r="R13" s="156"/>
      <c r="S13" s="160">
        <f t="shared" si="7"/>
        <v>286.56373974729763</v>
      </c>
      <c r="T13" s="160">
        <f t="shared" si="2"/>
        <v>1726.0877394160855</v>
      </c>
      <c r="U13" s="160">
        <f t="shared" si="2"/>
        <v>0</v>
      </c>
      <c r="V13" s="160">
        <f t="shared" si="8"/>
        <v>2012.6514791633831</v>
      </c>
      <c r="W13" s="156"/>
      <c r="X13" s="160">
        <f>L13*Abandonment!H18</f>
        <v>2012.6514791633831</v>
      </c>
      <c r="Y13" s="93"/>
      <c r="Z13" s="93"/>
      <c r="AA13" s="93"/>
      <c r="AB13" s="93"/>
      <c r="AC13" s="93"/>
      <c r="AD13" s="93"/>
      <c r="AE13" s="93"/>
      <c r="AF13" s="93"/>
      <c r="AG13" s="93"/>
    </row>
    <row r="14" spans="1:33">
      <c r="A14" s="159">
        <f t="shared" si="9"/>
        <v>2018</v>
      </c>
      <c r="B14" s="160">
        <f>Production!X34</f>
        <v>92.489700000000013</v>
      </c>
      <c r="C14" s="160">
        <f>'Selected Economics'!D14/'Selected Economics'!E14*Input!$B$28/1000*'Sensitivity Ranges'!$F$42</f>
        <v>5.0142376470588221</v>
      </c>
      <c r="D14" s="160">
        <f t="shared" si="3"/>
        <v>463.76533570517643</v>
      </c>
      <c r="E14" s="160">
        <f>Production!Y34</f>
        <v>29</v>
      </c>
      <c r="F14" s="160">
        <f>'Selected Economics'!C14/'Selected Economics'!E14*'Sensitivity Ranges'!$F$47</f>
        <v>90.455735294117616</v>
      </c>
      <c r="G14" s="160"/>
      <c r="H14" s="160">
        <f t="shared" si="4"/>
        <v>2623.2163235294111</v>
      </c>
      <c r="I14" s="160">
        <f>Production!Z34</f>
        <v>0</v>
      </c>
      <c r="J14" s="160">
        <f>'Selected Economics'!B14/'Selected Economics'!E14*'Sensitivity Ranges'!$F$47</f>
        <v>72.364588235294107</v>
      </c>
      <c r="K14" s="160">
        <f t="shared" si="5"/>
        <v>0</v>
      </c>
      <c r="L14" s="160">
        <f t="shared" si="6"/>
        <v>3086.9816592345874</v>
      </c>
      <c r="M14" s="156"/>
      <c r="N14" s="160">
        <f>D14*Abandonment!H19</f>
        <v>463.76533570517643</v>
      </c>
      <c r="O14" s="160">
        <f>H14*Abandonment!H19</f>
        <v>2623.2163235294111</v>
      </c>
      <c r="P14" s="160">
        <f>K14*Abandonment!H19</f>
        <v>0</v>
      </c>
      <c r="Q14" s="160">
        <f t="shared" si="1"/>
        <v>3086.9816592345874</v>
      </c>
      <c r="R14" s="156"/>
      <c r="S14" s="160">
        <f t="shared" si="7"/>
        <v>463.76533570517643</v>
      </c>
      <c r="T14" s="160">
        <f t="shared" si="2"/>
        <v>2623.2163235294111</v>
      </c>
      <c r="U14" s="160">
        <f t="shared" si="2"/>
        <v>0</v>
      </c>
      <c r="V14" s="160">
        <f t="shared" si="8"/>
        <v>3086.9816592345874</v>
      </c>
      <c r="W14" s="156"/>
      <c r="X14" s="160">
        <f>L14*Abandonment!H19</f>
        <v>3086.9816592345874</v>
      </c>
      <c r="Y14" s="93"/>
      <c r="Z14" s="93"/>
      <c r="AA14" s="93"/>
      <c r="AB14" s="93"/>
      <c r="AC14" s="93"/>
      <c r="AD14" s="93"/>
      <c r="AE14" s="93"/>
      <c r="AF14" s="93"/>
      <c r="AG14" s="93"/>
    </row>
    <row r="15" spans="1:33">
      <c r="A15" s="159">
        <f t="shared" si="9"/>
        <v>2019</v>
      </c>
      <c r="B15" s="160">
        <f>Production!X35</f>
        <v>92.489700000000013</v>
      </c>
      <c r="C15" s="160">
        <f>'Selected Economics'!D15/'Selected Economics'!E15*Input!$B$28/1000*'Sensitivity Ranges'!$F$42</f>
        <v>5.7012159176470574</v>
      </c>
      <c r="D15" s="160">
        <f t="shared" si="3"/>
        <v>527.30374985840115</v>
      </c>
      <c r="E15" s="160">
        <f>Production!Y35</f>
        <v>29</v>
      </c>
      <c r="F15" s="160">
        <f>'Selected Economics'!C15/'Selected Economics'!E15*'Sensitivity Ranges'!$F$47</f>
        <v>97.694924264705847</v>
      </c>
      <c r="G15" s="160"/>
      <c r="H15" s="160">
        <f t="shared" si="4"/>
        <v>2833.1528036764694</v>
      </c>
      <c r="I15" s="160">
        <f>Production!Z35</f>
        <v>0</v>
      </c>
      <c r="J15" s="160">
        <f>'Selected Economics'!B15/'Selected Economics'!E15*'Sensitivity Ranges'!$F$47</f>
        <v>78.155939411764692</v>
      </c>
      <c r="K15" s="160">
        <f t="shared" si="5"/>
        <v>0</v>
      </c>
      <c r="L15" s="160">
        <f t="shared" si="6"/>
        <v>3360.4565535348706</v>
      </c>
      <c r="M15" s="156"/>
      <c r="N15" s="160">
        <f>D15*Abandonment!H20</f>
        <v>527.30374985840115</v>
      </c>
      <c r="O15" s="160">
        <f>H15*Abandonment!H20</f>
        <v>2833.1528036764694</v>
      </c>
      <c r="P15" s="160">
        <f>K15*Abandonment!H20</f>
        <v>0</v>
      </c>
      <c r="Q15" s="160">
        <f t="shared" si="1"/>
        <v>3360.4565535348706</v>
      </c>
      <c r="R15" s="156"/>
      <c r="S15" s="160">
        <f t="shared" si="7"/>
        <v>527.30374985840115</v>
      </c>
      <c r="T15" s="160">
        <f t="shared" si="2"/>
        <v>2833.1528036764694</v>
      </c>
      <c r="U15" s="160">
        <f t="shared" si="2"/>
        <v>0</v>
      </c>
      <c r="V15" s="160">
        <f t="shared" si="8"/>
        <v>3360.4565535348706</v>
      </c>
      <c r="W15" s="156"/>
      <c r="X15" s="160">
        <f>L15*Abandonment!H20</f>
        <v>3360.4565535348706</v>
      </c>
      <c r="Y15" s="93"/>
      <c r="Z15" s="93"/>
      <c r="AA15" s="93"/>
      <c r="AB15" s="93"/>
      <c r="AC15" s="93"/>
      <c r="AD15" s="93"/>
      <c r="AE15" s="93"/>
      <c r="AF15" s="93"/>
      <c r="AG15" s="93"/>
    </row>
    <row r="16" spans="1:33">
      <c r="A16" s="159">
        <f t="shared" si="9"/>
        <v>2020</v>
      </c>
      <c r="B16" s="160">
        <f>Production!X36</f>
        <v>92.743096438356162</v>
      </c>
      <c r="C16" s="160">
        <f>'Selected Economics'!D16/'Selected Economics'!E16*Input!$B$28/1000*'Sensitivity Ranges'!$F$42</f>
        <v>6.0926165093529399</v>
      </c>
      <c r="D16" s="160">
        <f t="shared" si="3"/>
        <v>565.0481204888406</v>
      </c>
      <c r="E16" s="160">
        <f>Production!Y36</f>
        <v>29.079452054794519</v>
      </c>
      <c r="F16" s="160">
        <f>'Selected Economics'!C16/'Selected Economics'!E16*'Sensitivity Ranges'!$F$47</f>
        <v>100.57211283455877</v>
      </c>
      <c r="G16" s="160"/>
      <c r="H16" s="160">
        <f t="shared" si="4"/>
        <v>2924.5819332219362</v>
      </c>
      <c r="I16" s="160">
        <f>Production!Z36</f>
        <v>0</v>
      </c>
      <c r="J16" s="160">
        <f>'Selected Economics'!B16/'Selected Economics'!E16*'Sensitivity Ranges'!$F$47</f>
        <v>80.457690267647024</v>
      </c>
      <c r="K16" s="160">
        <f t="shared" si="5"/>
        <v>0</v>
      </c>
      <c r="L16" s="160">
        <f t="shared" si="6"/>
        <v>3489.6300537107768</v>
      </c>
      <c r="M16" s="156"/>
      <c r="N16" s="160">
        <f>D16*Abandonment!H21</f>
        <v>565.0481204888406</v>
      </c>
      <c r="O16" s="160">
        <f>H16*Abandonment!H21</f>
        <v>2924.5819332219362</v>
      </c>
      <c r="P16" s="160">
        <f>K16*Abandonment!H21</f>
        <v>0</v>
      </c>
      <c r="Q16" s="160">
        <f t="shared" si="1"/>
        <v>3489.6300537107768</v>
      </c>
      <c r="R16" s="156"/>
      <c r="S16" s="160">
        <f t="shared" si="7"/>
        <v>565.0481204888406</v>
      </c>
      <c r="T16" s="160">
        <f t="shared" si="2"/>
        <v>2924.5819332219362</v>
      </c>
      <c r="U16" s="160">
        <f t="shared" si="2"/>
        <v>0</v>
      </c>
      <c r="V16" s="160">
        <f t="shared" si="8"/>
        <v>3489.6300537107768</v>
      </c>
      <c r="W16" s="156"/>
      <c r="X16" s="160">
        <f>L16*Abandonment!H21</f>
        <v>3489.6300537107768</v>
      </c>
      <c r="Y16" s="93"/>
      <c r="Z16" s="93"/>
      <c r="AA16" s="93"/>
      <c r="AB16" s="93"/>
      <c r="AC16" s="93"/>
      <c r="AD16" s="93"/>
      <c r="AE16" s="93"/>
      <c r="AF16" s="93"/>
      <c r="AG16" s="93"/>
    </row>
    <row r="17" spans="1:33">
      <c r="A17" s="159">
        <f t="shared" si="9"/>
        <v>2021</v>
      </c>
      <c r="B17" s="160">
        <f>Production!X37</f>
        <v>88.771101498417821</v>
      </c>
      <c r="C17" s="160">
        <f>'Selected Economics'!D17/'Selected Economics'!E17*Input!$B$28/1000*'Sensitivity Ranges'!$F$42</f>
        <v>6.2711822275814679</v>
      </c>
      <c r="D17" s="160">
        <f t="shared" si="3"/>
        <v>556.69975403970841</v>
      </c>
      <c r="E17" s="160">
        <f>Production!Y37</f>
        <v>27.834039287121882</v>
      </c>
      <c r="F17" s="160">
        <f>'Selected Economics'!C17/'Selected Economics'!E17*'Sensitivity Ranges'!$F$47</f>
        <v>103.51363570354771</v>
      </c>
      <c r="G17" s="160"/>
      <c r="H17" s="160">
        <f t="shared" si="4"/>
        <v>2881.2026029253693</v>
      </c>
      <c r="I17" s="160">
        <f>Production!Z37</f>
        <v>0</v>
      </c>
      <c r="J17" s="160">
        <f>'Selected Economics'!B17/'Selected Economics'!E17*'Sensitivity Ranges'!$F$47</f>
        <v>82.810908562838179</v>
      </c>
      <c r="K17" s="160">
        <f t="shared" si="5"/>
        <v>0</v>
      </c>
      <c r="L17" s="160">
        <f t="shared" si="6"/>
        <v>3437.9023569650776</v>
      </c>
      <c r="M17" s="156"/>
      <c r="N17" s="160">
        <f>D17*Abandonment!H22</f>
        <v>556.69975403970841</v>
      </c>
      <c r="O17" s="160">
        <f>H17*Abandonment!H22</f>
        <v>2881.2026029253693</v>
      </c>
      <c r="P17" s="160">
        <f>K17*Abandonment!H22</f>
        <v>0</v>
      </c>
      <c r="Q17" s="160">
        <f t="shared" si="1"/>
        <v>3437.9023569650776</v>
      </c>
      <c r="R17" s="156"/>
      <c r="S17" s="160">
        <f t="shared" si="7"/>
        <v>556.69975403970841</v>
      </c>
      <c r="T17" s="160">
        <f t="shared" si="2"/>
        <v>2881.2026029253693</v>
      </c>
      <c r="U17" s="160">
        <f t="shared" si="2"/>
        <v>0</v>
      </c>
      <c r="V17" s="160">
        <f t="shared" si="8"/>
        <v>3437.9023569650776</v>
      </c>
      <c r="W17" s="156"/>
      <c r="X17" s="160">
        <f>L17*Abandonment!H22</f>
        <v>3437.9023569650776</v>
      </c>
      <c r="Y17" s="93"/>
      <c r="Z17" s="93"/>
      <c r="AA17" s="93"/>
      <c r="AB17" s="93"/>
      <c r="AC17" s="93"/>
      <c r="AD17" s="93"/>
      <c r="AE17" s="93"/>
      <c r="AF17" s="93"/>
      <c r="AG17" s="93"/>
    </row>
    <row r="18" spans="1:33">
      <c r="A18" s="159">
        <f t="shared" si="9"/>
        <v>2022</v>
      </c>
      <c r="B18" s="160">
        <f>Production!X38</f>
        <v>75.974757047212719</v>
      </c>
      <c r="C18" s="160">
        <f>'Selected Economics'!D18/'Selected Economics'!E18*Input!$B$28/1000*'Sensitivity Ranges'!$F$42</f>
        <v>6.4537340786422464</v>
      </c>
      <c r="D18" s="160">
        <f t="shared" si="3"/>
        <v>490.32087867216188</v>
      </c>
      <c r="E18" s="160">
        <f>Production!Y38</f>
        <v>23.82176560599903</v>
      </c>
      <c r="F18" s="160">
        <f>'Selected Economics'!C18/'Selected Economics'!E18*'Sensitivity Ranges'!$F$47</f>
        <v>106.52077553321855</v>
      </c>
      <c r="G18" s="160"/>
      <c r="H18" s="160">
        <f t="shared" si="4"/>
        <v>2537.5129469215685</v>
      </c>
      <c r="I18" s="160">
        <f>Production!Z38</f>
        <v>0</v>
      </c>
      <c r="J18" s="160">
        <f>'Selected Economics'!B18/'Selected Economics'!E18*'Sensitivity Ranges'!$F$47</f>
        <v>85.216620426574863</v>
      </c>
      <c r="K18" s="160">
        <f t="shared" si="5"/>
        <v>0</v>
      </c>
      <c r="L18" s="160">
        <f t="shared" si="6"/>
        <v>3027.8338255937306</v>
      </c>
      <c r="M18" s="156"/>
      <c r="N18" s="160">
        <f>D18*Abandonment!H23</f>
        <v>490.32087867216188</v>
      </c>
      <c r="O18" s="160">
        <f>H18*Abandonment!H23</f>
        <v>2537.5129469215685</v>
      </c>
      <c r="P18" s="160">
        <f>K18*Abandonment!H23</f>
        <v>0</v>
      </c>
      <c r="Q18" s="160">
        <f>O18+N18+P18</f>
        <v>3027.8338255937306</v>
      </c>
      <c r="R18" s="156"/>
      <c r="S18" s="160">
        <f t="shared" si="7"/>
        <v>490.32087867216188</v>
      </c>
      <c r="T18" s="160">
        <f t="shared" si="2"/>
        <v>2537.5129469215685</v>
      </c>
      <c r="U18" s="160">
        <f t="shared" si="2"/>
        <v>0</v>
      </c>
      <c r="V18" s="160">
        <f t="shared" si="8"/>
        <v>3027.8338255937306</v>
      </c>
      <c r="W18" s="156"/>
      <c r="X18" s="160">
        <f>L18*Abandonment!H23</f>
        <v>3027.8338255937306</v>
      </c>
      <c r="Y18" s="93"/>
      <c r="Z18" s="93"/>
      <c r="AA18" s="93"/>
      <c r="AB18" s="93"/>
      <c r="AC18" s="93"/>
      <c r="AD18" s="93"/>
      <c r="AE18" s="93"/>
      <c r="AF18" s="93"/>
      <c r="AG18" s="93"/>
    </row>
    <row r="19" spans="1:33">
      <c r="A19" s="159">
        <f t="shared" si="9"/>
        <v>2023</v>
      </c>
      <c r="B19" s="160">
        <f>Production!X39</f>
        <v>64.57854349013077</v>
      </c>
      <c r="C19" s="160">
        <f>'Selected Economics'!D19/'Selected Economics'!E19*Input!$B$28/1000*'Sensitivity Ranges'!$F$42</f>
        <v>6.6403514692336429</v>
      </c>
      <c r="D19" s="160">
        <f t="shared" si="3"/>
        <v>428.82422614565854</v>
      </c>
      <c r="E19" s="160">
        <f>Production!Y39</f>
        <v>20.248500765099166</v>
      </c>
      <c r="F19" s="160">
        <f>'Selected Economics'!C19/'Selected Economics'!E19*'Sensitivity Ranges'!$F$47</f>
        <v>109.59483898974622</v>
      </c>
      <c r="G19" s="160"/>
      <c r="H19" s="160">
        <f t="shared" si="4"/>
        <v>2219.1311811347964</v>
      </c>
      <c r="I19" s="160">
        <f>Production!Z39</f>
        <v>0</v>
      </c>
      <c r="J19" s="160">
        <f>'Selected Economics'!B19/'Selected Economics'!E19*'Sensitivity Ranges'!$F$47</f>
        <v>87.675871191797</v>
      </c>
      <c r="K19" s="160">
        <f t="shared" si="5"/>
        <v>0</v>
      </c>
      <c r="L19" s="160">
        <f t="shared" si="6"/>
        <v>2647.9554072804549</v>
      </c>
      <c r="M19" s="156"/>
      <c r="N19" s="160">
        <f>D19*Abandonment!H24</f>
        <v>428.82422614565854</v>
      </c>
      <c r="O19" s="160">
        <f>H19*Abandonment!H24</f>
        <v>2219.1311811347964</v>
      </c>
      <c r="P19" s="160">
        <f>K19*Abandonment!H24</f>
        <v>0</v>
      </c>
      <c r="Q19" s="160">
        <f t="shared" ref="Q19:Q50" si="10">O19+N19+P19</f>
        <v>2647.9554072804549</v>
      </c>
      <c r="R19" s="156"/>
      <c r="S19" s="160">
        <f t="shared" si="7"/>
        <v>428.82422614565854</v>
      </c>
      <c r="T19" s="160">
        <f t="shared" si="2"/>
        <v>2219.1311811347964</v>
      </c>
      <c r="U19" s="160">
        <f t="shared" si="2"/>
        <v>0</v>
      </c>
      <c r="V19" s="160">
        <f t="shared" si="8"/>
        <v>2647.9554072804549</v>
      </c>
      <c r="W19" s="156"/>
      <c r="X19" s="160">
        <f>L19*Abandonment!H24</f>
        <v>2647.9554072804549</v>
      </c>
      <c r="Y19" s="93"/>
      <c r="Z19" s="93"/>
      <c r="AA19" s="93"/>
      <c r="AB19" s="93"/>
      <c r="AC19" s="93"/>
      <c r="AD19" s="93"/>
      <c r="AE19" s="93"/>
      <c r="AF19" s="93"/>
      <c r="AG19" s="93"/>
    </row>
    <row r="20" spans="1:33">
      <c r="A20" s="159">
        <f t="shared" si="9"/>
        <v>2024</v>
      </c>
      <c r="B20" s="160">
        <f>Production!X40</f>
        <v>55.030229910614871</v>
      </c>
      <c r="C20" s="160">
        <f>'Selected Economics'!D20/'Selected Economics'!E20*Input!$B$28/1000*'Sensitivity Ranges'!$F$42</f>
        <v>6.8311152913750872</v>
      </c>
      <c r="D20" s="160">
        <f t="shared" si="3"/>
        <v>375.91784503028794</v>
      </c>
      <c r="E20" s="160">
        <f>Production!Y40</f>
        <v>17.25464205644338</v>
      </c>
      <c r="F20" s="160">
        <f>'Selected Economics'!C20/'Selected Economics'!E20*'Sensitivity Ranges'!$F$47</f>
        <v>112.73715717547475</v>
      </c>
      <c r="G20" s="160"/>
      <c r="H20" s="160">
        <f t="shared" si="4"/>
        <v>1945.2392935238142</v>
      </c>
      <c r="I20" s="160">
        <f>Production!Z40</f>
        <v>0</v>
      </c>
      <c r="J20" s="160">
        <f>'Selected Economics'!B20/'Selected Economics'!E20*'Sensitivity Ranges'!$F$47</f>
        <v>90.189725740379814</v>
      </c>
      <c r="K20" s="160">
        <f t="shared" si="5"/>
        <v>0</v>
      </c>
      <c r="L20" s="160">
        <f t="shared" si="6"/>
        <v>2321.1571385541019</v>
      </c>
      <c r="M20" s="156"/>
      <c r="N20" s="160">
        <f>D20*Abandonment!H25</f>
        <v>375.91784503028794</v>
      </c>
      <c r="O20" s="160">
        <f>H20*Abandonment!H25</f>
        <v>1945.2392935238142</v>
      </c>
      <c r="P20" s="160">
        <f>K20*Abandonment!H25</f>
        <v>0</v>
      </c>
      <c r="Q20" s="160">
        <f t="shared" si="10"/>
        <v>2321.1571385541019</v>
      </c>
      <c r="R20" s="156"/>
      <c r="S20" s="160">
        <f t="shared" si="7"/>
        <v>375.91784503028794</v>
      </c>
      <c r="T20" s="160">
        <f t="shared" si="2"/>
        <v>1945.2392935238142</v>
      </c>
      <c r="U20" s="160">
        <f t="shared" si="2"/>
        <v>0</v>
      </c>
      <c r="V20" s="160">
        <f t="shared" si="8"/>
        <v>2321.1571385541019</v>
      </c>
      <c r="W20" s="156"/>
      <c r="X20" s="160">
        <f>L20*Abandonment!H25</f>
        <v>2321.1571385541019</v>
      </c>
      <c r="Y20" s="93"/>
      <c r="Z20" s="93"/>
      <c r="AA20" s="232"/>
      <c r="AB20" s="187"/>
      <c r="AC20" s="93"/>
      <c r="AD20" s="93"/>
      <c r="AE20" s="93"/>
      <c r="AF20" s="93"/>
      <c r="AG20" s="93"/>
    </row>
    <row r="21" spans="1:33">
      <c r="A21" s="159">
        <f t="shared" si="9"/>
        <v>2025</v>
      </c>
      <c r="B21" s="160">
        <f>Production!X41</f>
        <v>46.63722748001895</v>
      </c>
      <c r="C21" s="160">
        <f>'Selected Economics'!D21/'Selected Economics'!E21*Input!$B$28/1000*'Sensitivity Ranges'!$F$42</f>
        <v>7.0261079491001981</v>
      </c>
      <c r="D21" s="160">
        <f t="shared" si="3"/>
        <v>327.67819472135534</v>
      </c>
      <c r="E21" s="160">
        <f>Production!Y41</f>
        <v>14.623029341867792</v>
      </c>
      <c r="F21" s="160">
        <f>'Selected Economics'!C21/'Selected Economics'!E21*'Sensitivity Ranges'!$F$47</f>
        <v>115.94908606800243</v>
      </c>
      <c r="G21" s="160"/>
      <c r="H21" s="160">
        <f t="shared" si="4"/>
        <v>1695.5268877351534</v>
      </c>
      <c r="I21" s="160">
        <f>Production!Z41</f>
        <v>0</v>
      </c>
      <c r="J21" s="160">
        <f>'Selected Economics'!B21/'Selected Economics'!E21*'Sensitivity Ranges'!$F$47</f>
        <v>92.759268854401952</v>
      </c>
      <c r="K21" s="160">
        <f t="shared" si="5"/>
        <v>0</v>
      </c>
      <c r="L21" s="160">
        <f t="shared" si="6"/>
        <v>2023.2050824565088</v>
      </c>
      <c r="M21" s="156"/>
      <c r="N21" s="160">
        <f>D21*Abandonment!H26</f>
        <v>327.67819472135534</v>
      </c>
      <c r="O21" s="160">
        <f>H21*Abandonment!H26</f>
        <v>1695.5268877351534</v>
      </c>
      <c r="P21" s="160">
        <f>K21*Abandonment!H26</f>
        <v>0</v>
      </c>
      <c r="Q21" s="160">
        <f t="shared" si="10"/>
        <v>2023.2050824565088</v>
      </c>
      <c r="R21" s="156"/>
      <c r="S21" s="160">
        <f t="shared" si="7"/>
        <v>327.67819472135534</v>
      </c>
      <c r="T21" s="160">
        <f t="shared" si="2"/>
        <v>1695.5268877351534</v>
      </c>
      <c r="U21" s="160">
        <f t="shared" si="2"/>
        <v>0</v>
      </c>
      <c r="V21" s="160">
        <f t="shared" si="8"/>
        <v>2023.2050824565088</v>
      </c>
      <c r="W21" s="156"/>
      <c r="X21" s="160">
        <f>L21*Abandonment!H26</f>
        <v>2023.2050824565088</v>
      </c>
      <c r="Y21" s="93"/>
      <c r="Z21" s="93"/>
      <c r="AA21" s="93"/>
      <c r="AB21" s="93"/>
      <c r="AC21" s="93"/>
      <c r="AD21" s="93"/>
      <c r="AE21" s="93"/>
      <c r="AF21" s="93"/>
      <c r="AG21" s="93"/>
    </row>
    <row r="22" spans="1:33">
      <c r="A22" s="159">
        <f t="shared" si="9"/>
        <v>2026</v>
      </c>
      <c r="B22" s="160">
        <f>Production!X42</f>
        <v>39.641643358016111</v>
      </c>
      <c r="C22" s="160">
        <f>'Selected Economics'!D22/'Selected Economics'!E22*Input!$B$28/1000*'Sensitivity Ranges'!$F$42</f>
        <v>7.2097610827365353</v>
      </c>
      <c r="D22" s="160">
        <f t="shared" si="3"/>
        <v>285.80677753834584</v>
      </c>
      <c r="E22" s="160">
        <f>Production!Y42</f>
        <v>12.429574940587624</v>
      </c>
      <c r="F22" s="160">
        <f>'Selected Economics'!C22/'Selected Economics'!E22*'Sensitivity Ranges'!$F$47</f>
        <v>119.23200696694148</v>
      </c>
      <c r="G22" s="160"/>
      <c r="H22" s="160">
        <f t="shared" si="4"/>
        <v>1482.0031659122649</v>
      </c>
      <c r="I22" s="160">
        <f>Production!Z42</f>
        <v>0</v>
      </c>
      <c r="J22" s="160">
        <f>'Selected Economics'!B22/'Selected Economics'!E22*'Sensitivity Ranges'!$F$47</f>
        <v>95.385605573553192</v>
      </c>
      <c r="K22" s="160">
        <f t="shared" si="5"/>
        <v>0</v>
      </c>
      <c r="L22" s="160">
        <f t="shared" si="6"/>
        <v>1767.8099434506107</v>
      </c>
      <c r="M22" s="156"/>
      <c r="N22" s="160">
        <f>D22*Abandonment!H27</f>
        <v>285.80677753834584</v>
      </c>
      <c r="O22" s="160">
        <f>H22*Abandonment!H27</f>
        <v>1482.0031659122649</v>
      </c>
      <c r="P22" s="160">
        <f>K22*Abandonment!H27</f>
        <v>0</v>
      </c>
      <c r="Q22" s="160">
        <f t="shared" si="10"/>
        <v>1767.8099434506107</v>
      </c>
      <c r="R22" s="156"/>
      <c r="S22" s="160">
        <f t="shared" si="7"/>
        <v>285.80677753834584</v>
      </c>
      <c r="T22" s="160">
        <f t="shared" si="2"/>
        <v>1482.0031659122649</v>
      </c>
      <c r="U22" s="160">
        <f t="shared" si="2"/>
        <v>0</v>
      </c>
      <c r="V22" s="160">
        <f t="shared" si="8"/>
        <v>1767.8099434506107</v>
      </c>
      <c r="W22" s="156"/>
      <c r="X22" s="160">
        <f>L22*Abandonment!H27</f>
        <v>1767.8099434506107</v>
      </c>
      <c r="Y22" s="93"/>
      <c r="Z22" s="93"/>
      <c r="AA22" s="93"/>
      <c r="AB22" s="93"/>
      <c r="AC22" s="93"/>
      <c r="AD22" s="93"/>
      <c r="AE22" s="93"/>
      <c r="AF22" s="93"/>
      <c r="AG22" s="93"/>
    </row>
    <row r="23" spans="1:33">
      <c r="A23" s="159">
        <f t="shared" si="9"/>
        <v>2027</v>
      </c>
      <c r="B23" s="160">
        <f>Production!X43</f>
        <v>33.695396854313707</v>
      </c>
      <c r="C23" s="160">
        <f>'Selected Economics'!D23/'Selected Economics'!E23*Input!$B$28/1000*'Sensitivity Ranges'!$F$42</f>
        <v>7.3971472823074151</v>
      </c>
      <c r="D23" s="160">
        <f t="shared" si="3"/>
        <v>249.24981326715647</v>
      </c>
      <c r="E23" s="160">
        <f>Production!Y43</f>
        <v>10.565138699499485</v>
      </c>
      <c r="F23" s="160">
        <f>'Selected Economics'!C23/'Selected Economics'!E23*'Sensitivity Ranges'!$F$47</f>
        <v>122.58732694848339</v>
      </c>
      <c r="G23" s="160"/>
      <c r="H23" s="160">
        <f t="shared" si="4"/>
        <v>1295.1521120116181</v>
      </c>
      <c r="I23" s="160">
        <f>Production!Z43</f>
        <v>0</v>
      </c>
      <c r="J23" s="160">
        <f>'Selected Economics'!B23/'Selected Economics'!E23*'Sensitivity Ranges'!$F$47</f>
        <v>98.069861558786712</v>
      </c>
      <c r="K23" s="160">
        <f t="shared" si="5"/>
        <v>0</v>
      </c>
      <c r="L23" s="160">
        <f t="shared" si="6"/>
        <v>1544.4019252787746</v>
      </c>
      <c r="M23" s="156"/>
      <c r="N23" s="160">
        <f>D23*Abandonment!H28</f>
        <v>249.24981326715647</v>
      </c>
      <c r="O23" s="160">
        <f>H23*Abandonment!H28</f>
        <v>1295.1521120116181</v>
      </c>
      <c r="P23" s="160">
        <f>K23*Abandonment!H28</f>
        <v>0</v>
      </c>
      <c r="Q23" s="160">
        <f t="shared" si="10"/>
        <v>1544.4019252787746</v>
      </c>
      <c r="R23" s="156"/>
      <c r="S23" s="160">
        <f t="shared" si="7"/>
        <v>249.24981326715647</v>
      </c>
      <c r="T23" s="160">
        <f t="shared" si="2"/>
        <v>1295.1521120116181</v>
      </c>
      <c r="U23" s="160">
        <f t="shared" si="2"/>
        <v>0</v>
      </c>
      <c r="V23" s="160">
        <f t="shared" si="8"/>
        <v>1544.4019252787746</v>
      </c>
      <c r="W23" s="156"/>
      <c r="X23" s="160">
        <f>L23*Abandonment!H28</f>
        <v>1544.4019252787746</v>
      </c>
      <c r="Y23" s="93"/>
      <c r="Z23" s="93"/>
      <c r="AA23" s="93"/>
      <c r="AB23" s="93"/>
      <c r="AC23" s="93"/>
      <c r="AD23" s="93"/>
      <c r="AE23" s="93"/>
      <c r="AF23" s="93"/>
      <c r="AG23" s="93"/>
    </row>
    <row r="24" spans="1:33">
      <c r="A24" s="159">
        <f t="shared" si="9"/>
        <v>2028</v>
      </c>
      <c r="B24" s="160">
        <f>Production!X44</f>
        <v>28.713336281820407</v>
      </c>
      <c r="C24" s="160">
        <f>'Selected Economics'!D24/'Selected Economics'!E24*Input!$B$28/1000*'Sensitivity Ranges'!$F$42</f>
        <v>7.588334772163484</v>
      </c>
      <c r="D24" s="160">
        <f t="shared" si="3"/>
        <v>217.88640813216116</v>
      </c>
      <c r="E24" s="160">
        <f>Production!Y44</f>
        <v>9.0030214410122618</v>
      </c>
      <c r="F24" s="160">
        <f>'Selected Economics'!C24/'Selected Economics'!E24*'Sensitivity Ranges'!$F$47</f>
        <v>126.01647932790399</v>
      </c>
      <c r="G24" s="160"/>
      <c r="H24" s="160">
        <f t="shared" si="4"/>
        <v>1134.529065309998</v>
      </c>
      <c r="I24" s="160">
        <f>Production!Z44</f>
        <v>0</v>
      </c>
      <c r="J24" s="160">
        <f>'Selected Economics'!B24/'Selected Economics'!E24*'Sensitivity Ranges'!$F$47</f>
        <v>100.8131834623232</v>
      </c>
      <c r="K24" s="160">
        <f t="shared" si="5"/>
        <v>0</v>
      </c>
      <c r="L24" s="160">
        <f t="shared" si="6"/>
        <v>1352.4154734421593</v>
      </c>
      <c r="M24" s="156"/>
      <c r="N24" s="160">
        <f>D24*Abandonment!H29</f>
        <v>217.88640813216116</v>
      </c>
      <c r="O24" s="160">
        <f>H24*Abandonment!H29</f>
        <v>1134.529065309998</v>
      </c>
      <c r="P24" s="160">
        <f>K24*Abandonment!H29</f>
        <v>0</v>
      </c>
      <c r="Q24" s="160">
        <f t="shared" si="10"/>
        <v>1352.4154734421593</v>
      </c>
      <c r="R24" s="156"/>
      <c r="S24" s="160">
        <f t="shared" si="7"/>
        <v>217.88640813216116</v>
      </c>
      <c r="T24" s="160">
        <f t="shared" si="2"/>
        <v>1134.529065309998</v>
      </c>
      <c r="U24" s="160">
        <f t="shared" si="2"/>
        <v>0</v>
      </c>
      <c r="V24" s="160">
        <f t="shared" si="8"/>
        <v>1352.4154734421593</v>
      </c>
      <c r="W24" s="156"/>
      <c r="X24" s="160">
        <f>L24*Abandonment!H29</f>
        <v>1352.4154734421593</v>
      </c>
      <c r="Y24" s="93"/>
      <c r="Z24" s="93"/>
      <c r="AA24" s="93"/>
      <c r="AB24" s="93"/>
      <c r="AC24" s="93"/>
      <c r="AD24" s="93"/>
      <c r="AE24" s="93"/>
      <c r="AF24" s="93"/>
      <c r="AG24" s="93"/>
    </row>
    <row r="25" spans="1:33">
      <c r="A25" s="159">
        <f t="shared" si="9"/>
        <v>2029</v>
      </c>
      <c r="B25" s="160">
        <f>Production!X45</f>
        <v>24.334086883893573</v>
      </c>
      <c r="C25" s="160">
        <f>'Selected Economics'!D25/'Selected Economics'!E25*Input!$B$28/1000*'Sensitivity Ranges'!$F$42</f>
        <v>7.7833929528751584</v>
      </c>
      <c r="D25" s="160">
        <f t="shared" si="3"/>
        <v>189.40176036674904</v>
      </c>
      <c r="E25" s="160">
        <f>Production!Y45</f>
        <v>7.6299146784227165</v>
      </c>
      <c r="F25" s="160">
        <f>'Selected Economics'!C25/'Selected Economics'!E25*'Sensitivity Ranges'!$F$47</f>
        <v>129.52092413014381</v>
      </c>
      <c r="G25" s="160"/>
      <c r="H25" s="160">
        <f t="shared" si="4"/>
        <v>988.23360018345932</v>
      </c>
      <c r="I25" s="160">
        <f>Production!Z45</f>
        <v>0</v>
      </c>
      <c r="J25" s="160">
        <f>'Selected Economics'!B25/'Selected Economics'!E25*'Sensitivity Ranges'!$F$47</f>
        <v>103.61673930411504</v>
      </c>
      <c r="K25" s="160">
        <f t="shared" si="5"/>
        <v>0</v>
      </c>
      <c r="L25" s="160">
        <f t="shared" si="6"/>
        <v>1177.6353605502084</v>
      </c>
      <c r="M25" s="156"/>
      <c r="N25" s="160">
        <f>D25*Abandonment!H30</f>
        <v>189.40176036674904</v>
      </c>
      <c r="O25" s="160">
        <f>H25*Abandonment!H30</f>
        <v>988.23360018345932</v>
      </c>
      <c r="P25" s="160">
        <f>K25*Abandonment!H30</f>
        <v>0</v>
      </c>
      <c r="Q25" s="160">
        <f t="shared" si="10"/>
        <v>1177.6353605502084</v>
      </c>
      <c r="R25" s="156"/>
      <c r="S25" s="160">
        <f t="shared" si="7"/>
        <v>189.40176036674904</v>
      </c>
      <c r="T25" s="160">
        <f t="shared" si="2"/>
        <v>988.23360018345932</v>
      </c>
      <c r="U25" s="160">
        <f t="shared" si="2"/>
        <v>0</v>
      </c>
      <c r="V25" s="160">
        <f t="shared" si="8"/>
        <v>1177.6353605502084</v>
      </c>
      <c r="W25" s="156"/>
      <c r="X25" s="160">
        <f>L25*Abandonment!H30</f>
        <v>1177.6353605502084</v>
      </c>
      <c r="Y25" s="93"/>
      <c r="Z25" s="93"/>
      <c r="AA25" s="93"/>
      <c r="AB25" s="93"/>
      <c r="AC25" s="93"/>
      <c r="AD25" s="93"/>
      <c r="AE25" s="93"/>
      <c r="AF25" s="93"/>
      <c r="AG25" s="93"/>
    </row>
    <row r="26" spans="1:33">
      <c r="A26" s="159">
        <f t="shared" si="9"/>
        <v>2030</v>
      </c>
      <c r="B26" s="160">
        <f>Production!X46</f>
        <v>20.683973851309545</v>
      </c>
      <c r="C26" s="160">
        <f>'Selected Economics'!D26/'Selected Economics'!E26*Input!$B$28/1000*'Sensitivity Ranges'!$F$42</f>
        <v>7.9823924207866241</v>
      </c>
      <c r="D26" s="160">
        <f t="shared" si="3"/>
        <v>165.10759610244205</v>
      </c>
      <c r="E26" s="160">
        <f>Production!Y46</f>
        <v>6.4854274766593125</v>
      </c>
      <c r="F26" s="160">
        <f>'Selected Economics'!C26/'Selected Economics'!E26*'Sensitivity Ranges'!$F$47</f>
        <v>133.10214856860202</v>
      </c>
      <c r="G26" s="160"/>
      <c r="H26" s="160">
        <f t="shared" si="4"/>
        <v>863.22433152920155</v>
      </c>
      <c r="I26" s="160">
        <f>Production!Z46</f>
        <v>0</v>
      </c>
      <c r="J26" s="160">
        <f>'Selected Economics'!B26/'Selected Economics'!E26*'Sensitivity Ranges'!$F$47</f>
        <v>106.48171885488162</v>
      </c>
      <c r="K26" s="160">
        <f t="shared" si="5"/>
        <v>0</v>
      </c>
      <c r="L26" s="160">
        <f t="shared" si="6"/>
        <v>1028.3319276316436</v>
      </c>
      <c r="M26" s="156"/>
      <c r="N26" s="160">
        <f>D26*Abandonment!H31</f>
        <v>165.10759610244205</v>
      </c>
      <c r="O26" s="160">
        <f>H26*Abandonment!H31</f>
        <v>863.22433152920155</v>
      </c>
      <c r="P26" s="160">
        <f>K26*Abandonment!H31</f>
        <v>0</v>
      </c>
      <c r="Q26" s="160">
        <f t="shared" si="10"/>
        <v>1028.3319276316436</v>
      </c>
      <c r="R26" s="156"/>
      <c r="S26" s="160">
        <f t="shared" si="7"/>
        <v>165.10759610244205</v>
      </c>
      <c r="T26" s="160">
        <f t="shared" si="2"/>
        <v>863.22433152920155</v>
      </c>
      <c r="U26" s="160">
        <f t="shared" si="2"/>
        <v>0</v>
      </c>
      <c r="V26" s="160">
        <f t="shared" si="8"/>
        <v>1028.3319276316436</v>
      </c>
      <c r="W26" s="156"/>
      <c r="X26" s="160">
        <f>L26*Abandonment!H31</f>
        <v>1028.3319276316436</v>
      </c>
      <c r="Y26" s="93"/>
      <c r="Z26" s="93"/>
      <c r="AA26" s="93"/>
      <c r="AB26" s="93"/>
      <c r="AC26" s="93"/>
      <c r="AD26" s="93"/>
      <c r="AE26" s="93"/>
      <c r="AF26" s="93"/>
      <c r="AG26" s="93"/>
    </row>
    <row r="27" spans="1:33">
      <c r="A27" s="159">
        <f t="shared" si="9"/>
        <v>2031</v>
      </c>
      <c r="B27" s="160">
        <f>Production!X47</f>
        <v>17.581377773613106</v>
      </c>
      <c r="C27" s="160">
        <f>'Selected Economics'!D27/'Selected Economics'!E27*Input!$B$28/1000*'Sensitivity Ranges'!$F$42</f>
        <v>8.1854049878869919</v>
      </c>
      <c r="D27" s="160">
        <f t="shared" si="3"/>
        <v>143.91069732205821</v>
      </c>
      <c r="E27" s="160">
        <f>Production!Y47</f>
        <v>5.5126133551604131</v>
      </c>
      <c r="F27" s="160">
        <f>'Selected Economics'!C27/'Selected Economics'!E27*'Sensitivity Ranges'!$F$47</f>
        <v>136.76166753228472</v>
      </c>
      <c r="G27" s="160"/>
      <c r="H27" s="160">
        <f t="shared" si="4"/>
        <v>753.91419491248098</v>
      </c>
      <c r="I27" s="160">
        <f>Production!Z47</f>
        <v>0</v>
      </c>
      <c r="J27" s="160">
        <f>'Selected Economics'!B27/'Selected Economics'!E27*'Sensitivity Ranges'!$F$47</f>
        <v>109.40933402582777</v>
      </c>
      <c r="K27" s="160">
        <f t="shared" si="5"/>
        <v>0</v>
      </c>
      <c r="L27" s="160">
        <f t="shared" si="6"/>
        <v>897.82489223453922</v>
      </c>
      <c r="M27" s="156"/>
      <c r="N27" s="160">
        <f>D27*Abandonment!H32</f>
        <v>143.91069732205821</v>
      </c>
      <c r="O27" s="160">
        <f>H27*Abandonment!H32</f>
        <v>753.91419491248098</v>
      </c>
      <c r="P27" s="160">
        <f>K27*Abandonment!H32</f>
        <v>0</v>
      </c>
      <c r="Q27" s="160">
        <f t="shared" si="10"/>
        <v>897.82489223453922</v>
      </c>
      <c r="R27" s="156"/>
      <c r="S27" s="160">
        <f t="shared" si="7"/>
        <v>143.91069732205821</v>
      </c>
      <c r="T27" s="160">
        <f t="shared" si="2"/>
        <v>753.91419491248098</v>
      </c>
      <c r="U27" s="160">
        <f t="shared" si="2"/>
        <v>0</v>
      </c>
      <c r="V27" s="160">
        <f t="shared" si="8"/>
        <v>897.82489223453922</v>
      </c>
      <c r="W27" s="156"/>
      <c r="X27" s="160">
        <f>L27*Abandonment!H32</f>
        <v>897.82489223453922</v>
      </c>
      <c r="Y27" s="93"/>
      <c r="Z27" s="93"/>
      <c r="AA27" s="93"/>
      <c r="AB27" s="93"/>
      <c r="AC27" s="93"/>
      <c r="AD27" s="93"/>
      <c r="AE27" s="93"/>
      <c r="AF27" s="93"/>
      <c r="AG27" s="93"/>
    </row>
    <row r="28" spans="1:33">
      <c r="A28" s="159">
        <f t="shared" si="9"/>
        <v>2032</v>
      </c>
      <c r="B28" s="160">
        <f>Production!X48</f>
        <v>14.981868725100059</v>
      </c>
      <c r="C28" s="160">
        <f>'Selected Economics'!D28/'Selected Economics'!E28*Input!$B$28/1000*'Sensitivity Ranges'!$F$42</f>
        <v>8.3925037020037223</v>
      </c>
      <c r="D28" s="160">
        <f t="shared" si="3"/>
        <v>125.73538873833603</v>
      </c>
      <c r="E28" s="160">
        <f>Production!Y48</f>
        <v>4.6975413805850996</v>
      </c>
      <c r="F28" s="160">
        <f>'Selected Economics'!C28/'Selected Economics'!E28*'Sensitivity Ranges'!$F$47</f>
        <v>140.50102408144997</v>
      </c>
      <c r="G28" s="160"/>
      <c r="H28" s="160">
        <f t="shared" si="4"/>
        <v>660.00937463719481</v>
      </c>
      <c r="I28" s="160">
        <f>Production!Z48</f>
        <v>0</v>
      </c>
      <c r="J28" s="160">
        <f>'Selected Economics'!B28/'Selected Economics'!E28*'Sensitivity Ranges'!$F$47</f>
        <v>112.40081926515995</v>
      </c>
      <c r="K28" s="160">
        <f t="shared" si="5"/>
        <v>0</v>
      </c>
      <c r="L28" s="160">
        <f t="shared" si="6"/>
        <v>785.74476337553085</v>
      </c>
      <c r="M28" s="156"/>
      <c r="N28" s="160">
        <f>D28*Abandonment!H33</f>
        <v>125.73538873833603</v>
      </c>
      <c r="O28" s="160">
        <f>H28*Abandonment!H33</f>
        <v>660.00937463719481</v>
      </c>
      <c r="P28" s="160">
        <f>K28*Abandonment!H33</f>
        <v>0</v>
      </c>
      <c r="Q28" s="160">
        <f t="shared" si="10"/>
        <v>785.74476337553085</v>
      </c>
      <c r="R28" s="156"/>
      <c r="S28" s="160">
        <f t="shared" si="7"/>
        <v>125.73538873833603</v>
      </c>
      <c r="T28" s="160">
        <f t="shared" si="2"/>
        <v>660.00937463719481</v>
      </c>
      <c r="U28" s="160">
        <f t="shared" si="2"/>
        <v>0</v>
      </c>
      <c r="V28" s="160">
        <f t="shared" si="8"/>
        <v>785.74476337553085</v>
      </c>
      <c r="W28" s="156"/>
      <c r="X28" s="160">
        <f>L28*Abandonment!H33</f>
        <v>785.74476337553085</v>
      </c>
      <c r="Y28" s="93"/>
      <c r="Z28" s="93"/>
      <c r="AA28" s="93"/>
      <c r="AB28" s="93"/>
      <c r="AC28" s="93"/>
      <c r="AD28" s="93"/>
      <c r="AE28" s="93"/>
      <c r="AF28" s="93"/>
      <c r="AG28" s="93"/>
    </row>
    <row r="29" spans="1:33">
      <c r="A29" s="159">
        <f t="shared" si="9"/>
        <v>2033</v>
      </c>
      <c r="B29" s="160">
        <f>Production!X49</f>
        <v>12.696890798806134</v>
      </c>
      <c r="C29" s="160">
        <f>'Selected Economics'!D29/'Selected Economics'!E29*Input!$B$28/1000*'Sensitivity Ranges'!$F$42</f>
        <v>8.6037628673234323</v>
      </c>
      <c r="D29" s="160">
        <f t="shared" si="3"/>
        <v>109.24103758522877</v>
      </c>
      <c r="E29" s="160">
        <f>Production!Y49</f>
        <v>3.9810901447985874</v>
      </c>
      <c r="F29" s="160">
        <f>'Selected Economics'!C29/'Selected Economics'!E29*'Sensitivity Ranges'!$F$47</f>
        <v>144.32178995189537</v>
      </c>
      <c r="G29" s="160"/>
      <c r="H29" s="160">
        <f t="shared" si="4"/>
        <v>574.55805565718242</v>
      </c>
      <c r="I29" s="160">
        <f>Production!Z49</f>
        <v>0</v>
      </c>
      <c r="J29" s="160">
        <f>'Selected Economics'!B29/'Selected Economics'!E29*'Sensitivity Ranges'!$F$47</f>
        <v>115.45743196151628</v>
      </c>
      <c r="K29" s="160">
        <f t="shared" si="5"/>
        <v>0</v>
      </c>
      <c r="L29" s="160">
        <f t="shared" si="6"/>
        <v>683.79909324241123</v>
      </c>
      <c r="M29" s="156"/>
      <c r="N29" s="160">
        <f>D29*Abandonment!H34</f>
        <v>109.24103758522877</v>
      </c>
      <c r="O29" s="160">
        <f>H29*Abandonment!H34</f>
        <v>574.55805565718242</v>
      </c>
      <c r="P29" s="160">
        <f>K29*Abandonment!H34</f>
        <v>0</v>
      </c>
      <c r="Q29" s="160">
        <f t="shared" si="10"/>
        <v>683.79909324241123</v>
      </c>
      <c r="R29" s="156"/>
      <c r="S29" s="160">
        <f t="shared" si="7"/>
        <v>109.24103758522877</v>
      </c>
      <c r="T29" s="160">
        <f t="shared" si="2"/>
        <v>574.55805565718242</v>
      </c>
      <c r="U29" s="160">
        <f t="shared" si="2"/>
        <v>0</v>
      </c>
      <c r="V29" s="160">
        <f t="shared" si="8"/>
        <v>683.79909324241123</v>
      </c>
      <c r="W29" s="156"/>
      <c r="X29" s="160">
        <f>L29*Abandonment!H34</f>
        <v>683.79909324241123</v>
      </c>
      <c r="Y29" s="93"/>
      <c r="Z29" s="93"/>
      <c r="AA29" s="93"/>
      <c r="AB29" s="93"/>
      <c r="AC29" s="93"/>
      <c r="AD29" s="93"/>
      <c r="AE29" s="93"/>
      <c r="AF29" s="93"/>
      <c r="AG29" s="93"/>
    </row>
    <row r="30" spans="1:33">
      <c r="A30" s="159">
        <f t="shared" si="9"/>
        <v>2034</v>
      </c>
      <c r="B30" s="160">
        <f>Production!X50</f>
        <v>10.792357178985197</v>
      </c>
      <c r="C30" s="160">
        <f>'Selected Economics'!D30/'Selected Economics'!E30*Input!$B$28/1000*'Sensitivity Ranges'!$F$42</f>
        <v>8.819258065245311</v>
      </c>
      <c r="D30" s="160">
        <f t="shared" si="3"/>
        <v>95.180583093773336</v>
      </c>
      <c r="E30" s="160">
        <f>Production!Y50</f>
        <v>3.3839266230787941</v>
      </c>
      <c r="F30" s="160">
        <f>'Selected Economics'!C30/'Selected Economics'!E30*'Sensitivity Ranges'!$F$47</f>
        <v>148.22556606803585</v>
      </c>
      <c r="G30" s="160"/>
      <c r="H30" s="160">
        <f t="shared" si="4"/>
        <v>501.58443923855123</v>
      </c>
      <c r="I30" s="160">
        <f>Production!Z50</f>
        <v>0</v>
      </c>
      <c r="J30" s="160">
        <f>'Selected Economics'!B30/'Selected Economics'!E30*'Sensitivity Ranges'!$F$47</f>
        <v>118.58045285442867</v>
      </c>
      <c r="K30" s="160">
        <f t="shared" si="5"/>
        <v>0</v>
      </c>
      <c r="L30" s="160">
        <f t="shared" si="6"/>
        <v>596.76502233232452</v>
      </c>
      <c r="M30" s="156"/>
      <c r="N30" s="160">
        <f>D30*Abandonment!H35</f>
        <v>95.180583093773336</v>
      </c>
      <c r="O30" s="160">
        <f>H30*Abandonment!H35</f>
        <v>501.58443923855123</v>
      </c>
      <c r="P30" s="160">
        <f>K30*Abandonment!H35</f>
        <v>0</v>
      </c>
      <c r="Q30" s="160">
        <f t="shared" si="10"/>
        <v>596.76502233232452</v>
      </c>
      <c r="R30" s="156"/>
      <c r="S30" s="160">
        <f t="shared" si="7"/>
        <v>95.180583093773336</v>
      </c>
      <c r="T30" s="160">
        <f t="shared" si="2"/>
        <v>501.58443923855123</v>
      </c>
      <c r="U30" s="160">
        <f t="shared" si="2"/>
        <v>0</v>
      </c>
      <c r="V30" s="160">
        <f t="shared" si="8"/>
        <v>596.76502233232452</v>
      </c>
      <c r="W30" s="156"/>
      <c r="X30" s="160">
        <f>L30*Abandonment!H35</f>
        <v>596.76502233232452</v>
      </c>
      <c r="Y30" s="93"/>
      <c r="Z30" s="93"/>
      <c r="AA30" s="93"/>
      <c r="AB30" s="93"/>
      <c r="AC30" s="93"/>
      <c r="AD30" s="93"/>
      <c r="AE30" s="93"/>
      <c r="AF30" s="93"/>
      <c r="AG30" s="93"/>
    </row>
    <row r="31" spans="1:33">
      <c r="A31" s="159">
        <f t="shared" si="9"/>
        <v>2035</v>
      </c>
      <c r="B31" s="160">
        <f>Production!X51</f>
        <v>9.1735036021374423</v>
      </c>
      <c r="C31" s="160">
        <f>'Selected Economics'!D31/'Selected Economics'!E31*Input!$B$28/1000*'Sensitivity Ranges'!$F$42</f>
        <v>9.0390661755724153</v>
      </c>
      <c r="D31" s="160">
        <f t="shared" si="3"/>
        <v>82.919906121572268</v>
      </c>
      <c r="E31" s="160">
        <f>Production!Y51</f>
        <v>2.876337629616982</v>
      </c>
      <c r="F31" s="160">
        <f>'Selected Economics'!C31/'Selected Economics'!E31*'Sensitivity Ranges'!$F$47</f>
        <v>152.21398306492134</v>
      </c>
      <c r="G31" s="160"/>
      <c r="H31" s="160">
        <f t="shared" si="4"/>
        <v>437.81880724351527</v>
      </c>
      <c r="I31" s="160">
        <f>Production!Z51</f>
        <v>0</v>
      </c>
      <c r="J31" s="160">
        <f>'Selected Economics'!B31/'Selected Economics'!E31*'Sensitivity Ranges'!$F$47</f>
        <v>121.77118645193707</v>
      </c>
      <c r="K31" s="160">
        <f t="shared" si="5"/>
        <v>0</v>
      </c>
      <c r="L31" s="160">
        <f t="shared" si="6"/>
        <v>520.73871336508751</v>
      </c>
      <c r="M31" s="156"/>
      <c r="N31" s="160">
        <f>D31*Abandonment!H36</f>
        <v>82.919906121572268</v>
      </c>
      <c r="O31" s="160">
        <f>H31*Abandonment!H36</f>
        <v>437.81880724351527</v>
      </c>
      <c r="P31" s="160">
        <f>K31*Abandonment!H36</f>
        <v>0</v>
      </c>
      <c r="Q31" s="160">
        <f t="shared" si="10"/>
        <v>520.73871336508751</v>
      </c>
      <c r="R31" s="156"/>
      <c r="S31" s="160">
        <f t="shared" si="7"/>
        <v>82.919906121572268</v>
      </c>
      <c r="T31" s="160">
        <f t="shared" si="2"/>
        <v>437.81880724351527</v>
      </c>
      <c r="U31" s="160">
        <f t="shared" si="2"/>
        <v>0</v>
      </c>
      <c r="V31" s="160">
        <f t="shared" si="8"/>
        <v>520.73871336508751</v>
      </c>
      <c r="W31" s="156"/>
      <c r="X31" s="160">
        <f>L31*Abandonment!H36</f>
        <v>520.73871336508751</v>
      </c>
      <c r="Y31" s="93"/>
      <c r="Z31" s="93"/>
      <c r="AA31" s="93"/>
      <c r="AB31" s="93"/>
      <c r="AC31" s="93"/>
      <c r="AD31" s="93"/>
      <c r="AE31" s="93"/>
      <c r="AF31" s="93"/>
      <c r="AG31" s="93"/>
    </row>
    <row r="32" spans="1:33">
      <c r="A32" s="159">
        <f t="shared" si="9"/>
        <v>2036</v>
      </c>
      <c r="B32" s="160">
        <f>Production!X52</f>
        <v>7.8171476937788942</v>
      </c>
      <c r="C32" s="160">
        <f>'Selected Economics'!D32/'Selected Economics'!E32*Input!$B$28/1000*'Sensitivity Ranges'!$F$42</f>
        <v>9.2632653980462845</v>
      </c>
      <c r="D32" s="160">
        <f t="shared" si="3"/>
        <v>72.412313743199348</v>
      </c>
      <c r="E32" s="160">
        <f>Production!Y52</f>
        <v>2.4510543673467198</v>
      </c>
      <c r="F32" s="160">
        <f>'Selected Economics'!C32/'Selected Economics'!E32*'Sensitivity Ranges'!$F$47</f>
        <v>156.28870181934806</v>
      </c>
      <c r="G32" s="160"/>
      <c r="H32" s="160">
        <f t="shared" si="4"/>
        <v>383.0721051612623</v>
      </c>
      <c r="I32" s="160">
        <f>Production!Z52</f>
        <v>0</v>
      </c>
      <c r="J32" s="160">
        <f>'Selected Economics'!B32/'Selected Economics'!E32*'Sensitivity Ranges'!$F$47</f>
        <v>125.03096145547846</v>
      </c>
      <c r="K32" s="160">
        <f t="shared" si="5"/>
        <v>0</v>
      </c>
      <c r="L32" s="160">
        <f t="shared" si="6"/>
        <v>455.48441890446168</v>
      </c>
      <c r="M32" s="156"/>
      <c r="N32" s="160">
        <f>D32*Abandonment!H37</f>
        <v>72.412313743199348</v>
      </c>
      <c r="O32" s="160">
        <f>H32*Abandonment!H37</f>
        <v>383.0721051612623</v>
      </c>
      <c r="P32" s="160">
        <f>K32*Abandonment!H37</f>
        <v>0</v>
      </c>
      <c r="Q32" s="160">
        <f t="shared" si="10"/>
        <v>455.48441890446168</v>
      </c>
      <c r="R32" s="156"/>
      <c r="S32" s="160">
        <f t="shared" si="7"/>
        <v>72.412313743199348</v>
      </c>
      <c r="T32" s="160">
        <f t="shared" si="2"/>
        <v>383.0721051612623</v>
      </c>
      <c r="U32" s="160">
        <f t="shared" si="2"/>
        <v>0</v>
      </c>
      <c r="V32" s="160">
        <f t="shared" si="8"/>
        <v>455.48441890446168</v>
      </c>
      <c r="W32" s="156"/>
      <c r="X32" s="160">
        <f>L32*Abandonment!H37</f>
        <v>455.48441890446168</v>
      </c>
      <c r="Y32" s="93"/>
      <c r="Z32" s="93"/>
      <c r="AA32" s="93"/>
      <c r="AB32" s="93"/>
      <c r="AC32" s="93"/>
      <c r="AD32" s="93"/>
      <c r="AE32" s="93"/>
      <c r="AF32" s="93"/>
      <c r="AG32" s="93"/>
    </row>
    <row r="33" spans="1:33">
      <c r="A33" s="159">
        <f t="shared" si="9"/>
        <v>2037</v>
      </c>
      <c r="B33" s="160">
        <f>Production!X53</f>
        <v>6.6249059077499908</v>
      </c>
      <c r="C33" s="160">
        <f>'Selected Economics'!D33/'Selected Economics'!E33*Input!$B$28/1000*'Sensitivity Ranges'!$F$42</f>
        <v>9.4919352742302632</v>
      </c>
      <c r="D33" s="160">
        <f t="shared" si="3"/>
        <v>62.883178074228596</v>
      </c>
      <c r="E33" s="160">
        <f>Production!Y53</f>
        <v>2.0772288300724266</v>
      </c>
      <c r="F33" s="160">
        <f>'Selected Economics'!C33/'Selected Economics'!E33*'Sensitivity Ranges'!$F$47</f>
        <v>160.45141399021799</v>
      </c>
      <c r="G33" s="160"/>
      <c r="H33" s="160">
        <f t="shared" si="4"/>
        <v>333.29430296636707</v>
      </c>
      <c r="I33" s="160">
        <f>Production!Z53</f>
        <v>0</v>
      </c>
      <c r="J33" s="160">
        <f>'Selected Economics'!B33/'Selected Economics'!E33*'Sensitivity Ranges'!$F$47</f>
        <v>128.36113119217441</v>
      </c>
      <c r="K33" s="160">
        <f t="shared" si="5"/>
        <v>0</v>
      </c>
      <c r="L33" s="160">
        <f t="shared" si="6"/>
        <v>396.17748104059569</v>
      </c>
      <c r="M33" s="156"/>
      <c r="N33" s="160">
        <f>D33*Abandonment!H38</f>
        <v>62.883178074228596</v>
      </c>
      <c r="O33" s="160">
        <f>H33*Abandonment!H38</f>
        <v>333.29430296636707</v>
      </c>
      <c r="P33" s="160">
        <f>K33*Abandonment!H38</f>
        <v>0</v>
      </c>
      <c r="Q33" s="160">
        <f t="shared" si="10"/>
        <v>396.17748104059569</v>
      </c>
      <c r="R33" s="156"/>
      <c r="S33" s="160">
        <f t="shared" si="7"/>
        <v>62.883178074228596</v>
      </c>
      <c r="T33" s="160">
        <f t="shared" si="2"/>
        <v>333.29430296636707</v>
      </c>
      <c r="U33" s="160">
        <f t="shared" si="2"/>
        <v>0</v>
      </c>
      <c r="V33" s="160">
        <f t="shared" si="8"/>
        <v>396.17748104059569</v>
      </c>
      <c r="W33" s="156"/>
      <c r="X33" s="160">
        <f>L33*Abandonment!H38</f>
        <v>396.17748104059569</v>
      </c>
      <c r="Y33" s="93"/>
      <c r="Z33" s="93"/>
      <c r="AA33" s="93"/>
      <c r="AB33" s="93"/>
      <c r="AC33" s="93"/>
      <c r="AD33" s="93"/>
      <c r="AE33" s="93"/>
      <c r="AF33" s="93"/>
      <c r="AG33" s="93"/>
    </row>
    <row r="34" spans="1:33">
      <c r="A34" s="159">
        <f t="shared" si="9"/>
        <v>2038</v>
      </c>
      <c r="B34" s="160">
        <f>Production!X54</f>
        <v>5.63117002158749</v>
      </c>
      <c r="C34" s="160">
        <f>'Selected Economics'!D34/'Selected Economics'!E34*Input!$B$28/1000*'Sensitivity Ranges'!$F$42</f>
        <v>9.7251567097471696</v>
      </c>
      <c r="D34" s="160">
        <f t="shared" si="3"/>
        <v>54.76401091916869</v>
      </c>
      <c r="E34" s="160">
        <f>Production!Y54</f>
        <v>1.7656445055615619</v>
      </c>
      <c r="F34" s="160">
        <f>'Selected Economics'!C34/'Selected Economics'!E34*'Sensitivity Ranges'!$F$47</f>
        <v>164.70384256830468</v>
      </c>
      <c r="G34" s="160"/>
      <c r="H34" s="160">
        <f t="shared" si="4"/>
        <v>290.80843467560368</v>
      </c>
      <c r="I34" s="160">
        <f>Production!Z54</f>
        <v>0</v>
      </c>
      <c r="J34" s="160">
        <f>'Selected Economics'!B34/'Selected Economics'!E34*'Sensitivity Ranges'!$F$47</f>
        <v>131.76307405464377</v>
      </c>
      <c r="K34" s="160">
        <f t="shared" si="5"/>
        <v>0</v>
      </c>
      <c r="L34" s="160">
        <f t="shared" si="6"/>
        <v>345.57244559477238</v>
      </c>
      <c r="M34" s="156"/>
      <c r="N34" s="160">
        <f>D34*Abandonment!H39</f>
        <v>54.76401091916869</v>
      </c>
      <c r="O34" s="160">
        <f>H34*Abandonment!H39</f>
        <v>290.80843467560368</v>
      </c>
      <c r="P34" s="160">
        <f>K34*Abandonment!H39</f>
        <v>0</v>
      </c>
      <c r="Q34" s="160">
        <f t="shared" si="10"/>
        <v>345.57244559477238</v>
      </c>
      <c r="R34" s="156"/>
      <c r="S34" s="160">
        <f t="shared" si="7"/>
        <v>54.76401091916869</v>
      </c>
      <c r="T34" s="160">
        <f t="shared" si="2"/>
        <v>290.80843467560368</v>
      </c>
      <c r="U34" s="160">
        <f t="shared" si="2"/>
        <v>0</v>
      </c>
      <c r="V34" s="160">
        <f t="shared" si="8"/>
        <v>345.57244559477238</v>
      </c>
      <c r="W34" s="156"/>
      <c r="X34" s="160">
        <f>L34*Abandonment!H39</f>
        <v>345.57244559477238</v>
      </c>
      <c r="Y34" s="93"/>
      <c r="Z34" s="93"/>
      <c r="AA34" s="93"/>
      <c r="AB34" s="93"/>
      <c r="AC34" s="93"/>
      <c r="AD34" s="93"/>
      <c r="AE34" s="93"/>
      <c r="AF34" s="93"/>
      <c r="AG34" s="93"/>
    </row>
    <row r="35" spans="1:33">
      <c r="A35" s="159">
        <f t="shared" si="9"/>
        <v>2039</v>
      </c>
      <c r="B35" s="160">
        <f>Production!X55</f>
        <v>4.7864945183493584</v>
      </c>
      <c r="C35" s="160">
        <f>'Selected Economics'!D35/'Selected Economics'!E35*Input!$B$28/1000*'Sensitivity Ranges'!$F$42</f>
        <v>9.9630119968768707</v>
      </c>
      <c r="D35" s="160">
        <f t="shared" si="3"/>
        <v>47.687902309300036</v>
      </c>
      <c r="E35" s="160">
        <f>Production!Y55</f>
        <v>1.500797829727325</v>
      </c>
      <c r="F35" s="160">
        <f>'Selected Economics'!C35/'Selected Economics'!E35*'Sensitivity Ranges'!$F$47</f>
        <v>169.04774243558617</v>
      </c>
      <c r="G35" s="160"/>
      <c r="H35" s="160">
        <f t="shared" si="4"/>
        <v>253.70648496763155</v>
      </c>
      <c r="I35" s="160">
        <f>Production!Z55</f>
        <v>0</v>
      </c>
      <c r="J35" s="160">
        <f>'Selected Economics'!B35/'Selected Economics'!E35*'Sensitivity Ranges'!$F$47</f>
        <v>135.23819394846896</v>
      </c>
      <c r="K35" s="160">
        <f t="shared" si="5"/>
        <v>0</v>
      </c>
      <c r="L35" s="160">
        <f t="shared" si="6"/>
        <v>301.39438727693158</v>
      </c>
      <c r="M35" s="156"/>
      <c r="N35" s="160">
        <f>D35*Abandonment!H40</f>
        <v>47.687902309300036</v>
      </c>
      <c r="O35" s="160">
        <f>H35*Abandonment!H40</f>
        <v>253.70648496763155</v>
      </c>
      <c r="P35" s="160">
        <f>K35*Abandonment!H40</f>
        <v>0</v>
      </c>
      <c r="Q35" s="160">
        <f t="shared" si="10"/>
        <v>301.39438727693158</v>
      </c>
      <c r="R35" s="156"/>
      <c r="S35" s="160">
        <f t="shared" si="7"/>
        <v>47.687902309300036</v>
      </c>
      <c r="T35" s="160">
        <f t="shared" si="2"/>
        <v>253.70648496763155</v>
      </c>
      <c r="U35" s="160">
        <f t="shared" si="2"/>
        <v>0</v>
      </c>
      <c r="V35" s="160">
        <f t="shared" si="8"/>
        <v>301.39438727693158</v>
      </c>
      <c r="W35" s="156"/>
      <c r="X35" s="160">
        <f>L35*Abandonment!H40</f>
        <v>301.39438727693158</v>
      </c>
      <c r="Y35" s="93"/>
      <c r="Z35" s="93"/>
      <c r="AA35" s="93"/>
      <c r="AB35" s="93"/>
      <c r="AC35" s="93"/>
      <c r="AD35" s="93"/>
      <c r="AE35" s="93"/>
      <c r="AF35" s="93"/>
      <c r="AG35" s="93"/>
    </row>
    <row r="36" spans="1:33">
      <c r="A36" s="159">
        <f t="shared" si="9"/>
        <v>2040</v>
      </c>
      <c r="B36" s="160">
        <f>Production!X56</f>
        <v>4.0787834406782135</v>
      </c>
      <c r="C36" s="160">
        <f>'Selected Economics'!D36/'Selected Economics'!E36*Input!$B$28/1000*'Sensitivity Ranges'!$F$42</f>
        <v>10.205584837519561</v>
      </c>
      <c r="D36" s="160">
        <f t="shared" si="3"/>
        <v>41.626370437711444</v>
      </c>
      <c r="E36" s="160">
        <f>Production!Y56</f>
        <v>1.2788961341605409</v>
      </c>
      <c r="F36" s="160">
        <f>'Selected Economics'!C36/'Selected Economics'!E36*'Sensitivity Ranges'!$F$47</f>
        <v>173.48490093430823</v>
      </c>
      <c r="G36" s="160"/>
      <c r="H36" s="160">
        <f t="shared" si="4"/>
        <v>221.86916914011121</v>
      </c>
      <c r="I36" s="160">
        <f>Production!Z56</f>
        <v>0</v>
      </c>
      <c r="J36" s="160">
        <f>'Selected Economics'!B36/'Selected Economics'!E36*'Sensitivity Ranges'!$F$47</f>
        <v>138.78792074744661</v>
      </c>
      <c r="K36" s="160">
        <f t="shared" si="5"/>
        <v>0</v>
      </c>
      <c r="L36" s="160">
        <f t="shared" si="6"/>
        <v>263.49553957782268</v>
      </c>
      <c r="M36" s="156"/>
      <c r="N36" s="160">
        <f>D36*Abandonment!H41</f>
        <v>41.626370437711444</v>
      </c>
      <c r="O36" s="160">
        <f>H36*Abandonment!H41</f>
        <v>221.86916914011121</v>
      </c>
      <c r="P36" s="160">
        <f>K36*Abandonment!H41</f>
        <v>0</v>
      </c>
      <c r="Q36" s="160">
        <f t="shared" si="10"/>
        <v>263.49553957782268</v>
      </c>
      <c r="R36" s="156"/>
      <c r="S36" s="160">
        <f t="shared" si="7"/>
        <v>41.626370437711444</v>
      </c>
      <c r="T36" s="160">
        <f t="shared" si="2"/>
        <v>221.86916914011121</v>
      </c>
      <c r="U36" s="160">
        <f t="shared" si="2"/>
        <v>0</v>
      </c>
      <c r="V36" s="160">
        <f t="shared" si="8"/>
        <v>263.49553957782268</v>
      </c>
      <c r="W36" s="156"/>
      <c r="X36" s="160">
        <f>L36*Abandonment!H41</f>
        <v>263.49553957782268</v>
      </c>
      <c r="Y36" s="93"/>
      <c r="Z36" s="93"/>
      <c r="AA36" s="93"/>
      <c r="AB36" s="93"/>
      <c r="AC36" s="93"/>
      <c r="AD36" s="93"/>
      <c r="AE36" s="93"/>
      <c r="AF36" s="93"/>
      <c r="AG36" s="93"/>
    </row>
    <row r="37" spans="1:33">
      <c r="A37" s="159">
        <f t="shared" si="9"/>
        <v>2041</v>
      </c>
      <c r="B37" s="160">
        <f>Production!X57</f>
        <v>3.4567028244952218</v>
      </c>
      <c r="C37" s="160">
        <f>'Selected Economics'!D37/'Selected Economics'!E37*Input!$B$28/1000*'Sensitivity Ranges'!$F$42</f>
        <v>10.547252122978671</v>
      </c>
      <c r="D37" s="160">
        <f t="shared" si="3"/>
        <v>36.458716204163593</v>
      </c>
      <c r="E37" s="160">
        <f>Production!Y57</f>
        <v>1.083843735144145</v>
      </c>
      <c r="F37" s="160">
        <f>'Selected Economics'!C37/'Selected Economics'!E37*'Sensitivity Ranges'!$F$47</f>
        <v>179.3037811110247</v>
      </c>
      <c r="G37" s="160"/>
      <c r="H37" s="160">
        <f t="shared" si="4"/>
        <v>194.33727984484122</v>
      </c>
      <c r="I37" s="160">
        <f>Production!Z57</f>
        <v>0</v>
      </c>
      <c r="J37" s="160">
        <f>'Selected Economics'!B37/'Selected Economics'!E37*'Sensitivity Ranges'!$F$47</f>
        <v>143.44302488881979</v>
      </c>
      <c r="K37" s="160">
        <f t="shared" si="5"/>
        <v>0</v>
      </c>
      <c r="L37" s="160">
        <f t="shared" si="6"/>
        <v>230.79599604900483</v>
      </c>
      <c r="M37" s="156"/>
      <c r="N37" s="160">
        <f>D37*Abandonment!H42</f>
        <v>0</v>
      </c>
      <c r="O37" s="160">
        <f>H37*Abandonment!H42</f>
        <v>0</v>
      </c>
      <c r="P37" s="160">
        <f>K37*Abandonment!H42</f>
        <v>0</v>
      </c>
      <c r="Q37" s="160">
        <f t="shared" si="10"/>
        <v>0</v>
      </c>
      <c r="R37" s="156"/>
      <c r="S37" s="160">
        <f t="shared" si="7"/>
        <v>0</v>
      </c>
      <c r="T37" s="160">
        <f t="shared" si="2"/>
        <v>0</v>
      </c>
      <c r="U37" s="160">
        <f t="shared" si="2"/>
        <v>0</v>
      </c>
      <c r="V37" s="160">
        <f t="shared" si="8"/>
        <v>0</v>
      </c>
      <c r="W37" s="156"/>
      <c r="X37" s="160">
        <f>L37*Abandonment!H42</f>
        <v>0</v>
      </c>
      <c r="Y37" s="93"/>
      <c r="Z37" s="93"/>
      <c r="AA37" s="93"/>
      <c r="AB37" s="93"/>
      <c r="AC37" s="93"/>
      <c r="AD37" s="93"/>
      <c r="AE37" s="93"/>
      <c r="AF37" s="93"/>
      <c r="AG37" s="93"/>
    </row>
    <row r="38" spans="1:33">
      <c r="A38" s="159">
        <f t="shared" si="9"/>
        <v>2042</v>
      </c>
      <c r="B38" s="160">
        <f>Production!X58</f>
        <v>2.9381974008209459</v>
      </c>
      <c r="C38" s="160">
        <f>'Selected Economics'!D38/'Selected Economics'!E38*Input!$B$28/1000*'Sensitivity Ranges'!$F$42</f>
        <v>10.898759005542075</v>
      </c>
      <c r="D38" s="160">
        <f t="shared" si="3"/>
        <v>32.022705382257605</v>
      </c>
      <c r="E38" s="160">
        <f>Production!Y58</f>
        <v>0.92126717487252574</v>
      </c>
      <c r="F38" s="160">
        <f>'Selected Economics'!C38/'Selected Economics'!E38*'Sensitivity Ranges'!$F$47</f>
        <v>185.29035965695945</v>
      </c>
      <c r="G38" s="160"/>
      <c r="H38" s="160">
        <f t="shared" si="4"/>
        <v>170.70192617228125</v>
      </c>
      <c r="I38" s="160">
        <f>Production!Z58</f>
        <v>0</v>
      </c>
      <c r="J38" s="160">
        <f>'Selected Economics'!B38/'Selected Economics'!E38*'Sensitivity Ranges'!$F$47</f>
        <v>148.23228772556763</v>
      </c>
      <c r="K38" s="160">
        <f t="shared" si="5"/>
        <v>0</v>
      </c>
      <c r="L38" s="160">
        <f t="shared" si="6"/>
        <v>202.72463155453886</v>
      </c>
      <c r="M38" s="156"/>
      <c r="N38" s="160">
        <f>D38*Abandonment!H43</f>
        <v>0</v>
      </c>
      <c r="O38" s="160">
        <f>H38*Abandonment!H43</f>
        <v>0</v>
      </c>
      <c r="P38" s="160">
        <f>K38*Abandonment!H43</f>
        <v>0</v>
      </c>
      <c r="Q38" s="160">
        <f t="shared" si="10"/>
        <v>0</v>
      </c>
      <c r="R38" s="156"/>
      <c r="S38" s="160">
        <f t="shared" si="7"/>
        <v>0</v>
      </c>
      <c r="T38" s="160">
        <f t="shared" si="2"/>
        <v>0</v>
      </c>
      <c r="U38" s="160">
        <f t="shared" si="2"/>
        <v>0</v>
      </c>
      <c r="V38" s="160">
        <f t="shared" si="8"/>
        <v>0</v>
      </c>
      <c r="W38" s="156"/>
      <c r="X38" s="160">
        <f>L38*Abandonment!H43</f>
        <v>0</v>
      </c>
      <c r="Y38" s="93"/>
      <c r="Z38" s="93"/>
      <c r="AA38" s="93"/>
      <c r="AB38" s="93"/>
      <c r="AC38" s="93"/>
      <c r="AD38" s="93"/>
      <c r="AE38" s="93"/>
      <c r="AF38" s="93"/>
      <c r="AG38" s="93"/>
    </row>
    <row r="39" spans="1:33">
      <c r="A39" s="159">
        <f t="shared" si="9"/>
        <v>2043</v>
      </c>
      <c r="B39" s="160">
        <f>Production!X59</f>
        <v>2.4868947964009269</v>
      </c>
      <c r="C39" s="160">
        <f>'Selected Economics'!D39/'Selected Economics'!E39*Input!$B$28/1000*'Sensitivity Ranges'!$F$42</f>
        <v>11.260370943861897</v>
      </c>
      <c r="D39" s="160">
        <f t="shared" si="3"/>
        <v>28.003357905834346</v>
      </c>
      <c r="E39" s="160">
        <f>Production!Y59</f>
        <v>0.77976195290531669</v>
      </c>
      <c r="F39" s="160">
        <f>'Selected Economics'!C39/'Selected Economics'!E39*'Sensitivity Ranges'!$F$47</f>
        <v>191.44916242681501</v>
      </c>
      <c r="G39" s="160"/>
      <c r="H39" s="160">
        <f t="shared" si="4"/>
        <v>149.28477277602045</v>
      </c>
      <c r="I39" s="160">
        <f>Production!Z59</f>
        <v>0</v>
      </c>
      <c r="J39" s="160">
        <f>'Selected Economics'!B39/'Selected Economics'!E39*'Sensitivity Ranges'!$F$47</f>
        <v>153.15932994145209</v>
      </c>
      <c r="K39" s="160">
        <f t="shared" si="5"/>
        <v>0</v>
      </c>
      <c r="L39" s="160">
        <f t="shared" si="6"/>
        <v>177.2881306818548</v>
      </c>
      <c r="M39" s="156"/>
      <c r="N39" s="160">
        <f>D39*Abandonment!H44</f>
        <v>0</v>
      </c>
      <c r="O39" s="160">
        <f>H39*Abandonment!H44</f>
        <v>0</v>
      </c>
      <c r="P39" s="160">
        <f>K39*Abandonment!H44</f>
        <v>0</v>
      </c>
      <c r="Q39" s="160">
        <f t="shared" si="10"/>
        <v>0</v>
      </c>
      <c r="R39" s="156"/>
      <c r="S39" s="160">
        <f t="shared" si="7"/>
        <v>0</v>
      </c>
      <c r="T39" s="160">
        <f t="shared" si="2"/>
        <v>0</v>
      </c>
      <c r="U39" s="160">
        <f t="shared" si="2"/>
        <v>0</v>
      </c>
      <c r="V39" s="160">
        <f t="shared" si="8"/>
        <v>0</v>
      </c>
      <c r="W39" s="156"/>
      <c r="X39" s="160">
        <f>L39*Abandonment!H44</f>
        <v>0</v>
      </c>
      <c r="Y39" s="93"/>
      <c r="Z39" s="93"/>
      <c r="AA39" s="93"/>
      <c r="AB39" s="93"/>
      <c r="AC39" s="93"/>
      <c r="AD39" s="93"/>
      <c r="AE39" s="93"/>
      <c r="AF39" s="93"/>
      <c r="AG39" s="93"/>
    </row>
    <row r="40" spans="1:33">
      <c r="A40" s="159">
        <f t="shared" si="9"/>
        <v>2044</v>
      </c>
      <c r="B40" s="160">
        <f>Production!X60</f>
        <v>0</v>
      </c>
      <c r="C40" s="160">
        <f>'Selected Economics'!D40/'Selected Economics'!E40*Input!$B$28/1000*'Sensitivity Ranges'!$F$42</f>
        <v>11.632360325087435</v>
      </c>
      <c r="D40" s="160">
        <f t="shared" si="3"/>
        <v>0</v>
      </c>
      <c r="E40" s="160">
        <f>Production!Y60</f>
        <v>0</v>
      </c>
      <c r="F40" s="160">
        <f>'Selected Economics'!C40/'Selected Economics'!E40*'Sensitivity Ranges'!$F$47</f>
        <v>197.78483342259338</v>
      </c>
      <c r="G40" s="160"/>
      <c r="H40" s="160">
        <f t="shared" si="4"/>
        <v>0</v>
      </c>
      <c r="I40" s="160">
        <f>Production!Z60</f>
        <v>0</v>
      </c>
      <c r="J40" s="160">
        <f>'Selected Economics'!B40/'Selected Economics'!E40*'Sensitivity Ranges'!$F$47</f>
        <v>158.22786673807479</v>
      </c>
      <c r="K40" s="160">
        <f t="shared" si="5"/>
        <v>0</v>
      </c>
      <c r="L40" s="160">
        <f t="shared" si="6"/>
        <v>0</v>
      </c>
      <c r="M40" s="156"/>
      <c r="N40" s="160">
        <f>D40*Abandonment!H45</f>
        <v>0</v>
      </c>
      <c r="O40" s="160">
        <f>H40*Abandonment!H45</f>
        <v>0</v>
      </c>
      <c r="P40" s="160">
        <f>K40*Abandonment!H45</f>
        <v>0</v>
      </c>
      <c r="Q40" s="160">
        <f t="shared" si="10"/>
        <v>0</v>
      </c>
      <c r="R40" s="156"/>
      <c r="S40" s="160">
        <f t="shared" si="7"/>
        <v>0</v>
      </c>
      <c r="T40" s="160">
        <f t="shared" si="2"/>
        <v>0</v>
      </c>
      <c r="U40" s="160">
        <f t="shared" si="2"/>
        <v>0</v>
      </c>
      <c r="V40" s="160">
        <f t="shared" si="8"/>
        <v>0</v>
      </c>
      <c r="W40" s="156"/>
      <c r="X40" s="160">
        <f>L40*Abandonment!H45</f>
        <v>0</v>
      </c>
      <c r="Y40" s="93"/>
      <c r="Z40" s="93"/>
      <c r="AA40" s="93"/>
      <c r="AB40" s="93"/>
      <c r="AC40" s="93"/>
      <c r="AD40" s="93"/>
      <c r="AE40" s="93"/>
      <c r="AF40" s="93"/>
      <c r="AG40" s="93"/>
    </row>
    <row r="41" spans="1:33">
      <c r="A41" s="159">
        <f t="shared" si="9"/>
        <v>2045</v>
      </c>
      <c r="B41" s="160">
        <f>Production!X61</f>
        <v>0</v>
      </c>
      <c r="C41" s="160">
        <f>'Selected Economics'!D41/'Selected Economics'!E41*Input!$B$28/1000*'Sensitivity Ranges'!$F$42</f>
        <v>12.015006642458046</v>
      </c>
      <c r="D41" s="160">
        <f t="shared" si="3"/>
        <v>0</v>
      </c>
      <c r="E41" s="160">
        <f>Production!Y61</f>
        <v>0</v>
      </c>
      <c r="F41" s="160">
        <f>'Selected Economics'!C41/'Selected Economics'!E41*'Sensitivity Ranges'!$F$47</f>
        <v>204.30213782229291</v>
      </c>
      <c r="G41" s="160"/>
      <c r="H41" s="160">
        <f t="shared" si="4"/>
        <v>0</v>
      </c>
      <c r="I41" s="160">
        <f>Production!Z61</f>
        <v>0</v>
      </c>
      <c r="J41" s="160">
        <f>'Selected Economics'!B41/'Selected Economics'!E41*'Sensitivity Ranges'!$F$47</f>
        <v>163.44171025783439</v>
      </c>
      <c r="K41" s="160">
        <f t="shared" si="5"/>
        <v>0</v>
      </c>
      <c r="L41" s="160">
        <f t="shared" si="6"/>
        <v>0</v>
      </c>
      <c r="M41" s="156"/>
      <c r="N41" s="160">
        <f>D41*Abandonment!H46</f>
        <v>0</v>
      </c>
      <c r="O41" s="160">
        <f>H41*Abandonment!H46</f>
        <v>0</v>
      </c>
      <c r="P41" s="160">
        <f>K41*Abandonment!H46</f>
        <v>0</v>
      </c>
      <c r="Q41" s="160">
        <f t="shared" si="10"/>
        <v>0</v>
      </c>
      <c r="R41" s="156"/>
      <c r="S41" s="160">
        <f t="shared" si="7"/>
        <v>0</v>
      </c>
      <c r="T41" s="160">
        <f t="shared" si="2"/>
        <v>0</v>
      </c>
      <c r="U41" s="160">
        <f t="shared" si="2"/>
        <v>0</v>
      </c>
      <c r="V41" s="160">
        <f t="shared" si="8"/>
        <v>0</v>
      </c>
      <c r="W41" s="156"/>
      <c r="X41" s="160">
        <f>L41*Abandonment!H46</f>
        <v>0</v>
      </c>
      <c r="Y41" s="93"/>
      <c r="Z41" s="93"/>
      <c r="AA41" s="93"/>
      <c r="AB41" s="93"/>
      <c r="AC41" s="93"/>
      <c r="AD41" s="93"/>
      <c r="AE41" s="93"/>
      <c r="AF41" s="93"/>
      <c r="AG41" s="93"/>
    </row>
    <row r="42" spans="1:33">
      <c r="A42" s="159">
        <f t="shared" si="9"/>
        <v>2046</v>
      </c>
      <c r="B42" s="160">
        <f>Production!X62</f>
        <v>0</v>
      </c>
      <c r="C42" s="160">
        <f>'Selected Economics'!D42/'Selected Economics'!E42*Input!$B$28/1000*'Sensitivity Ranges'!$F$42</f>
        <v>12.408596677401572</v>
      </c>
      <c r="D42" s="160">
        <f t="shared" si="3"/>
        <v>0</v>
      </c>
      <c r="E42" s="160">
        <f>Production!Y62</f>
        <v>0</v>
      </c>
      <c r="F42" s="160">
        <f>'Selected Economics'!C42/'Selected Economics'!E42*'Sensitivity Ranges'!$F$47</f>
        <v>211.00596508544689</v>
      </c>
      <c r="G42" s="160"/>
      <c r="H42" s="160">
        <f t="shared" si="4"/>
        <v>0</v>
      </c>
      <c r="I42" s="160">
        <f>Production!Z62</f>
        <v>0</v>
      </c>
      <c r="J42" s="160">
        <f>'Selected Economics'!B42/'Selected Economics'!E42*'Sensitivity Ranges'!$F$47</f>
        <v>168.80477206835758</v>
      </c>
      <c r="K42" s="160">
        <f t="shared" si="5"/>
        <v>0</v>
      </c>
      <c r="L42" s="160">
        <f t="shared" si="6"/>
        <v>0</v>
      </c>
      <c r="M42" s="156"/>
      <c r="N42" s="160">
        <f>D42*Abandonment!H47</f>
        <v>0</v>
      </c>
      <c r="O42" s="160">
        <f>H42*Abandonment!H47</f>
        <v>0</v>
      </c>
      <c r="P42" s="160">
        <f>K42*Abandonment!H47</f>
        <v>0</v>
      </c>
      <c r="Q42" s="160">
        <f t="shared" si="10"/>
        <v>0</v>
      </c>
      <c r="R42" s="156"/>
      <c r="S42" s="160">
        <f t="shared" si="7"/>
        <v>0</v>
      </c>
      <c r="T42" s="160">
        <f t="shared" si="2"/>
        <v>0</v>
      </c>
      <c r="U42" s="160">
        <f t="shared" si="2"/>
        <v>0</v>
      </c>
      <c r="V42" s="160">
        <f t="shared" si="8"/>
        <v>0</v>
      </c>
      <c r="W42" s="156"/>
      <c r="X42" s="160">
        <f>L42*Abandonment!H47</f>
        <v>0</v>
      </c>
      <c r="Y42" s="93"/>
      <c r="Z42" s="93"/>
      <c r="AA42" s="93"/>
      <c r="AB42" s="93"/>
      <c r="AC42" s="93"/>
      <c r="AD42" s="93"/>
      <c r="AE42" s="93"/>
      <c r="AF42" s="93"/>
      <c r="AG42" s="93"/>
    </row>
    <row r="43" spans="1:33">
      <c r="A43" s="159">
        <f t="shared" si="9"/>
        <v>2047</v>
      </c>
      <c r="B43" s="160">
        <f>Production!X63</f>
        <v>0</v>
      </c>
      <c r="C43" s="160">
        <f>'Selected Economics'!D43/'Selected Economics'!E43*Input!$B$28/1000*'Sensitivity Ranges'!$F$42</f>
        <v>12.813424686251915</v>
      </c>
      <c r="D43" s="160">
        <f t="shared" si="3"/>
        <v>0</v>
      </c>
      <c r="E43" s="160">
        <f>Production!Y63</f>
        <v>0</v>
      </c>
      <c r="F43" s="160">
        <f>'Selected Economics'!C43/'Selected Economics'!E43*'Sensitivity Ranges'!$F$47</f>
        <v>217.90133213744366</v>
      </c>
      <c r="G43" s="160"/>
      <c r="H43" s="160">
        <f t="shared" si="4"/>
        <v>0</v>
      </c>
      <c r="I43" s="160">
        <f>Production!Z63</f>
        <v>0</v>
      </c>
      <c r="J43" s="160">
        <f>'Selected Economics'!B43/'Selected Economics'!E43*'Sensitivity Ranges'!$F$47</f>
        <v>174.32106570995504</v>
      </c>
      <c r="K43" s="160">
        <f t="shared" si="5"/>
        <v>0</v>
      </c>
      <c r="L43" s="160">
        <f t="shared" si="6"/>
        <v>0</v>
      </c>
      <c r="M43" s="156"/>
      <c r="N43" s="160">
        <f>D43*Abandonment!H48</f>
        <v>0</v>
      </c>
      <c r="O43" s="160">
        <f>H43*Abandonment!H48</f>
        <v>0</v>
      </c>
      <c r="P43" s="160">
        <f>K43*Abandonment!H48</f>
        <v>0</v>
      </c>
      <c r="Q43" s="160">
        <f t="shared" si="10"/>
        <v>0</v>
      </c>
      <c r="R43" s="156"/>
      <c r="S43" s="160">
        <f t="shared" si="7"/>
        <v>0</v>
      </c>
      <c r="T43" s="160">
        <f t="shared" si="2"/>
        <v>0</v>
      </c>
      <c r="U43" s="160">
        <f t="shared" si="2"/>
        <v>0</v>
      </c>
      <c r="V43" s="160">
        <f t="shared" si="8"/>
        <v>0</v>
      </c>
      <c r="W43" s="156"/>
      <c r="X43" s="160">
        <f>L43*Abandonment!H48</f>
        <v>0</v>
      </c>
      <c r="Y43" s="93"/>
      <c r="Z43" s="93"/>
      <c r="AA43" s="93"/>
      <c r="AB43" s="93"/>
      <c r="AC43" s="93"/>
      <c r="AD43" s="93"/>
      <c r="AE43" s="93"/>
      <c r="AF43" s="93"/>
      <c r="AG43" s="93"/>
    </row>
    <row r="44" spans="1:33">
      <c r="A44" s="159">
        <f t="shared" si="9"/>
        <v>2048</v>
      </c>
      <c r="B44" s="160">
        <f>Production!X64</f>
        <v>0</v>
      </c>
      <c r="C44" s="160">
        <f>'Selected Economics'!D44/'Selected Economics'!E44*Input!$B$28/1000*'Sensitivity Ranges'!$F$42</f>
        <v>13.229792591702251</v>
      </c>
      <c r="D44" s="160">
        <f t="shared" si="3"/>
        <v>0</v>
      </c>
      <c r="E44" s="160">
        <f>Production!Y64</f>
        <v>0</v>
      </c>
      <c r="F44" s="160">
        <f>'Selected Economics'!C44/'Selected Economics'!E44*'Sensitivity Ranges'!$F$47</f>
        <v>224.99338663461324</v>
      </c>
      <c r="G44" s="160"/>
      <c r="H44" s="160">
        <f t="shared" si="4"/>
        <v>0</v>
      </c>
      <c r="I44" s="160">
        <f>Production!Z64</f>
        <v>0</v>
      </c>
      <c r="J44" s="160">
        <f>'Selected Economics'!B44/'Selected Economics'!E44*'Sensitivity Ranges'!$F$47</f>
        <v>179.99470930769075</v>
      </c>
      <c r="K44" s="160">
        <f t="shared" si="5"/>
        <v>0</v>
      </c>
      <c r="L44" s="160">
        <f t="shared" si="6"/>
        <v>0</v>
      </c>
      <c r="M44" s="156"/>
      <c r="N44" s="160">
        <f>D44*Abandonment!H49</f>
        <v>0</v>
      </c>
      <c r="O44" s="160">
        <f>H44*Abandonment!H49</f>
        <v>0</v>
      </c>
      <c r="P44" s="160">
        <f>K44*Abandonment!H49</f>
        <v>0</v>
      </c>
      <c r="Q44" s="160">
        <f t="shared" si="10"/>
        <v>0</v>
      </c>
      <c r="R44" s="156"/>
      <c r="S44" s="160">
        <f t="shared" si="7"/>
        <v>0</v>
      </c>
      <c r="T44" s="160">
        <f t="shared" si="2"/>
        <v>0</v>
      </c>
      <c r="U44" s="160">
        <f t="shared" si="2"/>
        <v>0</v>
      </c>
      <c r="V44" s="160">
        <f t="shared" si="8"/>
        <v>0</v>
      </c>
      <c r="W44" s="156"/>
      <c r="X44" s="160">
        <f>L44*Abandonment!H49</f>
        <v>0</v>
      </c>
      <c r="Y44" s="93"/>
      <c r="Z44" s="93"/>
      <c r="AA44" s="93"/>
      <c r="AB44" s="93"/>
      <c r="AC44" s="93"/>
      <c r="AD44" s="93"/>
      <c r="AE44" s="93"/>
      <c r="AF44" s="93"/>
      <c r="AG44" s="93"/>
    </row>
    <row r="45" spans="1:33">
      <c r="A45" s="159">
        <f t="shared" si="9"/>
        <v>2049</v>
      </c>
      <c r="B45" s="160">
        <f>Production!X65</f>
        <v>0</v>
      </c>
      <c r="C45" s="160">
        <f>'Selected Economics'!D45/'Selected Economics'!E45*Input!$B$28/1000*'Sensitivity Ranges'!$F$42</f>
        <v>13.658010179113255</v>
      </c>
      <c r="D45" s="160">
        <f t="shared" si="3"/>
        <v>0</v>
      </c>
      <c r="E45" s="160">
        <f>Production!Y65</f>
        <v>0</v>
      </c>
      <c r="F45" s="160">
        <f>'Selected Economics'!C45/'Selected Economics'!E45*'Sensitivity Ranges'!$F$47</f>
        <v>232.28741031211808</v>
      </c>
      <c r="G45" s="160"/>
      <c r="H45" s="160">
        <f t="shared" si="4"/>
        <v>0</v>
      </c>
      <c r="I45" s="160">
        <f>Production!Z65</f>
        <v>0</v>
      </c>
      <c r="J45" s="160">
        <f>'Selected Economics'!B45/'Selected Economics'!E45*'Sensitivity Ranges'!$F$47</f>
        <v>185.82992824969466</v>
      </c>
      <c r="K45" s="160">
        <f t="shared" si="5"/>
        <v>0</v>
      </c>
      <c r="L45" s="160">
        <f t="shared" si="6"/>
        <v>0</v>
      </c>
      <c r="M45" s="156"/>
      <c r="N45" s="160">
        <f>D45*Abandonment!H50</f>
        <v>0</v>
      </c>
      <c r="O45" s="160">
        <f>H45*Abandonment!H50</f>
        <v>0</v>
      </c>
      <c r="P45" s="160">
        <f>K45*Abandonment!H50</f>
        <v>0</v>
      </c>
      <c r="Q45" s="160">
        <f t="shared" si="10"/>
        <v>0</v>
      </c>
      <c r="R45" s="156"/>
      <c r="S45" s="160">
        <f t="shared" si="7"/>
        <v>0</v>
      </c>
      <c r="T45" s="160">
        <f t="shared" si="2"/>
        <v>0</v>
      </c>
      <c r="U45" s="160">
        <f t="shared" si="2"/>
        <v>0</v>
      </c>
      <c r="V45" s="160">
        <f t="shared" si="8"/>
        <v>0</v>
      </c>
      <c r="W45" s="156"/>
      <c r="X45" s="160">
        <f>L45*Abandonment!H50</f>
        <v>0</v>
      </c>
      <c r="Y45" s="93"/>
      <c r="Z45" s="93"/>
      <c r="AA45" s="93"/>
      <c r="AB45" s="93"/>
      <c r="AC45" s="93"/>
      <c r="AD45" s="93"/>
      <c r="AE45" s="93"/>
      <c r="AF45" s="93"/>
      <c r="AG45" s="93"/>
    </row>
    <row r="46" spans="1:33">
      <c r="A46" s="159">
        <f t="shared" si="9"/>
        <v>2050</v>
      </c>
      <c r="B46" s="160">
        <f>Production!X66</f>
        <v>0</v>
      </c>
      <c r="C46" s="160">
        <f>'Selected Economics'!D46/'Selected Economics'!E46*Input!$B$28/1000*'Sensitivity Ranges'!$F$42</f>
        <v>14.098395297798811</v>
      </c>
      <c r="D46" s="160">
        <f t="shared" si="3"/>
        <v>0</v>
      </c>
      <c r="E46" s="160">
        <f>Production!Y66</f>
        <v>0</v>
      </c>
      <c r="F46" s="160">
        <f>'Selected Economics'!C46/'Selected Economics'!E46*'Sensitivity Ranges'!$F$47</f>
        <v>239.78882241673517</v>
      </c>
      <c r="G46" s="160"/>
      <c r="H46" s="160">
        <f t="shared" si="4"/>
        <v>0</v>
      </c>
      <c r="I46" s="160">
        <f>Production!Z66</f>
        <v>0</v>
      </c>
      <c r="J46" s="160">
        <f>'Selected Economics'!B46/'Selected Economics'!E46*'Sensitivity Ranges'!$F$47</f>
        <v>191.83105793338834</v>
      </c>
      <c r="K46" s="160">
        <f t="shared" si="5"/>
        <v>0</v>
      </c>
      <c r="L46" s="160">
        <f t="shared" si="6"/>
        <v>0</v>
      </c>
      <c r="M46" s="156"/>
      <c r="N46" s="160">
        <f>D46*Abandonment!H51</f>
        <v>0</v>
      </c>
      <c r="O46" s="160">
        <f>H46*Abandonment!H51</f>
        <v>0</v>
      </c>
      <c r="P46" s="160">
        <f>K46*Abandonment!H51</f>
        <v>0</v>
      </c>
      <c r="Q46" s="160">
        <f t="shared" si="10"/>
        <v>0</v>
      </c>
      <c r="R46" s="156"/>
      <c r="S46" s="160">
        <f t="shared" si="7"/>
        <v>0</v>
      </c>
      <c r="T46" s="160">
        <f t="shared" si="2"/>
        <v>0</v>
      </c>
      <c r="U46" s="160">
        <f t="shared" si="2"/>
        <v>0</v>
      </c>
      <c r="V46" s="160">
        <f t="shared" si="8"/>
        <v>0</v>
      </c>
      <c r="W46" s="156"/>
      <c r="X46" s="160">
        <f>L46*Abandonment!H51</f>
        <v>0</v>
      </c>
      <c r="Y46" s="93"/>
      <c r="Z46" s="93"/>
      <c r="AA46" s="93"/>
      <c r="AB46" s="93"/>
      <c r="AC46" s="93"/>
      <c r="AD46" s="93"/>
      <c r="AE46" s="93"/>
      <c r="AF46" s="93"/>
      <c r="AG46" s="93"/>
    </row>
    <row r="47" spans="1:33">
      <c r="A47" s="159">
        <f t="shared" si="9"/>
        <v>2051</v>
      </c>
      <c r="B47" s="160">
        <f>Production!X67</f>
        <v>0</v>
      </c>
      <c r="C47" s="160">
        <f>'Selected Economics'!D47/'Selected Economics'!E47*Input!$B$28/1000*'Sensitivity Ranges'!$F$42</f>
        <v>14.551274067414621</v>
      </c>
      <c r="D47" s="160">
        <f t="shared" si="3"/>
        <v>0</v>
      </c>
      <c r="E47" s="160">
        <f>Production!Y67</f>
        <v>0</v>
      </c>
      <c r="F47" s="160">
        <f>'Selected Economics'!C47/'Selected Economics'!E47*'Sensitivity Ranges'!$F$47</f>
        <v>247.50318322666988</v>
      </c>
      <c r="G47" s="160"/>
      <c r="H47" s="160">
        <f t="shared" si="4"/>
        <v>0</v>
      </c>
      <c r="I47" s="160">
        <f>Production!Z67</f>
        <v>0</v>
      </c>
      <c r="J47" s="160">
        <f>'Selected Economics'!B47/'Selected Economics'!E47*'Sensitivity Ranges'!$F$47</f>
        <v>198.00254658133608</v>
      </c>
      <c r="K47" s="160">
        <f t="shared" si="5"/>
        <v>0</v>
      </c>
      <c r="L47" s="160">
        <f t="shared" si="6"/>
        <v>0</v>
      </c>
      <c r="M47" s="156"/>
      <c r="N47" s="160">
        <f>D47*Abandonment!H52</f>
        <v>0</v>
      </c>
      <c r="O47" s="160">
        <f>H47*Abandonment!H52</f>
        <v>0</v>
      </c>
      <c r="P47" s="160">
        <f>K47*Abandonment!H52</f>
        <v>0</v>
      </c>
      <c r="Q47" s="160">
        <f t="shared" si="10"/>
        <v>0</v>
      </c>
      <c r="R47" s="156"/>
      <c r="S47" s="160">
        <f t="shared" si="7"/>
        <v>0</v>
      </c>
      <c r="T47" s="160">
        <f t="shared" si="2"/>
        <v>0</v>
      </c>
      <c r="U47" s="160">
        <f t="shared" si="2"/>
        <v>0</v>
      </c>
      <c r="V47" s="160">
        <f t="shared" si="8"/>
        <v>0</v>
      </c>
      <c r="W47" s="156"/>
      <c r="X47" s="160">
        <f>L47*Abandonment!H52</f>
        <v>0</v>
      </c>
      <c r="Y47" s="93"/>
      <c r="Z47" s="93"/>
      <c r="AA47" s="93"/>
      <c r="AB47" s="93"/>
      <c r="AC47" s="93"/>
      <c r="AD47" s="93"/>
      <c r="AE47" s="93"/>
      <c r="AF47" s="93"/>
      <c r="AG47" s="93"/>
    </row>
    <row r="48" spans="1:33">
      <c r="A48" s="159">
        <f t="shared" si="9"/>
        <v>2052</v>
      </c>
      <c r="B48" s="160">
        <f>Production!X68</f>
        <v>0</v>
      </c>
      <c r="C48" s="160">
        <f>'Selected Economics'!D48/'Selected Economics'!E48*Input!$B$28/1000*'Sensitivity Ranges'!$F$42</f>
        <v>15.016981089578389</v>
      </c>
      <c r="D48" s="160">
        <f t="shared" si="3"/>
        <v>0</v>
      </c>
      <c r="E48" s="160">
        <f>Production!Y68</f>
        <v>0</v>
      </c>
      <c r="F48" s="160">
        <f>'Selected Economics'!C48/'Selected Economics'!E48*'Sensitivity Ranges'!$F$47</f>
        <v>255.4361976605957</v>
      </c>
      <c r="G48" s="160"/>
      <c r="H48" s="160">
        <f t="shared" si="4"/>
        <v>0</v>
      </c>
      <c r="I48" s="160">
        <f>Production!Z68</f>
        <v>0</v>
      </c>
      <c r="J48" s="160">
        <f>'Selected Economics'!B48/'Selected Economics'!E48*'Sensitivity Ranges'!$F$47</f>
        <v>204.34895812847671</v>
      </c>
      <c r="K48" s="160">
        <f t="shared" si="5"/>
        <v>0</v>
      </c>
      <c r="L48" s="160">
        <f t="shared" si="6"/>
        <v>0</v>
      </c>
      <c r="M48" s="156"/>
      <c r="N48" s="160">
        <f>D48*Abandonment!H53</f>
        <v>0</v>
      </c>
      <c r="O48" s="160">
        <f>H48*Abandonment!H53</f>
        <v>0</v>
      </c>
      <c r="P48" s="160">
        <f>K48*Abandonment!H53</f>
        <v>0</v>
      </c>
      <c r="Q48" s="160">
        <f t="shared" si="10"/>
        <v>0</v>
      </c>
      <c r="R48" s="156"/>
      <c r="S48" s="160">
        <f t="shared" si="7"/>
        <v>0</v>
      </c>
      <c r="T48" s="160">
        <f t="shared" si="2"/>
        <v>0</v>
      </c>
      <c r="U48" s="160">
        <f t="shared" si="2"/>
        <v>0</v>
      </c>
      <c r="V48" s="160">
        <f t="shared" si="8"/>
        <v>0</v>
      </c>
      <c r="W48" s="156"/>
      <c r="X48" s="160">
        <f>L48*Abandonment!H53</f>
        <v>0</v>
      </c>
      <c r="Y48" s="93"/>
      <c r="Z48" s="93"/>
      <c r="AA48" s="93"/>
      <c r="AB48" s="93"/>
      <c r="AC48" s="93"/>
      <c r="AD48" s="93"/>
      <c r="AE48" s="93"/>
      <c r="AF48" s="93"/>
      <c r="AG48" s="93"/>
    </row>
    <row r="49" spans="1:33">
      <c r="A49" s="159">
        <f t="shared" si="9"/>
        <v>2053</v>
      </c>
      <c r="B49" s="160">
        <f>Production!X69</f>
        <v>0</v>
      </c>
      <c r="C49" s="160">
        <f>'Selected Economics'!D49/'Selected Economics'!E49*Input!$B$28/1000*'Sensitivity Ranges'!$F$42</f>
        <v>15.495859664853427</v>
      </c>
      <c r="D49" s="160">
        <f t="shared" si="3"/>
        <v>0</v>
      </c>
      <c r="E49" s="160">
        <f>Production!Y69</f>
        <v>0</v>
      </c>
      <c r="F49" s="160">
        <f>'Selected Economics'!C49/'Selected Economics'!E49*'Sensitivity Ranges'!$F$47</f>
        <v>263.59371897816851</v>
      </c>
      <c r="G49" s="160"/>
      <c r="H49" s="160">
        <f t="shared" si="4"/>
        <v>0</v>
      </c>
      <c r="I49" s="160">
        <f>Production!Z69</f>
        <v>0</v>
      </c>
      <c r="J49" s="160">
        <f>'Selected Economics'!B49/'Selected Economics'!E49*'Sensitivity Ranges'!$F$47</f>
        <v>210.874975182535</v>
      </c>
      <c r="K49" s="160">
        <f t="shared" si="5"/>
        <v>0</v>
      </c>
      <c r="L49" s="160">
        <f t="shared" si="6"/>
        <v>0</v>
      </c>
      <c r="M49" s="156"/>
      <c r="N49" s="160">
        <f>D49*Abandonment!H54</f>
        <v>0</v>
      </c>
      <c r="O49" s="160">
        <f>H49*Abandonment!H54</f>
        <v>0</v>
      </c>
      <c r="P49" s="160">
        <f>K49*Abandonment!H54</f>
        <v>0</v>
      </c>
      <c r="Q49" s="160">
        <f t="shared" si="10"/>
        <v>0</v>
      </c>
      <c r="R49" s="156"/>
      <c r="S49" s="160">
        <f t="shared" si="7"/>
        <v>0</v>
      </c>
      <c r="T49" s="160">
        <f t="shared" si="2"/>
        <v>0</v>
      </c>
      <c r="U49" s="160">
        <f t="shared" si="2"/>
        <v>0</v>
      </c>
      <c r="V49" s="160">
        <f t="shared" si="8"/>
        <v>0</v>
      </c>
      <c r="W49" s="156"/>
      <c r="X49" s="160">
        <f>L49*Abandonment!H54</f>
        <v>0</v>
      </c>
      <c r="Y49" s="93"/>
      <c r="Z49" s="93"/>
      <c r="AA49" s="93"/>
      <c r="AB49" s="93"/>
      <c r="AC49" s="93"/>
      <c r="AD49" s="93"/>
      <c r="AE49" s="93"/>
      <c r="AF49" s="93"/>
      <c r="AG49" s="93"/>
    </row>
    <row r="50" spans="1:33">
      <c r="A50" s="161">
        <f t="shared" si="9"/>
        <v>2054</v>
      </c>
      <c r="B50" s="162">
        <f>Production!X70</f>
        <v>0</v>
      </c>
      <c r="C50" s="162">
        <f>'Selected Economics'!D50/'Selected Economics'!E50*Input!$B$28/1000*'Sensitivity Ranges'!$F$42</f>
        <v>15.988262015230875</v>
      </c>
      <c r="D50" s="162">
        <f t="shared" si="3"/>
        <v>0</v>
      </c>
      <c r="E50" s="162">
        <f>Production!Y70</f>
        <v>0</v>
      </c>
      <c r="F50" s="162">
        <f>'Selected Economics'!C50/'Selected Economics'!E50*'Sensitivity Ranges'!$F$47</f>
        <v>271.98175257432155</v>
      </c>
      <c r="G50" s="162"/>
      <c r="H50" s="162">
        <f t="shared" si="4"/>
        <v>0</v>
      </c>
      <c r="I50" s="162">
        <f>Production!Z70</f>
        <v>0</v>
      </c>
      <c r="J50" s="162">
        <f>'Selected Economics'!B50/'Selected Economics'!E50*'Sensitivity Ranges'!$F$47</f>
        <v>217.58540205945744</v>
      </c>
      <c r="K50" s="162">
        <f t="shared" si="5"/>
        <v>0</v>
      </c>
      <c r="L50" s="162">
        <f t="shared" si="6"/>
        <v>0</v>
      </c>
      <c r="M50" s="156"/>
      <c r="N50" s="162">
        <f>D50*Abandonment!H55</f>
        <v>0</v>
      </c>
      <c r="O50" s="162">
        <f>H50*Abandonment!H55</f>
        <v>0</v>
      </c>
      <c r="P50" s="162">
        <f>K50*Abandonment!H55</f>
        <v>0</v>
      </c>
      <c r="Q50" s="162">
        <f t="shared" si="10"/>
        <v>0</v>
      </c>
      <c r="R50" s="156"/>
      <c r="S50" s="162">
        <f t="shared" si="7"/>
        <v>0</v>
      </c>
      <c r="T50" s="162">
        <f t="shared" si="2"/>
        <v>0</v>
      </c>
      <c r="U50" s="162">
        <f t="shared" si="2"/>
        <v>0</v>
      </c>
      <c r="V50" s="162">
        <f t="shared" si="8"/>
        <v>0</v>
      </c>
      <c r="W50" s="156"/>
      <c r="X50" s="162">
        <f>L50*Abandonment!H55</f>
        <v>0</v>
      </c>
      <c r="Y50" s="93"/>
      <c r="Z50" s="93"/>
      <c r="AA50" s="93"/>
      <c r="AB50" s="93"/>
      <c r="AC50" s="93"/>
      <c r="AD50" s="93"/>
      <c r="AE50" s="93"/>
      <c r="AF50" s="93"/>
      <c r="AG50" s="93"/>
    </row>
  </sheetData>
  <sheetProtection algorithmName="SHA-512" hashValue="vsqos9/LF3+q3paTkFwL+yRISyaMTMwEISLwgJJkjhf59igBx6lYQneytEYI5B9+LfShXnHX9evlj0LESs8cOA==" saltValue="zJFuxU5f6smMSmorXshTvw==" spinCount="100000" sheet="1" objects="1" scenarios="1"/>
  <hyperlinks>
    <hyperlink ref="F1" location="Guide" display="Guide"/>
    <hyperlink ref="F2" location="Input" display="Input"/>
  </hyperlinks>
  <pageMargins left="0.7" right="0.7" top="0.75" bottom="0.75" header="0.3" footer="0.3"/>
  <pageSetup paperSize="9" scale="28" orientation="landscape" r:id="rId1"/>
  <headerFooter>
    <oddFooter>&amp;LNova Scotia Exploration Economics Model&amp;Rwww.indeva.com</oddFooter>
  </headerFooter>
  <colBreaks count="1" manualBreakCount="1">
    <brk id="26"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3" tint="0.79998168889431442"/>
  </sheetPr>
  <dimension ref="A1:AF100"/>
  <sheetViews>
    <sheetView showGridLines="0" showZeros="0" zoomScale="75" zoomScaleNormal="75" workbookViewId="0">
      <pane xSplit="1" ySplit="18" topLeftCell="B19" activePane="bottomRight" state="frozen"/>
      <selection activeCell="D43" sqref="D43"/>
      <selection pane="topRight" activeCell="D43" sqref="D43"/>
      <selection pane="bottomLeft" activeCell="D43" sqref="D43"/>
      <selection pane="bottomRight" activeCell="B19" sqref="B19"/>
    </sheetView>
  </sheetViews>
  <sheetFormatPr defaultRowHeight="14.5"/>
  <cols>
    <col min="1" max="1" width="23.7265625" customWidth="1"/>
    <col min="2" max="2" width="11.1796875" bestFit="1" customWidth="1"/>
    <col min="3" max="4" width="12.81640625" customWidth="1"/>
    <col min="5" max="5" width="11" customWidth="1"/>
    <col min="6" max="6" width="9.26953125" bestFit="1" customWidth="1"/>
    <col min="7" max="7" width="10.453125" bestFit="1" customWidth="1"/>
    <col min="9" max="9" width="11.81640625" customWidth="1"/>
    <col min="11" max="11" width="10.453125" bestFit="1" customWidth="1"/>
    <col min="13" max="13" width="10.453125" bestFit="1" customWidth="1"/>
    <col min="15" max="15" width="11.26953125" customWidth="1"/>
    <col min="16" max="16" width="10.453125" bestFit="1" customWidth="1"/>
    <col min="19" max="19" width="11.54296875" customWidth="1"/>
    <col min="21" max="21" width="9.26953125" bestFit="1" customWidth="1"/>
  </cols>
  <sheetData>
    <row r="1" spans="1:32" ht="18.5">
      <c r="A1" s="142" t="str">
        <f>Input!B8</f>
        <v>Prospect X</v>
      </c>
      <c r="B1" s="142" t="s">
        <v>357</v>
      </c>
      <c r="C1" s="93"/>
      <c r="D1" s="93"/>
      <c r="E1" s="93"/>
      <c r="F1" s="143" t="s">
        <v>768</v>
      </c>
      <c r="G1" s="93"/>
      <c r="H1" s="93"/>
      <c r="I1" s="93"/>
      <c r="J1" s="93"/>
      <c r="K1" s="93"/>
      <c r="L1" s="93"/>
      <c r="M1" s="93"/>
      <c r="N1" s="93"/>
      <c r="O1" s="93"/>
      <c r="P1" s="93"/>
      <c r="Q1" s="93"/>
      <c r="R1" s="93"/>
      <c r="S1" s="93"/>
      <c r="T1" s="93"/>
      <c r="U1" s="93"/>
      <c r="V1" s="93"/>
      <c r="W1" s="93"/>
      <c r="X1" s="93"/>
      <c r="Y1" s="93"/>
      <c r="Z1" s="93"/>
      <c r="AA1" s="93"/>
      <c r="AB1" s="93"/>
      <c r="AC1" s="93"/>
      <c r="AD1" s="93"/>
      <c r="AE1" s="93"/>
      <c r="AF1" s="93"/>
    </row>
    <row r="2" spans="1:32" ht="18.5">
      <c r="A2" s="93"/>
      <c r="B2" s="93"/>
      <c r="C2" s="93"/>
      <c r="D2" s="93"/>
      <c r="E2" s="93"/>
      <c r="F2" s="143" t="s">
        <v>143</v>
      </c>
      <c r="G2" s="93"/>
      <c r="H2" s="93"/>
      <c r="I2" s="93"/>
      <c r="J2" s="93"/>
      <c r="K2" s="93"/>
      <c r="L2" s="93"/>
      <c r="M2" s="93"/>
      <c r="N2" s="93"/>
      <c r="O2" s="93"/>
      <c r="P2" s="93"/>
      <c r="Q2" s="93"/>
      <c r="R2" s="93"/>
      <c r="S2" s="93"/>
      <c r="T2" s="93"/>
      <c r="U2" s="93"/>
      <c r="V2" s="93"/>
      <c r="W2" s="93"/>
      <c r="X2" s="93"/>
      <c r="Y2" s="93"/>
      <c r="Z2" s="93"/>
      <c r="AA2" s="93"/>
      <c r="AB2" s="93"/>
      <c r="AC2" s="93"/>
      <c r="AD2" s="93"/>
      <c r="AE2" s="93"/>
      <c r="AF2" s="93"/>
    </row>
    <row r="3" spans="1:32">
      <c r="A3" s="134" t="s">
        <v>866</v>
      </c>
      <c r="B3" s="182">
        <f>IF(Input!B14=Subsea,IF(Input!B30=Sweet,'Cost Assumptions'!O142,'Cost Assumptions'!O143),IF(Input!B14=Lists!O38,IF(Input!B30=Sweet,'Cost Assumptions'!O140,'Cost Assumptions'!O141),IF(Input!B15=Shore,0,IF(Input!B15=Direct_Pipeline_Tie_in,'Cost Assumptions'!O139,'Cost Assumptions'!O144))))</f>
        <v>0.42400000000000004</v>
      </c>
      <c r="C3" s="134" t="s">
        <v>354</v>
      </c>
      <c r="D3" s="167"/>
      <c r="E3" s="93"/>
      <c r="F3" s="93"/>
      <c r="G3" s="93"/>
      <c r="H3" s="93"/>
      <c r="I3" s="93"/>
      <c r="J3" s="233"/>
      <c r="K3" s="93"/>
      <c r="L3" s="93"/>
      <c r="M3" s="93"/>
      <c r="N3" s="93"/>
      <c r="O3" s="93"/>
      <c r="P3" s="93"/>
      <c r="Q3" s="93"/>
      <c r="R3" s="93"/>
      <c r="S3" s="93"/>
      <c r="T3" s="93"/>
      <c r="U3" s="93"/>
      <c r="V3" s="93"/>
      <c r="W3" s="93"/>
      <c r="X3" s="93"/>
      <c r="Y3" s="93"/>
      <c r="Z3" s="93"/>
      <c r="AA3" s="93"/>
      <c r="AB3" s="93"/>
      <c r="AC3" s="93"/>
      <c r="AD3" s="93"/>
      <c r="AE3" s="93"/>
      <c r="AF3" s="93"/>
    </row>
    <row r="4" spans="1:32">
      <c r="A4" s="134" t="s">
        <v>358</v>
      </c>
      <c r="B4" s="134" t="str">
        <f>IF(Input!B14=Subsea,Lists!A73,IF(Input!B14=Lists!O38,Lists!A74,IF(Input!B11="Oil",IF(Input!B30=Sweet,"oil sweet","oil sour"),IF(Input!B30=Sweet,Lists!A75,Lists!A76))))</f>
        <v>oil sweet</v>
      </c>
      <c r="C4" s="134"/>
      <c r="D4" s="167"/>
      <c r="E4" s="93"/>
      <c r="F4" s="93"/>
      <c r="G4" s="93"/>
      <c r="H4" s="93"/>
      <c r="I4" s="93"/>
      <c r="J4" s="233"/>
      <c r="K4" s="93"/>
      <c r="L4" s="93"/>
      <c r="M4" s="93"/>
      <c r="N4" s="93"/>
      <c r="O4" s="93"/>
      <c r="P4" s="93"/>
      <c r="Q4" s="93"/>
      <c r="R4" s="93"/>
      <c r="S4" s="93"/>
      <c r="T4" s="93"/>
      <c r="U4" s="93"/>
      <c r="V4" s="93"/>
      <c r="W4" s="93"/>
      <c r="X4" s="93"/>
      <c r="Y4" s="93"/>
      <c r="Z4" s="93"/>
      <c r="AA4" s="93"/>
      <c r="AB4" s="93"/>
      <c r="AC4" s="93"/>
      <c r="AD4" s="93"/>
      <c r="AE4" s="93"/>
      <c r="AF4" s="93"/>
    </row>
    <row r="5" spans="1:32">
      <c r="A5" s="134" t="s">
        <v>359</v>
      </c>
      <c r="B5" s="134" t="str">
        <f>IF(OR(B4="Oil Sweet",B4="Oil Sour"),"",MATCH(B4,FacilityType,0))</f>
        <v/>
      </c>
      <c r="C5" s="134"/>
      <c r="D5" s="167"/>
      <c r="E5" s="93"/>
      <c r="F5" s="93"/>
      <c r="G5" s="93"/>
      <c r="H5" s="93"/>
      <c r="I5" s="93"/>
      <c r="J5" s="234"/>
      <c r="K5" s="93"/>
      <c r="L5" s="93"/>
      <c r="M5" s="93"/>
      <c r="N5" s="93"/>
      <c r="O5" s="93"/>
      <c r="P5" s="93"/>
      <c r="Q5" s="93"/>
      <c r="R5" s="93"/>
      <c r="S5" s="93"/>
      <c r="T5" s="93"/>
      <c r="U5" s="93"/>
      <c r="V5" s="93"/>
      <c r="W5" s="93"/>
      <c r="X5" s="93"/>
      <c r="Y5" s="93"/>
      <c r="Z5" s="93"/>
      <c r="AA5" s="93"/>
      <c r="AB5" s="93"/>
      <c r="AC5" s="93"/>
      <c r="AD5" s="93"/>
      <c r="AE5" s="93"/>
      <c r="AF5" s="93"/>
    </row>
    <row r="6" spans="1:32">
      <c r="A6" s="134" t="s">
        <v>360</v>
      </c>
      <c r="B6" s="182">
        <f>IF(OR(B4="oil sweet",B4="oil sour"),'Cost Assumptions'!O132/1000+IF(B4="oil sweet",'Cost Assumptions'!O133,'Cost Assumptions'!O134)*Production!B10/1000000,INDEX('Cost Assumptions'!O117:O120,Operations!B5,1)/1000+INDEX('Cost Assumptions'!O122:O125,Operations!B5,1)*Production!B10/1000000)</f>
        <v>12.741054794520549</v>
      </c>
      <c r="C6" s="134" t="s">
        <v>361</v>
      </c>
      <c r="D6" s="167"/>
      <c r="E6" s="93"/>
      <c r="F6" s="93"/>
      <c r="G6" s="93"/>
      <c r="H6" s="93"/>
      <c r="I6" s="93"/>
      <c r="J6" s="234"/>
      <c r="K6" s="93"/>
      <c r="L6" s="93"/>
      <c r="M6" s="93"/>
      <c r="N6" s="93"/>
      <c r="O6" s="93"/>
      <c r="P6" s="93"/>
      <c r="Q6" s="93"/>
      <c r="R6" s="93"/>
      <c r="S6" s="93"/>
      <c r="T6" s="93"/>
      <c r="U6" s="93"/>
      <c r="V6" s="93"/>
      <c r="W6" s="93"/>
      <c r="X6" s="93"/>
      <c r="Y6" s="93"/>
      <c r="Z6" s="93"/>
      <c r="AA6" s="93"/>
      <c r="AB6" s="93"/>
      <c r="AC6" s="93"/>
      <c r="AD6" s="93"/>
      <c r="AE6" s="93"/>
      <c r="AF6" s="93"/>
    </row>
    <row r="7" spans="1:32">
      <c r="A7" s="134" t="s">
        <v>362</v>
      </c>
      <c r="B7" s="182">
        <f>IF(B4="oil sweet",'Cost Assumptions'!O135,IF(B4="oil sour",'Cost Assumptions'!O136,INDEX('Cost Assumptions'!O127:O130,B5,1)))</f>
        <v>2.6500000000000004</v>
      </c>
      <c r="C7" s="134" t="str">
        <f>IF(Input!B11="Oil",'Cost Assumptions'!B135,'Cost Assumptions'!B129)</f>
        <v>$/BBL</v>
      </c>
      <c r="D7" s="167"/>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row>
    <row r="8" spans="1:32">
      <c r="A8" s="134" t="s">
        <v>363</v>
      </c>
      <c r="B8" s="182">
        <f>IF(OR(Input!B15=Lists!$Q$36,Input!B15=Shuttle_Tanker,Input!B15=Satellite),0,'Cost Assumptions'!O147/1000+'Cost Assumptions'!O148*Input!B16/1000)</f>
        <v>3.4450000000000003</v>
      </c>
      <c r="C8" s="134" t="s">
        <v>361</v>
      </c>
      <c r="D8" s="167"/>
      <c r="E8" s="93"/>
      <c r="F8" s="93"/>
      <c r="G8" s="93"/>
      <c r="H8" s="93"/>
      <c r="I8" s="93"/>
      <c r="J8" s="93"/>
      <c r="K8" s="93"/>
      <c r="L8" s="93"/>
      <c r="M8" s="93"/>
      <c r="N8" s="93"/>
      <c r="O8" s="93"/>
      <c r="P8" s="93"/>
      <c r="Q8" s="93"/>
      <c r="R8" s="93"/>
      <c r="S8" s="93"/>
      <c r="T8" s="93"/>
      <c r="U8" s="93"/>
      <c r="V8" s="93"/>
      <c r="W8" s="93"/>
      <c r="X8" s="93"/>
      <c r="Y8" s="93"/>
      <c r="Z8" s="93"/>
      <c r="AA8" s="93"/>
      <c r="AB8" s="93"/>
      <c r="AC8" s="93"/>
      <c r="AD8" s="93"/>
      <c r="AE8" s="93"/>
      <c r="AF8" s="93"/>
    </row>
    <row r="9" spans="1:32">
      <c r="A9" s="134" t="s">
        <v>364</v>
      </c>
      <c r="B9" s="182">
        <f>IF('Cost Assumptions'!O153=0,0,'Cost Assumptions'!O151/1000/'Cost Assumptions'!O153)</f>
        <v>3.9999999999999991</v>
      </c>
      <c r="C9" s="134" t="s">
        <v>365</v>
      </c>
      <c r="D9" s="167"/>
      <c r="E9" s="93"/>
      <c r="F9" s="93"/>
      <c r="G9" s="93"/>
      <c r="H9" s="93"/>
      <c r="I9" s="93"/>
      <c r="J9" s="93"/>
      <c r="K9" s="93"/>
      <c r="L9" s="93"/>
      <c r="M9" s="93"/>
      <c r="N9" s="93"/>
      <c r="O9" s="93"/>
      <c r="P9" s="93"/>
      <c r="Q9" s="93"/>
      <c r="R9" s="93"/>
      <c r="S9" s="93"/>
      <c r="T9" s="93"/>
      <c r="U9" s="93"/>
      <c r="V9" s="93"/>
      <c r="W9" s="93"/>
      <c r="X9" s="93"/>
      <c r="Y9" s="93"/>
      <c r="Z9" s="93"/>
      <c r="AA9" s="93"/>
      <c r="AB9" s="93"/>
      <c r="AC9" s="93"/>
      <c r="AD9" s="93"/>
      <c r="AE9" s="93"/>
      <c r="AF9" s="93"/>
    </row>
    <row r="10" spans="1:32">
      <c r="A10" s="134" t="s">
        <v>366</v>
      </c>
      <c r="B10" s="182">
        <f>IF('Cost Assumptions'!O153=0,0,'Cost Assumptions'!O152/1000/'Cost Assumptions'!O153)</f>
        <v>0</v>
      </c>
      <c r="C10" s="134" t="s">
        <v>365</v>
      </c>
      <c r="D10" s="167"/>
      <c r="E10" s="93"/>
      <c r="F10" s="93"/>
      <c r="G10" s="93"/>
      <c r="H10" s="93"/>
      <c r="I10" s="93"/>
      <c r="J10" s="93"/>
      <c r="K10" s="93"/>
      <c r="L10" s="93"/>
      <c r="M10" s="93"/>
      <c r="N10" s="93"/>
      <c r="O10" s="93"/>
      <c r="P10" s="93"/>
      <c r="Q10" s="93"/>
      <c r="R10" s="93"/>
      <c r="S10" s="93"/>
      <c r="T10" s="93"/>
      <c r="U10" s="93"/>
      <c r="V10" s="93"/>
      <c r="W10" s="93"/>
      <c r="X10" s="93"/>
      <c r="Y10" s="93"/>
      <c r="Z10" s="93"/>
      <c r="AA10" s="93"/>
      <c r="AB10" s="93"/>
      <c r="AC10" s="93"/>
      <c r="AD10" s="93"/>
      <c r="AE10" s="93"/>
      <c r="AF10" s="93"/>
    </row>
    <row r="11" spans="1:32">
      <c r="A11" s="134" t="s">
        <v>867</v>
      </c>
      <c r="B11" s="182">
        <f>IF(Input!B14=Rented_FPSU,'Cost Assumptions'!O83+'Cost Assumptions'!O84*Input!B12,0)</f>
        <v>0</v>
      </c>
      <c r="C11" s="167" t="s">
        <v>744</v>
      </c>
      <c r="D11" s="167"/>
      <c r="E11" s="93"/>
      <c r="F11" s="93"/>
      <c r="G11" s="93"/>
      <c r="H11" s="93"/>
      <c r="I11" s="93"/>
      <c r="J11" s="93"/>
      <c r="K11" s="93"/>
      <c r="L11" s="93"/>
      <c r="M11" s="93"/>
      <c r="N11" s="93"/>
      <c r="O11" s="93"/>
      <c r="P11" s="93"/>
      <c r="Q11" s="93"/>
      <c r="R11" s="93"/>
      <c r="S11" s="93"/>
      <c r="T11" s="93"/>
      <c r="U11" s="93"/>
      <c r="V11" s="93"/>
      <c r="W11" s="93"/>
      <c r="X11" s="93"/>
      <c r="Y11" s="93"/>
      <c r="Z11" s="93"/>
      <c r="AA11" s="93"/>
      <c r="AB11" s="93"/>
      <c r="AC11" s="93"/>
      <c r="AD11" s="93"/>
      <c r="AE11" s="93"/>
      <c r="AF11" s="93"/>
    </row>
    <row r="12" spans="1:32">
      <c r="A12" s="134" t="s">
        <v>367</v>
      </c>
      <c r="B12" s="134">
        <f>IF(Overrides!C39=Lists!A37,1,0)</f>
        <v>0</v>
      </c>
      <c r="C12" s="93"/>
      <c r="D12" s="93"/>
      <c r="E12" s="93"/>
      <c r="F12" s="93"/>
      <c r="G12" s="93"/>
      <c r="H12" s="93"/>
      <c r="I12" s="93"/>
      <c r="J12" s="93"/>
      <c r="K12" s="93"/>
      <c r="L12" s="93"/>
      <c r="M12" s="93"/>
      <c r="N12" s="93"/>
      <c r="O12" s="93"/>
      <c r="P12" s="93"/>
      <c r="Q12" s="93"/>
      <c r="R12" s="93"/>
      <c r="S12" s="93"/>
      <c r="T12" s="93"/>
      <c r="U12" s="93"/>
      <c r="V12" s="93"/>
      <c r="W12" s="93"/>
      <c r="X12" s="93"/>
      <c r="Y12" s="93"/>
      <c r="Z12" s="93"/>
      <c r="AA12" s="93"/>
      <c r="AB12" s="93"/>
      <c r="AC12" s="93"/>
      <c r="AD12" s="93"/>
      <c r="AE12" s="93"/>
      <c r="AF12" s="93"/>
    </row>
    <row r="13" spans="1:32">
      <c r="A13" s="93"/>
      <c r="B13" s="133" t="s">
        <v>368</v>
      </c>
      <c r="C13" s="93"/>
      <c r="D13" s="93"/>
      <c r="E13" s="93"/>
      <c r="F13" s="93"/>
      <c r="G13" s="93"/>
      <c r="H13" s="93"/>
      <c r="I13" s="133" t="s">
        <v>369</v>
      </c>
      <c r="J13" s="93"/>
      <c r="K13" s="133" t="s">
        <v>370</v>
      </c>
      <c r="L13" s="133"/>
      <c r="M13" s="133" t="s">
        <v>371</v>
      </c>
      <c r="N13" s="93"/>
      <c r="O13" s="93"/>
      <c r="P13" s="133" t="s">
        <v>372</v>
      </c>
      <c r="Q13" s="93"/>
      <c r="R13" s="93"/>
      <c r="S13" s="93"/>
      <c r="T13" s="93"/>
      <c r="U13" s="93"/>
      <c r="V13" s="93"/>
      <c r="W13" s="93"/>
      <c r="X13" s="93"/>
      <c r="Y13" s="93"/>
      <c r="Z13" s="93"/>
      <c r="AA13" s="93"/>
      <c r="AB13" s="93"/>
      <c r="AC13" s="93"/>
      <c r="AD13" s="93"/>
      <c r="AE13" s="93"/>
      <c r="AF13" s="93"/>
    </row>
    <row r="14" spans="1:32">
      <c r="A14" s="93"/>
      <c r="B14" s="93"/>
      <c r="C14" s="93"/>
      <c r="D14" s="93"/>
      <c r="E14" s="93"/>
      <c r="F14" s="93"/>
      <c r="G14" s="93"/>
      <c r="H14" s="93"/>
      <c r="I14" s="93"/>
      <c r="J14" s="93"/>
      <c r="K14" s="93"/>
      <c r="L14" s="93"/>
      <c r="M14" s="93"/>
      <c r="N14" s="93"/>
      <c r="O14" s="93"/>
      <c r="P14" s="93"/>
      <c r="Q14" s="93"/>
      <c r="R14" s="93"/>
      <c r="S14" s="93"/>
      <c r="T14" s="93"/>
      <c r="U14" s="93"/>
      <c r="V14" s="93"/>
      <c r="W14" s="93"/>
      <c r="X14" s="93"/>
      <c r="Y14" s="93"/>
      <c r="Z14" s="93"/>
      <c r="AA14" s="93"/>
      <c r="AB14" s="93"/>
      <c r="AC14" s="93"/>
      <c r="AD14" s="93"/>
      <c r="AE14" s="93"/>
      <c r="AF14" s="93"/>
    </row>
    <row r="15" spans="1:32">
      <c r="A15" s="139" t="s">
        <v>14</v>
      </c>
      <c r="B15" s="139" t="s">
        <v>280</v>
      </c>
      <c r="C15" s="139" t="s">
        <v>373</v>
      </c>
      <c r="D15" s="139" t="s">
        <v>869</v>
      </c>
      <c r="E15" s="139" t="s">
        <v>165</v>
      </c>
      <c r="F15" s="139" t="s">
        <v>374</v>
      </c>
      <c r="G15" s="139" t="s">
        <v>13</v>
      </c>
      <c r="H15" s="93"/>
      <c r="I15" s="139" t="s">
        <v>13</v>
      </c>
      <c r="J15" s="93"/>
      <c r="K15" s="139" t="s">
        <v>13</v>
      </c>
      <c r="L15" s="222"/>
      <c r="M15" s="139" t="s">
        <v>13</v>
      </c>
      <c r="N15" s="93"/>
      <c r="O15" s="93"/>
      <c r="P15" s="155" t="s">
        <v>13</v>
      </c>
      <c r="Q15" s="93"/>
      <c r="R15" s="93"/>
      <c r="S15" s="138" t="s">
        <v>375</v>
      </c>
      <c r="T15" s="93"/>
      <c r="U15" s="93"/>
      <c r="V15" s="93"/>
      <c r="W15" s="93"/>
      <c r="X15" s="93"/>
      <c r="Y15" s="93"/>
      <c r="Z15" s="93"/>
      <c r="AA15" s="93"/>
      <c r="AB15" s="93"/>
      <c r="AC15" s="93"/>
      <c r="AD15" s="93"/>
      <c r="AE15" s="93"/>
      <c r="AF15" s="93"/>
    </row>
    <row r="16" spans="1:32">
      <c r="A16" s="148"/>
      <c r="B16" s="148"/>
      <c r="C16" s="148" t="s">
        <v>376</v>
      </c>
      <c r="D16" s="148"/>
      <c r="E16" s="148"/>
      <c r="F16" s="148"/>
      <c r="G16" s="148"/>
      <c r="H16" s="93"/>
      <c r="I16" s="148"/>
      <c r="J16" s="93"/>
      <c r="K16" s="148"/>
      <c r="L16" s="222"/>
      <c r="M16" s="148"/>
      <c r="N16" s="93"/>
      <c r="O16" s="134" t="s">
        <v>377</v>
      </c>
      <c r="P16" s="135">
        <f>Development!BP88</f>
        <v>1</v>
      </c>
      <c r="Q16" s="93"/>
      <c r="R16" s="134" t="s">
        <v>309</v>
      </c>
      <c r="S16" s="235">
        <v>0.1</v>
      </c>
      <c r="T16" s="93" t="s">
        <v>868</v>
      </c>
      <c r="U16" s="93"/>
      <c r="V16" s="93"/>
      <c r="W16" s="93"/>
      <c r="X16" s="93"/>
      <c r="Y16" s="93"/>
      <c r="Z16" s="93"/>
      <c r="AA16" s="93"/>
      <c r="AB16" s="93"/>
      <c r="AC16" s="93"/>
      <c r="AD16" s="93"/>
      <c r="AE16" s="93"/>
      <c r="AF16" s="93"/>
    </row>
    <row r="17" spans="1:32">
      <c r="A17" s="166"/>
      <c r="B17" s="93"/>
      <c r="C17" s="93"/>
      <c r="D17" s="93"/>
      <c r="E17" s="93"/>
      <c r="F17" s="93"/>
      <c r="G17" s="93"/>
      <c r="H17" s="93"/>
      <c r="I17" s="93"/>
      <c r="J17" s="93"/>
      <c r="K17" s="93"/>
      <c r="L17" s="93"/>
      <c r="M17" s="93"/>
      <c r="N17" s="93"/>
      <c r="O17" s="93"/>
      <c r="P17" s="196"/>
      <c r="Q17" s="93"/>
      <c r="R17" s="93"/>
      <c r="S17" s="214"/>
      <c r="T17" s="93"/>
      <c r="U17" s="93"/>
      <c r="V17" s="93"/>
      <c r="W17" s="93"/>
      <c r="X17" s="93"/>
      <c r="Y17" s="93"/>
      <c r="Z17" s="93"/>
      <c r="AA17" s="93"/>
      <c r="AB17" s="93"/>
      <c r="AC17" s="93"/>
      <c r="AD17" s="93"/>
      <c r="AE17" s="93"/>
      <c r="AF17" s="93"/>
    </row>
    <row r="18" spans="1:32">
      <c r="A18" s="155" t="s">
        <v>13</v>
      </c>
      <c r="B18" s="151">
        <f>SUM(B19:B58)</f>
        <v>1109.657371817332</v>
      </c>
      <c r="C18" s="151">
        <f>SUM(C19:C58)</f>
        <v>3106.0422994044343</v>
      </c>
      <c r="D18" s="151"/>
      <c r="E18" s="151">
        <f>SUM(E19:E58)</f>
        <v>92.244101046967842</v>
      </c>
      <c r="F18" s="151">
        <f>SUM(F19:F58)</f>
        <v>1144.766302277138</v>
      </c>
      <c r="G18" s="151">
        <f>SUM(G19:G58)</f>
        <v>5452.7100745458711</v>
      </c>
      <c r="H18" s="156"/>
      <c r="I18" s="151">
        <f>SUM(I19:I58)</f>
        <v>0</v>
      </c>
      <c r="J18" s="156"/>
      <c r="K18" s="151">
        <f>SUM(K19:K58)</f>
        <v>7601.0819385744389</v>
      </c>
      <c r="L18" s="200"/>
      <c r="M18" s="151">
        <f>SUM(M19:M58)</f>
        <v>6794.40364887738</v>
      </c>
      <c r="N18" s="156"/>
      <c r="O18" s="156"/>
      <c r="P18" s="151">
        <f>SUM(P19:P58)</f>
        <v>6794.40364887738</v>
      </c>
      <c r="Q18" s="156"/>
      <c r="R18" s="156"/>
      <c r="S18" s="151">
        <f>SUM(S19:S58)</f>
        <v>7473.8440137651205</v>
      </c>
      <c r="T18" s="93"/>
      <c r="U18" s="93"/>
      <c r="V18" s="93"/>
      <c r="W18" s="93"/>
      <c r="X18" s="93"/>
      <c r="Y18" s="93"/>
      <c r="Z18" s="93"/>
      <c r="AA18" s="93"/>
      <c r="AB18" s="93"/>
      <c r="AC18" s="93"/>
      <c r="AD18" s="93"/>
      <c r="AE18" s="93"/>
      <c r="AF18" s="93"/>
    </row>
    <row r="19" spans="1:32">
      <c r="A19" s="140">
        <f>'Success Cash Flow'!A10</f>
        <v>2015</v>
      </c>
      <c r="B19" s="160">
        <f>Production!N31*B$6+B$7*Production!G31</f>
        <v>0</v>
      </c>
      <c r="C19" s="160">
        <f>($B$9*Development!$B$23+(Development!$B$15-Development!$B$23)*Operations!$B$10)*Production!N31</f>
        <v>0</v>
      </c>
      <c r="D19" s="160">
        <f>$B$11*Production!M31/1000</f>
        <v>0</v>
      </c>
      <c r="E19" s="160">
        <f>$B$8*Production!N31</f>
        <v>0</v>
      </c>
      <c r="F19" s="160">
        <f>$B$3*IF(Input!$B$11="Gas",Production!G31,Production!K31)</f>
        <v>0</v>
      </c>
      <c r="G19" s="160">
        <f t="shared" ref="G19:G58" si="0">SUM(B19:F19)</f>
        <v>0</v>
      </c>
      <c r="H19" s="156"/>
      <c r="I19" s="158">
        <f>IF(Production!S31=0,0,INDEX(Overrides!$O$48:$O$88,Production!S31+1,1)*Production!$T$21+INDEX(Overrides!$O$48:$O$88,Production!S31,1)*Production!$T$22)</f>
        <v>0</v>
      </c>
      <c r="J19" s="156"/>
      <c r="K19" s="160">
        <f>IF($B$12=1,I19,G19)*'Selected Economics'!I11*'Sensitivity Ranges'!$F$44</f>
        <v>0</v>
      </c>
      <c r="L19" s="200"/>
      <c r="M19" s="158">
        <f>K19*Abandonment!H16</f>
        <v>0</v>
      </c>
      <c r="N19" s="156"/>
      <c r="O19" s="156"/>
      <c r="P19" s="158">
        <f>M19*P$16</f>
        <v>0</v>
      </c>
      <c r="Q19" s="156"/>
      <c r="R19" s="156"/>
      <c r="S19" s="236">
        <f>IF(G19&gt;0,M19*(1+$S$16)*(G19-D19)/G19+M19*(1+Development!$BL$88)*D19/G19,0)</f>
        <v>0</v>
      </c>
      <c r="T19" s="93"/>
      <c r="U19" s="93"/>
      <c r="V19" s="93"/>
      <c r="W19" s="93"/>
      <c r="X19" s="93"/>
      <c r="Y19" s="93"/>
      <c r="Z19" s="93"/>
      <c r="AA19" s="93"/>
      <c r="AB19" s="93"/>
      <c r="AC19" s="93"/>
      <c r="AD19" s="93"/>
      <c r="AE19" s="93"/>
      <c r="AF19" s="93"/>
    </row>
    <row r="20" spans="1:32">
      <c r="A20" s="140">
        <f>A19+1</f>
        <v>2016</v>
      </c>
      <c r="B20" s="160">
        <f>Production!N32*B$6+B$7*Production!G32</f>
        <v>0</v>
      </c>
      <c r="C20" s="160">
        <f>($B$9*Development!$B$23+(Development!$B$15-Development!$B$23)*Operations!$B$10)*Production!N32</f>
        <v>0</v>
      </c>
      <c r="D20" s="160">
        <f>$B$11*Production!M32/1000</f>
        <v>0</v>
      </c>
      <c r="E20" s="160">
        <f>$B$8*Production!N32</f>
        <v>0</v>
      </c>
      <c r="F20" s="160">
        <f>$B$3*IF(Input!$B$11="Gas",Production!G32,Production!K32)</f>
        <v>0</v>
      </c>
      <c r="G20" s="160">
        <f t="shared" si="0"/>
        <v>0</v>
      </c>
      <c r="H20" s="156"/>
      <c r="I20" s="160">
        <f>IF(Production!S32=0,0,INDEX(Overrides!$O$48:$O$88,Production!S32+1,1)*Production!$T$21+INDEX(Overrides!$O$48:$O$88,Production!S32,1)*Production!$T$22)</f>
        <v>0</v>
      </c>
      <c r="J20" s="156"/>
      <c r="K20" s="160">
        <f>IF($B$12=1,I20,G20)*'Selected Economics'!I12*'Sensitivity Ranges'!$F$44</f>
        <v>0</v>
      </c>
      <c r="L20" s="200"/>
      <c r="M20" s="160">
        <f>K20*Abandonment!H17</f>
        <v>0</v>
      </c>
      <c r="N20" s="156"/>
      <c r="O20" s="156"/>
      <c r="P20" s="160">
        <f t="shared" ref="P20:P58" si="1">M20*P$16</f>
        <v>0</v>
      </c>
      <c r="Q20" s="156"/>
      <c r="R20" s="156"/>
      <c r="S20" s="236">
        <f>IF(G20&gt;0,M20*(1+$S$16)*(G20-D20)/G20+M20*(1+Development!$BL$88)*D20/G20,0)</f>
        <v>0</v>
      </c>
      <c r="T20" s="93"/>
      <c r="U20" s="93"/>
      <c r="V20" s="93"/>
      <c r="W20" s="93"/>
      <c r="X20" s="93"/>
      <c r="Y20" s="93"/>
      <c r="Z20" s="93"/>
      <c r="AA20" s="93"/>
      <c r="AB20" s="93"/>
      <c r="AC20" s="93"/>
      <c r="AD20" s="93"/>
      <c r="AE20" s="93"/>
      <c r="AF20" s="93"/>
    </row>
    <row r="21" spans="1:32">
      <c r="A21" s="140">
        <f t="shared" ref="A21:A58" si="2">A20+1</f>
        <v>2017</v>
      </c>
      <c r="B21" s="160">
        <f>Production!N33*B$6+B$7*Production!G33</f>
        <v>64.844543311632449</v>
      </c>
      <c r="C21" s="160">
        <f>($B$9*Development!$B$23+(Development!$B$15-Development!$B$23)*Operations!$B$10)*Production!N33</f>
        <v>90.575342465753408</v>
      </c>
      <c r="D21" s="160">
        <f>$B$11*Production!M33/1000</f>
        <v>0</v>
      </c>
      <c r="E21" s="160">
        <f>$B$8*Production!N33</f>
        <v>2.6899315068493155</v>
      </c>
      <c r="F21" s="160">
        <f>$B$3*IF(Input!$B$11="Gas",Production!G33,Production!K33)</f>
        <v>102.72842013864904</v>
      </c>
      <c r="G21" s="160">
        <f t="shared" si="0"/>
        <v>260.83823742288422</v>
      </c>
      <c r="H21" s="156"/>
      <c r="I21" s="160">
        <f>IF(Production!S33=0,0,INDEX(Overrides!$O$48:$O$88,Production!S33+1,1)*Production!$T$21+INDEX(Overrides!$O$48:$O$88,Production!S33,1)*Production!$T$22)</f>
        <v>0</v>
      </c>
      <c r="J21" s="156"/>
      <c r="K21" s="160">
        <f>IF($B$12=1,I21,G21)*'Selected Economics'!I13*'Sensitivity Ranges'!$F$44</f>
        <v>274.04317319241773</v>
      </c>
      <c r="L21" s="200"/>
      <c r="M21" s="160">
        <f>K21*Abandonment!H18</f>
        <v>274.04317319241773</v>
      </c>
      <c r="N21" s="156"/>
      <c r="O21" s="156"/>
      <c r="P21" s="160">
        <f t="shared" si="1"/>
        <v>274.04317319241773</v>
      </c>
      <c r="Q21" s="156"/>
      <c r="R21" s="156"/>
      <c r="S21" s="236">
        <f>IF(G21&gt;0,M21*(1+$S$16)*(G21-D21)/G21+M21*(1+Development!$BL$88)*D21/G21,0)</f>
        <v>301.44749051165951</v>
      </c>
      <c r="T21" s="93"/>
      <c r="U21" s="93"/>
      <c r="V21" s="93"/>
      <c r="W21" s="93"/>
      <c r="X21" s="93"/>
      <c r="Y21" s="93"/>
      <c r="Z21" s="93"/>
      <c r="AA21" s="93"/>
      <c r="AB21" s="93"/>
      <c r="AC21" s="93"/>
      <c r="AD21" s="93"/>
      <c r="AE21" s="93"/>
      <c r="AF21" s="93"/>
    </row>
    <row r="22" spans="1:32">
      <c r="A22" s="140">
        <f t="shared" si="2"/>
        <v>2018</v>
      </c>
      <c r="B22" s="160">
        <f>Production!N34*B$6+B$7*Production!G34</f>
        <v>89.591054794520559</v>
      </c>
      <c r="C22" s="160">
        <f>($B$9*Development!$B$23+(Development!$B$15-Development!$B$23)*Operations!$B$10)*Production!N34</f>
        <v>115.99999999999997</v>
      </c>
      <c r="D22" s="160">
        <f>$B$11*Production!M34/1000</f>
        <v>0</v>
      </c>
      <c r="E22" s="160">
        <f>$B$8*Production!N34</f>
        <v>3.4450000000000003</v>
      </c>
      <c r="F22" s="160">
        <f>$B$3*IF(Input!$B$11="Gas",Production!G34,Production!K34)</f>
        <v>112.29111452054795</v>
      </c>
      <c r="G22" s="160">
        <f t="shared" si="0"/>
        <v>321.32716931506843</v>
      </c>
      <c r="H22" s="156"/>
      <c r="I22" s="160">
        <f>IF(Production!S34=0,0,INDEX(Overrides!$O$48:$O$88,Production!S34+1,1)*Production!$T$21+INDEX(Overrides!$O$48:$O$88,Production!S34,1)*Production!$T$22)</f>
        <v>0</v>
      </c>
      <c r="J22" s="156"/>
      <c r="K22" s="160">
        <f>IF($B$12=1,I22,G22)*'Selected Economics'!I14*'Sensitivity Ranges'!$F$44</f>
        <v>346.03421619318482</v>
      </c>
      <c r="L22" s="200"/>
      <c r="M22" s="160">
        <f>K22*Abandonment!H19</f>
        <v>346.03421619318482</v>
      </c>
      <c r="N22" s="156"/>
      <c r="O22" s="156"/>
      <c r="P22" s="160">
        <f t="shared" si="1"/>
        <v>346.03421619318482</v>
      </c>
      <c r="Q22" s="156"/>
      <c r="R22" s="156"/>
      <c r="S22" s="236">
        <f>IF(G22&gt;0,M22*(1+$S$16)*(G22-D22)/G22+M22*(1+Development!$BL$88)*D22/G22,0)</f>
        <v>380.63763781250333</v>
      </c>
      <c r="T22" s="93"/>
      <c r="U22" s="93"/>
      <c r="V22" s="93"/>
      <c r="W22" s="93"/>
      <c r="X22" s="93"/>
      <c r="Y22" s="93"/>
      <c r="Z22" s="93"/>
      <c r="AA22" s="93"/>
      <c r="AB22" s="93"/>
      <c r="AC22" s="93"/>
      <c r="AD22" s="93"/>
      <c r="AE22" s="93"/>
      <c r="AF22" s="93"/>
    </row>
    <row r="23" spans="1:32">
      <c r="A23" s="140">
        <f t="shared" si="2"/>
        <v>2019</v>
      </c>
      <c r="B23" s="160">
        <f>Production!N35*B$6+B$7*Production!G35</f>
        <v>89.591054794520559</v>
      </c>
      <c r="C23" s="160">
        <f>($B$9*Development!$B$23+(Development!$B$15-Development!$B$23)*Operations!$B$10)*Production!N35</f>
        <v>115.99999999999997</v>
      </c>
      <c r="D23" s="160">
        <f>$B$11*Production!M35/1000</f>
        <v>0</v>
      </c>
      <c r="E23" s="160">
        <f>$B$8*Production!N35</f>
        <v>3.4450000000000003</v>
      </c>
      <c r="F23" s="160">
        <f>$B$3*IF(Input!$B$11="Gas",Production!G35,Production!K35)</f>
        <v>112.29111452054795</v>
      </c>
      <c r="G23" s="160">
        <f t="shared" si="0"/>
        <v>321.32716931506843</v>
      </c>
      <c r="H23" s="156"/>
      <c r="I23" s="160">
        <f>IF(Production!S35=0,0,INDEX(Overrides!$O$48:$O$88,Production!S35+1,1)*Production!$T$21+INDEX(Overrides!$O$48:$O$88,Production!S35,1)*Production!$T$22)</f>
        <v>0</v>
      </c>
      <c r="J23" s="156"/>
      <c r="K23" s="160">
        <f>IF($B$12=1,I23,G23)*'Selected Economics'!I15*'Sensitivity Ranges'!$F$44</f>
        <v>354.68507159801442</v>
      </c>
      <c r="L23" s="200"/>
      <c r="M23" s="160">
        <f>K23*Abandonment!H20</f>
        <v>354.68507159801442</v>
      </c>
      <c r="N23" s="156"/>
      <c r="O23" s="156"/>
      <c r="P23" s="160">
        <f t="shared" si="1"/>
        <v>354.68507159801442</v>
      </c>
      <c r="Q23" s="156"/>
      <c r="R23" s="156"/>
      <c r="S23" s="236">
        <f>IF(G23&gt;0,M23*(1+$S$16)*(G23-D23)/G23+M23*(1+Development!$BL$88)*D23/G23,0)</f>
        <v>390.15357875781586</v>
      </c>
      <c r="T23" s="93"/>
      <c r="U23" s="93"/>
      <c r="V23" s="93"/>
      <c r="W23" s="93"/>
      <c r="X23" s="93"/>
      <c r="Y23" s="93"/>
      <c r="Z23" s="93"/>
      <c r="AA23" s="93"/>
      <c r="AB23" s="93"/>
      <c r="AC23" s="93"/>
      <c r="AD23" s="93"/>
      <c r="AE23" s="93"/>
      <c r="AF23" s="93"/>
    </row>
    <row r="24" spans="1:32">
      <c r="A24" s="140">
        <f t="shared" si="2"/>
        <v>2020</v>
      </c>
      <c r="B24" s="160">
        <f>Production!N36*B$6+B$7*Production!G36</f>
        <v>89.801602739726036</v>
      </c>
      <c r="C24" s="160">
        <f>($B$9*Development!$B$23+(Development!$B$15-Development!$B$23)*Operations!$B$10)*Production!N36</f>
        <v>115.99999999999997</v>
      </c>
      <c r="D24" s="160">
        <f>$B$11*Production!M36/1000</f>
        <v>0</v>
      </c>
      <c r="E24" s="160">
        <f>$B$8*Production!N36</f>
        <v>3.4450000000000003</v>
      </c>
      <c r="F24" s="160">
        <f>$B$3*IF(Input!$B$11="Gas",Production!G36,Production!K36)</f>
        <v>112.29111452054792</v>
      </c>
      <c r="G24" s="160">
        <f t="shared" si="0"/>
        <v>321.53771726027389</v>
      </c>
      <c r="H24" s="156"/>
      <c r="I24" s="160">
        <f>IF(Production!S36=0,0,INDEX(Overrides!$O$48:$O$88,Production!S36+1,1)*Production!$T$21+INDEX(Overrides!$O$48:$O$88,Production!S36,1)*Production!$T$22)</f>
        <v>0</v>
      </c>
      <c r="J24" s="156"/>
      <c r="K24" s="160">
        <f>IF($B$12=1,I24,G24)*'Selected Economics'!I16*'Sensitivity Ranges'!$F$44</f>
        <v>363.79041406237747</v>
      </c>
      <c r="L24" s="200"/>
      <c r="M24" s="160">
        <f>K24*Abandonment!H21</f>
        <v>363.79041406237747</v>
      </c>
      <c r="N24" s="156"/>
      <c r="O24" s="156"/>
      <c r="P24" s="160">
        <f t="shared" si="1"/>
        <v>363.79041406237747</v>
      </c>
      <c r="Q24" s="156"/>
      <c r="R24" s="156"/>
      <c r="S24" s="236">
        <f>IF(G24&gt;0,M24*(1+$S$16)*(G24-D24)/G24+M24*(1+Development!$BL$88)*D24/G24,0)</f>
        <v>400.16945546861524</v>
      </c>
      <c r="T24" s="93"/>
      <c r="U24" s="93"/>
      <c r="V24" s="93"/>
      <c r="W24" s="93"/>
      <c r="X24" s="93"/>
      <c r="Y24" s="93"/>
      <c r="Z24" s="93"/>
      <c r="AA24" s="93"/>
      <c r="AB24" s="93"/>
      <c r="AC24" s="93"/>
      <c r="AD24" s="93"/>
      <c r="AE24" s="93"/>
      <c r="AF24" s="93"/>
    </row>
    <row r="25" spans="1:32">
      <c r="A25" s="140">
        <f t="shared" si="2"/>
        <v>2021</v>
      </c>
      <c r="B25" s="160">
        <f>Production!N37*B$6+B$7*Production!G37</f>
        <v>86.501258905393556</v>
      </c>
      <c r="C25" s="160">
        <f>($B$9*Development!$B$23+(Development!$B$15-Development!$B$23)*Operations!$B$10)*Production!N37</f>
        <v>115.99999999999997</v>
      </c>
      <c r="D25" s="160">
        <f>$B$11*Production!M37/1000</f>
        <v>0</v>
      </c>
      <c r="E25" s="160">
        <f>$B$8*Production!N37</f>
        <v>3.4450000000000003</v>
      </c>
      <c r="F25" s="160">
        <f>$B$3*IF(Input!$B$11="Gas",Production!G37,Production!K37)</f>
        <v>107.77638941929774</v>
      </c>
      <c r="G25" s="160">
        <f t="shared" si="0"/>
        <v>313.72264832469125</v>
      </c>
      <c r="H25" s="156"/>
      <c r="I25" s="160">
        <f>IF(Production!S37=0,0,INDEX(Overrides!$O$48:$O$88,Production!S37+1,1)*Production!$T$21+INDEX(Overrides!$O$48:$O$88,Production!S37,1)*Production!$T$22)</f>
        <v>0</v>
      </c>
      <c r="J25" s="156"/>
      <c r="K25" s="160">
        <f>IF($B$12=1,I25,G25)*'Selected Economics'!I17*'Sensitivity Ranges'!$F$44</f>
        <v>363.82209040646165</v>
      </c>
      <c r="L25" s="200"/>
      <c r="M25" s="160">
        <f>K25*Abandonment!H22</f>
        <v>363.82209040646165</v>
      </c>
      <c r="N25" s="156"/>
      <c r="O25" s="156"/>
      <c r="P25" s="160">
        <f t="shared" si="1"/>
        <v>363.82209040646165</v>
      </c>
      <c r="Q25" s="156"/>
      <c r="R25" s="156"/>
      <c r="S25" s="236">
        <f>IF(G25&gt;0,M25*(1+$S$16)*(G25-D25)/G25+M25*(1+Development!$BL$88)*D25/G25,0)</f>
        <v>400.20429944710787</v>
      </c>
      <c r="T25" s="93"/>
      <c r="U25" s="93"/>
      <c r="V25" s="93"/>
      <c r="W25" s="93"/>
      <c r="X25" s="93"/>
      <c r="Y25" s="93"/>
      <c r="Z25" s="93"/>
      <c r="AA25" s="93"/>
      <c r="AB25" s="93"/>
      <c r="AC25" s="93"/>
      <c r="AD25" s="93"/>
      <c r="AE25" s="93"/>
      <c r="AF25" s="93"/>
    </row>
    <row r="26" spans="1:32">
      <c r="A26" s="140">
        <f t="shared" si="2"/>
        <v>2022</v>
      </c>
      <c r="B26" s="160">
        <f>Production!N38*B$6+B$7*Production!G38</f>
        <v>75.86873365041798</v>
      </c>
      <c r="C26" s="160">
        <f>($B$9*Development!$B$23+(Development!$B$15-Development!$B$23)*Operations!$B$10)*Production!N38</f>
        <v>115.99999999999997</v>
      </c>
      <c r="D26" s="160">
        <f>$B$11*Production!M38/1000</f>
        <v>0</v>
      </c>
      <c r="E26" s="160">
        <f>$B$8*Production!N38</f>
        <v>3.4450000000000003</v>
      </c>
      <c r="F26" s="160">
        <f>$B$3*IF(Input!$B$11="Gas",Production!G38,Production!K38)</f>
        <v>92.24043481878924</v>
      </c>
      <c r="G26" s="160">
        <f t="shared" si="0"/>
        <v>287.55416846920718</v>
      </c>
      <c r="H26" s="156"/>
      <c r="I26" s="160">
        <f>IF(Production!S38=0,0,INDEX(Overrides!$O$48:$O$88,Production!S38+1,1)*Production!$T$21+INDEX(Overrides!$O$48:$O$88,Production!S38,1)*Production!$T$22)</f>
        <v>0</v>
      </c>
      <c r="J26" s="156"/>
      <c r="K26" s="160">
        <f>IF($B$12=1,I26,G26)*'Selected Economics'!I18*'Sensitivity Ranges'!$F$44</f>
        <v>341.8115434672556</v>
      </c>
      <c r="L26" s="200"/>
      <c r="M26" s="160">
        <f>K26*Abandonment!H23</f>
        <v>341.8115434672556</v>
      </c>
      <c r="N26" s="156"/>
      <c r="O26" s="156"/>
      <c r="P26" s="160">
        <f t="shared" si="1"/>
        <v>341.8115434672556</v>
      </c>
      <c r="Q26" s="156"/>
      <c r="R26" s="156"/>
      <c r="S26" s="236">
        <f>IF(G26&gt;0,M26*(1+$S$16)*(G26-D26)/G26+M26*(1+Development!$BL$88)*D26/G26,0)</f>
        <v>375.99269781398118</v>
      </c>
      <c r="T26" s="93"/>
      <c r="U26" s="93"/>
      <c r="V26" s="93"/>
      <c r="W26" s="93"/>
      <c r="X26" s="93"/>
      <c r="Y26" s="93"/>
      <c r="Z26" s="93"/>
      <c r="AA26" s="93"/>
      <c r="AB26" s="93"/>
      <c r="AC26" s="93"/>
      <c r="AD26" s="93"/>
      <c r="AE26" s="93"/>
      <c r="AF26" s="93"/>
    </row>
    <row r="27" spans="1:32">
      <c r="A27" s="140">
        <f t="shared" si="2"/>
        <v>2023</v>
      </c>
      <c r="B27" s="160">
        <f>Production!N39*B$6+B$7*Production!G39</f>
        <v>66.39958182203334</v>
      </c>
      <c r="C27" s="160">
        <f>($B$9*Development!$B$23+(Development!$B$15-Development!$B$23)*Operations!$B$10)*Production!N39</f>
        <v>115.99999999999997</v>
      </c>
      <c r="D27" s="160">
        <f>$B$11*Production!M39/1000</f>
        <v>0</v>
      </c>
      <c r="E27" s="160">
        <f>$B$8*Production!N39</f>
        <v>3.4450000000000003</v>
      </c>
      <c r="F27" s="160">
        <f>$B$3*IF(Input!$B$11="Gas",Production!G39,Production!K39)</f>
        <v>78.40436959597082</v>
      </c>
      <c r="G27" s="160">
        <f t="shared" si="0"/>
        <v>264.24895141800414</v>
      </c>
      <c r="H27" s="156"/>
      <c r="I27" s="160">
        <f>IF(Production!S39=0,0,INDEX(Overrides!$O$48:$O$88,Production!S39+1,1)*Production!$T$21+INDEX(Overrides!$O$48:$O$88,Production!S39,1)*Production!$T$22)</f>
        <v>0</v>
      </c>
      <c r="J27" s="156"/>
      <c r="K27" s="160">
        <f>IF($B$12=1,I27,G27)*'Selected Economics'!I19*'Sensitivity Ranges'!$F$44</f>
        <v>321.96168807165367</v>
      </c>
      <c r="L27" s="200"/>
      <c r="M27" s="160">
        <f>K27*Abandonment!H24</f>
        <v>321.96168807165367</v>
      </c>
      <c r="N27" s="156"/>
      <c r="O27" s="156"/>
      <c r="P27" s="160">
        <f t="shared" si="1"/>
        <v>321.96168807165367</v>
      </c>
      <c r="Q27" s="156"/>
      <c r="R27" s="156"/>
      <c r="S27" s="236">
        <f>IF(G27&gt;0,M27*(1+$S$16)*(G27-D27)/G27+M27*(1+Development!$BL$88)*D27/G27,0)</f>
        <v>354.15785687881908</v>
      </c>
      <c r="T27" s="93"/>
      <c r="U27" s="93"/>
      <c r="V27" s="93"/>
      <c r="W27" s="93"/>
      <c r="X27" s="93"/>
      <c r="Y27" s="93"/>
      <c r="Z27" s="93"/>
      <c r="AA27" s="93"/>
      <c r="AB27" s="93"/>
      <c r="AC27" s="93"/>
      <c r="AD27" s="93"/>
      <c r="AE27" s="93"/>
      <c r="AF27" s="93"/>
    </row>
    <row r="28" spans="1:32">
      <c r="A28" s="140">
        <f t="shared" si="2"/>
        <v>2024</v>
      </c>
      <c r="B28" s="160">
        <f>Production!N40*B$6+B$7*Production!G40</f>
        <v>58.465856244095512</v>
      </c>
      <c r="C28" s="160">
        <f>($B$9*Development!$B$23+(Development!$B$15-Development!$B$23)*Operations!$B$10)*Production!N40</f>
        <v>115.99999999999997</v>
      </c>
      <c r="D28" s="160">
        <f>$B$11*Production!M40/1000</f>
        <v>0</v>
      </c>
      <c r="E28" s="160">
        <f>$B$8*Production!N40</f>
        <v>3.4450000000000003</v>
      </c>
      <c r="F28" s="160">
        <f>$B$3*IF(Input!$B$11="Gas",Production!G40,Production!K40)</f>
        <v>66.62928116802982</v>
      </c>
      <c r="G28" s="160">
        <f t="shared" si="0"/>
        <v>244.54013741212529</v>
      </c>
      <c r="H28" s="156"/>
      <c r="I28" s="160">
        <f>IF(Production!S40=0,0,INDEX(Overrides!$O$48:$O$88,Production!S40+1,1)*Production!$T$21+INDEX(Overrides!$O$48:$O$88,Production!S40,1)*Production!$T$22)</f>
        <v>0</v>
      </c>
      <c r="J28" s="156"/>
      <c r="K28" s="160">
        <f>IF($B$12=1,I28,G28)*'Selected Economics'!I20*'Sensitivity Ranges'!$F$44</f>
        <v>305.39712227991697</v>
      </c>
      <c r="L28" s="200"/>
      <c r="M28" s="160">
        <f>K28*Abandonment!H25</f>
        <v>305.39712227991697</v>
      </c>
      <c r="N28" s="156"/>
      <c r="O28" s="156"/>
      <c r="P28" s="160">
        <f t="shared" si="1"/>
        <v>305.39712227991697</v>
      </c>
      <c r="Q28" s="156"/>
      <c r="R28" s="156"/>
      <c r="S28" s="236">
        <f>IF(G28&gt;0,M28*(1+$S$16)*(G28-D28)/G28+M28*(1+Development!$BL$88)*D28/G28,0)</f>
        <v>335.93683450790871</v>
      </c>
      <c r="T28" s="93"/>
      <c r="U28" s="93"/>
      <c r="V28" s="93"/>
      <c r="W28" s="93"/>
      <c r="X28" s="93"/>
      <c r="Y28" s="93"/>
      <c r="Z28" s="93"/>
      <c r="AA28" s="93"/>
      <c r="AB28" s="93"/>
      <c r="AC28" s="93"/>
      <c r="AD28" s="93"/>
      <c r="AE28" s="93"/>
      <c r="AF28" s="93"/>
    </row>
    <row r="29" spans="1:32">
      <c r="A29" s="140">
        <f t="shared" si="2"/>
        <v>2025</v>
      </c>
      <c r="B29" s="160">
        <f>Production!N41*B$6+B$7*Production!G41</f>
        <v>51.492082550470201</v>
      </c>
      <c r="C29" s="160">
        <f>($B$9*Development!$B$23+(Development!$B$15-Development!$B$23)*Operations!$B$10)*Production!N41</f>
        <v>115.99999999999997</v>
      </c>
      <c r="D29" s="160">
        <f>$B$11*Production!M41/1000</f>
        <v>0</v>
      </c>
      <c r="E29" s="160">
        <f>$B$8*Production!N41</f>
        <v>3.4450000000000003</v>
      </c>
      <c r="F29" s="160">
        <f>$B$3*IF(Input!$B$11="Gas",Production!G41,Production!K41)</f>
        <v>56.621940085000311</v>
      </c>
      <c r="G29" s="160">
        <f t="shared" si="0"/>
        <v>227.55902263547048</v>
      </c>
      <c r="H29" s="156"/>
      <c r="I29" s="160">
        <f>IF(Production!S41=0,0,INDEX(Overrides!$O$48:$O$88,Production!S41+1,1)*Production!$T$21+INDEX(Overrides!$O$48:$O$88,Production!S41,1)*Production!$T$22)</f>
        <v>0</v>
      </c>
      <c r="J29" s="156"/>
      <c r="K29" s="160">
        <f>IF($B$12=1,I29,G29)*'Selected Economics'!I21*'Sensitivity Ranges'!$F$44</f>
        <v>291.29478776809464</v>
      </c>
      <c r="L29" s="200"/>
      <c r="M29" s="160">
        <f>K29*Abandonment!H26</f>
        <v>291.29478776809464</v>
      </c>
      <c r="N29" s="156"/>
      <c r="O29" s="156"/>
      <c r="P29" s="160">
        <f t="shared" si="1"/>
        <v>291.29478776809464</v>
      </c>
      <c r="Q29" s="156"/>
      <c r="R29" s="156"/>
      <c r="S29" s="236">
        <f>IF(G29&gt;0,M29*(1+$S$16)*(G29-D29)/G29+M29*(1+Development!$BL$88)*D29/G29,0)</f>
        <v>320.42426654490413</v>
      </c>
      <c r="T29" s="93"/>
      <c r="U29" s="93"/>
      <c r="V29" s="93"/>
      <c r="W29" s="93"/>
      <c r="X29" s="93"/>
      <c r="Y29" s="93"/>
      <c r="Z29" s="93"/>
      <c r="AA29" s="93"/>
      <c r="AB29" s="93"/>
      <c r="AC29" s="93"/>
      <c r="AD29" s="93"/>
      <c r="AE29" s="93"/>
      <c r="AF29" s="93"/>
    </row>
    <row r="30" spans="1:32">
      <c r="A30" s="140">
        <f t="shared" si="2"/>
        <v>2026</v>
      </c>
      <c r="B30" s="160">
        <f>Production!N42*B$6+B$7*Production!G42</f>
        <v>45.679428387077756</v>
      </c>
      <c r="C30" s="160">
        <f>($B$9*Development!$B$23+(Development!$B$15-Development!$B$23)*Operations!$B$10)*Production!N42</f>
        <v>115.99999999999997</v>
      </c>
      <c r="D30" s="160">
        <f>$B$11*Production!M42/1000</f>
        <v>0</v>
      </c>
      <c r="E30" s="160">
        <f>$B$8*Production!N42</f>
        <v>3.4450000000000003</v>
      </c>
      <c r="F30" s="160">
        <f>$B$3*IF(Input!$B$11="Gas",Production!G42,Production!K42)</f>
        <v>48.128649072250276</v>
      </c>
      <c r="G30" s="160">
        <f t="shared" si="0"/>
        <v>213.25307745932801</v>
      </c>
      <c r="H30" s="156"/>
      <c r="I30" s="160">
        <f>IF(Production!S42=0,0,INDEX(Overrides!$O$48:$O$88,Production!S42+1,1)*Production!$T$21+INDEX(Overrides!$O$48:$O$88,Production!S42,1)*Production!$T$22)</f>
        <v>0</v>
      </c>
      <c r="J30" s="156"/>
      <c r="K30" s="160">
        <f>IF($B$12=1,I30,G30)*'Selected Economics'!I22*'Sensitivity Ranges'!$F$44</f>
        <v>279.80651766944408</v>
      </c>
      <c r="L30" s="200"/>
      <c r="M30" s="160">
        <f>K30*Abandonment!H27</f>
        <v>279.80651766944408</v>
      </c>
      <c r="N30" s="156"/>
      <c r="O30" s="156"/>
      <c r="P30" s="160">
        <f t="shared" si="1"/>
        <v>279.80651766944408</v>
      </c>
      <c r="Q30" s="156"/>
      <c r="R30" s="156"/>
      <c r="S30" s="236">
        <f>IF(G30&gt;0,M30*(1+$S$16)*(G30-D30)/G30+M30*(1+Development!$BL$88)*D30/G30,0)</f>
        <v>307.78716943638852</v>
      </c>
      <c r="T30" s="93"/>
      <c r="U30" s="93"/>
      <c r="V30" s="93"/>
      <c r="W30" s="93"/>
      <c r="X30" s="93"/>
      <c r="Y30" s="93"/>
      <c r="Z30" s="93"/>
      <c r="AA30" s="93"/>
      <c r="AB30" s="93"/>
      <c r="AC30" s="93"/>
      <c r="AD30" s="93"/>
      <c r="AE30" s="93"/>
      <c r="AF30" s="93"/>
    </row>
    <row r="31" spans="1:32">
      <c r="A31" s="140">
        <f t="shared" si="2"/>
        <v>2027</v>
      </c>
      <c r="B31" s="160">
        <f>Production!N43*B$6+B$7*Production!G43</f>
        <v>40.738672348194186</v>
      </c>
      <c r="C31" s="160">
        <f>($B$9*Development!$B$23+(Development!$B$15-Development!$B$23)*Operations!$B$10)*Production!N43</f>
        <v>115.99999999999997</v>
      </c>
      <c r="D31" s="160">
        <f>$B$11*Production!M43/1000</f>
        <v>0</v>
      </c>
      <c r="E31" s="160">
        <f>$B$8*Production!N43</f>
        <v>3.4450000000000003</v>
      </c>
      <c r="F31" s="160">
        <f>$B$3*IF(Input!$B$11="Gas",Production!G43,Production!K43)</f>
        <v>40.909351711412754</v>
      </c>
      <c r="G31" s="160">
        <f t="shared" si="0"/>
        <v>201.09302405960688</v>
      </c>
      <c r="H31" s="156"/>
      <c r="I31" s="160">
        <f>IF(Production!S43=0,0,INDEX(Overrides!$O$48:$O$88,Production!S43+1,1)*Production!$T$21+INDEX(Overrides!$O$48:$O$88,Production!S43,1)*Production!$T$22)</f>
        <v>0</v>
      </c>
      <c r="J31" s="156"/>
      <c r="K31" s="160">
        <f>IF($B$12=1,I31,G31)*'Selected Economics'!I23*'Sensitivity Ranges'!$F$44</f>
        <v>270.44776069165704</v>
      </c>
      <c r="L31" s="200"/>
      <c r="M31" s="160">
        <f>K31*Abandonment!H28</f>
        <v>270.44776069165704</v>
      </c>
      <c r="N31" s="156"/>
      <c r="O31" s="156"/>
      <c r="P31" s="160">
        <f t="shared" si="1"/>
        <v>270.44776069165704</v>
      </c>
      <c r="Q31" s="156"/>
      <c r="R31" s="156"/>
      <c r="S31" s="236">
        <f>IF(G31&gt;0,M31*(1+$S$16)*(G31-D31)/G31+M31*(1+Development!$BL$88)*D31/G31,0)</f>
        <v>297.49253676082276</v>
      </c>
      <c r="T31" s="93"/>
      <c r="U31" s="93"/>
      <c r="V31" s="93"/>
      <c r="W31" s="93"/>
      <c r="X31" s="93"/>
      <c r="Y31" s="93"/>
      <c r="Z31" s="93"/>
      <c r="AA31" s="93"/>
      <c r="AB31" s="93"/>
      <c r="AC31" s="93"/>
      <c r="AD31" s="93"/>
      <c r="AE31" s="93"/>
      <c r="AF31" s="93"/>
    </row>
    <row r="32" spans="1:32">
      <c r="A32" s="140">
        <f t="shared" si="2"/>
        <v>2028</v>
      </c>
      <c r="B32" s="160">
        <f>Production!N44*B$6+B$7*Production!G44</f>
        <v>36.599061613203048</v>
      </c>
      <c r="C32" s="160">
        <f>($B$9*Development!$B$23+(Development!$B$15-Development!$B$23)*Operations!$B$10)*Production!N44</f>
        <v>115.99999999999997</v>
      </c>
      <c r="D32" s="160">
        <f>$B$11*Production!M44/1000</f>
        <v>0</v>
      </c>
      <c r="E32" s="160">
        <f>$B$8*Production!N44</f>
        <v>3.4450000000000003</v>
      </c>
      <c r="F32" s="160">
        <f>$B$3*IF(Input!$B$11="Gas",Production!G44,Production!K44)</f>
        <v>34.765418198345081</v>
      </c>
      <c r="G32" s="160">
        <f t="shared" si="0"/>
        <v>190.8094798115481</v>
      </c>
      <c r="H32" s="156"/>
      <c r="I32" s="160">
        <f>IF(Production!S44=0,0,INDEX(Overrides!$O$48:$O$88,Production!S44+1,1)*Production!$T$21+INDEX(Overrides!$O$48:$O$88,Production!S44,1)*Production!$T$22)</f>
        <v>0</v>
      </c>
      <c r="J32" s="156"/>
      <c r="K32" s="160">
        <f>IF($B$12=1,I32,G32)*'Selected Economics'!I24*'Sensitivity Ranges'!$F$44</f>
        <v>263.03297538277047</v>
      </c>
      <c r="L32" s="200"/>
      <c r="M32" s="160">
        <f>K32*Abandonment!H29</f>
        <v>263.03297538277047</v>
      </c>
      <c r="N32" s="156"/>
      <c r="O32" s="156"/>
      <c r="P32" s="160">
        <f t="shared" si="1"/>
        <v>263.03297538277047</v>
      </c>
      <c r="Q32" s="156"/>
      <c r="R32" s="156"/>
      <c r="S32" s="236">
        <f>IF(G32&gt;0,M32*(1+$S$16)*(G32-D32)/G32+M32*(1+Development!$BL$88)*D32/G32,0)</f>
        <v>289.33627292104757</v>
      </c>
      <c r="T32" s="93"/>
      <c r="U32" s="93"/>
      <c r="V32" s="93"/>
      <c r="W32" s="93"/>
      <c r="X32" s="93"/>
      <c r="Y32" s="93"/>
      <c r="Z32" s="93"/>
      <c r="AA32" s="93"/>
      <c r="AB32" s="93"/>
      <c r="AC32" s="93"/>
      <c r="AD32" s="93"/>
      <c r="AE32" s="93"/>
      <c r="AF32" s="93"/>
    </row>
    <row r="33" spans="1:32">
      <c r="A33" s="140">
        <f t="shared" si="2"/>
        <v>2029</v>
      </c>
      <c r="B33" s="160">
        <f>Production!N45*B$6+B$7*Production!G45</f>
        <v>32.960328692340752</v>
      </c>
      <c r="C33" s="160">
        <f>($B$9*Development!$B$23+(Development!$B$15-Development!$B$23)*Operations!$B$10)*Production!N45</f>
        <v>115.99999999999997</v>
      </c>
      <c r="D33" s="160">
        <f>$B$11*Production!M45/1000</f>
        <v>0</v>
      </c>
      <c r="E33" s="160">
        <f>$B$8*Production!N45</f>
        <v>3.4450000000000003</v>
      </c>
      <c r="F33" s="160">
        <f>$B$3*IF(Input!$B$11="Gas",Production!G45,Production!K45)</f>
        <v>29.543849066785349</v>
      </c>
      <c r="G33" s="160">
        <f t="shared" si="0"/>
        <v>181.94917775912609</v>
      </c>
      <c r="H33" s="156"/>
      <c r="I33" s="160">
        <f>IF(Production!S45=0,0,INDEX(Overrides!$O$48:$O$88,Production!S45+1,1)*Production!$T$21+INDEX(Overrides!$O$48:$O$88,Production!S45,1)*Production!$T$22)</f>
        <v>0</v>
      </c>
      <c r="J33" s="156"/>
      <c r="K33" s="160">
        <f>IF($B$12=1,I33,G33)*'Selected Economics'!I25*'Sensitivity Ranges'!$F$44</f>
        <v>257.0894249213473</v>
      </c>
      <c r="L33" s="200"/>
      <c r="M33" s="160">
        <f>K33*Abandonment!H30</f>
        <v>257.0894249213473</v>
      </c>
      <c r="N33" s="156"/>
      <c r="O33" s="156"/>
      <c r="P33" s="160">
        <f t="shared" si="1"/>
        <v>257.0894249213473</v>
      </c>
      <c r="Q33" s="156"/>
      <c r="R33" s="156"/>
      <c r="S33" s="236">
        <f>IF(G33&gt;0,M33*(1+$S$16)*(G33-D33)/G33+M33*(1+Development!$BL$88)*D33/G33,0)</f>
        <v>282.79836741348208</v>
      </c>
      <c r="T33" s="93"/>
      <c r="U33" s="93"/>
      <c r="V33" s="93"/>
      <c r="W33" s="93"/>
      <c r="X33" s="93"/>
      <c r="Y33" s="93"/>
      <c r="Z33" s="93"/>
      <c r="AA33" s="93"/>
      <c r="AB33" s="93"/>
      <c r="AC33" s="93"/>
      <c r="AD33" s="93"/>
      <c r="AE33" s="93"/>
      <c r="AF33" s="93"/>
    </row>
    <row r="34" spans="1:32">
      <c r="A34" s="140">
        <f t="shared" si="2"/>
        <v>2030</v>
      </c>
      <c r="B34" s="160">
        <f>Production!N46*B$6+B$7*Production!G46</f>
        <v>29.927437607667727</v>
      </c>
      <c r="C34" s="160">
        <f>($B$9*Development!$B$23+(Development!$B$15-Development!$B$23)*Operations!$B$10)*Production!N46</f>
        <v>115.99999999999997</v>
      </c>
      <c r="D34" s="160">
        <f>$B$11*Production!M46/1000</f>
        <v>0</v>
      </c>
      <c r="E34" s="160">
        <f>$B$8*Production!N46</f>
        <v>3.4450000000000003</v>
      </c>
      <c r="F34" s="160">
        <f>$B$3*IF(Input!$B$11="Gas",Production!G46,Production!K46)</f>
        <v>25.112271706767558</v>
      </c>
      <c r="G34" s="160">
        <f t="shared" si="0"/>
        <v>174.48470931443524</v>
      </c>
      <c r="H34" s="156"/>
      <c r="I34" s="160">
        <f>IF(Production!S46=0,0,INDEX(Overrides!$O$48:$O$88,Production!S46+1,1)*Production!$T$21+INDEX(Overrides!$O$48:$O$88,Production!S46,1)*Production!$T$22)</f>
        <v>0</v>
      </c>
      <c r="J34" s="156"/>
      <c r="K34" s="160">
        <f>IF($B$12=1,I34,G34)*'Selected Economics'!I26*'Sensitivity Ranges'!$F$44</f>
        <v>252.70588458205219</v>
      </c>
      <c r="L34" s="200"/>
      <c r="M34" s="160">
        <f>K34*Abandonment!H31</f>
        <v>252.70588458205219</v>
      </c>
      <c r="N34" s="156"/>
      <c r="O34" s="156"/>
      <c r="P34" s="160">
        <f t="shared" si="1"/>
        <v>252.70588458205219</v>
      </c>
      <c r="Q34" s="156"/>
      <c r="R34" s="156"/>
      <c r="S34" s="236">
        <f>IF(G34&gt;0,M34*(1+$S$16)*(G34-D34)/G34+M34*(1+Development!$BL$88)*D34/G34,0)</f>
        <v>277.97647304025742</v>
      </c>
      <c r="T34" s="93"/>
      <c r="U34" s="93"/>
      <c r="V34" s="93"/>
      <c r="W34" s="93"/>
      <c r="X34" s="93"/>
      <c r="Y34" s="93"/>
      <c r="Z34" s="93"/>
      <c r="AA34" s="93"/>
      <c r="AB34" s="93"/>
      <c r="AC34" s="93"/>
      <c r="AD34" s="93"/>
      <c r="AE34" s="93"/>
      <c r="AF34" s="93"/>
    </row>
    <row r="35" spans="1:32">
      <c r="A35" s="140">
        <f t="shared" si="2"/>
        <v>2031</v>
      </c>
      <c r="B35" s="160">
        <f>Production!N47*B$6+B$7*Production!G47</f>
        <v>27.349480185695647</v>
      </c>
      <c r="C35" s="160">
        <f>($B$9*Development!$B$23+(Development!$B$15-Development!$B$23)*Operations!$B$10)*Production!N47</f>
        <v>115.99999999999997</v>
      </c>
      <c r="D35" s="160">
        <f>$B$11*Production!M47/1000</f>
        <v>0</v>
      </c>
      <c r="E35" s="160">
        <f>$B$8*Production!N47</f>
        <v>3.4450000000000003</v>
      </c>
      <c r="F35" s="160">
        <f>$B$3*IF(Input!$B$11="Gas",Production!G47,Production!K47)</f>
        <v>21.345430950752416</v>
      </c>
      <c r="G35" s="160">
        <f t="shared" si="0"/>
        <v>168.13991113644803</v>
      </c>
      <c r="H35" s="156"/>
      <c r="I35" s="160">
        <f>IF(Production!S47=0,0,INDEX(Overrides!$O$48:$O$88,Production!S47+1,1)*Production!$T$21+INDEX(Overrides!$O$48:$O$88,Production!S47,1)*Production!$T$22)</f>
        <v>0</v>
      </c>
      <c r="J35" s="156"/>
      <c r="K35" s="160">
        <f>IF($B$12=1,I35,G35)*'Selected Economics'!I27*'Sensitivity Ranges'!$F$44</f>
        <v>249.60464313942458</v>
      </c>
      <c r="L35" s="200"/>
      <c r="M35" s="160">
        <f>K35*Abandonment!H32</f>
        <v>249.60464313942458</v>
      </c>
      <c r="N35" s="156"/>
      <c r="O35" s="156"/>
      <c r="P35" s="160">
        <f t="shared" si="1"/>
        <v>249.60464313942458</v>
      </c>
      <c r="Q35" s="156"/>
      <c r="R35" s="156"/>
      <c r="S35" s="236">
        <f>IF(G35&gt;0,M35*(1+$S$16)*(G35-D35)/G35+M35*(1+Development!$BL$88)*D35/G35,0)</f>
        <v>274.56510745336703</v>
      </c>
      <c r="T35" s="93"/>
      <c r="U35" s="93"/>
      <c r="V35" s="93"/>
      <c r="W35" s="93"/>
      <c r="X35" s="93"/>
      <c r="Y35" s="93"/>
      <c r="Z35" s="93"/>
      <c r="AA35" s="93"/>
      <c r="AB35" s="93"/>
      <c r="AC35" s="93"/>
      <c r="AD35" s="93"/>
      <c r="AE35" s="93"/>
      <c r="AF35" s="93"/>
    </row>
    <row r="36" spans="1:32">
      <c r="A36" s="140">
        <f t="shared" si="2"/>
        <v>2032</v>
      </c>
      <c r="B36" s="160">
        <f>Production!N48*B$6+B$7*Production!G48</f>
        <v>25.189539453071063</v>
      </c>
      <c r="C36" s="160">
        <f>($B$9*Development!$B$23+(Development!$B$15-Development!$B$23)*Operations!$B$10)*Production!N48</f>
        <v>115.99999999999997</v>
      </c>
      <c r="D36" s="160">
        <f>$B$11*Production!M48/1000</f>
        <v>0</v>
      </c>
      <c r="E36" s="160">
        <f>$B$8*Production!N48</f>
        <v>3.4450000000000003</v>
      </c>
      <c r="F36" s="160">
        <f>$B$3*IF(Input!$B$11="Gas",Production!G48,Production!K48)</f>
        <v>18.139686956217023</v>
      </c>
      <c r="G36" s="160">
        <f t="shared" si="0"/>
        <v>162.77422640928805</v>
      </c>
      <c r="H36" s="156"/>
      <c r="I36" s="160">
        <f>IF(Production!S48=0,0,INDEX(Overrides!$O$48:$O$88,Production!S48+1,1)*Production!$T$21+INDEX(Overrides!$O$48:$O$88,Production!S48,1)*Production!$T$22)</f>
        <v>0</v>
      </c>
      <c r="J36" s="156"/>
      <c r="K36" s="160">
        <f>IF($B$12=1,I36,G36)*'Selected Economics'!I28*'Sensitivity Ranges'!$F$44</f>
        <v>247.68023535334459</v>
      </c>
      <c r="L36" s="200"/>
      <c r="M36" s="160">
        <f>K36*Abandonment!H33</f>
        <v>247.68023535334459</v>
      </c>
      <c r="N36" s="156"/>
      <c r="O36" s="156"/>
      <c r="P36" s="160">
        <f t="shared" si="1"/>
        <v>247.68023535334459</v>
      </c>
      <c r="Q36" s="156"/>
      <c r="R36" s="156"/>
      <c r="S36" s="236">
        <f>IF(G36&gt;0,M36*(1+$S$16)*(G36-D36)/G36+M36*(1+Development!$BL$88)*D36/G36,0)</f>
        <v>272.44825888867905</v>
      </c>
      <c r="T36" s="93"/>
      <c r="U36" s="93"/>
      <c r="V36" s="93"/>
      <c r="W36" s="93"/>
      <c r="X36" s="93"/>
      <c r="Y36" s="93"/>
      <c r="Z36" s="93"/>
      <c r="AA36" s="93"/>
      <c r="AB36" s="93"/>
      <c r="AC36" s="93"/>
      <c r="AD36" s="93"/>
      <c r="AE36" s="93"/>
      <c r="AF36" s="93"/>
    </row>
    <row r="37" spans="1:32">
      <c r="A37" s="140">
        <f t="shared" si="2"/>
        <v>2033</v>
      </c>
      <c r="B37" s="160">
        <f>Production!N49*B$6+B$7*Production!G49</f>
        <v>23.290943678236808</v>
      </c>
      <c r="C37" s="160">
        <f>($B$9*Development!$B$23+(Development!$B$15-Development!$B$23)*Operations!$B$10)*Production!N49</f>
        <v>115.99999999999997</v>
      </c>
      <c r="D37" s="160">
        <f>$B$11*Production!M49/1000</f>
        <v>0</v>
      </c>
      <c r="E37" s="160">
        <f>$B$8*Production!N49</f>
        <v>3.4450000000000003</v>
      </c>
      <c r="F37" s="160">
        <f>$B$3*IF(Input!$B$11="Gas",Production!G49,Production!K49)</f>
        <v>15.415208598834589</v>
      </c>
      <c r="G37" s="160">
        <f t="shared" si="0"/>
        <v>158.15115227707136</v>
      </c>
      <c r="H37" s="156"/>
      <c r="I37" s="160">
        <f>IF(Production!S49=0,0,INDEX(Overrides!$O$48:$O$88,Production!S49+1,1)*Production!$T$21+INDEX(Overrides!$O$48:$O$88,Production!S49,1)*Production!$T$22)</f>
        <v>0</v>
      </c>
      <c r="J37" s="156"/>
      <c r="K37" s="160">
        <f>IF($B$12=1,I37,G37)*'Selected Economics'!I29*'Sensitivity Ranges'!$F$44</f>
        <v>246.661823364263</v>
      </c>
      <c r="L37" s="200"/>
      <c r="M37" s="160">
        <f>K37*Abandonment!H34</f>
        <v>246.661823364263</v>
      </c>
      <c r="N37" s="156"/>
      <c r="O37" s="156"/>
      <c r="P37" s="160">
        <f t="shared" si="1"/>
        <v>246.661823364263</v>
      </c>
      <c r="Q37" s="156"/>
      <c r="R37" s="156"/>
      <c r="S37" s="236">
        <f>IF(G37&gt;0,M37*(1+$S$16)*(G37-D37)/G37+M37*(1+Development!$BL$88)*D37/G37,0)</f>
        <v>271.32800570068935</v>
      </c>
      <c r="T37" s="93"/>
      <c r="U37" s="93"/>
      <c r="V37" s="93"/>
      <c r="W37" s="93"/>
      <c r="X37" s="93"/>
      <c r="Y37" s="93"/>
      <c r="Z37" s="93"/>
      <c r="AA37" s="93"/>
      <c r="AB37" s="93"/>
      <c r="AC37" s="93"/>
      <c r="AD37" s="93"/>
      <c r="AE37" s="93"/>
      <c r="AF37" s="93"/>
    </row>
    <row r="38" spans="1:32">
      <c r="A38" s="140">
        <f t="shared" si="2"/>
        <v>2034</v>
      </c>
      <c r="B38" s="160">
        <f>Production!N50*B$6+B$7*Production!G50</f>
        <v>21.708460345679356</v>
      </c>
      <c r="C38" s="160">
        <f>($B$9*Development!$B$23+(Development!$B$15-Development!$B$23)*Operations!$B$10)*Production!N50</f>
        <v>115.99999999999997</v>
      </c>
      <c r="D38" s="160">
        <f>$B$11*Production!M50/1000</f>
        <v>0</v>
      </c>
      <c r="E38" s="160">
        <f>$B$8*Production!N50</f>
        <v>3.4450000000000003</v>
      </c>
      <c r="F38" s="160">
        <f>$B$3*IF(Input!$B$11="Gas",Production!G50,Production!K50)</f>
        <v>13.102927309009377</v>
      </c>
      <c r="G38" s="160">
        <f t="shared" si="0"/>
        <v>154.25638765468869</v>
      </c>
      <c r="H38" s="156"/>
      <c r="I38" s="160">
        <f>IF(Production!S50=0,0,INDEX(Overrides!$O$48:$O$88,Production!S50+1,1)*Production!$T$21+INDEX(Overrides!$O$48:$O$88,Production!S50,1)*Production!$T$22)</f>
        <v>0</v>
      </c>
      <c r="J38" s="156"/>
      <c r="K38" s="160">
        <f>IF($B$12=1,I38,G38)*'Selected Economics'!I30*'Sensitivity Ranges'!$F$44</f>
        <v>246.60200276173768</v>
      </c>
      <c r="L38" s="200"/>
      <c r="M38" s="160">
        <f>K38*Abandonment!H35</f>
        <v>246.60200276173768</v>
      </c>
      <c r="N38" s="156"/>
      <c r="O38" s="156"/>
      <c r="P38" s="160">
        <f t="shared" si="1"/>
        <v>246.60200276173768</v>
      </c>
      <c r="Q38" s="156"/>
      <c r="R38" s="156"/>
      <c r="S38" s="236">
        <f>IF(G38&gt;0,M38*(1+$S$16)*(G38-D38)/G38+M38*(1+Development!$BL$88)*D38/G38,0)</f>
        <v>271.26220303791149</v>
      </c>
      <c r="T38" s="93"/>
      <c r="U38" s="93"/>
      <c r="V38" s="93"/>
      <c r="W38" s="93"/>
      <c r="X38" s="93"/>
      <c r="Y38" s="93"/>
      <c r="Z38" s="93"/>
      <c r="AA38" s="93"/>
      <c r="AB38" s="93"/>
      <c r="AC38" s="93"/>
      <c r="AD38" s="93"/>
      <c r="AE38" s="93"/>
      <c r="AF38" s="93"/>
    </row>
    <row r="39" spans="1:32">
      <c r="A39" s="140">
        <f t="shared" si="2"/>
        <v>2035</v>
      </c>
      <c r="B39" s="160">
        <f>Production!N51*B$6+B$7*Production!G51</f>
        <v>20.363349513005552</v>
      </c>
      <c r="C39" s="160">
        <f>($B$9*Development!$B$23+(Development!$B$15-Development!$B$23)*Operations!$B$10)*Production!N51</f>
        <v>115.99999999999997</v>
      </c>
      <c r="D39" s="160">
        <f>$B$11*Production!M51/1000</f>
        <v>0</v>
      </c>
      <c r="E39" s="160">
        <f>$B$8*Production!N51</f>
        <v>3.4450000000000003</v>
      </c>
      <c r="F39" s="160">
        <f>$B$3*IF(Input!$B$11="Gas",Production!G51,Production!K51)</f>
        <v>11.137488212658001</v>
      </c>
      <c r="G39" s="160">
        <f t="shared" si="0"/>
        <v>150.94583772566352</v>
      </c>
      <c r="H39" s="156"/>
      <c r="I39" s="160">
        <f>IF(Production!S51=0,0,INDEX(Overrides!$O$48:$O$88,Production!S51+1,1)*Production!$T$21+INDEX(Overrides!$O$48:$O$88,Production!S51,1)*Production!$T$22)</f>
        <v>0</v>
      </c>
      <c r="J39" s="156"/>
      <c r="K39" s="160">
        <f>IF($B$12=1,I39,G39)*'Selected Economics'!I31*'Sensitivity Ranges'!$F$44</f>
        <v>247.34233129067826</v>
      </c>
      <c r="L39" s="200"/>
      <c r="M39" s="160">
        <f>K39*Abandonment!H36</f>
        <v>247.34233129067826</v>
      </c>
      <c r="N39" s="156"/>
      <c r="O39" s="156"/>
      <c r="P39" s="160">
        <f t="shared" si="1"/>
        <v>247.34233129067826</v>
      </c>
      <c r="Q39" s="156"/>
      <c r="R39" s="156"/>
      <c r="S39" s="236">
        <f>IF(G39&gt;0,M39*(1+$S$16)*(G39-D39)/G39+M39*(1+Development!$BL$88)*D39/G39,0)</f>
        <v>272.07656441974609</v>
      </c>
      <c r="T39" s="93"/>
      <c r="U39" s="93"/>
      <c r="V39" s="93"/>
      <c r="W39" s="93"/>
      <c r="X39" s="93"/>
      <c r="Y39" s="93"/>
      <c r="Z39" s="93"/>
      <c r="AA39" s="93"/>
      <c r="AB39" s="93"/>
      <c r="AC39" s="93"/>
      <c r="AD39" s="93"/>
      <c r="AE39" s="93"/>
      <c r="AF39" s="93"/>
    </row>
    <row r="40" spans="1:32">
      <c r="A40" s="140">
        <f t="shared" si="2"/>
        <v>2036</v>
      </c>
      <c r="B40" s="160">
        <f>Production!N52*B$6+B$7*Production!G52</f>
        <v>19.236348867989356</v>
      </c>
      <c r="C40" s="160">
        <f>($B$9*Development!$B$23+(Development!$B$15-Development!$B$23)*Operations!$B$10)*Production!N52</f>
        <v>115.99999999999997</v>
      </c>
      <c r="D40" s="160">
        <f>$B$11*Production!M52/1000</f>
        <v>0</v>
      </c>
      <c r="E40" s="160">
        <f>$B$8*Production!N52</f>
        <v>3.4450000000000003</v>
      </c>
      <c r="F40" s="160">
        <f>$B$3*IF(Input!$B$11="Gas",Production!G52,Production!K52)</f>
        <v>9.464814747581892</v>
      </c>
      <c r="G40" s="160">
        <f t="shared" si="0"/>
        <v>148.14616361557123</v>
      </c>
      <c r="H40" s="156"/>
      <c r="I40" s="160">
        <f>IF(Production!S52=0,0,INDEX(Overrides!$O$48:$O$88,Production!S52+1,1)*Production!$T$21+INDEX(Overrides!$O$48:$O$88,Production!S52,1)*Production!$T$22)</f>
        <v>0</v>
      </c>
      <c r="J40" s="156"/>
      <c r="K40" s="160">
        <f>IF($B$12=1,I40,G40)*'Selected Economics'!I32*'Sensitivity Ranges'!$F$44</f>
        <v>248.82360774808626</v>
      </c>
      <c r="L40" s="200"/>
      <c r="M40" s="160">
        <f>K40*Abandonment!H37</f>
        <v>248.82360774808626</v>
      </c>
      <c r="N40" s="156"/>
      <c r="O40" s="156"/>
      <c r="P40" s="160">
        <f t="shared" si="1"/>
        <v>248.82360774808626</v>
      </c>
      <c r="Q40" s="156"/>
      <c r="R40" s="156"/>
      <c r="S40" s="236">
        <f>IF(G40&gt;0,M40*(1+$S$16)*(G40-D40)/G40+M40*(1+Development!$BL$88)*D40/G40,0)</f>
        <v>273.70596852289492</v>
      </c>
      <c r="T40" s="93"/>
      <c r="U40" s="93"/>
      <c r="V40" s="93"/>
      <c r="W40" s="93"/>
      <c r="X40" s="93"/>
      <c r="Y40" s="93"/>
      <c r="Z40" s="93"/>
      <c r="AA40" s="93"/>
      <c r="AB40" s="93"/>
      <c r="AC40" s="93"/>
      <c r="AD40" s="93"/>
      <c r="AE40" s="93"/>
      <c r="AF40" s="93"/>
    </row>
    <row r="41" spans="1:32">
      <c r="A41" s="140">
        <f t="shared" si="2"/>
        <v>2037</v>
      </c>
      <c r="B41" s="160">
        <f>Production!N53*B$6+B$7*Production!G53</f>
        <v>18.245711194212483</v>
      </c>
      <c r="C41" s="160">
        <f>($B$9*Development!$B$23+(Development!$B$15-Development!$B$23)*Operations!$B$10)*Production!N53</f>
        <v>115.99999999999997</v>
      </c>
      <c r="D41" s="160">
        <f>$B$11*Production!M53/1000</f>
        <v>0</v>
      </c>
      <c r="E41" s="160">
        <f>$B$8*Production!N53</f>
        <v>3.4450000000000003</v>
      </c>
      <c r="F41" s="160">
        <f>$B$3*IF(Input!$B$11="Gas",Production!G53,Production!K53)</f>
        <v>8.0432531187257492</v>
      </c>
      <c r="G41" s="160">
        <f t="shared" si="0"/>
        <v>145.73396431293818</v>
      </c>
      <c r="H41" s="156"/>
      <c r="I41" s="160">
        <f>IF(Production!S53=0,0,INDEX(Overrides!$O$48:$O$88,Production!S53+1,1)*Production!$T$21+INDEX(Overrides!$O$48:$O$88,Production!S53,1)*Production!$T$22)</f>
        <v>0</v>
      </c>
      <c r="J41" s="156"/>
      <c r="K41" s="160">
        <f>IF($B$12=1,I41,G41)*'Selected Economics'!I33*'Sensitivity Ranges'!$F$44</f>
        <v>250.89142461711268</v>
      </c>
      <c r="L41" s="200"/>
      <c r="M41" s="160">
        <f>K41*Abandonment!H38</f>
        <v>250.89142461711268</v>
      </c>
      <c r="N41" s="156"/>
      <c r="O41" s="156"/>
      <c r="P41" s="160">
        <f t="shared" si="1"/>
        <v>250.89142461711268</v>
      </c>
      <c r="Q41" s="156"/>
      <c r="R41" s="156"/>
      <c r="S41" s="236">
        <f>IF(G41&gt;0,M41*(1+$S$16)*(G41-D41)/G41+M41*(1+Development!$BL$88)*D41/G41,0)</f>
        <v>275.98056707882398</v>
      </c>
      <c r="T41" s="93"/>
      <c r="U41" s="93"/>
      <c r="V41" s="93"/>
      <c r="W41" s="93"/>
      <c r="X41" s="93"/>
      <c r="Y41" s="93"/>
      <c r="Z41" s="93"/>
      <c r="AA41" s="93"/>
      <c r="AB41" s="93"/>
      <c r="AC41" s="93"/>
      <c r="AD41" s="93"/>
      <c r="AE41" s="93"/>
      <c r="AF41" s="93"/>
    </row>
    <row r="42" spans="1:32">
      <c r="A42" s="140">
        <f t="shared" si="2"/>
        <v>2038</v>
      </c>
      <c r="B42" s="160">
        <f>Production!N54*B$6+B$7*Production!G54</f>
        <v>17.420012734258687</v>
      </c>
      <c r="C42" s="160">
        <f>($B$9*Development!$B$23+(Development!$B$15-Development!$B$23)*Operations!$B$10)*Production!N54</f>
        <v>115.99999999999997</v>
      </c>
      <c r="D42" s="160">
        <f>$B$11*Production!M54/1000</f>
        <v>0</v>
      </c>
      <c r="E42" s="160">
        <f>$B$8*Production!N54</f>
        <v>3.4450000000000003</v>
      </c>
      <c r="F42" s="160">
        <f>$B$3*IF(Input!$B$11="Gas",Production!G54,Production!K54)</f>
        <v>6.8367651509168832</v>
      </c>
      <c r="G42" s="160">
        <f t="shared" si="0"/>
        <v>143.70177788517552</v>
      </c>
      <c r="H42" s="156"/>
      <c r="I42" s="160">
        <f>IF(Production!S54=0,0,INDEX(Overrides!$O$48:$O$88,Production!S54+1,1)*Production!$T$21+INDEX(Overrides!$O$48:$O$88,Production!S54,1)*Production!$T$22)</f>
        <v>0</v>
      </c>
      <c r="J42" s="156"/>
      <c r="K42" s="160">
        <f>IF($B$12=1,I42,G42)*'Selected Economics'!I34*'Sensitivity Ranges'!$F$44</f>
        <v>253.57769235323914</v>
      </c>
      <c r="L42" s="200"/>
      <c r="M42" s="160">
        <f>K42*Abandonment!H39</f>
        <v>253.57769235323914</v>
      </c>
      <c r="N42" s="156"/>
      <c r="O42" s="156"/>
      <c r="P42" s="160">
        <f t="shared" si="1"/>
        <v>253.57769235323914</v>
      </c>
      <c r="Q42" s="156"/>
      <c r="R42" s="156"/>
      <c r="S42" s="236">
        <f>IF(G42&gt;0,M42*(1+$S$16)*(G42-D42)/G42+M42*(1+Development!$BL$88)*D42/G42,0)</f>
        <v>278.9354615885631</v>
      </c>
      <c r="T42" s="93"/>
      <c r="U42" s="93"/>
      <c r="V42" s="93"/>
      <c r="W42" s="93"/>
      <c r="X42" s="93"/>
      <c r="Y42" s="93"/>
      <c r="Z42" s="93"/>
      <c r="AA42" s="93"/>
      <c r="AB42" s="93"/>
      <c r="AC42" s="93"/>
      <c r="AD42" s="93"/>
      <c r="AE42" s="93"/>
      <c r="AF42" s="93"/>
    </row>
    <row r="43" spans="1:32">
      <c r="A43" s="140">
        <f t="shared" si="2"/>
        <v>2039</v>
      </c>
      <c r="B43" s="160">
        <f>Production!N55*B$6+B$7*Production!G55</f>
        <v>16.718169043297962</v>
      </c>
      <c r="C43" s="160">
        <f>($B$9*Development!$B$23+(Development!$B$15-Development!$B$23)*Operations!$B$10)*Production!N55</f>
        <v>115.99999999999997</v>
      </c>
      <c r="D43" s="160">
        <f>$B$11*Production!M55/1000</f>
        <v>0</v>
      </c>
      <c r="E43" s="160">
        <f>$B$8*Production!N55</f>
        <v>3.4450000000000003</v>
      </c>
      <c r="F43" s="160">
        <f>$B$3*IF(Input!$B$11="Gas",Production!G55,Production!K55)</f>
        <v>5.8112503782793414</v>
      </c>
      <c r="G43" s="160">
        <f t="shared" si="0"/>
        <v>141.97441942157727</v>
      </c>
      <c r="H43" s="156"/>
      <c r="I43" s="160">
        <f>IF(Production!S55=0,0,INDEX(Overrides!$O$48:$O$88,Production!S55+1,1)*Production!$T$21+INDEX(Overrides!$O$48:$O$88,Production!S55,1)*Production!$T$22)</f>
        <v>0</v>
      </c>
      <c r="J43" s="156"/>
      <c r="K43" s="160">
        <f>IF($B$12=1,I43,G43)*'Selected Economics'!I35*'Sensitivity Ranges'!$F$44</f>
        <v>256.79281658472883</v>
      </c>
      <c r="L43" s="200"/>
      <c r="M43" s="160">
        <f>K43*Abandonment!H40</f>
        <v>256.79281658472883</v>
      </c>
      <c r="N43" s="156"/>
      <c r="O43" s="156"/>
      <c r="P43" s="160">
        <f t="shared" si="1"/>
        <v>256.79281658472883</v>
      </c>
      <c r="Q43" s="156"/>
      <c r="R43" s="156"/>
      <c r="S43" s="236">
        <f>IF(G43&gt;0,M43*(1+$S$16)*(G43-D43)/G43+M43*(1+Development!$BL$88)*D43/G43,0)</f>
        <v>282.47209824320174</v>
      </c>
      <c r="T43" s="93"/>
      <c r="U43" s="93"/>
      <c r="V43" s="93"/>
      <c r="W43" s="93"/>
      <c r="X43" s="93"/>
      <c r="Y43" s="93"/>
      <c r="Z43" s="93"/>
      <c r="AA43" s="93"/>
      <c r="AB43" s="93"/>
      <c r="AC43" s="93"/>
      <c r="AD43" s="93"/>
      <c r="AE43" s="93"/>
      <c r="AF43" s="93"/>
    </row>
    <row r="44" spans="1:32">
      <c r="A44" s="140">
        <f t="shared" si="2"/>
        <v>2040</v>
      </c>
      <c r="B44" s="160">
        <f>Production!N56*B$6+B$7*Production!G56</f>
        <v>16.130129550045982</v>
      </c>
      <c r="C44" s="160">
        <f>($B$9*Development!$B$23+(Development!$B$15-Development!$B$23)*Operations!$B$10)*Production!N56</f>
        <v>115.99999999999997</v>
      </c>
      <c r="D44" s="160">
        <f>$B$11*Production!M56/1000</f>
        <v>0</v>
      </c>
      <c r="E44" s="160">
        <f>$B$8*Production!N56</f>
        <v>3.4450000000000003</v>
      </c>
      <c r="F44" s="160">
        <f>$B$3*IF(Input!$B$11="Gas",Production!G56,Production!K56)</f>
        <v>4.9384930634286022</v>
      </c>
      <c r="G44" s="160">
        <f t="shared" si="0"/>
        <v>140.51362261347455</v>
      </c>
      <c r="H44" s="156"/>
      <c r="I44" s="160">
        <f>IF(Production!S56=0,0,INDEX(Overrides!$O$48:$O$88,Production!S56+1,1)*Production!$T$21+INDEX(Overrides!$O$48:$O$88,Production!S56,1)*Production!$T$22)</f>
        <v>0</v>
      </c>
      <c r="J44" s="156"/>
      <c r="K44" s="160">
        <f>IF($B$12=1,I44,G44)*'Selected Economics'!I36*'Sensitivity Ranges'!$F$44</f>
        <v>260.50440137811717</v>
      </c>
      <c r="L44" s="200"/>
      <c r="M44" s="160">
        <f>K44*Abandonment!H41</f>
        <v>260.50440137811717</v>
      </c>
      <c r="N44" s="156"/>
      <c r="O44" s="156"/>
      <c r="P44" s="160">
        <f t="shared" si="1"/>
        <v>260.50440137811717</v>
      </c>
      <c r="Q44" s="156"/>
      <c r="R44" s="156"/>
      <c r="S44" s="236">
        <f>IF(G44&gt;0,M44*(1+$S$16)*(G44-D44)/G44+M44*(1+Development!$BL$88)*D44/G44,0)</f>
        <v>286.5548415159289</v>
      </c>
      <c r="T44" s="93"/>
      <c r="U44" s="93"/>
      <c r="V44" s="93"/>
      <c r="W44" s="93"/>
      <c r="X44" s="93"/>
      <c r="Y44" s="93"/>
      <c r="Z44" s="93"/>
      <c r="AA44" s="93"/>
      <c r="AB44" s="93"/>
      <c r="AC44" s="93"/>
      <c r="AD44" s="93"/>
      <c r="AE44" s="93"/>
      <c r="AF44" s="93"/>
    </row>
    <row r="45" spans="1:32">
      <c r="A45" s="140">
        <f t="shared" si="2"/>
        <v>2041</v>
      </c>
      <c r="B45" s="160">
        <f>Production!N57*B$6+B$7*Production!G57</f>
        <v>15.613240692652534</v>
      </c>
      <c r="C45" s="160">
        <f>($B$9*Development!$B$23+(Development!$B$15-Development!$B$23)*Operations!$B$10)*Production!N57</f>
        <v>115.99999999999997</v>
      </c>
      <c r="D45" s="160">
        <f>$B$11*Production!M57/1000</f>
        <v>0</v>
      </c>
      <c r="E45" s="160">
        <f>$B$8*Production!N57</f>
        <v>3.4450000000000003</v>
      </c>
      <c r="F45" s="160">
        <f>$B$3*IF(Input!$B$11="Gas",Production!G57,Production!K57)</f>
        <v>4.1967593443258497</v>
      </c>
      <c r="G45" s="160">
        <f t="shared" si="0"/>
        <v>139.25500003697834</v>
      </c>
      <c r="H45" s="156"/>
      <c r="I45" s="160">
        <f>IF(Production!S57=0,0,INDEX(Overrides!$O$48:$O$88,Production!S57+1,1)*Production!$T$21+INDEX(Overrides!$O$48:$O$88,Production!S57,1)*Production!$T$22)</f>
        <v>0</v>
      </c>
      <c r="J45" s="156"/>
      <c r="K45" s="160">
        <f>IF($B$12=1,I45,G45)*'Selected Economics'!I37*'Sensitivity Ranges'!$F$44</f>
        <v>264.62526011741716</v>
      </c>
      <c r="L45" s="200"/>
      <c r="M45" s="160">
        <f>K45*Abandonment!H42</f>
        <v>0</v>
      </c>
      <c r="N45" s="156"/>
      <c r="O45" s="156"/>
      <c r="P45" s="160">
        <f t="shared" si="1"/>
        <v>0</v>
      </c>
      <c r="Q45" s="156"/>
      <c r="R45" s="156"/>
      <c r="S45" s="236">
        <f>IF(G45&gt;0,M45*(1+$S$16)*(G45-D45)/G45+M45*(1+Development!$BL$88)*D45/G45,0)</f>
        <v>0</v>
      </c>
      <c r="T45" s="93"/>
      <c r="U45" s="93"/>
      <c r="V45" s="93"/>
      <c r="W45" s="93"/>
      <c r="X45" s="93"/>
      <c r="Y45" s="93"/>
      <c r="Z45" s="93"/>
      <c r="AA45" s="93"/>
      <c r="AB45" s="93"/>
      <c r="AC45" s="93"/>
      <c r="AD45" s="93"/>
      <c r="AE45" s="93"/>
      <c r="AF45" s="93"/>
    </row>
    <row r="46" spans="1:32">
      <c r="A46" s="140">
        <f t="shared" si="2"/>
        <v>2042</v>
      </c>
      <c r="B46" s="160">
        <f>Production!N58*B$6+B$7*Production!G58</f>
        <v>15.182412807932742</v>
      </c>
      <c r="C46" s="160">
        <f>($B$9*Development!$B$23+(Development!$B$15-Development!$B$23)*Operations!$B$10)*Production!N58</f>
        <v>115.99999999999997</v>
      </c>
      <c r="D46" s="160">
        <f>$B$11*Production!M58/1000</f>
        <v>0</v>
      </c>
      <c r="E46" s="160">
        <f>$B$8*Production!N58</f>
        <v>3.4450000000000003</v>
      </c>
      <c r="F46" s="160">
        <f>$B$3*IF(Input!$B$11="Gas",Production!G58,Production!K58)</f>
        <v>3.5672454426769811</v>
      </c>
      <c r="G46" s="160">
        <f t="shared" si="0"/>
        <v>138.19465825060968</v>
      </c>
      <c r="H46" s="156"/>
      <c r="I46" s="160">
        <f>IF(Production!S58=0,0,INDEX(Overrides!$O$48:$O$88,Production!S58+1,1)*Production!$T$21+INDEX(Overrides!$O$48:$O$88,Production!S58,1)*Production!$T$22)</f>
        <v>0</v>
      </c>
      <c r="J46" s="156"/>
      <c r="K46" s="160">
        <f>IF($B$12=1,I46,G46)*'Selected Economics'!I38*'Sensitivity Ranges'!$F$44</f>
        <v>269.17555786945974</v>
      </c>
      <c r="L46" s="200"/>
      <c r="M46" s="160">
        <f>K46*Abandonment!H43</f>
        <v>0</v>
      </c>
      <c r="N46" s="156"/>
      <c r="O46" s="156"/>
      <c r="P46" s="160">
        <f t="shared" si="1"/>
        <v>0</v>
      </c>
      <c r="Q46" s="156"/>
      <c r="R46" s="156"/>
      <c r="S46" s="236">
        <f>IF(G46&gt;0,M46*(1+$S$16)*(G46-D46)/G46+M46*(1+Development!$BL$88)*D46/G46,0)</f>
        <v>0</v>
      </c>
      <c r="T46" s="93"/>
      <c r="U46" s="93"/>
      <c r="V46" s="93"/>
      <c r="W46" s="93"/>
      <c r="X46" s="93"/>
      <c r="Y46" s="93"/>
      <c r="Z46" s="93"/>
      <c r="AA46" s="93"/>
      <c r="AB46" s="93"/>
      <c r="AC46" s="93"/>
      <c r="AD46" s="93"/>
      <c r="AE46" s="93"/>
      <c r="AF46" s="93"/>
    </row>
    <row r="47" spans="1:32">
      <c r="A47" s="140">
        <f t="shared" si="2"/>
        <v>2043</v>
      </c>
      <c r="B47" s="160">
        <f>Production!N59*B$6+B$7*Production!G59</f>
        <v>14.748876289960103</v>
      </c>
      <c r="C47" s="160">
        <f>($B$9*Development!$B$23+(Development!$B$15-Development!$B$23)*Operations!$B$10)*Production!N59</f>
        <v>115.46695693868084</v>
      </c>
      <c r="D47" s="160">
        <f>$B$11*Production!M59/1000</f>
        <v>0</v>
      </c>
      <c r="E47" s="160">
        <f>$B$8*Production!N59</f>
        <v>3.4291695401185827</v>
      </c>
      <c r="F47" s="160">
        <f>$B$3*IF(Input!$B$11="Gas",Production!G59,Production!K59)</f>
        <v>3.0332604607898785</v>
      </c>
      <c r="G47" s="160">
        <f t="shared" si="0"/>
        <v>136.6782632295494</v>
      </c>
      <c r="H47" s="156"/>
      <c r="I47" s="160">
        <f>IF(Production!S59=0,0,INDEX(Overrides!$O$48:$O$88,Production!S59+1,1)*Production!$T$21+INDEX(Overrides!$O$48:$O$88,Production!S59,1)*Production!$T$22)</f>
        <v>0</v>
      </c>
      <c r="J47" s="156"/>
      <c r="K47" s="160">
        <f>IF($B$12=1,I47,G47)*'Selected Economics'!I39*'Sensitivity Ranges'!$F$44</f>
        <v>272.87747171018111</v>
      </c>
      <c r="L47" s="200"/>
      <c r="M47" s="160">
        <f>K47*Abandonment!H44</f>
        <v>0</v>
      </c>
      <c r="N47" s="156"/>
      <c r="O47" s="156"/>
      <c r="P47" s="160">
        <f t="shared" si="1"/>
        <v>0</v>
      </c>
      <c r="Q47" s="156"/>
      <c r="R47" s="156"/>
      <c r="S47" s="236">
        <f>IF(G47&gt;0,M47*(1+$S$16)*(G47-D47)/G47+M47*(1+Development!$BL$88)*D47/G47,0)</f>
        <v>0</v>
      </c>
      <c r="T47" s="93"/>
      <c r="U47" s="93"/>
      <c r="V47" s="93"/>
      <c r="W47" s="93"/>
      <c r="X47" s="93"/>
      <c r="Y47" s="93"/>
      <c r="Z47" s="93"/>
      <c r="AA47" s="93"/>
      <c r="AB47" s="93"/>
      <c r="AC47" s="93"/>
      <c r="AD47" s="93"/>
      <c r="AE47" s="93"/>
      <c r="AF47" s="93"/>
    </row>
    <row r="48" spans="1:32">
      <c r="A48" s="140">
        <f t="shared" si="2"/>
        <v>2044</v>
      </c>
      <c r="B48" s="160">
        <f>Production!N60*B$6+B$7*Production!G60</f>
        <v>0</v>
      </c>
      <c r="C48" s="160">
        <f>($B$9*Development!$B$23+(Development!$B$15-Development!$B$23)*Operations!$B$10)*Production!N60</f>
        <v>0</v>
      </c>
      <c r="D48" s="160">
        <f>$B$11*Production!M60/1000</f>
        <v>0</v>
      </c>
      <c r="E48" s="160">
        <f>$B$8*Production!N60</f>
        <v>0</v>
      </c>
      <c r="F48" s="160">
        <f>$B$3*IF(Input!$B$11="Gas",Production!G60,Production!K60)</f>
        <v>0</v>
      </c>
      <c r="G48" s="160">
        <f t="shared" si="0"/>
        <v>0</v>
      </c>
      <c r="H48" s="156"/>
      <c r="I48" s="160">
        <f>IF(Production!S60=0,0,INDEX(Overrides!$O$48:$O$88,Production!S60+1,1)*Production!$T$21+INDEX(Overrides!$O$48:$O$88,Production!S60,1)*Production!$T$22)</f>
        <v>0</v>
      </c>
      <c r="J48" s="156"/>
      <c r="K48" s="160">
        <f>IF($B$12=1,I48,G48)*'Selected Economics'!I40*'Sensitivity Ranges'!$F$44</f>
        <v>0</v>
      </c>
      <c r="L48" s="200"/>
      <c r="M48" s="160">
        <f>K48*Abandonment!H45</f>
        <v>0</v>
      </c>
      <c r="N48" s="156"/>
      <c r="O48" s="156"/>
      <c r="P48" s="160">
        <f t="shared" si="1"/>
        <v>0</v>
      </c>
      <c r="Q48" s="156"/>
      <c r="R48" s="156"/>
      <c r="S48" s="236">
        <f>IF(G48&gt;0,M48*(1+$S$16)*(G48-D48)/G48+M48*(1+Development!$BL$88)*D48/G48,0)</f>
        <v>0</v>
      </c>
      <c r="T48" s="93"/>
      <c r="U48" s="93"/>
      <c r="V48" s="93"/>
      <c r="W48" s="93"/>
      <c r="X48" s="93"/>
      <c r="Y48" s="93"/>
      <c r="Z48" s="93"/>
      <c r="AA48" s="93"/>
      <c r="AB48" s="93"/>
      <c r="AC48" s="93"/>
      <c r="AD48" s="93"/>
      <c r="AE48" s="93"/>
      <c r="AF48" s="93"/>
    </row>
    <row r="49" spans="1:32">
      <c r="A49" s="140">
        <f t="shared" si="2"/>
        <v>2045</v>
      </c>
      <c r="B49" s="160">
        <f>Production!N61*B$6+B$7*Production!G61</f>
        <v>0</v>
      </c>
      <c r="C49" s="160">
        <f>($B$9*Development!$B$23+(Development!$B$15-Development!$B$23)*Operations!$B$10)*Production!N61</f>
        <v>0</v>
      </c>
      <c r="D49" s="160">
        <f>$B$11*Production!M61/1000</f>
        <v>0</v>
      </c>
      <c r="E49" s="160">
        <f>$B$8*Production!N61</f>
        <v>0</v>
      </c>
      <c r="F49" s="160">
        <f>$B$3*IF(Input!$B$11="Gas",Production!G61,Production!K61)</f>
        <v>0</v>
      </c>
      <c r="G49" s="160">
        <f t="shared" si="0"/>
        <v>0</v>
      </c>
      <c r="H49" s="156"/>
      <c r="I49" s="160">
        <f>IF(Production!S61=0,0,INDEX(Overrides!$O$48:$O$88,Production!S61+1,1)*Production!$T$21+INDEX(Overrides!$O$48:$O$88,Production!S61,1)*Production!$T$22)</f>
        <v>0</v>
      </c>
      <c r="J49" s="156"/>
      <c r="K49" s="160">
        <f>IF($B$12=1,I49,G49)*'Selected Economics'!I41*'Sensitivity Ranges'!$F$44</f>
        <v>0</v>
      </c>
      <c r="L49" s="200"/>
      <c r="M49" s="160">
        <f>K49*Abandonment!H46</f>
        <v>0</v>
      </c>
      <c r="N49" s="156"/>
      <c r="O49" s="156"/>
      <c r="P49" s="160">
        <f t="shared" si="1"/>
        <v>0</v>
      </c>
      <c r="Q49" s="156"/>
      <c r="R49" s="156"/>
      <c r="S49" s="236">
        <f>IF(G49&gt;0,M49*(1+$S$16)*(G49-D49)/G49+M49*(1+Development!$BL$88)*D49/G49,0)</f>
        <v>0</v>
      </c>
      <c r="T49" s="93"/>
      <c r="U49" s="93"/>
      <c r="V49" s="93"/>
      <c r="W49" s="93"/>
      <c r="X49" s="93"/>
      <c r="Y49" s="93"/>
      <c r="Z49" s="93"/>
      <c r="AA49" s="93"/>
      <c r="AB49" s="93"/>
      <c r="AC49" s="93"/>
      <c r="AD49" s="93"/>
      <c r="AE49" s="93"/>
      <c r="AF49" s="93"/>
    </row>
    <row r="50" spans="1:32">
      <c r="A50" s="140">
        <f t="shared" si="2"/>
        <v>2046</v>
      </c>
      <c r="B50" s="160">
        <f>Production!N62*B$6+B$7*Production!G62</f>
        <v>0</v>
      </c>
      <c r="C50" s="160">
        <f>($B$9*Development!$B$23+(Development!$B$15-Development!$B$23)*Operations!$B$10)*Production!N62</f>
        <v>0</v>
      </c>
      <c r="D50" s="160">
        <f>$B$11*Production!M62/1000</f>
        <v>0</v>
      </c>
      <c r="E50" s="160">
        <f>$B$8*Production!N62</f>
        <v>0</v>
      </c>
      <c r="F50" s="160">
        <f>$B$3*IF(Input!$B$11="Gas",Production!G62,Production!K62)</f>
        <v>0</v>
      </c>
      <c r="G50" s="160">
        <f t="shared" si="0"/>
        <v>0</v>
      </c>
      <c r="H50" s="156"/>
      <c r="I50" s="160">
        <f>IF(Production!S62=0,0,INDEX(Overrides!$O$48:$O$88,Production!S62+1,1)*Production!$T$21+INDEX(Overrides!$O$48:$O$88,Production!S62,1)*Production!$T$22)</f>
        <v>0</v>
      </c>
      <c r="J50" s="156"/>
      <c r="K50" s="160">
        <f>IF($B$12=1,I50,G50)*'Selected Economics'!I42*'Sensitivity Ranges'!$F$44</f>
        <v>0</v>
      </c>
      <c r="L50" s="200"/>
      <c r="M50" s="160">
        <f>K50*Abandonment!H47</f>
        <v>0</v>
      </c>
      <c r="N50" s="156"/>
      <c r="O50" s="156"/>
      <c r="P50" s="160">
        <f t="shared" si="1"/>
        <v>0</v>
      </c>
      <c r="Q50" s="156"/>
      <c r="R50" s="156"/>
      <c r="S50" s="236">
        <f>IF(G50&gt;0,M50*(1+$S$16)*(G50-D50)/G50+M50*(1+Development!$BL$88)*D50/G50,0)</f>
        <v>0</v>
      </c>
      <c r="T50" s="93"/>
      <c r="U50" s="93"/>
      <c r="V50" s="93"/>
      <c r="W50" s="93"/>
      <c r="X50" s="93"/>
      <c r="Y50" s="93"/>
      <c r="Z50" s="93"/>
      <c r="AA50" s="93"/>
      <c r="AB50" s="93"/>
      <c r="AC50" s="93"/>
      <c r="AD50" s="93"/>
      <c r="AE50" s="93"/>
      <c r="AF50" s="93"/>
    </row>
    <row r="51" spans="1:32">
      <c r="A51" s="140">
        <f t="shared" si="2"/>
        <v>2047</v>
      </c>
      <c r="B51" s="160">
        <f>Production!N63*B$6+B$7*Production!G63</f>
        <v>0</v>
      </c>
      <c r="C51" s="160">
        <f>($B$9*Development!$B$23+(Development!$B$15-Development!$B$23)*Operations!$B$10)*Production!N63</f>
        <v>0</v>
      </c>
      <c r="D51" s="160">
        <f>$B$11*Production!M63/1000</f>
        <v>0</v>
      </c>
      <c r="E51" s="160">
        <f>$B$8*Production!N63</f>
        <v>0</v>
      </c>
      <c r="F51" s="160">
        <f>$B$3*IF(Input!$B$11="Gas",Production!G63,Production!K63)</f>
        <v>0</v>
      </c>
      <c r="G51" s="160">
        <f t="shared" si="0"/>
        <v>0</v>
      </c>
      <c r="H51" s="156"/>
      <c r="I51" s="160">
        <f>IF(Production!S63=0,0,INDEX(Overrides!$O$48:$O$88,Production!S63+1,1)*Production!$T$21+INDEX(Overrides!$O$48:$O$88,Production!S63,1)*Production!$T$22)</f>
        <v>0</v>
      </c>
      <c r="J51" s="156"/>
      <c r="K51" s="160">
        <f>IF($B$12=1,I51,G51)*'Selected Economics'!I43*'Sensitivity Ranges'!$F$44</f>
        <v>0</v>
      </c>
      <c r="L51" s="200"/>
      <c r="M51" s="160">
        <f>K51*Abandonment!H48</f>
        <v>0</v>
      </c>
      <c r="N51" s="156"/>
      <c r="O51" s="156"/>
      <c r="P51" s="160">
        <f t="shared" si="1"/>
        <v>0</v>
      </c>
      <c r="Q51" s="156"/>
      <c r="R51" s="156"/>
      <c r="S51" s="236">
        <f>IF(G51&gt;0,M51*(1+$S$16)*(G51-D51)/G51+M51*(1+Development!$BL$88)*D51/G51,0)</f>
        <v>0</v>
      </c>
      <c r="T51" s="93"/>
      <c r="U51" s="93"/>
      <c r="V51" s="93"/>
      <c r="W51" s="93"/>
      <c r="X51" s="93"/>
      <c r="Y51" s="93"/>
      <c r="Z51" s="93"/>
      <c r="AA51" s="93"/>
      <c r="AB51" s="93"/>
      <c r="AC51" s="93"/>
      <c r="AD51" s="93"/>
      <c r="AE51" s="93"/>
      <c r="AF51" s="93"/>
    </row>
    <row r="52" spans="1:32">
      <c r="A52" s="140">
        <f t="shared" si="2"/>
        <v>2048</v>
      </c>
      <c r="B52" s="160">
        <f>Production!N64*B$6+B$7*Production!G64</f>
        <v>0</v>
      </c>
      <c r="C52" s="160">
        <f>($B$9*Development!$B$23+(Development!$B$15-Development!$B$23)*Operations!$B$10)*Production!N64</f>
        <v>0</v>
      </c>
      <c r="D52" s="160">
        <f>$B$11*Production!M64/1000</f>
        <v>0</v>
      </c>
      <c r="E52" s="160">
        <f>$B$8*Production!N64</f>
        <v>0</v>
      </c>
      <c r="F52" s="160">
        <f>$B$3*IF(Input!$B$11="Gas",Production!G64,Production!K64)</f>
        <v>0</v>
      </c>
      <c r="G52" s="160">
        <f t="shared" si="0"/>
        <v>0</v>
      </c>
      <c r="H52" s="156"/>
      <c r="I52" s="160">
        <f>IF(Production!S64=0,0,INDEX(Overrides!$O$48:$O$88,Production!S64+1,1)*Production!$T$21+INDEX(Overrides!$O$48:$O$88,Production!S64,1)*Production!$T$22)</f>
        <v>0</v>
      </c>
      <c r="J52" s="156"/>
      <c r="K52" s="160">
        <f>IF($B$12=1,I52,G52)*'Selected Economics'!I44*'Sensitivity Ranges'!$F$44</f>
        <v>0</v>
      </c>
      <c r="L52" s="200"/>
      <c r="M52" s="160">
        <f>K52*Abandonment!H49</f>
        <v>0</v>
      </c>
      <c r="N52" s="156"/>
      <c r="O52" s="156"/>
      <c r="P52" s="160">
        <f t="shared" si="1"/>
        <v>0</v>
      </c>
      <c r="Q52" s="156"/>
      <c r="R52" s="156"/>
      <c r="S52" s="236">
        <f>IF(G52&gt;0,M52*(1+$S$16)*(G52-D52)/G52+M52*(1+Development!$BL$88)*D52/G52,0)</f>
        <v>0</v>
      </c>
      <c r="T52" s="93"/>
      <c r="U52" s="93"/>
      <c r="V52" s="93"/>
      <c r="W52" s="93"/>
      <c r="X52" s="93"/>
      <c r="Y52" s="93"/>
      <c r="Z52" s="93"/>
      <c r="AA52" s="93"/>
      <c r="AB52" s="93"/>
      <c r="AC52" s="93"/>
      <c r="AD52" s="93"/>
      <c r="AE52" s="93"/>
      <c r="AF52" s="93"/>
    </row>
    <row r="53" spans="1:32">
      <c r="A53" s="140">
        <f t="shared" si="2"/>
        <v>2049</v>
      </c>
      <c r="B53" s="160">
        <f>Production!N65*B$6+B$7*Production!G65</f>
        <v>0</v>
      </c>
      <c r="C53" s="160">
        <f>($B$9*Development!$B$23+(Development!$B$15-Development!$B$23)*Operations!$B$10)*Production!N65</f>
        <v>0</v>
      </c>
      <c r="D53" s="160">
        <f>$B$11*Production!M65/1000</f>
        <v>0</v>
      </c>
      <c r="E53" s="160">
        <f>$B$8*Production!N65</f>
        <v>0</v>
      </c>
      <c r="F53" s="160">
        <f>$B$3*IF(Input!$B$11="Gas",Production!G65,Production!K65)</f>
        <v>0</v>
      </c>
      <c r="G53" s="160">
        <f t="shared" si="0"/>
        <v>0</v>
      </c>
      <c r="H53" s="156"/>
      <c r="I53" s="160">
        <f>IF(Production!S65=0,0,INDEX(Overrides!$O$48:$O$88,Production!S65+1,1)*Production!$T$21+INDEX(Overrides!$O$48:$O$88,Production!S65,1)*Production!$T$22)</f>
        <v>0</v>
      </c>
      <c r="J53" s="156"/>
      <c r="K53" s="160">
        <f>IF($B$12=1,I53,G53)*'Selected Economics'!I45*'Sensitivity Ranges'!$F$44</f>
        <v>0</v>
      </c>
      <c r="L53" s="200"/>
      <c r="M53" s="160">
        <f>K53*Abandonment!H50</f>
        <v>0</v>
      </c>
      <c r="N53" s="156"/>
      <c r="O53" s="156"/>
      <c r="P53" s="160">
        <f t="shared" si="1"/>
        <v>0</v>
      </c>
      <c r="Q53" s="156"/>
      <c r="R53" s="156"/>
      <c r="S53" s="236">
        <f>IF(G53&gt;0,M53*(1+$S$16)*(G53-D53)/G53+M53*(1+Development!$BL$88)*D53/G53,0)</f>
        <v>0</v>
      </c>
      <c r="T53" s="93"/>
      <c r="U53" s="93"/>
      <c r="V53" s="93"/>
      <c r="W53" s="93"/>
      <c r="X53" s="93"/>
      <c r="Y53" s="93"/>
      <c r="Z53" s="93"/>
      <c r="AA53" s="93"/>
      <c r="AB53" s="93"/>
      <c r="AC53" s="93"/>
      <c r="AD53" s="93"/>
      <c r="AE53" s="93"/>
      <c r="AF53" s="93"/>
    </row>
    <row r="54" spans="1:32">
      <c r="A54" s="140">
        <f t="shared" si="2"/>
        <v>2050</v>
      </c>
      <c r="B54" s="160">
        <f>Production!N66*B$6+B$7*Production!G66</f>
        <v>0</v>
      </c>
      <c r="C54" s="160">
        <f>($B$9*Development!$B$23+(Development!$B$15-Development!$B$23)*Operations!$B$10)*Production!N66</f>
        <v>0</v>
      </c>
      <c r="D54" s="160">
        <f>$B$11*Production!M66/1000</f>
        <v>0</v>
      </c>
      <c r="E54" s="160">
        <f>$B$8*Production!N66</f>
        <v>0</v>
      </c>
      <c r="F54" s="160">
        <f>$B$3*IF(Input!$B$11="Gas",Production!G66,Production!K66)</f>
        <v>0</v>
      </c>
      <c r="G54" s="160">
        <f t="shared" si="0"/>
        <v>0</v>
      </c>
      <c r="H54" s="156"/>
      <c r="I54" s="160">
        <f>IF(Production!S66=0,0,INDEX(Overrides!$O$48:$O$88,Production!S66+1,1)*Production!$T$21+INDEX(Overrides!$O$48:$O$88,Production!S66,1)*Production!$T$22)</f>
        <v>0</v>
      </c>
      <c r="J54" s="156"/>
      <c r="K54" s="160">
        <f>IF($B$12=1,I54,G54)*'Selected Economics'!I46*'Sensitivity Ranges'!$F$44</f>
        <v>0</v>
      </c>
      <c r="L54" s="200"/>
      <c r="M54" s="160">
        <f>K54*Abandonment!H51</f>
        <v>0</v>
      </c>
      <c r="N54" s="156"/>
      <c r="O54" s="156"/>
      <c r="P54" s="160">
        <f t="shared" si="1"/>
        <v>0</v>
      </c>
      <c r="Q54" s="156"/>
      <c r="R54" s="156"/>
      <c r="S54" s="236">
        <f>IF(G54&gt;0,M54*(1+$S$16)*(G54-D54)/G54+M54*(1+Development!$BL$88)*D54/G54,0)</f>
        <v>0</v>
      </c>
      <c r="T54" s="93"/>
      <c r="U54" s="93"/>
      <c r="V54" s="93"/>
      <c r="W54" s="93"/>
      <c r="X54" s="93"/>
      <c r="Y54" s="93"/>
      <c r="Z54" s="93"/>
      <c r="AA54" s="93"/>
      <c r="AB54" s="93"/>
      <c r="AC54" s="93"/>
      <c r="AD54" s="93"/>
      <c r="AE54" s="93"/>
      <c r="AF54" s="93"/>
    </row>
    <row r="55" spans="1:32">
      <c r="A55" s="140">
        <f t="shared" si="2"/>
        <v>2051</v>
      </c>
      <c r="B55" s="160">
        <f>Production!N67*B$6+B$7*Production!G67</f>
        <v>0</v>
      </c>
      <c r="C55" s="160">
        <f>($B$9*Development!$B$23+(Development!$B$15-Development!$B$23)*Operations!$B$10)*Production!N67</f>
        <v>0</v>
      </c>
      <c r="D55" s="160">
        <f>$B$11*Production!M67/1000</f>
        <v>0</v>
      </c>
      <c r="E55" s="160">
        <f>$B$8*Production!N67</f>
        <v>0</v>
      </c>
      <c r="F55" s="160">
        <f>$B$3*IF(Input!$B$11="Gas",Production!G67,Production!K67)</f>
        <v>0</v>
      </c>
      <c r="G55" s="160">
        <f t="shared" si="0"/>
        <v>0</v>
      </c>
      <c r="H55" s="156"/>
      <c r="I55" s="160">
        <f>IF(Production!S67=0,0,INDEX(Overrides!$O$48:$O$88,Production!S67+1,1)*Production!$T$21+INDEX(Overrides!$O$48:$O$88,Production!S67,1)*Production!$T$22)</f>
        <v>0</v>
      </c>
      <c r="J55" s="156"/>
      <c r="K55" s="160">
        <f>IF($B$12=1,I55,G55)*'Selected Economics'!I47*'Sensitivity Ranges'!$F$44</f>
        <v>0</v>
      </c>
      <c r="L55" s="200"/>
      <c r="M55" s="160">
        <f>K55*Abandonment!H52</f>
        <v>0</v>
      </c>
      <c r="N55" s="156"/>
      <c r="O55" s="156"/>
      <c r="P55" s="160">
        <f t="shared" si="1"/>
        <v>0</v>
      </c>
      <c r="Q55" s="156"/>
      <c r="R55" s="156"/>
      <c r="S55" s="236">
        <f>IF(G55&gt;0,M55*(1+$S$16)*(G55-D55)/G55+M55*(1+Development!$BL$88)*D55/G55,0)</f>
        <v>0</v>
      </c>
      <c r="T55" s="93"/>
      <c r="U55" s="93"/>
      <c r="V55" s="93"/>
      <c r="W55" s="93"/>
      <c r="X55" s="93"/>
      <c r="Y55" s="93"/>
      <c r="Z55" s="93"/>
      <c r="AA55" s="93"/>
      <c r="AB55" s="93"/>
      <c r="AC55" s="93"/>
      <c r="AD55" s="93"/>
      <c r="AE55" s="93"/>
      <c r="AF55" s="93"/>
    </row>
    <row r="56" spans="1:32">
      <c r="A56" s="140">
        <f t="shared" si="2"/>
        <v>2052</v>
      </c>
      <c r="B56" s="160">
        <f>Production!N68*B$6+B$7*Production!G68</f>
        <v>0</v>
      </c>
      <c r="C56" s="160">
        <f>($B$9*Development!$B$23+(Development!$B$15-Development!$B$23)*Operations!$B$10)*Production!N68</f>
        <v>0</v>
      </c>
      <c r="D56" s="160">
        <f>$B$11*Production!M68/1000</f>
        <v>0</v>
      </c>
      <c r="E56" s="160">
        <f>$B$8*Production!N68</f>
        <v>0</v>
      </c>
      <c r="F56" s="160">
        <f>$B$3*IF(Input!$B$11="Gas",Production!G68,Production!K68)</f>
        <v>0</v>
      </c>
      <c r="G56" s="160">
        <f t="shared" si="0"/>
        <v>0</v>
      </c>
      <c r="H56" s="156"/>
      <c r="I56" s="160">
        <f>IF(Production!S68=0,0,INDEX(Overrides!$O$48:$O$88,Production!S68+1,1)*Production!$T$21+INDEX(Overrides!$O$48:$O$88,Production!S68,1)*Production!$T$22)</f>
        <v>0</v>
      </c>
      <c r="J56" s="156"/>
      <c r="K56" s="160">
        <f>IF($B$12=1,I56,G56)*'Selected Economics'!I48*'Sensitivity Ranges'!$F$44</f>
        <v>0</v>
      </c>
      <c r="L56" s="200"/>
      <c r="M56" s="160">
        <f>K56*Abandonment!H53</f>
        <v>0</v>
      </c>
      <c r="N56" s="156"/>
      <c r="O56" s="156"/>
      <c r="P56" s="160">
        <f t="shared" si="1"/>
        <v>0</v>
      </c>
      <c r="Q56" s="156"/>
      <c r="R56" s="156"/>
      <c r="S56" s="236">
        <f>IF(G56&gt;0,M56*(1+$S$16)*(G56-D56)/G56+M56*(1+Development!$BL$88)*D56/G56,0)</f>
        <v>0</v>
      </c>
      <c r="T56" s="93"/>
      <c r="U56" s="93"/>
      <c r="V56" s="93"/>
      <c r="W56" s="93"/>
      <c r="X56" s="93"/>
      <c r="Y56" s="93"/>
      <c r="Z56" s="93"/>
      <c r="AA56" s="93"/>
      <c r="AB56" s="93"/>
      <c r="AC56" s="93"/>
      <c r="AD56" s="93"/>
      <c r="AE56" s="93"/>
      <c r="AF56" s="93"/>
    </row>
    <row r="57" spans="1:32">
      <c r="A57" s="140">
        <f t="shared" si="2"/>
        <v>2053</v>
      </c>
      <c r="B57" s="160">
        <f>Production!N69*B$6+B$7*Production!G69</f>
        <v>0</v>
      </c>
      <c r="C57" s="160">
        <f>($B$9*Development!$B$23+(Development!$B$15-Development!$B$23)*Operations!$B$10)*Production!N69</f>
        <v>0</v>
      </c>
      <c r="D57" s="160">
        <f>$B$11*Production!M69/1000</f>
        <v>0</v>
      </c>
      <c r="E57" s="160">
        <f>$B$8*Production!N69</f>
        <v>0</v>
      </c>
      <c r="F57" s="160">
        <f>$B$3*IF(Input!$B$11="Gas",Production!G69,Production!K69)</f>
        <v>0</v>
      </c>
      <c r="G57" s="160">
        <f t="shared" si="0"/>
        <v>0</v>
      </c>
      <c r="H57" s="156"/>
      <c r="I57" s="160">
        <f>IF(Production!S69=0,0,INDEX(Overrides!$O$48:$O$88,Production!S69+1,1)*Production!$T$21+INDEX(Overrides!$O$48:$O$88,Production!S69,1)*Production!$T$22)</f>
        <v>0</v>
      </c>
      <c r="J57" s="156"/>
      <c r="K57" s="160">
        <f>IF($B$12=1,I57,G57)*'Selected Economics'!I49*'Sensitivity Ranges'!$F$44</f>
        <v>0</v>
      </c>
      <c r="L57" s="200"/>
      <c r="M57" s="160">
        <f>K57*Abandonment!H54</f>
        <v>0</v>
      </c>
      <c r="N57" s="156"/>
      <c r="O57" s="156"/>
      <c r="P57" s="160">
        <f t="shared" si="1"/>
        <v>0</v>
      </c>
      <c r="Q57" s="156"/>
      <c r="R57" s="156"/>
      <c r="S57" s="236">
        <f>IF(G57&gt;0,M57*(1+$S$16)*(G57-D57)/G57+M57*(1+Development!$BL$88)*D57/G57,0)</f>
        <v>0</v>
      </c>
      <c r="T57" s="93"/>
      <c r="U57" s="93"/>
      <c r="V57" s="93"/>
      <c r="W57" s="93"/>
      <c r="X57" s="93"/>
      <c r="Y57" s="93"/>
      <c r="Z57" s="93"/>
      <c r="AA57" s="93"/>
      <c r="AB57" s="93"/>
      <c r="AC57" s="93"/>
      <c r="AD57" s="93"/>
      <c r="AE57" s="93"/>
      <c r="AF57" s="93"/>
    </row>
    <row r="58" spans="1:32">
      <c r="A58" s="148">
        <f t="shared" si="2"/>
        <v>2054</v>
      </c>
      <c r="B58" s="162">
        <f>Production!N70*B$6+B$7*Production!G70</f>
        <v>0</v>
      </c>
      <c r="C58" s="162">
        <f>($B$9*Development!$B$23+(Development!$B$15-Development!$B$23)*Operations!$B$10)*Production!N70</f>
        <v>0</v>
      </c>
      <c r="D58" s="162">
        <f>$B$11*Production!M70/1000</f>
        <v>0</v>
      </c>
      <c r="E58" s="162">
        <f>$B$8*Production!N70</f>
        <v>0</v>
      </c>
      <c r="F58" s="162">
        <f>$B$3*IF(Input!$B$11="Gas",Production!G70,Production!K70)</f>
        <v>0</v>
      </c>
      <c r="G58" s="162">
        <f t="shared" si="0"/>
        <v>0</v>
      </c>
      <c r="H58" s="156"/>
      <c r="I58" s="162">
        <f>IF(Production!S70=0,0,INDEX(Overrides!$O$48:$O$88,Production!S70+1,1)*Production!$T$21+INDEX(Overrides!$O$48:$O$88,Production!S70,1)*Production!$T$22)</f>
        <v>0</v>
      </c>
      <c r="J58" s="156"/>
      <c r="K58" s="160">
        <f>IF($B$12=1,I58,G58)*'Selected Economics'!I50*'Sensitivity Ranges'!$F$44</f>
        <v>0</v>
      </c>
      <c r="L58" s="200"/>
      <c r="M58" s="162">
        <f>K58*Abandonment!H55</f>
        <v>0</v>
      </c>
      <c r="N58" s="156"/>
      <c r="O58" s="156"/>
      <c r="P58" s="162">
        <f t="shared" si="1"/>
        <v>0</v>
      </c>
      <c r="Q58" s="156"/>
      <c r="R58" s="156"/>
      <c r="S58" s="237">
        <f>IF(G58&gt;0,M58*(1+$S$16)*(G58-D58)/G58+M58*(1+Development!$BL$88)*D58/G58,0)</f>
        <v>0</v>
      </c>
      <c r="T58" s="93"/>
      <c r="U58" s="93"/>
      <c r="V58" s="93"/>
      <c r="W58" s="93"/>
      <c r="X58" s="93"/>
      <c r="Y58" s="93"/>
      <c r="Z58" s="93"/>
      <c r="AA58" s="93"/>
      <c r="AB58" s="93"/>
      <c r="AC58" s="93"/>
      <c r="AD58" s="93"/>
      <c r="AE58" s="93"/>
      <c r="AF58" s="93"/>
    </row>
    <row r="59" spans="1:32">
      <c r="A59" s="93"/>
      <c r="B59" s="93"/>
      <c r="C59" s="93"/>
      <c r="D59" s="93"/>
      <c r="E59" s="93"/>
      <c r="F59" s="93"/>
      <c r="G59" s="93"/>
      <c r="H59" s="93"/>
      <c r="I59" s="93"/>
      <c r="J59" s="93"/>
      <c r="K59" s="93"/>
      <c r="L59" s="93"/>
      <c r="M59" s="93"/>
      <c r="N59" s="93"/>
      <c r="O59" s="93"/>
      <c r="P59" s="93"/>
      <c r="Q59" s="93"/>
      <c r="R59" s="93"/>
      <c r="S59" s="93"/>
      <c r="T59" s="93"/>
      <c r="U59" s="93"/>
      <c r="V59" s="93"/>
      <c r="W59" s="93"/>
      <c r="X59" s="93"/>
      <c r="Y59" s="93"/>
      <c r="Z59" s="93"/>
      <c r="AA59" s="93"/>
      <c r="AB59" s="93"/>
      <c r="AC59" s="93"/>
      <c r="AD59" s="93"/>
      <c r="AE59" s="93"/>
      <c r="AF59" s="93"/>
    </row>
    <row r="60" spans="1:32">
      <c r="A60" s="93"/>
      <c r="B60" s="93"/>
      <c r="C60" s="93"/>
      <c r="D60" s="93"/>
      <c r="E60" s="93"/>
      <c r="F60" s="93"/>
      <c r="G60" s="93"/>
      <c r="H60" s="93"/>
      <c r="I60" s="93"/>
      <c r="J60" s="93"/>
      <c r="K60" s="93"/>
      <c r="L60" s="93"/>
      <c r="M60" s="93"/>
      <c r="N60" s="93"/>
      <c r="O60" s="93"/>
      <c r="P60" s="93"/>
      <c r="Q60" s="93"/>
      <c r="R60" s="93"/>
      <c r="S60" s="93"/>
      <c r="T60" s="93"/>
      <c r="U60" s="93"/>
      <c r="V60" s="93"/>
      <c r="W60" s="93"/>
      <c r="X60" s="93"/>
      <c r="Y60" s="93"/>
      <c r="Z60" s="93"/>
      <c r="AA60" s="93"/>
      <c r="AB60" s="93"/>
      <c r="AC60" s="93"/>
      <c r="AD60" s="93"/>
      <c r="AE60" s="93"/>
      <c r="AF60" s="93"/>
    </row>
    <row r="61" spans="1:32">
      <c r="A61" s="93"/>
      <c r="B61" s="93"/>
      <c r="C61" s="93"/>
      <c r="D61" s="93"/>
      <c r="E61" s="93"/>
      <c r="F61" s="93"/>
      <c r="G61" s="93"/>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row>
    <row r="62" spans="1:32">
      <c r="A62" s="93"/>
      <c r="B62" s="93"/>
      <c r="C62" s="93"/>
      <c r="D62" s="93"/>
      <c r="E62" s="93"/>
      <c r="F62" s="93"/>
      <c r="G62" s="93"/>
      <c r="H62" s="93"/>
      <c r="I62" s="93"/>
      <c r="J62" s="93"/>
      <c r="K62" s="93"/>
      <c r="L62" s="93"/>
      <c r="M62" s="93"/>
      <c r="N62" s="93"/>
      <c r="O62" s="93"/>
      <c r="P62" s="93"/>
      <c r="Q62" s="93"/>
      <c r="R62" s="93"/>
      <c r="S62" s="93"/>
      <c r="T62" s="93"/>
      <c r="U62" s="93"/>
      <c r="V62" s="93"/>
      <c r="W62" s="93"/>
      <c r="X62" s="93"/>
      <c r="Y62" s="93"/>
      <c r="Z62" s="93"/>
      <c r="AA62" s="93"/>
      <c r="AB62" s="93"/>
      <c r="AC62" s="93"/>
      <c r="AD62" s="93"/>
      <c r="AE62" s="93"/>
      <c r="AF62" s="93"/>
    </row>
    <row r="63" spans="1:32">
      <c r="A63" s="93"/>
      <c r="B63" s="93"/>
      <c r="C63" s="93"/>
      <c r="D63" s="93"/>
      <c r="E63" s="93"/>
      <c r="F63" s="93"/>
      <c r="G63" s="93"/>
      <c r="H63" s="93"/>
      <c r="I63" s="93"/>
      <c r="J63" s="93"/>
      <c r="K63" s="93"/>
      <c r="L63" s="93"/>
      <c r="M63" s="93"/>
      <c r="N63" s="93"/>
      <c r="O63" s="93"/>
      <c r="P63" s="93"/>
      <c r="Q63" s="93"/>
      <c r="R63" s="93"/>
      <c r="S63" s="93"/>
      <c r="T63" s="93"/>
      <c r="U63" s="93"/>
      <c r="V63" s="93"/>
      <c r="W63" s="93"/>
      <c r="X63" s="93"/>
      <c r="Y63" s="93"/>
      <c r="Z63" s="93"/>
      <c r="AA63" s="93"/>
      <c r="AB63" s="93"/>
      <c r="AC63" s="93"/>
      <c r="AD63" s="93"/>
      <c r="AE63" s="93"/>
      <c r="AF63" s="93"/>
    </row>
    <row r="64" spans="1:32">
      <c r="A64" s="93"/>
      <c r="B64" s="93"/>
      <c r="C64" s="93"/>
      <c r="D64" s="93"/>
      <c r="E64" s="93"/>
      <c r="F64" s="93"/>
      <c r="G64" s="93"/>
      <c r="H64" s="93"/>
      <c r="I64" s="93"/>
      <c r="J64" s="93"/>
      <c r="K64" s="93"/>
      <c r="L64" s="93"/>
      <c r="M64" s="93"/>
      <c r="N64" s="93"/>
      <c r="O64" s="93"/>
      <c r="P64" s="93"/>
      <c r="Q64" s="93"/>
      <c r="R64" s="93"/>
      <c r="S64" s="93"/>
      <c r="T64" s="93"/>
      <c r="U64" s="93"/>
      <c r="V64" s="93"/>
      <c r="W64" s="93"/>
      <c r="X64" s="93"/>
      <c r="Y64" s="93"/>
      <c r="Z64" s="93"/>
      <c r="AA64" s="93"/>
      <c r="AB64" s="93"/>
      <c r="AC64" s="93"/>
      <c r="AD64" s="93"/>
      <c r="AE64" s="93"/>
      <c r="AF64" s="93"/>
    </row>
    <row r="65" spans="1:32">
      <c r="A65" s="93"/>
      <c r="B65" s="93"/>
      <c r="C65" s="93"/>
      <c r="D65" s="93"/>
      <c r="E65" s="93"/>
      <c r="F65" s="93"/>
      <c r="G65" s="93"/>
      <c r="H65" s="93"/>
      <c r="I65" s="93"/>
      <c r="J65" s="93"/>
      <c r="K65" s="93"/>
      <c r="L65" s="93"/>
      <c r="M65" s="93"/>
      <c r="N65" s="93"/>
      <c r="O65" s="93"/>
      <c r="P65" s="93"/>
      <c r="Q65" s="93"/>
      <c r="R65" s="93"/>
      <c r="S65" s="93"/>
      <c r="T65" s="93"/>
      <c r="U65" s="93"/>
      <c r="V65" s="93"/>
      <c r="W65" s="93"/>
      <c r="X65" s="93"/>
      <c r="Y65" s="93"/>
      <c r="Z65" s="93"/>
      <c r="AA65" s="93"/>
      <c r="AB65" s="93"/>
      <c r="AC65" s="93"/>
      <c r="AD65" s="93"/>
      <c r="AE65" s="93"/>
      <c r="AF65" s="93"/>
    </row>
    <row r="66" spans="1:32">
      <c r="A66" s="93"/>
      <c r="B66" s="93"/>
      <c r="C66" s="93"/>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3"/>
    </row>
    <row r="67" spans="1:32">
      <c r="A67" s="93"/>
      <c r="B67" s="93"/>
      <c r="C67" s="93"/>
      <c r="D67" s="93"/>
      <c r="E67" s="93"/>
      <c r="F67" s="93"/>
      <c r="G67" s="93"/>
      <c r="H67" s="93"/>
      <c r="I67" s="93"/>
      <c r="J67" s="93"/>
      <c r="K67" s="93"/>
      <c r="L67" s="93"/>
      <c r="M67" s="93"/>
      <c r="N67" s="93"/>
      <c r="O67" s="93"/>
      <c r="P67" s="93"/>
      <c r="Q67" s="93"/>
      <c r="R67" s="93"/>
      <c r="S67" s="93"/>
      <c r="T67" s="93"/>
      <c r="U67" s="93"/>
      <c r="V67" s="93"/>
      <c r="W67" s="93"/>
      <c r="X67" s="93"/>
      <c r="Y67" s="93"/>
      <c r="Z67" s="93"/>
      <c r="AA67" s="93"/>
      <c r="AB67" s="93"/>
      <c r="AC67" s="93"/>
      <c r="AD67" s="93"/>
      <c r="AE67" s="93"/>
      <c r="AF67" s="93"/>
    </row>
    <row r="68" spans="1:32">
      <c r="A68" s="93"/>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row>
    <row r="69" spans="1:32">
      <c r="A69" s="93"/>
      <c r="B69" s="93"/>
      <c r="C69" s="93"/>
      <c r="D69" s="93"/>
      <c r="E69" s="93"/>
      <c r="F69" s="93"/>
      <c r="G69" s="93"/>
      <c r="H69" s="93"/>
      <c r="I69" s="93"/>
      <c r="J69" s="93"/>
      <c r="K69" s="93"/>
      <c r="L69" s="93"/>
      <c r="M69" s="93"/>
      <c r="N69" s="93"/>
      <c r="O69" s="93"/>
      <c r="P69" s="93"/>
      <c r="Q69" s="93"/>
      <c r="R69" s="93"/>
      <c r="S69" s="93"/>
      <c r="T69" s="93"/>
      <c r="U69" s="93"/>
      <c r="V69" s="93"/>
      <c r="W69" s="93"/>
      <c r="X69" s="93"/>
      <c r="Y69" s="93"/>
      <c r="Z69" s="93"/>
      <c r="AA69" s="93"/>
      <c r="AB69" s="93"/>
      <c r="AC69" s="93"/>
      <c r="AD69" s="93"/>
      <c r="AE69" s="93"/>
      <c r="AF69" s="93"/>
    </row>
    <row r="70" spans="1:32">
      <c r="A70" s="93"/>
      <c r="B70" s="93"/>
      <c r="C70" s="93"/>
      <c r="D70" s="93"/>
      <c r="E70" s="93"/>
      <c r="F70" s="93"/>
      <c r="G70" s="93"/>
      <c r="H70" s="93"/>
      <c r="I70" s="93"/>
      <c r="J70" s="93"/>
      <c r="K70" s="93"/>
      <c r="L70" s="93"/>
      <c r="M70" s="93"/>
      <c r="N70" s="93"/>
      <c r="O70" s="93"/>
      <c r="P70" s="93"/>
      <c r="Q70" s="93"/>
      <c r="R70" s="93"/>
      <c r="S70" s="93"/>
      <c r="T70" s="93"/>
      <c r="U70" s="93"/>
      <c r="V70" s="93"/>
      <c r="W70" s="93"/>
      <c r="X70" s="93"/>
      <c r="Y70" s="93"/>
      <c r="Z70" s="93"/>
      <c r="AA70" s="93"/>
      <c r="AB70" s="93"/>
      <c r="AC70" s="93"/>
      <c r="AD70" s="93"/>
      <c r="AE70" s="93"/>
      <c r="AF70" s="93"/>
    </row>
    <row r="71" spans="1:32">
      <c r="A71" s="93"/>
      <c r="B71" s="93"/>
      <c r="C71" s="93"/>
      <c r="D71" s="93"/>
      <c r="E71" s="93"/>
      <c r="F71" s="93"/>
      <c r="G71" s="93"/>
      <c r="H71" s="93"/>
      <c r="I71" s="93"/>
      <c r="J71" s="93"/>
      <c r="K71" s="93"/>
      <c r="L71" s="93"/>
      <c r="M71" s="93"/>
      <c r="N71" s="93"/>
      <c r="O71" s="93"/>
      <c r="P71" s="93"/>
      <c r="Q71" s="93"/>
      <c r="R71" s="93"/>
      <c r="S71" s="93"/>
      <c r="T71" s="93"/>
      <c r="U71" s="93"/>
      <c r="V71" s="93"/>
      <c r="W71" s="93"/>
      <c r="X71" s="93"/>
      <c r="Y71" s="93"/>
      <c r="Z71" s="93"/>
      <c r="AA71" s="93"/>
      <c r="AB71" s="93"/>
      <c r="AC71" s="93"/>
      <c r="AD71" s="93"/>
      <c r="AE71" s="93"/>
      <c r="AF71" s="93"/>
    </row>
    <row r="72" spans="1:32">
      <c r="A72" s="93"/>
      <c r="B72" s="93"/>
      <c r="C72" s="93"/>
      <c r="D72" s="93"/>
      <c r="E72" s="93"/>
      <c r="F72" s="93"/>
      <c r="G72" s="93"/>
      <c r="H72" s="93"/>
      <c r="I72" s="93"/>
      <c r="J72" s="93"/>
      <c r="K72" s="93"/>
      <c r="L72" s="93"/>
      <c r="M72" s="93"/>
      <c r="N72" s="93"/>
      <c r="O72" s="93"/>
      <c r="P72" s="93"/>
      <c r="Q72" s="93"/>
      <c r="R72" s="93"/>
      <c r="S72" s="93"/>
      <c r="T72" s="93"/>
      <c r="U72" s="93"/>
      <c r="V72" s="93"/>
      <c r="W72" s="93"/>
      <c r="X72" s="93"/>
      <c r="Y72" s="93"/>
      <c r="Z72" s="93"/>
      <c r="AA72" s="93"/>
      <c r="AB72" s="93"/>
      <c r="AC72" s="93"/>
      <c r="AD72" s="93"/>
      <c r="AE72" s="93"/>
      <c r="AF72" s="93"/>
    </row>
    <row r="73" spans="1:32">
      <c r="A73" s="93"/>
      <c r="B73" s="93"/>
      <c r="C73" s="93"/>
      <c r="D73" s="93"/>
      <c r="E73" s="93"/>
      <c r="F73" s="93"/>
      <c r="G73" s="93"/>
      <c r="H73" s="93"/>
      <c r="I73" s="93"/>
      <c r="J73" s="93"/>
      <c r="K73" s="93"/>
      <c r="L73" s="93"/>
      <c r="M73" s="93"/>
      <c r="N73" s="93"/>
      <c r="O73" s="93"/>
      <c r="P73" s="93"/>
      <c r="Q73" s="93"/>
      <c r="R73" s="93"/>
      <c r="S73" s="93"/>
      <c r="T73" s="93"/>
      <c r="U73" s="93"/>
      <c r="V73" s="93"/>
      <c r="W73" s="93"/>
      <c r="X73" s="93"/>
      <c r="Y73" s="93"/>
      <c r="Z73" s="93"/>
      <c r="AA73" s="93"/>
      <c r="AB73" s="93"/>
      <c r="AC73" s="93"/>
      <c r="AD73" s="93"/>
      <c r="AE73" s="93"/>
      <c r="AF73" s="93"/>
    </row>
    <row r="74" spans="1:32">
      <c r="A74" s="93"/>
      <c r="B74" s="93"/>
      <c r="C74" s="93"/>
      <c r="D74" s="93"/>
      <c r="E74" s="93"/>
      <c r="F74" s="93"/>
      <c r="G74" s="93"/>
      <c r="H74" s="93"/>
      <c r="I74" s="93"/>
      <c r="J74" s="93"/>
      <c r="K74" s="93"/>
      <c r="L74" s="93"/>
      <c r="M74" s="93"/>
      <c r="N74" s="93"/>
      <c r="O74" s="93"/>
      <c r="P74" s="93"/>
      <c r="Q74" s="93"/>
      <c r="R74" s="93"/>
      <c r="S74" s="93"/>
      <c r="T74" s="93"/>
      <c r="U74" s="93"/>
      <c r="V74" s="93"/>
      <c r="W74" s="93"/>
      <c r="X74" s="93"/>
      <c r="Y74" s="93"/>
      <c r="Z74" s="93"/>
      <c r="AA74" s="93"/>
      <c r="AB74" s="93"/>
      <c r="AC74" s="93"/>
      <c r="AD74" s="93"/>
      <c r="AE74" s="93"/>
      <c r="AF74" s="93"/>
    </row>
    <row r="75" spans="1:32">
      <c r="A75" s="93"/>
      <c r="B75" s="93"/>
      <c r="C75" s="93"/>
      <c r="D75" s="93"/>
      <c r="E75" s="93"/>
      <c r="F75" s="93"/>
      <c r="G75" s="93"/>
      <c r="H75" s="93"/>
      <c r="I75" s="93"/>
      <c r="J75" s="93"/>
      <c r="K75" s="93"/>
      <c r="L75" s="93"/>
      <c r="M75" s="93"/>
      <c r="N75" s="93"/>
      <c r="O75" s="93"/>
      <c r="P75" s="93"/>
      <c r="Q75" s="93"/>
      <c r="R75" s="93"/>
      <c r="S75" s="93"/>
      <c r="T75" s="93"/>
      <c r="U75" s="93"/>
      <c r="V75" s="93"/>
      <c r="W75" s="93"/>
      <c r="X75" s="93"/>
      <c r="Y75" s="93"/>
      <c r="Z75" s="93"/>
      <c r="AA75" s="93"/>
      <c r="AB75" s="93"/>
      <c r="AC75" s="93"/>
      <c r="AD75" s="93"/>
      <c r="AE75" s="93"/>
      <c r="AF75" s="93"/>
    </row>
    <row r="76" spans="1:32">
      <c r="A76" s="93"/>
      <c r="B76" s="93"/>
      <c r="C76" s="93"/>
      <c r="D76" s="93"/>
      <c r="E76" s="93"/>
      <c r="F76" s="93"/>
      <c r="G76" s="93"/>
      <c r="H76" s="93"/>
      <c r="I76" s="93"/>
      <c r="J76" s="93"/>
      <c r="K76" s="93"/>
      <c r="L76" s="93"/>
      <c r="M76" s="93"/>
      <c r="N76" s="93"/>
      <c r="O76" s="93"/>
      <c r="P76" s="93"/>
      <c r="Q76" s="93"/>
      <c r="R76" s="93"/>
      <c r="S76" s="93"/>
      <c r="T76" s="93"/>
      <c r="U76" s="93"/>
      <c r="V76" s="93"/>
      <c r="W76" s="93"/>
      <c r="X76" s="93"/>
      <c r="Y76" s="93"/>
      <c r="Z76" s="93"/>
      <c r="AA76" s="93"/>
      <c r="AB76" s="93"/>
      <c r="AC76" s="93"/>
      <c r="AD76" s="93"/>
      <c r="AE76" s="93"/>
      <c r="AF76" s="93"/>
    </row>
    <row r="77" spans="1:32">
      <c r="A77" s="93"/>
      <c r="B77" s="93"/>
      <c r="C77" s="93"/>
      <c r="D77" s="93"/>
      <c r="E77" s="93"/>
      <c r="F77" s="93"/>
      <c r="G77" s="93"/>
      <c r="H77" s="93"/>
      <c r="I77" s="93"/>
      <c r="J77" s="93"/>
      <c r="K77" s="93"/>
      <c r="L77" s="93"/>
      <c r="M77" s="93"/>
      <c r="N77" s="93"/>
      <c r="O77" s="93"/>
      <c r="P77" s="93"/>
      <c r="Q77" s="93"/>
      <c r="R77" s="93"/>
      <c r="S77" s="93"/>
      <c r="T77" s="93"/>
      <c r="U77" s="93"/>
      <c r="V77" s="93"/>
      <c r="W77" s="93"/>
      <c r="X77" s="93"/>
      <c r="Y77" s="93"/>
      <c r="Z77" s="93"/>
      <c r="AA77" s="93"/>
      <c r="AB77" s="93"/>
      <c r="AC77" s="93"/>
      <c r="AD77" s="93"/>
      <c r="AE77" s="93"/>
      <c r="AF77" s="93"/>
    </row>
    <row r="78" spans="1:32">
      <c r="A78" s="93"/>
      <c r="B78" s="93"/>
      <c r="C78" s="93"/>
      <c r="D78" s="93"/>
      <c r="E78" s="93"/>
      <c r="F78" s="93"/>
      <c r="G78" s="93"/>
      <c r="H78" s="93"/>
      <c r="I78" s="93"/>
      <c r="J78" s="93"/>
      <c r="K78" s="93"/>
      <c r="L78" s="93"/>
      <c r="M78" s="93"/>
      <c r="N78" s="93"/>
      <c r="O78" s="93"/>
      <c r="P78" s="93"/>
      <c r="Q78" s="93"/>
      <c r="R78" s="93"/>
      <c r="S78" s="93"/>
      <c r="T78" s="93"/>
      <c r="U78" s="93"/>
      <c r="V78" s="93"/>
      <c r="W78" s="93"/>
      <c r="X78" s="93"/>
      <c r="Y78" s="93"/>
      <c r="Z78" s="93"/>
      <c r="AA78" s="93"/>
      <c r="AB78" s="93"/>
      <c r="AC78" s="93"/>
      <c r="AD78" s="93"/>
      <c r="AE78" s="93"/>
      <c r="AF78" s="93"/>
    </row>
    <row r="79" spans="1:32">
      <c r="A79" s="93"/>
      <c r="B79" s="93"/>
      <c r="C79" s="93"/>
      <c r="D79" s="93"/>
      <c r="E79" s="93"/>
      <c r="F79" s="93"/>
      <c r="G79" s="93"/>
      <c r="H79" s="93"/>
      <c r="I79" s="93"/>
      <c r="J79" s="93"/>
      <c r="K79" s="93"/>
      <c r="L79" s="93"/>
      <c r="M79" s="93"/>
      <c r="N79" s="93"/>
      <c r="O79" s="93"/>
      <c r="P79" s="93"/>
      <c r="Q79" s="93"/>
      <c r="R79" s="93"/>
      <c r="S79" s="93"/>
      <c r="T79" s="93"/>
      <c r="U79" s="93"/>
      <c r="V79" s="93"/>
      <c r="W79" s="93"/>
      <c r="X79" s="93"/>
      <c r="Y79" s="93"/>
      <c r="Z79" s="93"/>
      <c r="AA79" s="93"/>
      <c r="AB79" s="93"/>
      <c r="AC79" s="93"/>
      <c r="AD79" s="93"/>
      <c r="AE79" s="93"/>
      <c r="AF79" s="93"/>
    </row>
    <row r="80" spans="1:32">
      <c r="A80" s="93"/>
      <c r="B80" s="93"/>
      <c r="C80" s="93"/>
      <c r="D80" s="93"/>
      <c r="E80" s="93"/>
      <c r="F80" s="93"/>
      <c r="G80" s="93"/>
      <c r="H80" s="93"/>
      <c r="I80" s="93"/>
      <c r="J80" s="93"/>
      <c r="K80" s="93"/>
      <c r="L80" s="93"/>
      <c r="M80" s="93"/>
      <c r="N80" s="93"/>
      <c r="O80" s="93"/>
      <c r="P80" s="93"/>
      <c r="Q80" s="93"/>
      <c r="R80" s="93"/>
      <c r="S80" s="93"/>
      <c r="T80" s="93"/>
      <c r="U80" s="93"/>
      <c r="V80" s="93"/>
      <c r="W80" s="93"/>
      <c r="X80" s="93"/>
      <c r="Y80" s="93"/>
      <c r="Z80" s="93"/>
      <c r="AA80" s="93"/>
      <c r="AB80" s="93"/>
      <c r="AC80" s="93"/>
      <c r="AD80" s="93"/>
      <c r="AE80" s="93"/>
      <c r="AF80" s="93"/>
    </row>
    <row r="81" spans="1:32">
      <c r="A81" s="93"/>
      <c r="B81" s="93"/>
      <c r="C81" s="93"/>
      <c r="D81" s="93"/>
      <c r="E81" s="93"/>
      <c r="F81" s="93"/>
      <c r="G81" s="93"/>
      <c r="H81" s="93"/>
      <c r="I81" s="93"/>
      <c r="J81" s="93"/>
      <c r="K81" s="93"/>
      <c r="L81" s="93"/>
      <c r="M81" s="93"/>
      <c r="N81" s="93"/>
      <c r="O81" s="93"/>
      <c r="P81" s="93"/>
      <c r="Q81" s="93"/>
      <c r="R81" s="93"/>
      <c r="S81" s="93"/>
      <c r="T81" s="93"/>
      <c r="U81" s="93"/>
      <c r="V81" s="93"/>
      <c r="W81" s="93"/>
      <c r="X81" s="93"/>
      <c r="Y81" s="93"/>
      <c r="Z81" s="93"/>
      <c r="AA81" s="93"/>
      <c r="AB81" s="93"/>
      <c r="AC81" s="93"/>
      <c r="AD81" s="93"/>
      <c r="AE81" s="93"/>
      <c r="AF81" s="93"/>
    </row>
    <row r="82" spans="1:32">
      <c r="A82" s="93"/>
      <c r="B82" s="93"/>
      <c r="C82" s="93"/>
      <c r="D82" s="93"/>
      <c r="E82" s="93"/>
      <c r="F82" s="93"/>
      <c r="G82" s="93"/>
      <c r="H82" s="93"/>
      <c r="I82" s="93"/>
      <c r="J82" s="93"/>
      <c r="K82" s="93"/>
      <c r="L82" s="93"/>
      <c r="M82" s="93"/>
      <c r="N82" s="93"/>
      <c r="O82" s="93"/>
      <c r="P82" s="93"/>
      <c r="Q82" s="93"/>
      <c r="R82" s="93"/>
      <c r="S82" s="93"/>
      <c r="T82" s="93"/>
      <c r="U82" s="93"/>
      <c r="V82" s="93"/>
      <c r="W82" s="93"/>
      <c r="X82" s="93"/>
      <c r="Y82" s="93"/>
      <c r="Z82" s="93"/>
      <c r="AA82" s="93"/>
      <c r="AB82" s="93"/>
      <c r="AC82" s="93"/>
      <c r="AD82" s="93"/>
      <c r="AE82" s="93"/>
      <c r="AF82" s="93"/>
    </row>
    <row r="83" spans="1:32">
      <c r="A83" s="93"/>
      <c r="B83" s="93"/>
      <c r="C83" s="93"/>
      <c r="D83" s="93"/>
      <c r="E83" s="93"/>
      <c r="F83" s="93"/>
      <c r="G83" s="93"/>
      <c r="H83" s="93"/>
      <c r="I83" s="93"/>
      <c r="J83" s="93"/>
      <c r="K83" s="93"/>
      <c r="L83" s="93"/>
      <c r="M83" s="93"/>
      <c r="N83" s="93"/>
      <c r="O83" s="93"/>
      <c r="P83" s="93"/>
      <c r="Q83" s="93"/>
      <c r="R83" s="93"/>
      <c r="S83" s="93"/>
      <c r="T83" s="93"/>
      <c r="U83" s="93"/>
      <c r="V83" s="93"/>
      <c r="W83" s="93"/>
      <c r="X83" s="93"/>
      <c r="Y83" s="93"/>
      <c r="Z83" s="93"/>
      <c r="AA83" s="93"/>
      <c r="AB83" s="93"/>
      <c r="AC83" s="93"/>
      <c r="AD83" s="93"/>
      <c r="AE83" s="93"/>
      <c r="AF83" s="93"/>
    </row>
    <row r="84" spans="1:32">
      <c r="A84" s="93"/>
      <c r="B84" s="93"/>
      <c r="C84" s="93"/>
      <c r="D84" s="93"/>
      <c r="E84" s="93"/>
      <c r="F84" s="93"/>
      <c r="G84" s="93"/>
      <c r="H84" s="93"/>
      <c r="I84" s="93"/>
      <c r="J84" s="93"/>
      <c r="K84" s="93"/>
      <c r="L84" s="93"/>
      <c r="M84" s="93"/>
      <c r="N84" s="93"/>
      <c r="O84" s="93"/>
      <c r="P84" s="93"/>
      <c r="Q84" s="93"/>
      <c r="R84" s="93"/>
      <c r="S84" s="93"/>
      <c r="T84" s="93"/>
      <c r="U84" s="93"/>
      <c r="V84" s="93"/>
      <c r="W84" s="93"/>
      <c r="X84" s="93"/>
      <c r="Y84" s="93"/>
      <c r="Z84" s="93"/>
      <c r="AA84" s="93"/>
      <c r="AB84" s="93"/>
      <c r="AC84" s="93"/>
      <c r="AD84" s="93"/>
      <c r="AE84" s="93"/>
      <c r="AF84" s="93"/>
    </row>
    <row r="85" spans="1:32">
      <c r="A85" s="93"/>
      <c r="B85" s="93"/>
      <c r="C85" s="93"/>
      <c r="D85" s="93"/>
      <c r="E85" s="93"/>
      <c r="F85" s="93"/>
      <c r="G85" s="93"/>
      <c r="H85" s="93"/>
      <c r="I85" s="93"/>
      <c r="J85" s="93"/>
      <c r="K85" s="93"/>
      <c r="L85" s="93"/>
      <c r="M85" s="93"/>
      <c r="N85" s="93"/>
      <c r="O85" s="93"/>
      <c r="P85" s="93"/>
      <c r="Q85" s="93"/>
      <c r="R85" s="93"/>
      <c r="S85" s="93"/>
      <c r="T85" s="93"/>
      <c r="U85" s="93"/>
      <c r="V85" s="93"/>
      <c r="W85" s="93"/>
      <c r="X85" s="93"/>
      <c r="Y85" s="93"/>
      <c r="Z85" s="93"/>
      <c r="AA85" s="93"/>
      <c r="AB85" s="93"/>
      <c r="AC85" s="93"/>
      <c r="AD85" s="93"/>
      <c r="AE85" s="93"/>
      <c r="AF85" s="93"/>
    </row>
    <row r="86" spans="1:32">
      <c r="A86" s="93"/>
      <c r="B86" s="93"/>
      <c r="C86" s="93"/>
      <c r="D86" s="93"/>
      <c r="E86" s="93"/>
      <c r="F86" s="93"/>
      <c r="G86" s="93"/>
      <c r="H86" s="93"/>
      <c r="I86" s="93"/>
      <c r="J86" s="93"/>
      <c r="K86" s="93"/>
      <c r="L86" s="93"/>
      <c r="M86" s="93"/>
      <c r="N86" s="93"/>
      <c r="O86" s="93"/>
      <c r="P86" s="93"/>
      <c r="Q86" s="93"/>
      <c r="R86" s="93"/>
      <c r="S86" s="93"/>
      <c r="T86" s="93"/>
      <c r="U86" s="93"/>
      <c r="V86" s="93"/>
      <c r="W86" s="93"/>
      <c r="X86" s="93"/>
      <c r="Y86" s="93"/>
      <c r="Z86" s="93"/>
      <c r="AA86" s="93"/>
      <c r="AB86" s="93"/>
      <c r="AC86" s="93"/>
      <c r="AD86" s="93"/>
      <c r="AE86" s="93"/>
      <c r="AF86" s="93"/>
    </row>
    <row r="87" spans="1:32">
      <c r="A87" s="93"/>
      <c r="B87" s="93"/>
      <c r="C87" s="93"/>
      <c r="D87" s="93"/>
      <c r="E87" s="93"/>
      <c r="F87" s="93"/>
      <c r="G87" s="93"/>
      <c r="H87" s="93"/>
      <c r="I87" s="93"/>
      <c r="J87" s="93"/>
      <c r="K87" s="93"/>
      <c r="L87" s="93"/>
      <c r="M87" s="93"/>
      <c r="N87" s="93"/>
      <c r="O87" s="93"/>
      <c r="P87" s="93"/>
      <c r="Q87" s="93"/>
      <c r="R87" s="93"/>
      <c r="S87" s="93"/>
      <c r="T87" s="93"/>
      <c r="U87" s="93"/>
      <c r="V87" s="93"/>
      <c r="W87" s="93"/>
      <c r="X87" s="93"/>
      <c r="Y87" s="93"/>
      <c r="Z87" s="93"/>
      <c r="AA87" s="93"/>
      <c r="AB87" s="93"/>
      <c r="AC87" s="93"/>
      <c r="AD87" s="93"/>
      <c r="AE87" s="93"/>
      <c r="AF87" s="93"/>
    </row>
    <row r="88" spans="1:32">
      <c r="A88" s="93"/>
      <c r="B88" s="93"/>
      <c r="C88" s="93"/>
      <c r="D88" s="93"/>
      <c r="E88" s="93"/>
      <c r="F88" s="93"/>
      <c r="G88" s="93"/>
      <c r="H88" s="93"/>
      <c r="I88" s="93"/>
      <c r="J88" s="93"/>
      <c r="K88" s="93"/>
      <c r="L88" s="93"/>
      <c r="M88" s="93"/>
      <c r="N88" s="93"/>
      <c r="O88" s="93"/>
      <c r="P88" s="93"/>
      <c r="Q88" s="93"/>
      <c r="R88" s="93"/>
      <c r="S88" s="93"/>
      <c r="T88" s="93"/>
      <c r="U88" s="93"/>
      <c r="V88" s="93"/>
      <c r="W88" s="93"/>
      <c r="X88" s="93"/>
      <c r="Y88" s="93"/>
      <c r="Z88" s="93"/>
      <c r="AA88" s="93"/>
      <c r="AB88" s="93"/>
      <c r="AC88" s="93"/>
      <c r="AD88" s="93"/>
      <c r="AE88" s="93"/>
      <c r="AF88" s="93"/>
    </row>
    <row r="89" spans="1:32">
      <c r="A89" s="93"/>
      <c r="B89" s="93"/>
      <c r="C89" s="93"/>
      <c r="D89" s="93"/>
      <c r="E89" s="93"/>
      <c r="F89" s="93"/>
      <c r="G89" s="93"/>
      <c r="H89" s="93"/>
      <c r="I89" s="93"/>
      <c r="J89" s="93"/>
      <c r="K89" s="93"/>
      <c r="L89" s="93"/>
      <c r="M89" s="93"/>
      <c r="N89" s="93"/>
      <c r="O89" s="93"/>
      <c r="P89" s="93"/>
      <c r="Q89" s="93"/>
      <c r="R89" s="93"/>
      <c r="S89" s="93"/>
      <c r="T89" s="93"/>
      <c r="U89" s="93"/>
      <c r="V89" s="93"/>
      <c r="W89" s="93"/>
      <c r="X89" s="93"/>
      <c r="Y89" s="93"/>
      <c r="Z89" s="93"/>
      <c r="AA89" s="93"/>
      <c r="AB89" s="93"/>
      <c r="AC89" s="93"/>
      <c r="AD89" s="93"/>
      <c r="AE89" s="93"/>
      <c r="AF89" s="93"/>
    </row>
    <row r="90" spans="1:32">
      <c r="A90" s="93"/>
      <c r="B90" s="93"/>
      <c r="C90" s="93"/>
      <c r="D90" s="93"/>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c r="A91" s="93"/>
      <c r="B91" s="93"/>
      <c r="C91" s="93"/>
      <c r="D91" s="93"/>
      <c r="E91" s="93"/>
      <c r="F91" s="93"/>
      <c r="G91" s="93"/>
      <c r="H91" s="93"/>
      <c r="I91" s="93"/>
      <c r="J91" s="93"/>
      <c r="K91" s="93"/>
      <c r="L91" s="93"/>
      <c r="M91" s="93"/>
      <c r="N91" s="93"/>
      <c r="O91" s="93"/>
      <c r="P91" s="93"/>
      <c r="Q91" s="93"/>
      <c r="R91" s="93"/>
      <c r="S91" s="93"/>
      <c r="T91" s="93"/>
      <c r="U91" s="93"/>
      <c r="V91" s="93"/>
      <c r="W91" s="93"/>
      <c r="X91" s="93"/>
      <c r="Y91" s="93"/>
      <c r="Z91" s="93"/>
      <c r="AA91" s="93"/>
      <c r="AB91" s="93"/>
      <c r="AC91" s="93"/>
      <c r="AD91" s="93"/>
      <c r="AE91" s="93"/>
      <c r="AF91" s="93"/>
    </row>
    <row r="92" spans="1:32">
      <c r="A92" s="93"/>
      <c r="B92" s="93"/>
      <c r="C92" s="93"/>
      <c r="D92" s="93"/>
      <c r="E92" s="93"/>
      <c r="F92" s="93"/>
      <c r="G92" s="93"/>
      <c r="H92" s="93"/>
      <c r="I92" s="93"/>
      <c r="J92" s="93"/>
      <c r="K92" s="93"/>
      <c r="L92" s="93"/>
      <c r="M92" s="93"/>
      <c r="N92" s="93"/>
      <c r="O92" s="93"/>
      <c r="P92" s="93"/>
      <c r="Q92" s="93"/>
      <c r="R92" s="93"/>
      <c r="S92" s="93"/>
      <c r="T92" s="93"/>
      <c r="U92" s="93"/>
      <c r="V92" s="93"/>
      <c r="W92" s="93"/>
      <c r="X92" s="93"/>
      <c r="Y92" s="93"/>
      <c r="Z92" s="93"/>
      <c r="AA92" s="93"/>
      <c r="AB92" s="93"/>
      <c r="AC92" s="93"/>
      <c r="AD92" s="93"/>
      <c r="AE92" s="93"/>
      <c r="AF92" s="93"/>
    </row>
    <row r="93" spans="1:32">
      <c r="A93" s="93"/>
      <c r="B93" s="93"/>
      <c r="C93" s="93"/>
      <c r="D93" s="93"/>
      <c r="E93" s="93"/>
      <c r="F93" s="93"/>
      <c r="G93" s="93"/>
      <c r="H93" s="93"/>
      <c r="I93" s="93"/>
      <c r="J93" s="93"/>
      <c r="K93" s="93"/>
      <c r="L93" s="93"/>
      <c r="M93" s="93"/>
      <c r="N93" s="93"/>
      <c r="O93" s="93"/>
      <c r="P93" s="93"/>
      <c r="Q93" s="93"/>
      <c r="R93" s="93"/>
      <c r="S93" s="93"/>
      <c r="T93" s="93"/>
      <c r="U93" s="93"/>
      <c r="V93" s="93"/>
      <c r="W93" s="93"/>
      <c r="X93" s="93"/>
      <c r="Y93" s="93"/>
      <c r="Z93" s="93"/>
      <c r="AA93" s="93"/>
      <c r="AB93" s="93"/>
      <c r="AC93" s="93"/>
      <c r="AD93" s="93"/>
      <c r="AE93" s="93"/>
      <c r="AF93" s="93"/>
    </row>
    <row r="94" spans="1:32">
      <c r="A94" s="93"/>
      <c r="B94" s="93"/>
      <c r="C94" s="93"/>
      <c r="D94" s="93"/>
      <c r="E94" s="93"/>
      <c r="F94" s="93"/>
      <c r="G94" s="93"/>
      <c r="H94" s="93"/>
      <c r="I94" s="93"/>
      <c r="J94" s="93"/>
      <c r="K94" s="93"/>
      <c r="L94" s="93"/>
      <c r="M94" s="93"/>
      <c r="N94" s="93"/>
      <c r="O94" s="93"/>
      <c r="P94" s="93"/>
      <c r="Q94" s="93"/>
      <c r="R94" s="93"/>
      <c r="S94" s="93"/>
      <c r="T94" s="93"/>
      <c r="U94" s="93"/>
      <c r="V94" s="93"/>
      <c r="W94" s="93"/>
      <c r="X94" s="93"/>
      <c r="Y94" s="93"/>
      <c r="Z94" s="93"/>
      <c r="AA94" s="93"/>
      <c r="AB94" s="93"/>
      <c r="AC94" s="93"/>
      <c r="AD94" s="93"/>
      <c r="AE94" s="93"/>
      <c r="AF94" s="93"/>
    </row>
    <row r="95" spans="1:32">
      <c r="A95" s="93"/>
      <c r="B95" s="93"/>
      <c r="C95" s="93"/>
      <c r="D95" s="93"/>
      <c r="E95" s="93"/>
      <c r="F95" s="93"/>
      <c r="G95" s="93"/>
      <c r="H95" s="93"/>
      <c r="I95" s="93"/>
      <c r="J95" s="93"/>
      <c r="K95" s="93"/>
      <c r="L95" s="93"/>
      <c r="M95" s="93"/>
      <c r="N95" s="93"/>
      <c r="O95" s="93"/>
      <c r="P95" s="93"/>
      <c r="Q95" s="93"/>
      <c r="R95" s="93"/>
      <c r="S95" s="93"/>
      <c r="T95" s="93"/>
      <c r="U95" s="93"/>
      <c r="V95" s="93"/>
      <c r="W95" s="93"/>
      <c r="X95" s="93"/>
      <c r="Y95" s="93"/>
      <c r="Z95" s="93"/>
      <c r="AA95" s="93"/>
      <c r="AB95" s="93"/>
      <c r="AC95" s="93"/>
      <c r="AD95" s="93"/>
      <c r="AE95" s="93"/>
      <c r="AF95" s="93"/>
    </row>
    <row r="96" spans="1:32">
      <c r="A96" s="93"/>
      <c r="B96" s="93"/>
      <c r="C96" s="93"/>
      <c r="D96" s="93"/>
      <c r="E96" s="93"/>
      <c r="F96" s="93"/>
      <c r="G96" s="93"/>
      <c r="H96" s="93"/>
      <c r="I96" s="93"/>
      <c r="J96" s="93"/>
      <c r="K96" s="93"/>
      <c r="L96" s="93"/>
      <c r="M96" s="93"/>
      <c r="N96" s="93"/>
      <c r="O96" s="93"/>
      <c r="P96" s="93"/>
      <c r="Q96" s="93"/>
      <c r="R96" s="93"/>
      <c r="S96" s="93"/>
      <c r="T96" s="93"/>
      <c r="U96" s="93"/>
      <c r="V96" s="93"/>
      <c r="W96" s="93"/>
      <c r="X96" s="93"/>
      <c r="Y96" s="93"/>
      <c r="Z96" s="93"/>
      <c r="AA96" s="93"/>
      <c r="AB96" s="93"/>
      <c r="AC96" s="93"/>
      <c r="AD96" s="93"/>
      <c r="AE96" s="93"/>
      <c r="AF96" s="93"/>
    </row>
    <row r="97" spans="1:32">
      <c r="A97" s="93"/>
      <c r="B97" s="93"/>
      <c r="C97" s="93"/>
      <c r="D97" s="93"/>
      <c r="E97" s="93"/>
      <c r="F97" s="93"/>
      <c r="G97" s="93"/>
      <c r="H97" s="93"/>
      <c r="I97" s="93"/>
      <c r="J97" s="93"/>
      <c r="K97" s="93"/>
      <c r="L97" s="93"/>
      <c r="M97" s="93"/>
      <c r="N97" s="93"/>
      <c r="O97" s="93"/>
      <c r="P97" s="93"/>
      <c r="Q97" s="93"/>
      <c r="R97" s="93"/>
      <c r="S97" s="93"/>
      <c r="T97" s="93"/>
      <c r="U97" s="93"/>
      <c r="V97" s="93"/>
      <c r="W97" s="93"/>
      <c r="X97" s="93"/>
      <c r="Y97" s="93"/>
      <c r="Z97" s="93"/>
      <c r="AA97" s="93"/>
      <c r="AB97" s="93"/>
      <c r="AC97" s="93"/>
      <c r="AD97" s="93"/>
      <c r="AE97" s="93"/>
      <c r="AF97" s="93"/>
    </row>
    <row r="98" spans="1:32">
      <c r="A98" s="93"/>
      <c r="B98" s="93"/>
      <c r="C98" s="93"/>
      <c r="D98" s="93"/>
      <c r="E98" s="93"/>
      <c r="F98" s="93"/>
      <c r="G98" s="93"/>
      <c r="H98" s="93"/>
      <c r="I98" s="93"/>
      <c r="J98" s="93"/>
      <c r="K98" s="93"/>
      <c r="L98" s="93"/>
      <c r="M98" s="93"/>
      <c r="N98" s="93"/>
      <c r="O98" s="93"/>
      <c r="P98" s="93"/>
      <c r="Q98" s="93"/>
      <c r="R98" s="93"/>
      <c r="S98" s="93"/>
      <c r="T98" s="93"/>
      <c r="U98" s="93"/>
      <c r="V98" s="93"/>
      <c r="W98" s="93"/>
      <c r="X98" s="93"/>
      <c r="Y98" s="93"/>
      <c r="Z98" s="93"/>
      <c r="AA98" s="93"/>
      <c r="AB98" s="93"/>
      <c r="AC98" s="93"/>
      <c r="AD98" s="93"/>
      <c r="AE98" s="93"/>
      <c r="AF98" s="93"/>
    </row>
    <row r="99" spans="1:32">
      <c r="A99" s="93"/>
      <c r="B99" s="93"/>
      <c r="C99" s="93"/>
      <c r="D99" s="93"/>
      <c r="E99" s="93"/>
      <c r="F99" s="93"/>
      <c r="G99" s="93"/>
      <c r="H99" s="93"/>
      <c r="I99" s="93"/>
      <c r="J99" s="93"/>
      <c r="K99" s="93"/>
      <c r="L99" s="93"/>
      <c r="M99" s="93"/>
      <c r="N99" s="93"/>
      <c r="O99" s="93"/>
      <c r="P99" s="93"/>
      <c r="Q99" s="93"/>
      <c r="R99" s="93"/>
      <c r="S99" s="93"/>
      <c r="T99" s="93"/>
      <c r="U99" s="93"/>
      <c r="V99" s="93"/>
      <c r="W99" s="93"/>
      <c r="X99" s="93"/>
      <c r="Y99" s="93"/>
      <c r="Z99" s="93"/>
      <c r="AA99" s="93"/>
      <c r="AB99" s="93"/>
      <c r="AC99" s="93"/>
      <c r="AD99" s="93"/>
      <c r="AE99" s="93"/>
      <c r="AF99" s="93"/>
    </row>
    <row r="100" spans="1:32">
      <c r="A100" s="93"/>
      <c r="B100" s="93"/>
      <c r="C100" s="93"/>
      <c r="D100" s="93"/>
      <c r="E100" s="93"/>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C100" s="93"/>
      <c r="AD100" s="93"/>
      <c r="AE100" s="93"/>
      <c r="AF100" s="93"/>
    </row>
  </sheetData>
  <sheetProtection algorithmName="SHA-512" hashValue="ANI0/n4V8ayqilpN2fs2jh8NULD5ppOgT/XeM9D2TWiHDvxiL+WjQ4IqZ8uHePYV/f8FJiiIMfPk8VrtAV8p+Q==" saltValue="+EVxOWjtmpv8C6PO0cSP/g==" spinCount="100000" sheet="1" objects="1" scenarios="1"/>
  <hyperlinks>
    <hyperlink ref="F1" location="Guide" display="Guide"/>
    <hyperlink ref="F2" location="Input" display="Input"/>
  </hyperlinks>
  <pageMargins left="0.7" right="0.7" top="0.75" bottom="0.75" header="0.3" footer="0.3"/>
  <pageSetup paperSize="9" scale="37" orientation="portrait" r:id="rId1"/>
  <headerFooter>
    <oddFooter>&amp;LNova Scotia Exploration Economics Model&amp;Rwww.indeva.com</oddFooter>
  </headerFooter>
  <colBreaks count="1" manualBreakCount="1">
    <brk id="21"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3" tint="0.79998168889431442"/>
  </sheetPr>
  <dimension ref="A1:Z55"/>
  <sheetViews>
    <sheetView showGridLines="0" showZeros="0" zoomScale="75" zoomScaleNormal="75" workbookViewId="0">
      <pane xSplit="1" ySplit="15" topLeftCell="B16" activePane="bottomRight" state="frozen"/>
      <selection activeCell="D43" sqref="D43"/>
      <selection pane="topRight" activeCell="D43" sqref="D43"/>
      <selection pane="bottomLeft" activeCell="D43" sqref="D43"/>
      <selection pane="bottomRight" activeCell="B16" sqref="B16"/>
    </sheetView>
  </sheetViews>
  <sheetFormatPr defaultRowHeight="14.5"/>
  <cols>
    <col min="1" max="1" width="13.7265625" customWidth="1"/>
    <col min="2" max="2" width="11.81640625" customWidth="1"/>
    <col min="3" max="3" width="11" customWidth="1"/>
    <col min="4" max="4" width="12.7265625" customWidth="1"/>
    <col min="5" max="6" width="11.1796875" customWidth="1"/>
    <col min="10" max="10" width="10.81640625" customWidth="1"/>
    <col min="11" max="11" width="13.26953125" customWidth="1"/>
    <col min="12" max="12" width="12.7265625" bestFit="1" customWidth="1"/>
  </cols>
  <sheetData>
    <row r="1" spans="1:26" ht="18.5">
      <c r="A1" s="142" t="str">
        <f>Input!B8</f>
        <v>Prospect X</v>
      </c>
      <c r="B1" s="142"/>
      <c r="C1" s="142" t="s">
        <v>378</v>
      </c>
      <c r="D1" s="93"/>
      <c r="E1" s="93"/>
      <c r="F1" s="93"/>
      <c r="G1" s="93"/>
      <c r="H1" s="143" t="s">
        <v>768</v>
      </c>
      <c r="I1" s="93"/>
      <c r="J1" s="93"/>
      <c r="K1" s="134" t="s">
        <v>170</v>
      </c>
      <c r="L1" s="151">
        <f>IF(Input!B14=Subsea,0,IF(Input!B14=Fixed_Platform,'Cost Assumptions'!O103+'Cost Assumptions'!O104*Input!B13,IF(Input!B14=Jack_up,'Cost Assumptions'!O105,IF(Input!B14=FPSU,'Cost Assumptions'!O107,IF(Input!B14=Tethered___Semi,'Cost Assumptions'!O106,0)))))</f>
        <v>5300</v>
      </c>
      <c r="M1" s="93"/>
      <c r="N1" s="93"/>
      <c r="O1" s="93"/>
      <c r="P1" s="93"/>
      <c r="Q1" s="93"/>
      <c r="R1" s="93"/>
      <c r="S1" s="93"/>
      <c r="T1" s="93"/>
      <c r="U1" s="93"/>
      <c r="V1" s="93"/>
      <c r="W1" s="93"/>
      <c r="X1" s="93"/>
      <c r="Y1" s="93"/>
      <c r="Z1" s="93"/>
    </row>
    <row r="2" spans="1:26" ht="18.5">
      <c r="A2" s="93"/>
      <c r="B2" s="93"/>
      <c r="C2" s="93"/>
      <c r="D2" s="93"/>
      <c r="E2" s="93"/>
      <c r="F2" s="93"/>
      <c r="G2" s="93"/>
      <c r="H2" s="143" t="s">
        <v>143</v>
      </c>
      <c r="I2" s="93"/>
      <c r="J2" s="93"/>
      <c r="K2" s="134" t="s">
        <v>736</v>
      </c>
      <c r="L2" s="151">
        <f>Development!B28*'Cost Assumptions'!O108</f>
        <v>9540</v>
      </c>
      <c r="M2" s="93"/>
      <c r="N2" s="93"/>
      <c r="O2" s="93"/>
      <c r="P2" s="93"/>
      <c r="Q2" s="93"/>
      <c r="R2" s="93"/>
      <c r="S2" s="93"/>
      <c r="T2" s="93"/>
      <c r="U2" s="93"/>
      <c r="V2" s="93"/>
      <c r="W2" s="93"/>
      <c r="X2" s="93"/>
      <c r="Y2" s="93"/>
      <c r="Z2" s="93"/>
    </row>
    <row r="3" spans="1:26">
      <c r="A3" s="134" t="s">
        <v>379</v>
      </c>
      <c r="B3" s="134">
        <f>Development!C6</f>
        <v>2015</v>
      </c>
      <c r="C3" s="93"/>
      <c r="D3" s="93"/>
      <c r="E3" s="93"/>
      <c r="F3" s="93"/>
      <c r="G3" s="93"/>
      <c r="H3" s="93"/>
      <c r="I3" s="93"/>
      <c r="J3" s="93"/>
      <c r="K3" s="134" t="s">
        <v>737</v>
      </c>
      <c r="L3" s="151">
        <f>(Development!B15-Development!B23)*'Cost Assumptions'!O109</f>
        <v>0</v>
      </c>
      <c r="M3" s="93"/>
      <c r="N3" s="93"/>
      <c r="O3" s="93"/>
      <c r="P3" s="93"/>
      <c r="Q3" s="93"/>
      <c r="R3" s="93"/>
      <c r="S3" s="93"/>
      <c r="T3" s="93"/>
      <c r="U3" s="93"/>
      <c r="V3" s="93"/>
      <c r="W3" s="93"/>
      <c r="X3" s="93"/>
      <c r="Y3" s="93"/>
      <c r="Z3" s="93"/>
    </row>
    <row r="4" spans="1:26">
      <c r="A4" s="134" t="s">
        <v>380</v>
      </c>
      <c r="B4" s="134">
        <f>IF(AND(Input!B9=Lists!A12,MAX(Abandonment!F16:F55)&lt;0),Abandonment!B3,INDEX(A16:A55,MATCH(MAX(F16:F55),F16:F55,0),1)+1)</f>
        <v>2041</v>
      </c>
      <c r="C4" s="134" t="str">
        <f>IF(B3&gt;=B4,Lists!A84,Lists!A83)</f>
        <v>Economic</v>
      </c>
      <c r="D4" s="93"/>
      <c r="E4" s="173"/>
      <c r="F4" s="93"/>
      <c r="G4" s="238"/>
      <c r="H4" s="93"/>
      <c r="I4" s="93"/>
      <c r="J4" s="93"/>
      <c r="K4" s="134" t="s">
        <v>738</v>
      </c>
      <c r="L4" s="151">
        <f>Development!B23*'Cost Assumptions'!O110</f>
        <v>107590</v>
      </c>
      <c r="M4" s="93"/>
      <c r="N4" s="93"/>
      <c r="O4" s="93"/>
      <c r="P4" s="93"/>
      <c r="Q4" s="93"/>
      <c r="R4" s="93"/>
      <c r="S4" s="93"/>
      <c r="T4" s="93"/>
      <c r="U4" s="93"/>
      <c r="V4" s="93"/>
      <c r="W4" s="93"/>
      <c r="X4" s="93"/>
      <c r="Y4" s="93"/>
      <c r="Z4" s="93"/>
    </row>
    <row r="5" spans="1:26">
      <c r="A5" s="134" t="s">
        <v>381</v>
      </c>
      <c r="B5" s="182">
        <f>IF(Overrides!C90=Lists!A37,Overrides!C92,L6/1000)</f>
        <v>188.68</v>
      </c>
      <c r="C5" s="93"/>
      <c r="D5" s="93"/>
      <c r="E5" s="93"/>
      <c r="F5" s="173"/>
      <c r="G5" s="93"/>
      <c r="H5" s="93"/>
      <c r="I5" s="93"/>
      <c r="J5" s="93"/>
      <c r="K5" s="134" t="s">
        <v>172</v>
      </c>
      <c r="L5" s="151">
        <f>IF(Input!B15=Shore,'Cost Assumptions'!O111,IF(OR(Input!B15=Direct_Pipeline_Tie_in,Input!B15=Satellite),'Cost Assumptions'!O112,0))*Input!B16</f>
        <v>66250</v>
      </c>
      <c r="M5" s="93"/>
      <c r="N5" s="93"/>
      <c r="O5" s="93"/>
      <c r="P5" s="93"/>
      <c r="Q5" s="93"/>
      <c r="R5" s="93"/>
      <c r="S5" s="93"/>
      <c r="T5" s="93"/>
      <c r="U5" s="93"/>
      <c r="V5" s="93"/>
      <c r="W5" s="93"/>
      <c r="X5" s="93"/>
      <c r="Y5" s="93"/>
      <c r="Z5" s="93"/>
    </row>
    <row r="6" spans="1:26">
      <c r="A6" s="134" t="s">
        <v>382</v>
      </c>
      <c r="B6" s="182">
        <f>IF(B4=B3,0,B5)</f>
        <v>188.68</v>
      </c>
      <c r="C6" s="93"/>
      <c r="D6" s="93"/>
      <c r="E6" s="93"/>
      <c r="F6" s="93"/>
      <c r="G6" s="93"/>
      <c r="H6" s="93"/>
      <c r="I6" s="93"/>
      <c r="J6" s="93"/>
      <c r="K6" s="134" t="s">
        <v>13</v>
      </c>
      <c r="L6" s="151">
        <f>SUM(L1:L5)</f>
        <v>188680</v>
      </c>
      <c r="M6" s="93"/>
      <c r="N6" s="93"/>
      <c r="O6" s="93"/>
      <c r="P6" s="93"/>
      <c r="Q6" s="93"/>
      <c r="R6" s="93"/>
      <c r="S6" s="93"/>
      <c r="T6" s="93"/>
      <c r="U6" s="93"/>
      <c r="V6" s="93"/>
      <c r="W6" s="93"/>
      <c r="X6" s="93"/>
      <c r="Y6" s="93"/>
      <c r="Z6" s="93"/>
    </row>
    <row r="7" spans="1:26">
      <c r="A7" s="134" t="s">
        <v>383</v>
      </c>
      <c r="B7" s="134">
        <f>B4-Production!B4</f>
        <v>24</v>
      </c>
      <c r="C7" s="93"/>
      <c r="D7" s="93"/>
      <c r="E7" s="93"/>
      <c r="F7" s="173"/>
      <c r="G7" s="93"/>
      <c r="H7" s="93"/>
      <c r="I7" s="93"/>
      <c r="J7" s="93"/>
      <c r="K7" s="93"/>
      <c r="L7" s="93"/>
      <c r="M7" s="93"/>
      <c r="N7" s="93"/>
      <c r="O7" s="93"/>
      <c r="P7" s="93"/>
      <c r="Q7" s="93"/>
      <c r="R7" s="93"/>
      <c r="S7" s="93"/>
      <c r="T7" s="93"/>
      <c r="U7" s="93"/>
      <c r="V7" s="93"/>
      <c r="W7" s="93"/>
      <c r="X7" s="93"/>
      <c r="Y7" s="93"/>
      <c r="Z7" s="93"/>
    </row>
    <row r="8" spans="1:26">
      <c r="A8" s="93"/>
      <c r="B8" s="93"/>
      <c r="C8" s="93"/>
      <c r="D8" s="93"/>
      <c r="E8" s="93"/>
      <c r="F8" s="93"/>
      <c r="G8" s="93"/>
      <c r="H8" s="93"/>
      <c r="I8" s="93"/>
      <c r="J8" s="93"/>
      <c r="K8" s="93"/>
      <c r="L8" s="93"/>
      <c r="M8" s="93"/>
      <c r="N8" s="93"/>
      <c r="O8" s="93"/>
      <c r="P8" s="93"/>
      <c r="Q8" s="93"/>
      <c r="R8" s="93"/>
      <c r="S8" s="93"/>
      <c r="T8" s="93"/>
      <c r="U8" s="93"/>
      <c r="V8" s="93"/>
      <c r="W8" s="93"/>
      <c r="X8" s="93"/>
      <c r="Y8" s="93"/>
      <c r="Z8" s="93"/>
    </row>
    <row r="9" spans="1:26">
      <c r="A9" s="133" t="s">
        <v>384</v>
      </c>
      <c r="B9" s="93"/>
      <c r="C9" s="93"/>
      <c r="D9" s="93"/>
      <c r="E9" s="93"/>
      <c r="F9" s="93"/>
      <c r="G9" s="93"/>
      <c r="H9" s="93"/>
      <c r="I9" s="93"/>
      <c r="J9" s="93"/>
      <c r="K9" s="93"/>
      <c r="L9" s="93"/>
      <c r="M9" s="93"/>
      <c r="N9" s="93"/>
      <c r="O9" s="93"/>
      <c r="P9" s="93"/>
      <c r="Q9" s="93"/>
      <c r="R9" s="93"/>
      <c r="S9" s="93"/>
      <c r="T9" s="93"/>
      <c r="U9" s="93"/>
      <c r="V9" s="93"/>
      <c r="W9" s="93"/>
      <c r="X9" s="93"/>
      <c r="Y9" s="93"/>
      <c r="Z9" s="93"/>
    </row>
    <row r="10" spans="1:26">
      <c r="A10" s="93"/>
      <c r="B10" s="93"/>
      <c r="C10" s="93"/>
      <c r="D10" s="93"/>
      <c r="E10" s="93"/>
      <c r="F10" s="93"/>
      <c r="G10" s="93"/>
      <c r="H10" s="93"/>
      <c r="I10" s="93"/>
      <c r="J10" s="93"/>
      <c r="K10" s="93"/>
      <c r="L10" s="93"/>
      <c r="M10" s="93"/>
      <c r="N10" s="93"/>
      <c r="O10" s="93"/>
      <c r="P10" s="93"/>
      <c r="Q10" s="93"/>
      <c r="R10" s="93"/>
      <c r="S10" s="93"/>
      <c r="T10" s="93"/>
      <c r="U10" s="93"/>
      <c r="V10" s="93"/>
      <c r="W10" s="93"/>
      <c r="X10" s="93"/>
      <c r="Y10" s="93"/>
      <c r="Z10" s="93"/>
    </row>
    <row r="11" spans="1:26">
      <c r="A11" s="139"/>
      <c r="B11" s="139"/>
      <c r="C11" s="139"/>
      <c r="D11" s="139"/>
      <c r="E11" s="139"/>
      <c r="F11" s="139" t="s">
        <v>385</v>
      </c>
      <c r="G11" s="139" t="s">
        <v>59</v>
      </c>
      <c r="H11" s="139" t="s">
        <v>59</v>
      </c>
      <c r="I11" s="93"/>
      <c r="J11" s="93"/>
      <c r="K11" s="139" t="s">
        <v>386</v>
      </c>
      <c r="L11" s="93"/>
      <c r="M11" s="93"/>
      <c r="N11" s="93"/>
      <c r="O11" s="93"/>
      <c r="P11" s="93"/>
      <c r="Q11" s="93"/>
      <c r="R11" s="93"/>
      <c r="S11" s="93"/>
      <c r="T11" s="93"/>
      <c r="U11" s="93"/>
      <c r="V11" s="93"/>
      <c r="W11" s="93"/>
      <c r="X11" s="93"/>
      <c r="Y11" s="93"/>
      <c r="Z11" s="93"/>
    </row>
    <row r="12" spans="1:26">
      <c r="A12" s="148" t="s">
        <v>14</v>
      </c>
      <c r="B12" s="148" t="s">
        <v>15</v>
      </c>
      <c r="C12" s="148" t="s">
        <v>17</v>
      </c>
      <c r="D12" s="148" t="s">
        <v>18</v>
      </c>
      <c r="E12" s="148" t="s">
        <v>387</v>
      </c>
      <c r="F12" s="148" t="s">
        <v>387</v>
      </c>
      <c r="G12" s="148" t="s">
        <v>42</v>
      </c>
      <c r="H12" s="148" t="s">
        <v>388</v>
      </c>
      <c r="I12" s="93"/>
      <c r="J12" s="93"/>
      <c r="K12" s="140" t="s">
        <v>381</v>
      </c>
      <c r="L12" s="93"/>
      <c r="M12" s="93"/>
      <c r="N12" s="93"/>
      <c r="O12" s="93"/>
      <c r="P12" s="93"/>
      <c r="Q12" s="93"/>
      <c r="R12" s="93"/>
      <c r="S12" s="93"/>
      <c r="T12" s="93"/>
      <c r="U12" s="93"/>
      <c r="V12" s="93"/>
      <c r="W12" s="93"/>
      <c r="X12" s="93"/>
      <c r="Y12" s="93"/>
      <c r="Z12" s="93"/>
    </row>
    <row r="13" spans="1:26">
      <c r="A13" s="93"/>
      <c r="B13" s="93"/>
      <c r="C13" s="93"/>
      <c r="D13" s="93"/>
      <c r="E13" s="93"/>
      <c r="F13" s="93"/>
      <c r="G13" s="93"/>
      <c r="H13" s="93"/>
      <c r="I13" s="93"/>
      <c r="J13" s="134" t="s">
        <v>377</v>
      </c>
      <c r="K13" s="147">
        <f>Development!BP88</f>
        <v>1</v>
      </c>
      <c r="L13" s="93"/>
      <c r="M13" s="93"/>
      <c r="N13" s="93"/>
      <c r="O13" s="93"/>
      <c r="P13" s="93"/>
      <c r="Q13" s="93"/>
      <c r="R13" s="93"/>
      <c r="S13" s="93"/>
      <c r="T13" s="93"/>
      <c r="U13" s="93"/>
      <c r="V13" s="93"/>
      <c r="W13" s="93"/>
      <c r="X13" s="93"/>
      <c r="Y13" s="93"/>
      <c r="Z13" s="93"/>
    </row>
    <row r="14" spans="1:26">
      <c r="A14" s="155" t="s">
        <v>13</v>
      </c>
      <c r="B14" s="230">
        <f>SUM(B16:B55)</f>
        <v>38136.173702076761</v>
      </c>
      <c r="C14" s="230">
        <f>SUM(C16:C55)</f>
        <v>5272.8495253794072</v>
      </c>
      <c r="D14" s="230">
        <f>SUM(D16:D55)</f>
        <v>7601.0819385744389</v>
      </c>
      <c r="E14" s="230">
        <f>SUM(E16:E55)</f>
        <v>25262.242238122919</v>
      </c>
      <c r="F14" s="156"/>
      <c r="G14" s="156"/>
      <c r="H14" s="156"/>
      <c r="I14" s="156"/>
      <c r="J14" s="156"/>
      <c r="K14" s="156"/>
      <c r="L14" s="93"/>
      <c r="M14" s="93"/>
      <c r="N14" s="93"/>
      <c r="O14" s="93"/>
      <c r="P14" s="93"/>
      <c r="Q14" s="93"/>
      <c r="R14" s="93"/>
      <c r="S14" s="93"/>
      <c r="T14" s="93"/>
      <c r="U14" s="93"/>
      <c r="V14" s="93"/>
      <c r="W14" s="93"/>
      <c r="X14" s="93"/>
      <c r="Y14" s="93"/>
      <c r="Z14" s="93"/>
    </row>
    <row r="15" spans="1:26">
      <c r="A15" s="93"/>
      <c r="B15" s="156"/>
      <c r="C15" s="156"/>
      <c r="D15" s="156"/>
      <c r="E15" s="156"/>
      <c r="F15" s="156"/>
      <c r="G15" s="156"/>
      <c r="H15" s="156"/>
      <c r="I15" s="156"/>
      <c r="J15" s="156"/>
      <c r="K15" s="156"/>
      <c r="L15" s="93"/>
      <c r="M15" s="93"/>
      <c r="N15" s="93"/>
      <c r="O15" s="93"/>
      <c r="P15" s="93"/>
      <c r="Q15" s="93"/>
      <c r="R15" s="93"/>
      <c r="S15" s="93"/>
      <c r="T15" s="93"/>
      <c r="U15" s="93"/>
      <c r="V15" s="93"/>
      <c r="W15" s="93"/>
      <c r="X15" s="93"/>
      <c r="Y15" s="93"/>
      <c r="Z15" s="93"/>
    </row>
    <row r="16" spans="1:26">
      <c r="A16" s="157">
        <f>'Success Cash Flow'!A10</f>
        <v>2015</v>
      </c>
      <c r="B16" s="158">
        <f>Revenue!L11</f>
        <v>0</v>
      </c>
      <c r="C16" s="158">
        <f>Development!AT91</f>
        <v>633.95620452669152</v>
      </c>
      <c r="D16" s="158">
        <f>Operations!K19</f>
        <v>0</v>
      </c>
      <c r="E16" s="158">
        <f t="shared" ref="E16:E55" si="0">B16-SUM(C16:D16)</f>
        <v>-633.95620452669152</v>
      </c>
      <c r="F16" s="158">
        <f>F15+E16</f>
        <v>-633.95620452669152</v>
      </c>
      <c r="G16" s="158">
        <f>IF(A16=$B$4,$B$6*'Selected Economics'!I11,0)</f>
        <v>0</v>
      </c>
      <c r="H16" s="158">
        <f>IF(A16&lt;$B$4,1,0)</f>
        <v>1</v>
      </c>
      <c r="I16" s="156"/>
      <c r="J16" s="156"/>
      <c r="K16" s="158">
        <f>$K$13*G16</f>
        <v>0</v>
      </c>
      <c r="L16" s="93"/>
      <c r="M16" s="93"/>
      <c r="N16" s="93"/>
      <c r="O16" s="93"/>
      <c r="P16" s="93"/>
      <c r="Q16" s="93"/>
      <c r="R16" s="93"/>
      <c r="S16" s="93"/>
      <c r="T16" s="93"/>
      <c r="U16" s="93"/>
      <c r="V16" s="93"/>
      <c r="W16" s="93"/>
      <c r="X16" s="93"/>
      <c r="Y16" s="93"/>
      <c r="Z16" s="93"/>
    </row>
    <row r="17" spans="1:26">
      <c r="A17" s="159">
        <f>A16+1</f>
        <v>2016</v>
      </c>
      <c r="B17" s="160">
        <f>Revenue!L12</f>
        <v>0</v>
      </c>
      <c r="C17" s="160">
        <f>Development!AT92</f>
        <v>3223.0407310709552</v>
      </c>
      <c r="D17" s="160">
        <f>Operations!K20</f>
        <v>0</v>
      </c>
      <c r="E17" s="160">
        <f t="shared" si="0"/>
        <v>-3223.0407310709552</v>
      </c>
      <c r="F17" s="160">
        <f>F16+E17</f>
        <v>-3856.9969355976468</v>
      </c>
      <c r="G17" s="160">
        <f>IF(A17=$B$4,$B$6*'Selected Economics'!I12,0)</f>
        <v>0</v>
      </c>
      <c r="H17" s="160">
        <f t="shared" ref="H17:H55" si="1">IF(A17&lt;$B$4,1,0)</f>
        <v>1</v>
      </c>
      <c r="I17" s="156"/>
      <c r="J17" s="156"/>
      <c r="K17" s="160">
        <f t="shared" ref="K17:K55" si="2">$K$13*G17</f>
        <v>0</v>
      </c>
      <c r="L17" s="93"/>
      <c r="M17" s="93"/>
      <c r="N17" s="93"/>
      <c r="O17" s="93"/>
      <c r="P17" s="93"/>
      <c r="Q17" s="93"/>
      <c r="R17" s="93"/>
      <c r="S17" s="93"/>
      <c r="T17" s="93"/>
      <c r="U17" s="93"/>
      <c r="V17" s="93"/>
      <c r="W17" s="93"/>
      <c r="X17" s="93"/>
      <c r="Y17" s="93"/>
      <c r="Z17" s="93"/>
    </row>
    <row r="18" spans="1:26">
      <c r="A18" s="159">
        <f t="shared" ref="A18:A55" si="3">A17+1</f>
        <v>2017</v>
      </c>
      <c r="B18" s="160">
        <f>Revenue!L13</f>
        <v>2012.6514791633831</v>
      </c>
      <c r="C18" s="160">
        <f>Development!AT93</f>
        <v>1415.8525897817603</v>
      </c>
      <c r="D18" s="160">
        <f>Operations!K21</f>
        <v>274.04317319241773</v>
      </c>
      <c r="E18" s="160">
        <f t="shared" si="0"/>
        <v>322.75571618920503</v>
      </c>
      <c r="F18" s="160">
        <f t="shared" ref="F18:F55" si="4">F17+E18</f>
        <v>-3534.2412194084418</v>
      </c>
      <c r="G18" s="160">
        <f>IF(A18=$B$4,$B$6*'Selected Economics'!I13,0)</f>
        <v>0</v>
      </c>
      <c r="H18" s="160">
        <f t="shared" si="1"/>
        <v>1</v>
      </c>
      <c r="I18" s="156"/>
      <c r="J18" s="156"/>
      <c r="K18" s="160">
        <f t="shared" si="2"/>
        <v>0</v>
      </c>
      <c r="L18" s="93"/>
      <c r="M18" s="93"/>
      <c r="N18" s="93"/>
      <c r="O18" s="93"/>
      <c r="P18" s="93"/>
      <c r="Q18" s="93"/>
      <c r="R18" s="93"/>
      <c r="S18" s="93"/>
      <c r="T18" s="93"/>
      <c r="U18" s="93"/>
      <c r="V18" s="93"/>
      <c r="W18" s="93"/>
      <c r="X18" s="93"/>
      <c r="Y18" s="93"/>
      <c r="Z18" s="93"/>
    </row>
    <row r="19" spans="1:26">
      <c r="A19" s="159">
        <f t="shared" si="3"/>
        <v>2018</v>
      </c>
      <c r="B19" s="160">
        <f>Revenue!L14</f>
        <v>3086.9816592345874</v>
      </c>
      <c r="C19" s="160">
        <f>Development!AT94</f>
        <v>0</v>
      </c>
      <c r="D19" s="160">
        <f>Operations!K22</f>
        <v>346.03421619318482</v>
      </c>
      <c r="E19" s="160">
        <f t="shared" si="0"/>
        <v>2740.9474430414025</v>
      </c>
      <c r="F19" s="160">
        <f t="shared" si="4"/>
        <v>-793.2937763670393</v>
      </c>
      <c r="G19" s="160">
        <f>IF(A19=$B$4,$B$6*'Selected Economics'!I14,0)</f>
        <v>0</v>
      </c>
      <c r="H19" s="160">
        <f t="shared" si="1"/>
        <v>1</v>
      </c>
      <c r="I19" s="156"/>
      <c r="J19" s="156"/>
      <c r="K19" s="160">
        <f t="shared" si="2"/>
        <v>0</v>
      </c>
      <c r="L19" s="93"/>
      <c r="M19" s="93"/>
      <c r="N19" s="93"/>
      <c r="O19" s="93"/>
      <c r="P19" s="93"/>
      <c r="Q19" s="93"/>
      <c r="R19" s="93"/>
      <c r="S19" s="93"/>
      <c r="T19" s="93"/>
      <c r="U19" s="93"/>
      <c r="V19" s="93"/>
      <c r="W19" s="93"/>
      <c r="X19" s="93"/>
      <c r="Y19" s="93"/>
      <c r="Z19" s="93"/>
    </row>
    <row r="20" spans="1:26">
      <c r="A20" s="159">
        <f t="shared" si="3"/>
        <v>2019</v>
      </c>
      <c r="B20" s="160">
        <f>Revenue!L15</f>
        <v>3360.4565535348706</v>
      </c>
      <c r="C20" s="160">
        <f>Development!AT95</f>
        <v>0</v>
      </c>
      <c r="D20" s="160">
        <f>Operations!K23</f>
        <v>354.68507159801442</v>
      </c>
      <c r="E20" s="160">
        <f t="shared" si="0"/>
        <v>3005.7714819368562</v>
      </c>
      <c r="F20" s="160">
        <f t="shared" si="4"/>
        <v>2212.4777055698169</v>
      </c>
      <c r="G20" s="160">
        <f>IF(A20=$B$4,$B$6*'Selected Economics'!I15,0)</f>
        <v>0</v>
      </c>
      <c r="H20" s="160">
        <f t="shared" si="1"/>
        <v>1</v>
      </c>
      <c r="I20" s="156"/>
      <c r="J20" s="156"/>
      <c r="K20" s="160">
        <f t="shared" si="2"/>
        <v>0</v>
      </c>
      <c r="L20" s="93"/>
      <c r="M20" s="93"/>
      <c r="N20" s="93"/>
      <c r="O20" s="93"/>
      <c r="P20" s="93"/>
      <c r="Q20" s="93"/>
      <c r="R20" s="93"/>
      <c r="S20" s="93"/>
      <c r="T20" s="93"/>
      <c r="U20" s="93"/>
      <c r="V20" s="93"/>
      <c r="W20" s="93"/>
      <c r="X20" s="93"/>
      <c r="Y20" s="93"/>
      <c r="Z20" s="93"/>
    </row>
    <row r="21" spans="1:26">
      <c r="A21" s="159">
        <f t="shared" si="3"/>
        <v>2020</v>
      </c>
      <c r="B21" s="160">
        <f>Revenue!L16</f>
        <v>3489.6300537107768</v>
      </c>
      <c r="C21" s="160">
        <f>Development!AT96</f>
        <v>0</v>
      </c>
      <c r="D21" s="160">
        <f>Operations!K24</f>
        <v>363.79041406237747</v>
      </c>
      <c r="E21" s="160">
        <f t="shared" si="0"/>
        <v>3125.8396396483995</v>
      </c>
      <c r="F21" s="160">
        <f t="shared" si="4"/>
        <v>5338.3173452182164</v>
      </c>
      <c r="G21" s="160">
        <f>IF(A21=$B$4,$B$6*'Selected Economics'!I16,0)</f>
        <v>0</v>
      </c>
      <c r="H21" s="160">
        <f t="shared" si="1"/>
        <v>1</v>
      </c>
      <c r="I21" s="156"/>
      <c r="J21" s="156"/>
      <c r="K21" s="160">
        <f t="shared" si="2"/>
        <v>0</v>
      </c>
      <c r="L21" s="93"/>
      <c r="M21" s="93"/>
      <c r="N21" s="93"/>
      <c r="O21" s="93"/>
      <c r="P21" s="93"/>
      <c r="Q21" s="93"/>
      <c r="R21" s="93"/>
      <c r="S21" s="93"/>
      <c r="T21" s="93"/>
      <c r="U21" s="93"/>
      <c r="V21" s="93"/>
      <c r="W21" s="93"/>
      <c r="X21" s="93"/>
      <c r="Y21" s="93"/>
      <c r="Z21" s="93"/>
    </row>
    <row r="22" spans="1:26">
      <c r="A22" s="159">
        <f t="shared" si="3"/>
        <v>2021</v>
      </c>
      <c r="B22" s="160">
        <f>Revenue!L17</f>
        <v>3437.9023569650776</v>
      </c>
      <c r="C22" s="160">
        <f>Development!AT97</f>
        <v>0</v>
      </c>
      <c r="D22" s="160">
        <f>Operations!K25</f>
        <v>363.82209040646165</v>
      </c>
      <c r="E22" s="160">
        <f t="shared" si="0"/>
        <v>3074.0802665586161</v>
      </c>
      <c r="F22" s="160">
        <f t="shared" si="4"/>
        <v>8412.3976117768325</v>
      </c>
      <c r="G22" s="160">
        <f>IF(A22=$B$4,$B$6*'Selected Economics'!I17,0)</f>
        <v>0</v>
      </c>
      <c r="H22" s="160">
        <f t="shared" si="1"/>
        <v>1</v>
      </c>
      <c r="I22" s="156"/>
      <c r="J22" s="156"/>
      <c r="K22" s="160">
        <f t="shared" si="2"/>
        <v>0</v>
      </c>
      <c r="L22" s="93"/>
      <c r="M22" s="93"/>
      <c r="N22" s="93"/>
      <c r="O22" s="93"/>
      <c r="P22" s="93"/>
      <c r="Q22" s="93"/>
      <c r="R22" s="93"/>
      <c r="S22" s="93"/>
      <c r="T22" s="93"/>
      <c r="U22" s="93"/>
      <c r="V22" s="93"/>
      <c r="W22" s="93"/>
      <c r="X22" s="93"/>
      <c r="Y22" s="93"/>
      <c r="Z22" s="93"/>
    </row>
    <row r="23" spans="1:26">
      <c r="A23" s="159">
        <f t="shared" si="3"/>
        <v>2022</v>
      </c>
      <c r="B23" s="160">
        <f>Revenue!L18</f>
        <v>3027.8338255937306</v>
      </c>
      <c r="C23" s="160">
        <f>Development!AT98</f>
        <v>0</v>
      </c>
      <c r="D23" s="160">
        <f>Operations!K26</f>
        <v>341.8115434672556</v>
      </c>
      <c r="E23" s="160">
        <f t="shared" si="0"/>
        <v>2686.0222821264751</v>
      </c>
      <c r="F23" s="160">
        <f t="shared" si="4"/>
        <v>11098.419893903309</v>
      </c>
      <c r="G23" s="160">
        <f>IF(A23=$B$4,$B$6*'Selected Economics'!I18,0)</f>
        <v>0</v>
      </c>
      <c r="H23" s="160">
        <f t="shared" si="1"/>
        <v>1</v>
      </c>
      <c r="I23" s="156"/>
      <c r="J23" s="156"/>
      <c r="K23" s="160">
        <f t="shared" si="2"/>
        <v>0</v>
      </c>
      <c r="L23" s="93"/>
      <c r="M23" s="93"/>
      <c r="N23" s="93"/>
      <c r="O23" s="93"/>
      <c r="P23" s="93"/>
      <c r="Q23" s="93"/>
      <c r="R23" s="93"/>
      <c r="S23" s="93"/>
      <c r="T23" s="93"/>
      <c r="U23" s="93"/>
      <c r="V23" s="93"/>
      <c r="W23" s="93"/>
      <c r="X23" s="93"/>
      <c r="Y23" s="93"/>
      <c r="Z23" s="93"/>
    </row>
    <row r="24" spans="1:26">
      <c r="A24" s="159">
        <f t="shared" si="3"/>
        <v>2023</v>
      </c>
      <c r="B24" s="160">
        <f>Revenue!L19</f>
        <v>2647.9554072804549</v>
      </c>
      <c r="C24" s="160">
        <f>Development!AT99</f>
        <v>0</v>
      </c>
      <c r="D24" s="160">
        <f>Operations!K27</f>
        <v>321.96168807165367</v>
      </c>
      <c r="E24" s="160">
        <f t="shared" si="0"/>
        <v>2325.9937192088014</v>
      </c>
      <c r="F24" s="160">
        <f t="shared" si="4"/>
        <v>13424.41361311211</v>
      </c>
      <c r="G24" s="160">
        <f>IF(A24=$B$4,$B$6*'Selected Economics'!I19,0)</f>
        <v>0</v>
      </c>
      <c r="H24" s="160">
        <f t="shared" si="1"/>
        <v>1</v>
      </c>
      <c r="I24" s="156"/>
      <c r="J24" s="156"/>
      <c r="K24" s="160">
        <f t="shared" si="2"/>
        <v>0</v>
      </c>
      <c r="L24" s="93"/>
      <c r="M24" s="93"/>
      <c r="N24" s="93"/>
      <c r="O24" s="93"/>
      <c r="P24" s="93"/>
      <c r="Q24" s="93"/>
      <c r="R24" s="93"/>
      <c r="S24" s="93"/>
      <c r="T24" s="93"/>
      <c r="U24" s="93"/>
      <c r="V24" s="93"/>
      <c r="W24" s="93"/>
      <c r="X24" s="93"/>
      <c r="Y24" s="93"/>
      <c r="Z24" s="93"/>
    </row>
    <row r="25" spans="1:26">
      <c r="A25" s="159">
        <f t="shared" si="3"/>
        <v>2024</v>
      </c>
      <c r="B25" s="160">
        <f>Revenue!L20</f>
        <v>2321.1571385541019</v>
      </c>
      <c r="C25" s="160">
        <f>Development!AT100</f>
        <v>0</v>
      </c>
      <c r="D25" s="160">
        <f>Operations!K28</f>
        <v>305.39712227991697</v>
      </c>
      <c r="E25" s="160">
        <f t="shared" si="0"/>
        <v>2015.7600162741851</v>
      </c>
      <c r="F25" s="160">
        <f t="shared" si="4"/>
        <v>15440.173629386296</v>
      </c>
      <c r="G25" s="160">
        <f>IF(A25=$B$4,$B$6*'Selected Economics'!I20,0)</f>
        <v>0</v>
      </c>
      <c r="H25" s="160">
        <f t="shared" si="1"/>
        <v>1</v>
      </c>
      <c r="I25" s="156"/>
      <c r="J25" s="156"/>
      <c r="K25" s="160">
        <f t="shared" si="2"/>
        <v>0</v>
      </c>
      <c r="L25" s="93"/>
      <c r="M25" s="93"/>
      <c r="N25" s="93"/>
      <c r="O25" s="93"/>
      <c r="P25" s="93"/>
      <c r="Q25" s="93"/>
      <c r="R25" s="93"/>
      <c r="S25" s="93"/>
      <c r="T25" s="93"/>
      <c r="U25" s="93"/>
      <c r="V25" s="93"/>
      <c r="W25" s="93"/>
      <c r="X25" s="93"/>
      <c r="Y25" s="93"/>
      <c r="Z25" s="93"/>
    </row>
    <row r="26" spans="1:26">
      <c r="A26" s="159">
        <f t="shared" si="3"/>
        <v>2025</v>
      </c>
      <c r="B26" s="160">
        <f>Revenue!L21</f>
        <v>2023.2050824565088</v>
      </c>
      <c r="C26" s="160">
        <f>Development!AT101</f>
        <v>0</v>
      </c>
      <c r="D26" s="160">
        <f>Operations!K29</f>
        <v>291.29478776809464</v>
      </c>
      <c r="E26" s="160">
        <f t="shared" si="0"/>
        <v>1731.9102946884141</v>
      </c>
      <c r="F26" s="160">
        <f t="shared" si="4"/>
        <v>17172.083924074708</v>
      </c>
      <c r="G26" s="160">
        <f>IF(A26=$B$4,$B$6*'Selected Economics'!I21,0)</f>
        <v>0</v>
      </c>
      <c r="H26" s="160">
        <f t="shared" si="1"/>
        <v>1</v>
      </c>
      <c r="I26" s="156"/>
      <c r="J26" s="156"/>
      <c r="K26" s="160">
        <f t="shared" si="2"/>
        <v>0</v>
      </c>
      <c r="L26" s="93"/>
      <c r="M26" s="93"/>
      <c r="N26" s="93"/>
      <c r="O26" s="93"/>
      <c r="P26" s="93"/>
      <c r="Q26" s="93"/>
      <c r="R26" s="93"/>
      <c r="S26" s="93"/>
      <c r="T26" s="93"/>
      <c r="U26" s="93"/>
      <c r="V26" s="93"/>
      <c r="W26" s="93"/>
      <c r="X26" s="93"/>
      <c r="Y26" s="93"/>
      <c r="Z26" s="93"/>
    </row>
    <row r="27" spans="1:26">
      <c r="A27" s="159">
        <f t="shared" si="3"/>
        <v>2026</v>
      </c>
      <c r="B27" s="160">
        <f>Revenue!L22</f>
        <v>1767.8099434506107</v>
      </c>
      <c r="C27" s="160">
        <f>Development!AT102</f>
        <v>0</v>
      </c>
      <c r="D27" s="160">
        <f>Operations!K30</f>
        <v>279.80651766944408</v>
      </c>
      <c r="E27" s="160">
        <f t="shared" si="0"/>
        <v>1488.0034257811667</v>
      </c>
      <c r="F27" s="160">
        <f t="shared" si="4"/>
        <v>18660.087349855876</v>
      </c>
      <c r="G27" s="160">
        <f>IF(A27=$B$4,$B$6*'Selected Economics'!I22,0)</f>
        <v>0</v>
      </c>
      <c r="H27" s="160">
        <f t="shared" si="1"/>
        <v>1</v>
      </c>
      <c r="I27" s="156"/>
      <c r="J27" s="156"/>
      <c r="K27" s="160">
        <f t="shared" si="2"/>
        <v>0</v>
      </c>
      <c r="L27" s="93"/>
      <c r="M27" s="93"/>
      <c r="N27" s="93"/>
      <c r="O27" s="93"/>
      <c r="P27" s="93"/>
      <c r="Q27" s="93"/>
      <c r="R27" s="93"/>
      <c r="S27" s="93"/>
      <c r="T27" s="93"/>
      <c r="U27" s="93"/>
      <c r="V27" s="93"/>
      <c r="W27" s="93"/>
      <c r="X27" s="93"/>
      <c r="Y27" s="93"/>
      <c r="Z27" s="93"/>
    </row>
    <row r="28" spans="1:26">
      <c r="A28" s="159">
        <f t="shared" si="3"/>
        <v>2027</v>
      </c>
      <c r="B28" s="160">
        <f>Revenue!L23</f>
        <v>1544.4019252787746</v>
      </c>
      <c r="C28" s="160">
        <f>Development!AT103</f>
        <v>0</v>
      </c>
      <c r="D28" s="160">
        <f>Operations!K31</f>
        <v>270.44776069165704</v>
      </c>
      <c r="E28" s="160">
        <f t="shared" si="0"/>
        <v>1273.9541645871175</v>
      </c>
      <c r="F28" s="160">
        <f t="shared" si="4"/>
        <v>19934.041514442994</v>
      </c>
      <c r="G28" s="160">
        <f>IF(A28=$B$4,$B$6*'Selected Economics'!I23,0)</f>
        <v>0</v>
      </c>
      <c r="H28" s="160">
        <f t="shared" si="1"/>
        <v>1</v>
      </c>
      <c r="I28" s="156"/>
      <c r="J28" s="156"/>
      <c r="K28" s="160">
        <f t="shared" si="2"/>
        <v>0</v>
      </c>
      <c r="L28" s="93"/>
      <c r="M28" s="93"/>
      <c r="N28" s="93"/>
      <c r="O28" s="93"/>
      <c r="P28" s="93"/>
      <c r="Q28" s="93"/>
      <c r="R28" s="93"/>
      <c r="S28" s="93"/>
      <c r="T28" s="93"/>
      <c r="U28" s="93"/>
      <c r="V28" s="93"/>
      <c r="W28" s="93"/>
      <c r="X28" s="93"/>
      <c r="Y28" s="93"/>
      <c r="Z28" s="93"/>
    </row>
    <row r="29" spans="1:26">
      <c r="A29" s="159">
        <f t="shared" si="3"/>
        <v>2028</v>
      </c>
      <c r="B29" s="160">
        <f>Revenue!L24</f>
        <v>1352.4154734421593</v>
      </c>
      <c r="C29" s="160">
        <f>Development!AT104</f>
        <v>0</v>
      </c>
      <c r="D29" s="160">
        <f>Operations!K32</f>
        <v>263.03297538277047</v>
      </c>
      <c r="E29" s="160">
        <f t="shared" si="0"/>
        <v>1089.3824980593888</v>
      </c>
      <c r="F29" s="160">
        <f t="shared" si="4"/>
        <v>21023.424012502383</v>
      </c>
      <c r="G29" s="160">
        <f>IF(A29=$B$4,$B$6*'Selected Economics'!I24,0)</f>
        <v>0</v>
      </c>
      <c r="H29" s="160">
        <f t="shared" si="1"/>
        <v>1</v>
      </c>
      <c r="I29" s="156"/>
      <c r="J29" s="156"/>
      <c r="K29" s="160">
        <f t="shared" si="2"/>
        <v>0</v>
      </c>
      <c r="L29" s="93"/>
      <c r="M29" s="93"/>
      <c r="N29" s="93"/>
      <c r="O29" s="93"/>
      <c r="P29" s="93"/>
      <c r="Q29" s="93"/>
      <c r="R29" s="93"/>
      <c r="S29" s="93"/>
      <c r="T29" s="93"/>
      <c r="U29" s="93"/>
      <c r="V29" s="93"/>
      <c r="W29" s="93"/>
      <c r="X29" s="93"/>
      <c r="Y29" s="93"/>
      <c r="Z29" s="93"/>
    </row>
    <row r="30" spans="1:26">
      <c r="A30" s="159">
        <f t="shared" si="3"/>
        <v>2029</v>
      </c>
      <c r="B30" s="160">
        <f>Revenue!L25</f>
        <v>1177.6353605502084</v>
      </c>
      <c r="C30" s="160">
        <f>Development!AT105</f>
        <v>0</v>
      </c>
      <c r="D30" s="160">
        <f>Operations!K33</f>
        <v>257.0894249213473</v>
      </c>
      <c r="E30" s="160">
        <f t="shared" si="0"/>
        <v>920.54593562886112</v>
      </c>
      <c r="F30" s="160">
        <f t="shared" si="4"/>
        <v>21943.969948131242</v>
      </c>
      <c r="G30" s="160">
        <f>IF(A30=$B$4,$B$6*'Selected Economics'!I25,0)</f>
        <v>0</v>
      </c>
      <c r="H30" s="160">
        <f t="shared" si="1"/>
        <v>1</v>
      </c>
      <c r="I30" s="156"/>
      <c r="J30" s="156"/>
      <c r="K30" s="160">
        <f t="shared" si="2"/>
        <v>0</v>
      </c>
      <c r="L30" s="93"/>
      <c r="M30" s="93"/>
      <c r="N30" s="93"/>
      <c r="O30" s="93"/>
      <c r="P30" s="93"/>
      <c r="Q30" s="93"/>
      <c r="R30" s="93"/>
      <c r="S30" s="93"/>
      <c r="T30" s="93"/>
      <c r="U30" s="93"/>
      <c r="V30" s="93"/>
      <c r="W30" s="93"/>
      <c r="X30" s="93"/>
      <c r="Y30" s="93"/>
      <c r="Z30" s="93"/>
    </row>
    <row r="31" spans="1:26">
      <c r="A31" s="159">
        <f t="shared" si="3"/>
        <v>2030</v>
      </c>
      <c r="B31" s="160">
        <f>Revenue!L26</f>
        <v>1028.3319276316436</v>
      </c>
      <c r="C31" s="160">
        <f>Development!AT106</f>
        <v>0</v>
      </c>
      <c r="D31" s="160">
        <f>Operations!K34</f>
        <v>252.70588458205219</v>
      </c>
      <c r="E31" s="160">
        <f t="shared" si="0"/>
        <v>775.62604304959132</v>
      </c>
      <c r="F31" s="160">
        <f t="shared" si="4"/>
        <v>22719.595991180831</v>
      </c>
      <c r="G31" s="160">
        <f>IF(A31=$B$4,$B$6*'Selected Economics'!I26,0)</f>
        <v>0</v>
      </c>
      <c r="H31" s="160">
        <f t="shared" si="1"/>
        <v>1</v>
      </c>
      <c r="I31" s="156"/>
      <c r="J31" s="156"/>
      <c r="K31" s="160">
        <f t="shared" si="2"/>
        <v>0</v>
      </c>
      <c r="L31" s="93"/>
      <c r="M31" s="93"/>
      <c r="N31" s="93"/>
      <c r="O31" s="93"/>
      <c r="P31" s="93"/>
      <c r="Q31" s="93"/>
      <c r="R31" s="93"/>
      <c r="S31" s="93"/>
      <c r="T31" s="93"/>
      <c r="U31" s="93"/>
      <c r="V31" s="93"/>
      <c r="W31" s="93"/>
      <c r="X31" s="93"/>
      <c r="Y31" s="93"/>
      <c r="Z31" s="93"/>
    </row>
    <row r="32" spans="1:26">
      <c r="A32" s="159">
        <f t="shared" si="3"/>
        <v>2031</v>
      </c>
      <c r="B32" s="160">
        <f>Revenue!L27</f>
        <v>897.82489223453922</v>
      </c>
      <c r="C32" s="160">
        <f>Development!AT107</f>
        <v>0</v>
      </c>
      <c r="D32" s="160">
        <f>Operations!K35</f>
        <v>249.60464313942458</v>
      </c>
      <c r="E32" s="160">
        <f t="shared" si="0"/>
        <v>648.2202490951147</v>
      </c>
      <c r="F32" s="160">
        <f t="shared" si="4"/>
        <v>23367.816240275944</v>
      </c>
      <c r="G32" s="160">
        <f>IF(A32=$B$4,$B$6*'Selected Economics'!I27,0)</f>
        <v>0</v>
      </c>
      <c r="H32" s="160">
        <f t="shared" si="1"/>
        <v>1</v>
      </c>
      <c r="I32" s="156"/>
      <c r="J32" s="156"/>
      <c r="K32" s="160">
        <f t="shared" si="2"/>
        <v>0</v>
      </c>
      <c r="L32" s="93"/>
      <c r="M32" s="93"/>
      <c r="N32" s="93"/>
      <c r="O32" s="93"/>
      <c r="P32" s="93"/>
      <c r="Q32" s="93"/>
      <c r="R32" s="93"/>
      <c r="S32" s="93"/>
      <c r="T32" s="93"/>
      <c r="U32" s="93"/>
      <c r="V32" s="93"/>
      <c r="W32" s="93"/>
      <c r="X32" s="93"/>
      <c r="Y32" s="93"/>
      <c r="Z32" s="93"/>
    </row>
    <row r="33" spans="1:26">
      <c r="A33" s="159">
        <f t="shared" si="3"/>
        <v>2032</v>
      </c>
      <c r="B33" s="160">
        <f>Revenue!L28</f>
        <v>785.74476337553085</v>
      </c>
      <c r="C33" s="160">
        <f>Development!AT108</f>
        <v>0</v>
      </c>
      <c r="D33" s="160">
        <f>Operations!K36</f>
        <v>247.68023535334459</v>
      </c>
      <c r="E33" s="160">
        <f t="shared" si="0"/>
        <v>538.06452802218632</v>
      </c>
      <c r="F33" s="160">
        <f t="shared" si="4"/>
        <v>23905.880768298131</v>
      </c>
      <c r="G33" s="160">
        <f>IF(A33=$B$4,$B$6*'Selected Economics'!I28,0)</f>
        <v>0</v>
      </c>
      <c r="H33" s="160">
        <f t="shared" si="1"/>
        <v>1</v>
      </c>
      <c r="I33" s="156"/>
      <c r="J33" s="156"/>
      <c r="K33" s="160">
        <f t="shared" si="2"/>
        <v>0</v>
      </c>
      <c r="L33" s="93"/>
      <c r="M33" s="93"/>
      <c r="N33" s="93"/>
      <c r="O33" s="93"/>
      <c r="P33" s="93"/>
      <c r="Q33" s="93"/>
      <c r="R33" s="93"/>
      <c r="S33" s="93"/>
      <c r="T33" s="93"/>
      <c r="U33" s="93"/>
      <c r="V33" s="93"/>
      <c r="W33" s="93"/>
      <c r="X33" s="93"/>
      <c r="Y33" s="93"/>
      <c r="Z33" s="93"/>
    </row>
    <row r="34" spans="1:26">
      <c r="A34" s="159">
        <f t="shared" si="3"/>
        <v>2033</v>
      </c>
      <c r="B34" s="160">
        <f>Revenue!L29</f>
        <v>683.79909324241123</v>
      </c>
      <c r="C34" s="160">
        <f>Development!AT109</f>
        <v>0</v>
      </c>
      <c r="D34" s="160">
        <f>Operations!K37</f>
        <v>246.661823364263</v>
      </c>
      <c r="E34" s="160">
        <f t="shared" si="0"/>
        <v>437.13726987814823</v>
      </c>
      <c r="F34" s="160">
        <f t="shared" si="4"/>
        <v>24343.01803817628</v>
      </c>
      <c r="G34" s="160">
        <f>IF(A34=$B$4,$B$6*'Selected Economics'!I29,0)</f>
        <v>0</v>
      </c>
      <c r="H34" s="160">
        <f t="shared" si="1"/>
        <v>1</v>
      </c>
      <c r="I34" s="156"/>
      <c r="J34" s="156"/>
      <c r="K34" s="160">
        <f t="shared" si="2"/>
        <v>0</v>
      </c>
      <c r="L34" s="93"/>
      <c r="M34" s="93"/>
      <c r="N34" s="93"/>
      <c r="O34" s="93"/>
      <c r="P34" s="93"/>
      <c r="Q34" s="93"/>
      <c r="R34" s="93"/>
      <c r="S34" s="93"/>
      <c r="T34" s="93"/>
      <c r="U34" s="93"/>
      <c r="V34" s="93"/>
      <c r="W34" s="93"/>
      <c r="X34" s="93"/>
      <c r="Y34" s="93"/>
      <c r="Z34" s="93"/>
    </row>
    <row r="35" spans="1:26">
      <c r="A35" s="159">
        <f t="shared" si="3"/>
        <v>2034</v>
      </c>
      <c r="B35" s="160">
        <f>Revenue!L30</f>
        <v>596.76502233232452</v>
      </c>
      <c r="C35" s="160">
        <f>Development!AT110</f>
        <v>0</v>
      </c>
      <c r="D35" s="160">
        <f>Operations!K38</f>
        <v>246.60200276173768</v>
      </c>
      <c r="E35" s="160">
        <f t="shared" si="0"/>
        <v>350.16301957058681</v>
      </c>
      <c r="F35" s="160">
        <f t="shared" si="4"/>
        <v>24693.181057746868</v>
      </c>
      <c r="G35" s="160">
        <f>IF(A35=$B$4,$B$6*'Selected Economics'!I30,0)</f>
        <v>0</v>
      </c>
      <c r="H35" s="160">
        <f t="shared" si="1"/>
        <v>1</v>
      </c>
      <c r="I35" s="156"/>
      <c r="J35" s="156"/>
      <c r="K35" s="160">
        <f t="shared" si="2"/>
        <v>0</v>
      </c>
      <c r="L35" s="93"/>
      <c r="M35" s="93"/>
      <c r="N35" s="93"/>
      <c r="O35" s="93"/>
      <c r="P35" s="93"/>
      <c r="Q35" s="93"/>
      <c r="R35" s="93"/>
      <c r="S35" s="93"/>
      <c r="T35" s="93"/>
      <c r="U35" s="93"/>
      <c r="V35" s="93"/>
      <c r="W35" s="93"/>
      <c r="X35" s="93"/>
      <c r="Y35" s="93"/>
      <c r="Z35" s="93"/>
    </row>
    <row r="36" spans="1:26">
      <c r="A36" s="159">
        <f t="shared" si="3"/>
        <v>2035</v>
      </c>
      <c r="B36" s="160">
        <f>Revenue!L31</f>
        <v>520.73871336508751</v>
      </c>
      <c r="C36" s="160">
        <f>Development!AT111</f>
        <v>0</v>
      </c>
      <c r="D36" s="160">
        <f>Operations!K39</f>
        <v>247.34233129067826</v>
      </c>
      <c r="E36" s="160">
        <f t="shared" si="0"/>
        <v>273.39638207440925</v>
      </c>
      <c r="F36" s="160">
        <f t="shared" si="4"/>
        <v>24966.577439821278</v>
      </c>
      <c r="G36" s="160">
        <f>IF(A36=$B$4,$B$6*'Selected Economics'!I31,0)</f>
        <v>0</v>
      </c>
      <c r="H36" s="160">
        <f t="shared" si="1"/>
        <v>1</v>
      </c>
      <c r="I36" s="156"/>
      <c r="J36" s="156"/>
      <c r="K36" s="160">
        <f t="shared" si="2"/>
        <v>0</v>
      </c>
      <c r="L36" s="93"/>
      <c r="M36" s="93"/>
      <c r="N36" s="93"/>
      <c r="O36" s="93"/>
      <c r="P36" s="93"/>
      <c r="Q36" s="93"/>
      <c r="R36" s="93"/>
      <c r="S36" s="93"/>
      <c r="T36" s="93"/>
      <c r="U36" s="93"/>
      <c r="V36" s="93"/>
      <c r="W36" s="93"/>
      <c r="X36" s="93"/>
      <c r="Y36" s="93"/>
      <c r="Z36" s="93"/>
    </row>
    <row r="37" spans="1:26">
      <c r="A37" s="159">
        <f t="shared" si="3"/>
        <v>2036</v>
      </c>
      <c r="B37" s="160">
        <f>Revenue!L32</f>
        <v>455.48441890446168</v>
      </c>
      <c r="C37" s="160">
        <f>Development!AT112</f>
        <v>0</v>
      </c>
      <c r="D37" s="160">
        <f>Operations!K40</f>
        <v>248.82360774808626</v>
      </c>
      <c r="E37" s="160">
        <f t="shared" si="0"/>
        <v>206.66081115637542</v>
      </c>
      <c r="F37" s="160">
        <f t="shared" si="4"/>
        <v>25173.238250977654</v>
      </c>
      <c r="G37" s="160">
        <f>IF(A37=$B$4,$B$6*'Selected Economics'!I32,0)</f>
        <v>0</v>
      </c>
      <c r="H37" s="160">
        <f t="shared" si="1"/>
        <v>1</v>
      </c>
      <c r="I37" s="156"/>
      <c r="J37" s="156"/>
      <c r="K37" s="160">
        <f t="shared" si="2"/>
        <v>0</v>
      </c>
      <c r="L37" s="93"/>
      <c r="M37" s="93"/>
      <c r="N37" s="93"/>
      <c r="O37" s="93"/>
      <c r="P37" s="93"/>
      <c r="Q37" s="93"/>
      <c r="R37" s="93"/>
      <c r="S37" s="93"/>
      <c r="T37" s="93"/>
      <c r="U37" s="93"/>
      <c r="V37" s="93"/>
      <c r="W37" s="93"/>
      <c r="X37" s="93"/>
      <c r="Y37" s="93"/>
      <c r="Z37" s="93"/>
    </row>
    <row r="38" spans="1:26">
      <c r="A38" s="159">
        <f t="shared" si="3"/>
        <v>2037</v>
      </c>
      <c r="B38" s="160">
        <f>Revenue!L33</f>
        <v>396.17748104059569</v>
      </c>
      <c r="C38" s="160">
        <f>Development!AT113</f>
        <v>0</v>
      </c>
      <c r="D38" s="160">
        <f>Operations!K41</f>
        <v>250.89142461711268</v>
      </c>
      <c r="E38" s="160">
        <f t="shared" si="0"/>
        <v>145.28605642348302</v>
      </c>
      <c r="F38" s="160">
        <f t="shared" si="4"/>
        <v>25318.524307401138</v>
      </c>
      <c r="G38" s="160">
        <f>IF(A38=$B$4,$B$6*'Selected Economics'!I33,0)</f>
        <v>0</v>
      </c>
      <c r="H38" s="160">
        <f t="shared" si="1"/>
        <v>1</v>
      </c>
      <c r="I38" s="156"/>
      <c r="J38" s="156"/>
      <c r="K38" s="160">
        <f t="shared" si="2"/>
        <v>0</v>
      </c>
      <c r="L38" s="93"/>
      <c r="M38" s="93"/>
      <c r="N38" s="93"/>
      <c r="O38" s="93"/>
      <c r="P38" s="93"/>
      <c r="Q38" s="93"/>
      <c r="R38" s="93"/>
      <c r="S38" s="93"/>
      <c r="T38" s="93"/>
      <c r="U38" s="93"/>
      <c r="V38" s="93"/>
      <c r="W38" s="93"/>
      <c r="X38" s="93"/>
      <c r="Y38" s="93"/>
      <c r="Z38" s="93"/>
    </row>
    <row r="39" spans="1:26">
      <c r="A39" s="159">
        <f t="shared" si="3"/>
        <v>2038</v>
      </c>
      <c r="B39" s="160">
        <f>Revenue!L34</f>
        <v>345.57244559477238</v>
      </c>
      <c r="C39" s="160">
        <f>Development!AT114</f>
        <v>0</v>
      </c>
      <c r="D39" s="160">
        <f>Operations!K42</f>
        <v>253.57769235323914</v>
      </c>
      <c r="E39" s="160">
        <f t="shared" si="0"/>
        <v>91.994753241533232</v>
      </c>
      <c r="F39" s="160">
        <f t="shared" si="4"/>
        <v>25410.51906064267</v>
      </c>
      <c r="G39" s="160">
        <f>IF(A39=$B$4,$B$6*'Selected Economics'!I34,0)</f>
        <v>0</v>
      </c>
      <c r="H39" s="160">
        <f t="shared" si="1"/>
        <v>1</v>
      </c>
      <c r="I39" s="156"/>
      <c r="J39" s="156"/>
      <c r="K39" s="160">
        <f t="shared" si="2"/>
        <v>0</v>
      </c>
      <c r="L39" s="93"/>
      <c r="M39" s="93"/>
      <c r="N39" s="93"/>
      <c r="O39" s="93"/>
      <c r="P39" s="93"/>
      <c r="Q39" s="93"/>
      <c r="R39" s="93"/>
      <c r="S39" s="93"/>
      <c r="T39" s="93"/>
      <c r="U39" s="93"/>
      <c r="V39" s="93"/>
      <c r="W39" s="93"/>
      <c r="X39" s="93"/>
      <c r="Y39" s="93"/>
      <c r="Z39" s="93"/>
    </row>
    <row r="40" spans="1:26">
      <c r="A40" s="159">
        <f t="shared" si="3"/>
        <v>2039</v>
      </c>
      <c r="B40" s="160">
        <f>Revenue!L35</f>
        <v>301.39438727693158</v>
      </c>
      <c r="C40" s="160">
        <f>Development!AT115</f>
        <v>0</v>
      </c>
      <c r="D40" s="160">
        <f>Operations!K43</f>
        <v>256.79281658472883</v>
      </c>
      <c r="E40" s="160">
        <f t="shared" si="0"/>
        <v>44.601570692202756</v>
      </c>
      <c r="F40" s="160">
        <f t="shared" si="4"/>
        <v>25455.120631334874</v>
      </c>
      <c r="G40" s="160">
        <f>IF(A40=$B$4,$B$6*'Selected Economics'!I35,0)</f>
        <v>0</v>
      </c>
      <c r="H40" s="160">
        <f t="shared" si="1"/>
        <v>1</v>
      </c>
      <c r="I40" s="156"/>
      <c r="J40" s="156"/>
      <c r="K40" s="160">
        <f t="shared" si="2"/>
        <v>0</v>
      </c>
      <c r="L40" s="93"/>
      <c r="M40" s="93"/>
      <c r="N40" s="93"/>
      <c r="O40" s="93"/>
      <c r="P40" s="93"/>
      <c r="Q40" s="93"/>
      <c r="R40" s="93"/>
      <c r="S40" s="93"/>
      <c r="T40" s="93"/>
      <c r="U40" s="93"/>
      <c r="V40" s="93"/>
      <c r="W40" s="93"/>
      <c r="X40" s="93"/>
      <c r="Y40" s="93"/>
      <c r="Z40" s="93"/>
    </row>
    <row r="41" spans="1:26">
      <c r="A41" s="159">
        <f t="shared" si="3"/>
        <v>2040</v>
      </c>
      <c r="B41" s="160">
        <f>Revenue!L36</f>
        <v>263.49553957782268</v>
      </c>
      <c r="C41" s="160">
        <f>Development!AT116</f>
        <v>0</v>
      </c>
      <c r="D41" s="160">
        <f>Operations!K44</f>
        <v>260.50440137811717</v>
      </c>
      <c r="E41" s="160">
        <f t="shared" si="0"/>
        <v>2.9911381997055173</v>
      </c>
      <c r="F41" s="160">
        <f t="shared" si="4"/>
        <v>25458.111769534578</v>
      </c>
      <c r="G41" s="160">
        <f>IF(A41=$B$4,$B$6*'Selected Economics'!I36,0)</f>
        <v>0</v>
      </c>
      <c r="H41" s="160">
        <f t="shared" si="1"/>
        <v>1</v>
      </c>
      <c r="I41" s="156"/>
      <c r="J41" s="156"/>
      <c r="K41" s="160">
        <f t="shared" si="2"/>
        <v>0</v>
      </c>
      <c r="L41" s="93"/>
      <c r="M41" s="93"/>
      <c r="N41" s="93"/>
      <c r="O41" s="93"/>
      <c r="P41" s="93"/>
      <c r="Q41" s="93"/>
      <c r="R41" s="93"/>
      <c r="S41" s="93"/>
      <c r="T41" s="93"/>
      <c r="U41" s="93"/>
      <c r="V41" s="93"/>
      <c r="W41" s="93"/>
      <c r="X41" s="93"/>
      <c r="Y41" s="93"/>
      <c r="Z41" s="93"/>
    </row>
    <row r="42" spans="1:26">
      <c r="A42" s="159">
        <f t="shared" si="3"/>
        <v>2041</v>
      </c>
      <c r="B42" s="160">
        <f>Revenue!L37</f>
        <v>230.79599604900483</v>
      </c>
      <c r="C42" s="160">
        <f>Development!AT117</f>
        <v>0</v>
      </c>
      <c r="D42" s="160">
        <f>Operations!K45</f>
        <v>264.62526011741716</v>
      </c>
      <c r="E42" s="160">
        <f t="shared" si="0"/>
        <v>-33.829264068412328</v>
      </c>
      <c r="F42" s="160">
        <f t="shared" si="4"/>
        <v>25424.282505466166</v>
      </c>
      <c r="G42" s="160">
        <f>IF(A42=$B$4,$B$6*'Selected Economics'!I37,0)</f>
        <v>358.54722678320917</v>
      </c>
      <c r="H42" s="160">
        <f t="shared" si="1"/>
        <v>0</v>
      </c>
      <c r="I42" s="156"/>
      <c r="J42" s="156"/>
      <c r="K42" s="160">
        <f t="shared" si="2"/>
        <v>358.54722678320917</v>
      </c>
      <c r="L42" s="93"/>
      <c r="M42" s="93"/>
      <c r="N42" s="93"/>
      <c r="O42" s="93"/>
      <c r="P42" s="93"/>
      <c r="Q42" s="93"/>
      <c r="R42" s="93"/>
      <c r="S42" s="93"/>
      <c r="T42" s="93"/>
      <c r="U42" s="93"/>
      <c r="V42" s="93"/>
      <c r="W42" s="93"/>
      <c r="X42" s="93"/>
      <c r="Y42" s="93"/>
      <c r="Z42" s="93"/>
    </row>
    <row r="43" spans="1:26">
      <c r="A43" s="159">
        <f t="shared" si="3"/>
        <v>2042</v>
      </c>
      <c r="B43" s="160">
        <f>Revenue!L38</f>
        <v>202.72463155453886</v>
      </c>
      <c r="C43" s="160">
        <f>Development!AT118</f>
        <v>0</v>
      </c>
      <c r="D43" s="160">
        <f>Operations!K46</f>
        <v>269.17555786945974</v>
      </c>
      <c r="E43" s="160">
        <f t="shared" si="0"/>
        <v>-66.450926314920878</v>
      </c>
      <c r="F43" s="160">
        <f t="shared" si="4"/>
        <v>25357.831579151247</v>
      </c>
      <c r="G43" s="160">
        <f>IF(A43=$B$4,$B$6*'Selected Economics'!I38,0)</f>
        <v>0</v>
      </c>
      <c r="H43" s="160">
        <f t="shared" si="1"/>
        <v>0</v>
      </c>
      <c r="I43" s="156"/>
      <c r="J43" s="156"/>
      <c r="K43" s="160">
        <f t="shared" si="2"/>
        <v>0</v>
      </c>
      <c r="L43" s="93"/>
      <c r="M43" s="93"/>
      <c r="N43" s="93"/>
      <c r="O43" s="93"/>
      <c r="P43" s="93"/>
      <c r="Q43" s="93"/>
      <c r="R43" s="93"/>
      <c r="S43" s="93"/>
      <c r="T43" s="93"/>
      <c r="U43" s="93"/>
      <c r="V43" s="93"/>
      <c r="W43" s="93"/>
      <c r="X43" s="93"/>
      <c r="Y43" s="93"/>
      <c r="Z43" s="93"/>
    </row>
    <row r="44" spans="1:26">
      <c r="A44" s="159">
        <f t="shared" si="3"/>
        <v>2043</v>
      </c>
      <c r="B44" s="160">
        <f>Revenue!L39</f>
        <v>177.2881306818548</v>
      </c>
      <c r="C44" s="160">
        <f>Development!AT119</f>
        <v>0</v>
      </c>
      <c r="D44" s="160">
        <f>Operations!K47</f>
        <v>272.87747171018111</v>
      </c>
      <c r="E44" s="160">
        <f t="shared" si="0"/>
        <v>-95.589341028326317</v>
      </c>
      <c r="F44" s="160">
        <f t="shared" si="4"/>
        <v>25262.242238122919</v>
      </c>
      <c r="G44" s="160">
        <f>IF(A44=$B$4,$B$6*'Selected Economics'!I39,0)</f>
        <v>0</v>
      </c>
      <c r="H44" s="160">
        <f t="shared" si="1"/>
        <v>0</v>
      </c>
      <c r="I44" s="156"/>
      <c r="J44" s="156"/>
      <c r="K44" s="160">
        <f t="shared" si="2"/>
        <v>0</v>
      </c>
      <c r="L44" s="93"/>
      <c r="M44" s="93"/>
      <c r="N44" s="93"/>
      <c r="O44" s="93"/>
      <c r="P44" s="93"/>
      <c r="Q44" s="93"/>
      <c r="R44" s="93"/>
      <c r="S44" s="93"/>
      <c r="T44" s="93"/>
      <c r="U44" s="93"/>
      <c r="V44" s="93"/>
      <c r="W44" s="93"/>
      <c r="X44" s="93"/>
      <c r="Y44" s="93"/>
      <c r="Z44" s="93"/>
    </row>
    <row r="45" spans="1:26">
      <c r="A45" s="159">
        <f t="shared" si="3"/>
        <v>2044</v>
      </c>
      <c r="B45" s="160">
        <f>Revenue!L40</f>
        <v>0</v>
      </c>
      <c r="C45" s="160">
        <f>Development!AT120</f>
        <v>0</v>
      </c>
      <c r="D45" s="160">
        <f>Operations!K48</f>
        <v>0</v>
      </c>
      <c r="E45" s="160">
        <f t="shared" si="0"/>
        <v>0</v>
      </c>
      <c r="F45" s="160">
        <f t="shared" si="4"/>
        <v>25262.242238122919</v>
      </c>
      <c r="G45" s="160">
        <f>IF(A45=$B$4,$B$6*'Selected Economics'!I40,0)</f>
        <v>0</v>
      </c>
      <c r="H45" s="160">
        <f t="shared" si="1"/>
        <v>0</v>
      </c>
      <c r="I45" s="156"/>
      <c r="J45" s="156"/>
      <c r="K45" s="160">
        <f t="shared" si="2"/>
        <v>0</v>
      </c>
      <c r="L45" s="93"/>
      <c r="M45" s="93"/>
      <c r="N45" s="93"/>
      <c r="O45" s="93"/>
      <c r="P45" s="93"/>
      <c r="Q45" s="93"/>
      <c r="R45" s="93"/>
      <c r="S45" s="93"/>
      <c r="T45" s="93"/>
      <c r="U45" s="93"/>
      <c r="V45" s="93"/>
      <c r="W45" s="93"/>
      <c r="X45" s="93"/>
      <c r="Y45" s="93"/>
      <c r="Z45" s="93"/>
    </row>
    <row r="46" spans="1:26">
      <c r="A46" s="159">
        <f t="shared" si="3"/>
        <v>2045</v>
      </c>
      <c r="B46" s="160">
        <f>Revenue!L41</f>
        <v>0</v>
      </c>
      <c r="C46" s="160">
        <f>Development!AT121</f>
        <v>0</v>
      </c>
      <c r="D46" s="160">
        <f>Operations!K49</f>
        <v>0</v>
      </c>
      <c r="E46" s="160">
        <f t="shared" si="0"/>
        <v>0</v>
      </c>
      <c r="F46" s="160">
        <f t="shared" si="4"/>
        <v>25262.242238122919</v>
      </c>
      <c r="G46" s="160">
        <f>IF(A46=$B$4,$B$6*'Selected Economics'!I41,0)</f>
        <v>0</v>
      </c>
      <c r="H46" s="160">
        <f t="shared" si="1"/>
        <v>0</v>
      </c>
      <c r="I46" s="156"/>
      <c r="J46" s="156"/>
      <c r="K46" s="160">
        <f t="shared" si="2"/>
        <v>0</v>
      </c>
      <c r="L46" s="93"/>
      <c r="M46" s="93"/>
      <c r="N46" s="93"/>
      <c r="O46" s="93"/>
      <c r="P46" s="93"/>
      <c r="Q46" s="93"/>
      <c r="R46" s="93"/>
      <c r="S46" s="93"/>
      <c r="T46" s="93"/>
      <c r="U46" s="93"/>
      <c r="V46" s="93"/>
      <c r="W46" s="93"/>
      <c r="X46" s="93"/>
      <c r="Y46" s="93"/>
      <c r="Z46" s="93"/>
    </row>
    <row r="47" spans="1:26">
      <c r="A47" s="159">
        <f t="shared" si="3"/>
        <v>2046</v>
      </c>
      <c r="B47" s="160">
        <f>Revenue!L42</f>
        <v>0</v>
      </c>
      <c r="C47" s="160">
        <f>Development!AT122</f>
        <v>0</v>
      </c>
      <c r="D47" s="160">
        <f>Operations!K50</f>
        <v>0</v>
      </c>
      <c r="E47" s="160">
        <f t="shared" si="0"/>
        <v>0</v>
      </c>
      <c r="F47" s="160">
        <f t="shared" si="4"/>
        <v>25262.242238122919</v>
      </c>
      <c r="G47" s="160">
        <f>IF(A47=$B$4,$B$6*'Selected Economics'!I42,0)</f>
        <v>0</v>
      </c>
      <c r="H47" s="160">
        <f t="shared" si="1"/>
        <v>0</v>
      </c>
      <c r="I47" s="156"/>
      <c r="J47" s="156"/>
      <c r="K47" s="160">
        <f t="shared" si="2"/>
        <v>0</v>
      </c>
      <c r="L47" s="93"/>
      <c r="M47" s="93"/>
      <c r="N47" s="93"/>
      <c r="O47" s="93"/>
      <c r="P47" s="93"/>
      <c r="Q47" s="93"/>
      <c r="R47" s="93"/>
      <c r="S47" s="93"/>
      <c r="T47" s="93"/>
      <c r="U47" s="93"/>
      <c r="V47" s="93"/>
      <c r="W47" s="93"/>
      <c r="X47" s="93"/>
      <c r="Y47" s="93"/>
      <c r="Z47" s="93"/>
    </row>
    <row r="48" spans="1:26">
      <c r="A48" s="159">
        <f t="shared" si="3"/>
        <v>2047</v>
      </c>
      <c r="B48" s="160">
        <f>Revenue!L43</f>
        <v>0</v>
      </c>
      <c r="C48" s="160">
        <f>Development!AT123</f>
        <v>0</v>
      </c>
      <c r="D48" s="160">
        <f>Operations!K51</f>
        <v>0</v>
      </c>
      <c r="E48" s="160">
        <f t="shared" si="0"/>
        <v>0</v>
      </c>
      <c r="F48" s="160">
        <f t="shared" si="4"/>
        <v>25262.242238122919</v>
      </c>
      <c r="G48" s="160">
        <f>IF(A48=$B$4,$B$6*'Selected Economics'!I43,0)</f>
        <v>0</v>
      </c>
      <c r="H48" s="160">
        <f t="shared" si="1"/>
        <v>0</v>
      </c>
      <c r="I48" s="156"/>
      <c r="J48" s="156"/>
      <c r="K48" s="160">
        <f t="shared" si="2"/>
        <v>0</v>
      </c>
      <c r="L48" s="93"/>
      <c r="M48" s="93"/>
      <c r="N48" s="93"/>
      <c r="O48" s="93"/>
      <c r="P48" s="93"/>
      <c r="Q48" s="93"/>
      <c r="R48" s="93"/>
      <c r="S48" s="93"/>
      <c r="T48" s="93"/>
      <c r="U48" s="93"/>
      <c r="V48" s="93"/>
      <c r="W48" s="93"/>
      <c r="X48" s="93"/>
      <c r="Y48" s="93"/>
      <c r="Z48" s="93"/>
    </row>
    <row r="49" spans="1:26">
      <c r="A49" s="159">
        <f t="shared" si="3"/>
        <v>2048</v>
      </c>
      <c r="B49" s="160">
        <f>Revenue!L44</f>
        <v>0</v>
      </c>
      <c r="C49" s="160">
        <f>Development!AT124</f>
        <v>0</v>
      </c>
      <c r="D49" s="160">
        <f>Operations!K52</f>
        <v>0</v>
      </c>
      <c r="E49" s="160">
        <f t="shared" si="0"/>
        <v>0</v>
      </c>
      <c r="F49" s="160">
        <f t="shared" si="4"/>
        <v>25262.242238122919</v>
      </c>
      <c r="G49" s="160">
        <f>IF(A49=$B$4,$B$6*'Selected Economics'!I44,0)</f>
        <v>0</v>
      </c>
      <c r="H49" s="160">
        <f t="shared" si="1"/>
        <v>0</v>
      </c>
      <c r="I49" s="156"/>
      <c r="J49" s="156"/>
      <c r="K49" s="160">
        <f t="shared" si="2"/>
        <v>0</v>
      </c>
      <c r="L49" s="93"/>
      <c r="M49" s="93"/>
      <c r="N49" s="93"/>
      <c r="O49" s="93"/>
      <c r="P49" s="93"/>
      <c r="Q49" s="93"/>
      <c r="R49" s="93"/>
      <c r="S49" s="93"/>
      <c r="T49" s="93"/>
      <c r="U49" s="93"/>
      <c r="V49" s="93"/>
      <c r="W49" s="93"/>
      <c r="X49" s="93"/>
      <c r="Y49" s="93"/>
      <c r="Z49" s="93"/>
    </row>
    <row r="50" spans="1:26">
      <c r="A50" s="159">
        <f t="shared" si="3"/>
        <v>2049</v>
      </c>
      <c r="B50" s="160">
        <f>Revenue!L45</f>
        <v>0</v>
      </c>
      <c r="C50" s="160">
        <f>Development!AT125</f>
        <v>0</v>
      </c>
      <c r="D50" s="160">
        <f>Operations!K53</f>
        <v>0</v>
      </c>
      <c r="E50" s="160">
        <f t="shared" si="0"/>
        <v>0</v>
      </c>
      <c r="F50" s="160">
        <f t="shared" si="4"/>
        <v>25262.242238122919</v>
      </c>
      <c r="G50" s="160">
        <f>IF(A50=$B$4,$B$6*'Selected Economics'!I45,0)</f>
        <v>0</v>
      </c>
      <c r="H50" s="160">
        <f t="shared" si="1"/>
        <v>0</v>
      </c>
      <c r="I50" s="156"/>
      <c r="J50" s="156"/>
      <c r="K50" s="160">
        <f t="shared" si="2"/>
        <v>0</v>
      </c>
      <c r="L50" s="93"/>
      <c r="M50" s="93"/>
      <c r="N50" s="93"/>
      <c r="O50" s="93"/>
      <c r="P50" s="93"/>
      <c r="Q50" s="93"/>
      <c r="R50" s="93"/>
      <c r="S50" s="93"/>
      <c r="T50" s="93"/>
      <c r="U50" s="93"/>
      <c r="V50" s="93"/>
      <c r="W50" s="93"/>
      <c r="X50" s="93"/>
      <c r="Y50" s="93"/>
      <c r="Z50" s="93"/>
    </row>
    <row r="51" spans="1:26">
      <c r="A51" s="159">
        <f t="shared" si="3"/>
        <v>2050</v>
      </c>
      <c r="B51" s="160">
        <f>Revenue!L46</f>
        <v>0</v>
      </c>
      <c r="C51" s="160">
        <f>Development!AT126</f>
        <v>0</v>
      </c>
      <c r="D51" s="160">
        <f>Operations!K54</f>
        <v>0</v>
      </c>
      <c r="E51" s="160">
        <f t="shared" si="0"/>
        <v>0</v>
      </c>
      <c r="F51" s="160">
        <f t="shared" si="4"/>
        <v>25262.242238122919</v>
      </c>
      <c r="G51" s="160">
        <f>IF(A51=$B$4,$B$6*'Selected Economics'!I46,0)</f>
        <v>0</v>
      </c>
      <c r="H51" s="160">
        <f t="shared" si="1"/>
        <v>0</v>
      </c>
      <c r="I51" s="156"/>
      <c r="J51" s="156"/>
      <c r="K51" s="160">
        <f t="shared" si="2"/>
        <v>0</v>
      </c>
      <c r="L51" s="93"/>
      <c r="M51" s="93"/>
      <c r="N51" s="93"/>
      <c r="O51" s="93"/>
      <c r="P51" s="93"/>
      <c r="Q51" s="93"/>
      <c r="R51" s="93"/>
      <c r="S51" s="93"/>
      <c r="T51" s="93"/>
      <c r="U51" s="93"/>
      <c r="V51" s="93"/>
      <c r="W51" s="93"/>
      <c r="X51" s="93"/>
      <c r="Y51" s="93"/>
      <c r="Z51" s="93"/>
    </row>
    <row r="52" spans="1:26">
      <c r="A52" s="159">
        <f t="shared" si="3"/>
        <v>2051</v>
      </c>
      <c r="B52" s="160">
        <f>Revenue!L47</f>
        <v>0</v>
      </c>
      <c r="C52" s="160">
        <f>Development!AT127</f>
        <v>0</v>
      </c>
      <c r="D52" s="160">
        <f>Operations!K55</f>
        <v>0</v>
      </c>
      <c r="E52" s="160">
        <f t="shared" si="0"/>
        <v>0</v>
      </c>
      <c r="F52" s="160">
        <f t="shared" si="4"/>
        <v>25262.242238122919</v>
      </c>
      <c r="G52" s="160">
        <f>IF(A52=$B$4,$B$6*'Selected Economics'!I47,0)</f>
        <v>0</v>
      </c>
      <c r="H52" s="160">
        <f t="shared" si="1"/>
        <v>0</v>
      </c>
      <c r="I52" s="156"/>
      <c r="J52" s="156"/>
      <c r="K52" s="160">
        <f t="shared" si="2"/>
        <v>0</v>
      </c>
      <c r="L52" s="93"/>
      <c r="M52" s="93"/>
      <c r="N52" s="93"/>
      <c r="O52" s="93"/>
      <c r="P52" s="93"/>
      <c r="Q52" s="93"/>
      <c r="R52" s="93"/>
      <c r="S52" s="93"/>
      <c r="T52" s="93"/>
      <c r="U52" s="93"/>
      <c r="V52" s="93"/>
      <c r="W52" s="93"/>
      <c r="X52" s="93"/>
      <c r="Y52" s="93"/>
      <c r="Z52" s="93"/>
    </row>
    <row r="53" spans="1:26">
      <c r="A53" s="159">
        <f t="shared" si="3"/>
        <v>2052</v>
      </c>
      <c r="B53" s="160">
        <f>Revenue!L48</f>
        <v>0</v>
      </c>
      <c r="C53" s="160">
        <f>Development!AT128</f>
        <v>0</v>
      </c>
      <c r="D53" s="160">
        <f>Operations!K56</f>
        <v>0</v>
      </c>
      <c r="E53" s="160">
        <f t="shared" si="0"/>
        <v>0</v>
      </c>
      <c r="F53" s="160">
        <f t="shared" si="4"/>
        <v>25262.242238122919</v>
      </c>
      <c r="G53" s="160">
        <f>IF(A53=$B$4,$B$6*'Selected Economics'!I48,0)</f>
        <v>0</v>
      </c>
      <c r="H53" s="160">
        <f t="shared" si="1"/>
        <v>0</v>
      </c>
      <c r="I53" s="156"/>
      <c r="J53" s="156"/>
      <c r="K53" s="160">
        <f t="shared" si="2"/>
        <v>0</v>
      </c>
      <c r="L53" s="93"/>
      <c r="M53" s="93"/>
      <c r="N53" s="93"/>
      <c r="O53" s="93"/>
      <c r="P53" s="93"/>
      <c r="Q53" s="93"/>
      <c r="R53" s="93"/>
      <c r="S53" s="93"/>
      <c r="T53" s="93"/>
      <c r="U53" s="93"/>
      <c r="V53" s="93"/>
      <c r="W53" s="93"/>
      <c r="X53" s="93"/>
      <c r="Y53" s="93"/>
      <c r="Z53" s="93"/>
    </row>
    <row r="54" spans="1:26">
      <c r="A54" s="159">
        <f t="shared" si="3"/>
        <v>2053</v>
      </c>
      <c r="B54" s="160">
        <f>Revenue!L49</f>
        <v>0</v>
      </c>
      <c r="C54" s="160">
        <f>Development!AT129</f>
        <v>0</v>
      </c>
      <c r="D54" s="160">
        <f>Operations!K57</f>
        <v>0</v>
      </c>
      <c r="E54" s="160">
        <f t="shared" si="0"/>
        <v>0</v>
      </c>
      <c r="F54" s="160">
        <f t="shared" si="4"/>
        <v>25262.242238122919</v>
      </c>
      <c r="G54" s="160">
        <f>IF(A54=$B$4,$B$6*'Selected Economics'!I49,0)</f>
        <v>0</v>
      </c>
      <c r="H54" s="160">
        <f t="shared" si="1"/>
        <v>0</v>
      </c>
      <c r="I54" s="156"/>
      <c r="J54" s="156"/>
      <c r="K54" s="160">
        <f t="shared" si="2"/>
        <v>0</v>
      </c>
      <c r="L54" s="93"/>
      <c r="M54" s="93"/>
      <c r="N54" s="93"/>
      <c r="O54" s="93"/>
      <c r="P54" s="93"/>
      <c r="Q54" s="93"/>
      <c r="R54" s="93"/>
      <c r="S54" s="93"/>
      <c r="T54" s="93"/>
      <c r="U54" s="93"/>
      <c r="V54" s="93"/>
      <c r="W54" s="93"/>
      <c r="X54" s="93"/>
      <c r="Y54" s="93"/>
      <c r="Z54" s="93"/>
    </row>
    <row r="55" spans="1:26">
      <c r="A55" s="161">
        <f t="shared" si="3"/>
        <v>2054</v>
      </c>
      <c r="B55" s="162">
        <f>Revenue!L50</f>
        <v>0</v>
      </c>
      <c r="C55" s="162">
        <f>Development!AT130</f>
        <v>0</v>
      </c>
      <c r="D55" s="162">
        <f>Operations!K58</f>
        <v>0</v>
      </c>
      <c r="E55" s="162">
        <f t="shared" si="0"/>
        <v>0</v>
      </c>
      <c r="F55" s="162">
        <f t="shared" si="4"/>
        <v>25262.242238122919</v>
      </c>
      <c r="G55" s="162">
        <f>IF(A55=$B$4,$B$6*'Selected Economics'!I50,0)</f>
        <v>0</v>
      </c>
      <c r="H55" s="162">
        <f t="shared" si="1"/>
        <v>0</v>
      </c>
      <c r="I55" s="156"/>
      <c r="J55" s="156"/>
      <c r="K55" s="162">
        <f t="shared" si="2"/>
        <v>0</v>
      </c>
      <c r="L55" s="93"/>
      <c r="M55" s="93"/>
      <c r="N55" s="93"/>
      <c r="O55" s="93"/>
      <c r="P55" s="93"/>
      <c r="Q55" s="93"/>
      <c r="R55" s="93"/>
      <c r="S55" s="93"/>
      <c r="T55" s="93"/>
      <c r="U55" s="93"/>
      <c r="V55" s="93"/>
      <c r="W55" s="93"/>
      <c r="X55" s="93"/>
      <c r="Y55" s="93"/>
      <c r="Z55" s="93"/>
    </row>
  </sheetData>
  <sheetProtection algorithmName="SHA-512" hashValue="ZEkYAm/fsnkqZXUOk3S24cfU/pw6r7BZAYArxmC5v/SYZGxK1kVpUEpfKaQJ3I5jlQh6Bx8eDZSIzKDp/PNz8w==" saltValue="X0wRqI3auNxLEud8d7FOdw==" spinCount="100000" sheet="1" objects="1" scenarios="1"/>
  <hyperlinks>
    <hyperlink ref="H1" location="Guide" display="Guide"/>
    <hyperlink ref="H2" location="Input" display="Input"/>
  </hyperlinks>
  <pageMargins left="0.7" right="0.7" top="0.75" bottom="0.75" header="0.3" footer="0.3"/>
  <pageSetup paperSize="9" scale="64" orientation="portrait" r:id="rId1"/>
  <headerFooter>
    <oddFooter>&amp;LNova Scotia Exploration Economics Model&amp;Rwww.indeva.com</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3" tint="0.79998168889431442"/>
    <pageSetUpPr fitToPage="1"/>
  </sheetPr>
  <dimension ref="A1:BB52"/>
  <sheetViews>
    <sheetView showGridLines="0" showZeros="0" zoomScale="75" zoomScaleNormal="75" workbookViewId="0">
      <pane xSplit="1" ySplit="9" topLeftCell="B10" activePane="bottomRight" state="frozen"/>
      <selection activeCell="D43" sqref="D43"/>
      <selection pane="topRight" activeCell="D43" sqref="D43"/>
      <selection pane="bottomLeft" activeCell="D43" sqref="D43"/>
      <selection pane="bottomRight" activeCell="C11" sqref="C11"/>
    </sheetView>
  </sheetViews>
  <sheetFormatPr defaultRowHeight="14.5"/>
  <cols>
    <col min="1" max="1" width="21.1796875" customWidth="1"/>
    <col min="2" max="2" width="11.54296875" bestFit="1" customWidth="1"/>
    <col min="3" max="4" width="10" customWidth="1"/>
    <col min="5" max="5" width="10.26953125" customWidth="1"/>
    <col min="6" max="6" width="14" customWidth="1"/>
    <col min="7" max="7" width="11.1796875" customWidth="1"/>
    <col min="8" max="8" width="11" customWidth="1"/>
    <col min="9" max="9" width="14" customWidth="1"/>
    <col min="10" max="10" width="11.1796875" customWidth="1"/>
    <col min="11" max="11" width="10.453125" customWidth="1"/>
    <col min="12" max="12" width="11.26953125" customWidth="1"/>
    <col min="13" max="13" width="10.7265625" bestFit="1" customWidth="1"/>
    <col min="14" max="14" width="10.7265625" customWidth="1"/>
    <col min="15" max="16" width="10.54296875" customWidth="1"/>
    <col min="17" max="17" width="12.54296875" customWidth="1"/>
    <col min="18" max="18" width="9.81640625" customWidth="1"/>
    <col min="19" max="19" width="14" customWidth="1"/>
    <col min="20" max="20" width="15.1796875" customWidth="1"/>
    <col min="21" max="22" width="9.26953125" bestFit="1" customWidth="1"/>
    <col min="23" max="23" width="11.26953125" customWidth="1"/>
    <col min="24" max="24" width="14" customWidth="1"/>
    <col min="25" max="25" width="15.1796875" customWidth="1"/>
    <col min="26" max="26" width="12.1796875" customWidth="1"/>
    <col min="27" max="27" width="11.26953125" customWidth="1"/>
    <col min="28" max="28" width="14.1796875" customWidth="1"/>
    <col min="29" max="29" width="14.54296875" customWidth="1"/>
    <col min="30" max="31" width="9.1796875" customWidth="1"/>
    <col min="32" max="32" width="11.81640625" customWidth="1"/>
    <col min="33" max="33" width="12.54296875" customWidth="1"/>
    <col min="34" max="34" width="10.54296875" customWidth="1"/>
    <col min="35" max="35" width="11" bestFit="1" customWidth="1"/>
    <col min="36" max="37" width="11.54296875" customWidth="1"/>
    <col min="38" max="39" width="11.7265625" bestFit="1" customWidth="1"/>
    <col min="40" max="40" width="12.26953125" style="4" customWidth="1"/>
    <col min="43" max="43" width="15" customWidth="1"/>
    <col min="44" max="44" width="16.26953125" customWidth="1"/>
    <col min="45" max="45" width="17" customWidth="1"/>
    <col min="46" max="46" width="17.453125" customWidth="1"/>
    <col min="48" max="48" width="13.1796875" customWidth="1"/>
    <col min="49" max="49" width="11.7265625" customWidth="1"/>
    <col min="50" max="50" width="13" customWidth="1"/>
    <col min="51" max="51" width="14.1796875" customWidth="1"/>
  </cols>
  <sheetData>
    <row r="1" spans="1:54" ht="18.5">
      <c r="A1" s="142" t="str">
        <f>Input!B8</f>
        <v>Prospect X</v>
      </c>
      <c r="B1" s="142" t="s">
        <v>10</v>
      </c>
      <c r="C1" s="142"/>
      <c r="D1" s="93"/>
      <c r="E1" s="93"/>
      <c r="F1" s="143" t="s">
        <v>768</v>
      </c>
      <c r="G1" s="93"/>
      <c r="H1" s="93"/>
      <c r="I1" s="93"/>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row>
    <row r="2" spans="1:54" ht="18.5">
      <c r="A2" s="93"/>
      <c r="B2" s="93"/>
      <c r="C2" s="93"/>
      <c r="D2" s="93"/>
      <c r="E2" s="93"/>
      <c r="F2" s="143" t="s">
        <v>143</v>
      </c>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row>
    <row r="3" spans="1:54">
      <c r="A3" s="93">
        <v>1</v>
      </c>
      <c r="B3" s="93">
        <f>A3+1</f>
        <v>2</v>
      </c>
      <c r="C3" s="93">
        <f t="shared" ref="C3:AJ3" si="0">B3+1</f>
        <v>3</v>
      </c>
      <c r="D3" s="93">
        <f t="shared" si="0"/>
        <v>4</v>
      </c>
      <c r="E3" s="93">
        <f t="shared" si="0"/>
        <v>5</v>
      </c>
      <c r="F3" s="93">
        <f t="shared" si="0"/>
        <v>6</v>
      </c>
      <c r="G3" s="93">
        <f t="shared" si="0"/>
        <v>7</v>
      </c>
      <c r="H3" s="93">
        <f t="shared" si="0"/>
        <v>8</v>
      </c>
      <c r="I3" s="93">
        <f t="shared" si="0"/>
        <v>9</v>
      </c>
      <c r="J3" s="93">
        <f t="shared" si="0"/>
        <v>10</v>
      </c>
      <c r="K3" s="93">
        <f t="shared" si="0"/>
        <v>11</v>
      </c>
      <c r="L3" s="93">
        <f>K3+1</f>
        <v>12</v>
      </c>
      <c r="M3" s="93">
        <f t="shared" si="0"/>
        <v>13</v>
      </c>
      <c r="N3" s="93">
        <f t="shared" si="0"/>
        <v>14</v>
      </c>
      <c r="O3" s="93">
        <f t="shared" si="0"/>
        <v>15</v>
      </c>
      <c r="P3" s="93">
        <f t="shared" si="0"/>
        <v>16</v>
      </c>
      <c r="Q3" s="93">
        <f t="shared" si="0"/>
        <v>17</v>
      </c>
      <c r="R3" s="93">
        <f t="shared" si="0"/>
        <v>18</v>
      </c>
      <c r="S3" s="93">
        <f t="shared" si="0"/>
        <v>19</v>
      </c>
      <c r="T3" s="93">
        <f t="shared" si="0"/>
        <v>20</v>
      </c>
      <c r="U3" s="93">
        <f t="shared" si="0"/>
        <v>21</v>
      </c>
      <c r="V3" s="93">
        <f t="shared" si="0"/>
        <v>22</v>
      </c>
      <c r="W3" s="93">
        <f t="shared" si="0"/>
        <v>23</v>
      </c>
      <c r="X3" s="93">
        <f t="shared" si="0"/>
        <v>24</v>
      </c>
      <c r="Y3" s="93">
        <f t="shared" si="0"/>
        <v>25</v>
      </c>
      <c r="Z3" s="93">
        <f t="shared" si="0"/>
        <v>26</v>
      </c>
      <c r="AA3" s="93">
        <f t="shared" si="0"/>
        <v>27</v>
      </c>
      <c r="AB3" s="93">
        <f t="shared" si="0"/>
        <v>28</v>
      </c>
      <c r="AC3" s="93">
        <f t="shared" si="0"/>
        <v>29</v>
      </c>
      <c r="AD3" s="93">
        <f t="shared" si="0"/>
        <v>30</v>
      </c>
      <c r="AE3" s="93">
        <f t="shared" si="0"/>
        <v>31</v>
      </c>
      <c r="AF3" s="93">
        <f t="shared" si="0"/>
        <v>32</v>
      </c>
      <c r="AG3" s="93">
        <f t="shared" si="0"/>
        <v>33</v>
      </c>
      <c r="AH3" s="93">
        <f t="shared" si="0"/>
        <v>34</v>
      </c>
      <c r="AI3" s="93">
        <f t="shared" si="0"/>
        <v>35</v>
      </c>
      <c r="AJ3" s="93">
        <f t="shared" si="0"/>
        <v>36</v>
      </c>
      <c r="AK3" s="175" t="s">
        <v>11</v>
      </c>
      <c r="AL3" s="239">
        <f>VLOOKUP(Abandonment!B4,$A$12:$AG$51,33)</f>
        <v>358.54722678320917</v>
      </c>
      <c r="AM3" s="93"/>
      <c r="AN3" s="93"/>
      <c r="AO3" s="93"/>
      <c r="AP3" s="93"/>
      <c r="AQ3" s="93"/>
      <c r="AR3" s="93"/>
      <c r="AS3" s="93"/>
      <c r="AT3" s="93"/>
      <c r="AU3" s="93"/>
      <c r="AV3" s="93"/>
      <c r="AW3" s="93"/>
      <c r="AX3" s="93"/>
      <c r="AY3" s="93"/>
      <c r="AZ3" s="93"/>
      <c r="BA3" s="93"/>
      <c r="BB3" s="93"/>
    </row>
    <row r="4" spans="1:54">
      <c r="A4" s="93"/>
      <c r="B4" s="93"/>
      <c r="C4" s="93"/>
      <c r="D4" s="93"/>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175" t="s">
        <v>12</v>
      </c>
      <c r="AL4" s="182">
        <f>SUM(AK12:AK51)</f>
        <v>69.152604645350209</v>
      </c>
      <c r="AM4" s="93"/>
      <c r="AN4" s="93"/>
      <c r="AO4" s="93"/>
      <c r="AP4" s="93"/>
      <c r="AQ4" s="93"/>
      <c r="AR4" s="93"/>
      <c r="AS4" s="93"/>
      <c r="AT4" s="93"/>
      <c r="AU4" s="93"/>
      <c r="AV4" s="93"/>
      <c r="AW4" s="93"/>
      <c r="AX4" s="93"/>
      <c r="AY4" s="93"/>
      <c r="AZ4" s="93"/>
      <c r="BA4" s="93"/>
      <c r="BB4" s="93"/>
    </row>
    <row r="5" spans="1:54">
      <c r="A5" s="139" t="s">
        <v>14</v>
      </c>
      <c r="B5" s="139" t="s">
        <v>15</v>
      </c>
      <c r="C5" s="139" t="s">
        <v>16</v>
      </c>
      <c r="D5" s="139" t="s">
        <v>17</v>
      </c>
      <c r="E5" s="139" t="s">
        <v>18</v>
      </c>
      <c r="F5" s="139" t="s">
        <v>19</v>
      </c>
      <c r="G5" s="139" t="s">
        <v>20</v>
      </c>
      <c r="H5" s="139" t="s">
        <v>21</v>
      </c>
      <c r="I5" s="139" t="s">
        <v>22</v>
      </c>
      <c r="J5" s="139" t="s">
        <v>23</v>
      </c>
      <c r="K5" s="139" t="s">
        <v>24</v>
      </c>
      <c r="L5" s="599" t="s">
        <v>25</v>
      </c>
      <c r="M5" s="600"/>
      <c r="N5" s="601"/>
      <c r="O5" s="604" t="s">
        <v>26</v>
      </c>
      <c r="P5" s="605"/>
      <c r="Q5" s="606"/>
      <c r="R5" s="139" t="s">
        <v>27</v>
      </c>
      <c r="S5" s="604" t="s">
        <v>28</v>
      </c>
      <c r="T5" s="605"/>
      <c r="U5" s="605"/>
      <c r="V5" s="606"/>
      <c r="W5" s="139" t="s">
        <v>29</v>
      </c>
      <c r="X5" s="604" t="s">
        <v>30</v>
      </c>
      <c r="Y5" s="605"/>
      <c r="Z5" s="605"/>
      <c r="AA5" s="606"/>
      <c r="AB5" s="604" t="s">
        <v>31</v>
      </c>
      <c r="AC5" s="605"/>
      <c r="AD5" s="605"/>
      <c r="AE5" s="606"/>
      <c r="AF5" s="139" t="s">
        <v>32</v>
      </c>
      <c r="AG5" s="139" t="s">
        <v>33</v>
      </c>
      <c r="AH5" s="139" t="s">
        <v>34</v>
      </c>
      <c r="AI5" s="139" t="s">
        <v>35</v>
      </c>
      <c r="AJ5" s="139" t="s">
        <v>36</v>
      </c>
      <c r="AK5" s="139" t="s">
        <v>37</v>
      </c>
      <c r="AL5" s="139" t="s">
        <v>38</v>
      </c>
      <c r="AM5" s="139" t="s">
        <v>39</v>
      </c>
      <c r="AN5" s="93"/>
      <c r="AO5" s="93"/>
      <c r="AP5" s="93"/>
      <c r="AQ5" s="599" t="s">
        <v>40</v>
      </c>
      <c r="AR5" s="600"/>
      <c r="AS5" s="600"/>
      <c r="AT5" s="601"/>
      <c r="AU5" s="93"/>
      <c r="AV5" s="93"/>
      <c r="AW5" s="93"/>
      <c r="AX5" s="93"/>
      <c r="AY5" s="93"/>
      <c r="AZ5" s="93"/>
      <c r="BA5" s="93"/>
      <c r="BB5" s="93"/>
    </row>
    <row r="6" spans="1:54">
      <c r="A6" s="140"/>
      <c r="B6" s="140"/>
      <c r="C6" s="140" t="s">
        <v>41</v>
      </c>
      <c r="D6" s="140" t="s">
        <v>41</v>
      </c>
      <c r="E6" s="140" t="s">
        <v>41</v>
      </c>
      <c r="F6" s="140" t="s">
        <v>42</v>
      </c>
      <c r="G6" s="140" t="s">
        <v>43</v>
      </c>
      <c r="H6" s="140" t="s">
        <v>44</v>
      </c>
      <c r="I6" s="140" t="s">
        <v>45</v>
      </c>
      <c r="J6" s="140" t="s">
        <v>20</v>
      </c>
      <c r="K6" s="140" t="s">
        <v>46</v>
      </c>
      <c r="L6" s="155" t="s">
        <v>47</v>
      </c>
      <c r="M6" s="155" t="s">
        <v>48</v>
      </c>
      <c r="N6" s="155" t="s">
        <v>49</v>
      </c>
      <c r="O6" s="139" t="s">
        <v>47</v>
      </c>
      <c r="P6" s="139" t="s">
        <v>48</v>
      </c>
      <c r="Q6" s="139" t="s">
        <v>49</v>
      </c>
      <c r="R6" s="140" t="s">
        <v>23</v>
      </c>
      <c r="S6" s="139" t="s">
        <v>50</v>
      </c>
      <c r="T6" s="139" t="s">
        <v>51</v>
      </c>
      <c r="U6" s="139" t="s">
        <v>52</v>
      </c>
      <c r="V6" s="139" t="s">
        <v>53</v>
      </c>
      <c r="W6" s="140" t="s">
        <v>15</v>
      </c>
      <c r="X6" s="155" t="s">
        <v>50</v>
      </c>
      <c r="Y6" s="155" t="s">
        <v>51</v>
      </c>
      <c r="Z6" s="155" t="s">
        <v>52</v>
      </c>
      <c r="AA6" s="155" t="s">
        <v>53</v>
      </c>
      <c r="AB6" s="155" t="s">
        <v>50</v>
      </c>
      <c r="AC6" s="155" t="s">
        <v>51</v>
      </c>
      <c r="AD6" s="155" t="s">
        <v>52</v>
      </c>
      <c r="AE6" s="155" t="s">
        <v>53</v>
      </c>
      <c r="AF6" s="140" t="s">
        <v>54</v>
      </c>
      <c r="AG6" s="140" t="s">
        <v>55</v>
      </c>
      <c r="AH6" s="140" t="s">
        <v>55</v>
      </c>
      <c r="AI6" s="140" t="s">
        <v>56</v>
      </c>
      <c r="AJ6" s="140" t="s">
        <v>38</v>
      </c>
      <c r="AK6" s="140" t="s">
        <v>58</v>
      </c>
      <c r="AL6" s="140" t="s">
        <v>37</v>
      </c>
      <c r="AM6" s="140" t="s">
        <v>59</v>
      </c>
      <c r="AN6" s="93"/>
      <c r="AO6" s="93"/>
      <c r="AP6" s="93"/>
      <c r="AQ6" s="139" t="s">
        <v>60</v>
      </c>
      <c r="AR6" s="139" t="s">
        <v>47</v>
      </c>
      <c r="AS6" s="139" t="s">
        <v>48</v>
      </c>
      <c r="AT6" s="139" t="s">
        <v>49</v>
      </c>
      <c r="AU6" s="93"/>
      <c r="AV6" s="93"/>
      <c r="AW6" s="93"/>
      <c r="AX6" s="93"/>
      <c r="AY6" s="93"/>
      <c r="AZ6" s="93"/>
      <c r="BA6" s="93"/>
      <c r="BB6" s="93"/>
    </row>
    <row r="7" spans="1:54">
      <c r="A7" s="148"/>
      <c r="B7" s="148"/>
      <c r="C7" s="148"/>
      <c r="D7" s="240"/>
      <c r="E7" s="240"/>
      <c r="F7" s="148"/>
      <c r="G7" s="148" t="s">
        <v>38</v>
      </c>
      <c r="H7" s="148"/>
      <c r="I7" s="148" t="s">
        <v>61</v>
      </c>
      <c r="J7" s="148"/>
      <c r="K7" s="148"/>
      <c r="L7" s="135">
        <v>0.05</v>
      </c>
      <c r="M7" s="135">
        <v>0.2</v>
      </c>
      <c r="N7" s="135">
        <v>0.45</v>
      </c>
      <c r="O7" s="148"/>
      <c r="P7" s="148"/>
      <c r="Q7" s="148"/>
      <c r="R7" s="241"/>
      <c r="S7" s="241"/>
      <c r="T7" s="241"/>
      <c r="U7" s="241"/>
      <c r="V7" s="241"/>
      <c r="W7" s="241"/>
      <c r="X7" s="242">
        <v>0.02</v>
      </c>
      <c r="Y7" s="242">
        <v>0.05</v>
      </c>
      <c r="Z7" s="242">
        <v>0.2</v>
      </c>
      <c r="AA7" s="243">
        <f>IF(Input!B34="Yes",0.2,0.35)</f>
        <v>0.35</v>
      </c>
      <c r="AB7" s="242">
        <v>0.02</v>
      </c>
      <c r="AC7" s="242">
        <v>0.05</v>
      </c>
      <c r="AD7" s="242">
        <v>0.2</v>
      </c>
      <c r="AE7" s="243">
        <f>IF(Input!G37="Yes",0.2,0.35)</f>
        <v>0.35</v>
      </c>
      <c r="AF7" s="148"/>
      <c r="AG7" s="148"/>
      <c r="AH7" s="148"/>
      <c r="AI7" s="148"/>
      <c r="AJ7" s="148"/>
      <c r="AK7" s="148"/>
      <c r="AL7" s="148"/>
      <c r="AM7" s="148" t="s">
        <v>62</v>
      </c>
      <c r="AN7" s="93"/>
      <c r="AO7" s="93"/>
      <c r="AP7" s="93"/>
      <c r="AQ7" s="148"/>
      <c r="AR7" s="148"/>
      <c r="AS7" s="148"/>
      <c r="AT7" s="148"/>
      <c r="AU7" s="93"/>
      <c r="AV7" s="93"/>
      <c r="AW7" s="93"/>
      <c r="AX7" s="93"/>
      <c r="AY7" s="93"/>
      <c r="AZ7" s="93"/>
      <c r="BA7" s="93"/>
      <c r="BB7" s="93"/>
    </row>
    <row r="8" spans="1:54">
      <c r="A8" s="166"/>
      <c r="B8" s="93"/>
      <c r="C8" s="93"/>
      <c r="D8" s="214"/>
      <c r="E8" s="214"/>
      <c r="F8" s="93"/>
      <c r="G8" s="93"/>
      <c r="H8" s="93"/>
      <c r="I8" s="93"/>
      <c r="J8" s="93"/>
      <c r="K8" s="93"/>
      <c r="L8" s="196"/>
      <c r="M8" s="196"/>
      <c r="N8" s="196"/>
      <c r="O8" s="93"/>
      <c r="P8" s="93"/>
      <c r="Q8" s="93"/>
      <c r="R8" s="93"/>
      <c r="S8" s="93"/>
      <c r="T8" s="93"/>
      <c r="U8" s="93"/>
      <c r="V8" s="93"/>
      <c r="W8" s="93"/>
      <c r="X8" s="214"/>
      <c r="Y8" s="214"/>
      <c r="Z8" s="214"/>
      <c r="AA8" s="170"/>
      <c r="AB8" s="170"/>
      <c r="AC8" s="170"/>
      <c r="AD8" s="170"/>
      <c r="AE8" s="170"/>
      <c r="AF8" s="93"/>
      <c r="AG8" s="93"/>
      <c r="AH8" s="93"/>
      <c r="AI8" s="93"/>
      <c r="AJ8" s="93"/>
      <c r="AK8" s="93"/>
      <c r="AL8" s="93"/>
      <c r="AM8" s="93"/>
      <c r="AN8" s="93"/>
      <c r="AO8" s="93"/>
      <c r="AP8" s="93"/>
      <c r="AQ8" s="93"/>
      <c r="AR8" s="93"/>
      <c r="AS8" s="93"/>
      <c r="AT8" s="93"/>
      <c r="AU8" s="93"/>
      <c r="AV8" s="93"/>
      <c r="AW8" s="93"/>
      <c r="AX8" s="93"/>
      <c r="AY8" s="93"/>
      <c r="AZ8" s="93"/>
      <c r="BA8" s="93"/>
      <c r="BB8" s="93"/>
    </row>
    <row r="9" spans="1:54">
      <c r="A9" s="155" t="s">
        <v>13</v>
      </c>
      <c r="B9" s="151">
        <f>SUM(B12:B51)</f>
        <v>37525.364943791363</v>
      </c>
      <c r="C9" s="151">
        <f t="shared" ref="C9:H9" si="1">SUM(C12:C51)</f>
        <v>0</v>
      </c>
      <c r="D9" s="151">
        <f t="shared" si="1"/>
        <v>5325.578020633202</v>
      </c>
      <c r="E9" s="151">
        <f t="shared" si="1"/>
        <v>7473.8440137651205</v>
      </c>
      <c r="F9" s="151">
        <f t="shared" si="1"/>
        <v>358.54722678320917</v>
      </c>
      <c r="G9" s="151">
        <f t="shared" si="1"/>
        <v>169.20179383865684</v>
      </c>
      <c r="H9" s="151">
        <f t="shared" si="1"/>
        <v>13327.171055020182</v>
      </c>
      <c r="I9" s="151"/>
      <c r="J9" s="151"/>
      <c r="K9" s="151"/>
      <c r="L9" s="151">
        <f>SUM(L12:L51)</f>
        <v>695.68326565850145</v>
      </c>
      <c r="M9" s="151">
        <f>SUM(M12:M51)</f>
        <v>2087.0497969755043</v>
      </c>
      <c r="N9" s="151">
        <f>SUM(N12:N51)</f>
        <v>4405.9940158371755</v>
      </c>
      <c r="O9" s="151"/>
      <c r="P9" s="151"/>
      <c r="Q9" s="151"/>
      <c r="R9" s="151"/>
      <c r="S9" s="151"/>
      <c r="T9" s="151"/>
      <c r="U9" s="151"/>
      <c r="V9" s="151"/>
      <c r="W9" s="151">
        <f t="shared" ref="W9:AF9" si="2">SUM(W12:W51)</f>
        <v>24367.39568260984</v>
      </c>
      <c r="X9" s="151">
        <f t="shared" si="2"/>
        <v>750.50729887582747</v>
      </c>
      <c r="Y9" s="151">
        <f t="shared" si="2"/>
        <v>1876.2682471895682</v>
      </c>
      <c r="Z9" s="151">
        <f t="shared" si="2"/>
        <v>5801.719086635183</v>
      </c>
      <c r="AA9" s="151">
        <f t="shared" si="2"/>
        <v>10049.435954298524</v>
      </c>
      <c r="AB9" s="151"/>
      <c r="AC9" s="151"/>
      <c r="AD9" s="151"/>
      <c r="AE9" s="151"/>
      <c r="AF9" s="151">
        <f t="shared" si="2"/>
        <v>7708.0658310969311</v>
      </c>
      <c r="AG9" s="151"/>
      <c r="AH9" s="151"/>
      <c r="AI9" s="151">
        <f>SUM(AI12:AI51)</f>
        <v>358.54722678320917</v>
      </c>
      <c r="AJ9" s="151">
        <f>SUM(AJ12:AJ51)</f>
        <v>7638.9132264515811</v>
      </c>
      <c r="AK9" s="151">
        <f>SUM(AK12:AK51)</f>
        <v>69.152604645350209</v>
      </c>
      <c r="AL9" s="151">
        <f>SUM(AL12:AL51)</f>
        <v>69.152604645350209</v>
      </c>
      <c r="AM9" s="151">
        <f>SUM(AM12:AM51)</f>
        <v>7638.9132264515811</v>
      </c>
      <c r="AN9" s="93"/>
      <c r="AO9" s="93"/>
      <c r="AP9" s="93"/>
      <c r="AQ9" s="244">
        <f>MAX(AQ13:AQ51)</f>
        <v>43617</v>
      </c>
      <c r="AR9" s="244">
        <f>MAX(AR13:AR51)</f>
        <v>43678</v>
      </c>
      <c r="AS9" s="244">
        <f>MAX(AS13:AS51)</f>
        <v>43862</v>
      </c>
      <c r="AT9" s="244">
        <f>MAX(AT13:AT51)</f>
        <v>44136</v>
      </c>
      <c r="AU9" s="93"/>
      <c r="AV9" s="93"/>
      <c r="AW9" s="93"/>
      <c r="AX9" s="93"/>
      <c r="AY9" s="93"/>
      <c r="AZ9" s="93"/>
      <c r="BA9" s="93"/>
      <c r="BB9" s="93"/>
    </row>
    <row r="10" spans="1:54">
      <c r="A10" s="166"/>
      <c r="B10" s="156"/>
      <c r="C10" s="156"/>
      <c r="D10" s="156"/>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93"/>
      <c r="AO10" s="93"/>
      <c r="AP10" s="93"/>
      <c r="AQ10" s="93"/>
      <c r="AR10" s="93"/>
      <c r="AS10" s="93"/>
      <c r="AT10" s="93"/>
      <c r="AU10" s="93"/>
      <c r="AV10" s="93"/>
      <c r="AW10" s="93"/>
      <c r="AX10" s="93"/>
      <c r="AY10" s="93"/>
      <c r="AZ10" s="93"/>
      <c r="BA10" s="93"/>
      <c r="BB10" s="93"/>
    </row>
    <row r="11" spans="1:54">
      <c r="A11" s="155" t="s">
        <v>63</v>
      </c>
      <c r="B11" s="151"/>
      <c r="C11" s="151">
        <f>IF(Overrides!C95=Lists!A37,Overrides!C100,IF(noteco=1,0,Exploration!V23))</f>
        <v>217.75278028130359</v>
      </c>
      <c r="D11" s="151"/>
      <c r="E11" s="151"/>
      <c r="F11" s="151"/>
      <c r="G11" s="151"/>
      <c r="H11" s="151">
        <f>SUM(C11:G11)</f>
        <v>217.75278028130359</v>
      </c>
      <c r="I11" s="151">
        <f>I8+H11-B11</f>
        <v>217.75278028130359</v>
      </c>
      <c r="J11" s="151"/>
      <c r="K11" s="151"/>
      <c r="L11" s="151"/>
      <c r="M11" s="151"/>
      <c r="N11" s="151"/>
      <c r="O11" s="151">
        <f>$I11</f>
        <v>217.75278028130359</v>
      </c>
      <c r="P11" s="151">
        <f>$I11</f>
        <v>217.75278028130359</v>
      </c>
      <c r="Q11" s="151">
        <f>$I11</f>
        <v>217.75278028130359</v>
      </c>
      <c r="R11" s="151">
        <v>0</v>
      </c>
      <c r="S11" s="151"/>
      <c r="T11" s="151"/>
      <c r="U11" s="151"/>
      <c r="V11" s="151"/>
      <c r="W11" s="151"/>
      <c r="X11" s="151"/>
      <c r="Y11" s="151"/>
      <c r="Z11" s="151"/>
      <c r="AA11" s="151"/>
      <c r="AB11" s="151"/>
      <c r="AC11" s="151"/>
      <c r="AD11" s="151"/>
      <c r="AE11" s="151"/>
      <c r="AF11" s="151"/>
      <c r="AG11" s="151"/>
      <c r="AH11" s="151"/>
      <c r="AI11" s="151"/>
      <c r="AJ11" s="151"/>
      <c r="AK11" s="151"/>
      <c r="AL11" s="151"/>
      <c r="AM11" s="151"/>
      <c r="AN11" s="93"/>
      <c r="AO11" s="93"/>
      <c r="AP11" s="93"/>
      <c r="AQ11" s="93"/>
      <c r="AR11" s="93"/>
      <c r="AS11" s="93"/>
      <c r="AT11" s="93"/>
      <c r="AU11" s="93"/>
      <c r="AV11" s="93"/>
      <c r="AW11" s="93"/>
      <c r="AX11" s="93"/>
      <c r="AY11" s="93"/>
      <c r="AZ11" s="93"/>
      <c r="BA11" s="93"/>
      <c r="BB11" s="93"/>
    </row>
    <row r="12" spans="1:54">
      <c r="A12" s="139">
        <f>'Success Cash Flow'!A10</f>
        <v>2015</v>
      </c>
      <c r="B12" s="158">
        <f>'Success Cash Flow'!E10</f>
        <v>0</v>
      </c>
      <c r="C12" s="158">
        <f>IF(noteco=Lists!A$84,0,Exploration!AB35)</f>
        <v>0</v>
      </c>
      <c r="D12" s="158">
        <f>Development!BL91</f>
        <v>640.29576657195844</v>
      </c>
      <c r="E12" s="158">
        <f>Operations!S19</f>
        <v>0</v>
      </c>
      <c r="F12" s="158">
        <f>Abandonment!G16</f>
        <v>0</v>
      </c>
      <c r="G12" s="158">
        <f t="shared" ref="G12:G51" si="3">IF(I11&lt;0,0,X12)</f>
        <v>0</v>
      </c>
      <c r="H12" s="158">
        <f>SUM(C12:G12)</f>
        <v>640.29576657195844</v>
      </c>
      <c r="I12" s="158">
        <f>I11+H12-B12</f>
        <v>858.048546853262</v>
      </c>
      <c r="J12" s="158">
        <f>IF(A12&lt;Development!$C$6,0,IF(A12=Development!C$6,Development!$D$6,IF(I12&lt;0,IF(I11&gt;0,ROUNDDOWN(-I11/(I12-I11)*12,0),0),12)))</f>
        <v>1</v>
      </c>
      <c r="K12" s="158">
        <f>IF(OR(A12&lt;Development!$C$6,A12&gt;Abandonment!$B$4),0,(J12*I11-(I11-I12)*J12*(J12+1)/24)/12)</f>
        <v>22.592563402413901</v>
      </c>
      <c r="L12" s="158">
        <f>$K12*(L$7+'Selected Economics'!$G11)</f>
        <v>1.694442255181043</v>
      </c>
      <c r="M12" s="158">
        <f>$K12*(M$7+'Selected Economics'!$G11)</f>
        <v>5.083326765543128</v>
      </c>
      <c r="N12" s="158">
        <f>$K12*(N$7+'Selected Economics'!$G11)</f>
        <v>10.731467616146604</v>
      </c>
      <c r="O12" s="158">
        <f t="shared" ref="O12:O28" si="4">$H12-$B12+L12+O11</f>
        <v>859.742989108443</v>
      </c>
      <c r="P12" s="158">
        <f t="shared" ref="P12:Q27" si="5">$H12-$B12+M12+P11</f>
        <v>863.13187361880512</v>
      </c>
      <c r="Q12" s="158">
        <f t="shared" si="5"/>
        <v>868.78001446940857</v>
      </c>
      <c r="R12" s="158">
        <f>IF(A12=Production!$B$4,Production!$B$5,IF(A12&lt;Production!$B$4,0,12+R11))</f>
        <v>0</v>
      </c>
      <c r="S12" s="158">
        <f>MIN($R12,IF(O12&lt;0,MAX(IF(Input!$B$33="Yes",MIN(12,24-R11),0),IF(AND(O11&gt;0,O12&lt;0),ROUNDDOWN(-O11/(O12-O11)*12,0)+0.5),0),12))</f>
        <v>0</v>
      </c>
      <c r="T12" s="158">
        <f>MAX(0,MIN($R12,IF(P12&lt;0,MAX(IF(Input!$B$33="Yes",MIN(12,36-R11),0),IF(AND(P11&gt;0,P12&lt;0),ROUNDDOWN(-P11/(P12-P11)*12,0)+0.5),0),12))-S12)</f>
        <v>0</v>
      </c>
      <c r="U12" s="158">
        <f>MAX(0,MIN($R12,IF(AND(Q11&gt;0,Q12&lt;0),ROUNDDOWN(-Q11/(Q12-Q11)*12,0)+0.5,IF(AND(Q12&gt;0,MIN(Q$11:Q11)&gt;=0),12,0)))-SUM(S12:T12))</f>
        <v>0</v>
      </c>
      <c r="V12" s="158">
        <f t="shared" ref="V12:V51" si="6">MAX(0,MIN(R12,12)-SUM(S12:U12))</f>
        <v>0</v>
      </c>
      <c r="W12" s="158">
        <f>B12-C12-D12-E12-F12</f>
        <v>-640.29576657195844</v>
      </c>
      <c r="X12" s="158">
        <f>X$7*$B12</f>
        <v>0</v>
      </c>
      <c r="Y12" s="158">
        <f t="shared" ref="Y12:Y51" si="7">Y$7*$B12</f>
        <v>0</v>
      </c>
      <c r="Z12" s="158">
        <f>MAX($Y12,Z$7*$W12)</f>
        <v>0</v>
      </c>
      <c r="AA12" s="158">
        <f t="shared" ref="AA12:AA51" si="8">MAX($Y12,AA$7*$W12)</f>
        <v>0</v>
      </c>
      <c r="AB12" s="158">
        <f>IF($R12=0,0,X12*S12/MIN($R12,12))</f>
        <v>0</v>
      </c>
      <c r="AC12" s="158">
        <f t="shared" ref="AC12:AE51" si="9">IF($R12=0,0,Y12*T12/MIN($R12,12))</f>
        <v>0</v>
      </c>
      <c r="AD12" s="158">
        <f t="shared" si="9"/>
        <v>0</v>
      </c>
      <c r="AE12" s="158">
        <f t="shared" si="9"/>
        <v>0</v>
      </c>
      <c r="AF12" s="158">
        <f>SUM(AB12:AE12)</f>
        <v>0</v>
      </c>
      <c r="AG12" s="158">
        <f>IF(A12=Abandonment!$B$4,-W12,0)</f>
        <v>0</v>
      </c>
      <c r="AH12" s="158">
        <f>IF(W12&gt;0,W12,0)</f>
        <v>0</v>
      </c>
      <c r="AI12" s="158">
        <f>MIN(AH12,MAX(0,$AL$3-SUM(AI13:AI$52)))</f>
        <v>0</v>
      </c>
      <c r="AJ12" s="158">
        <f>IF(AI12&lt;=0,AF12,MAX((AH12-AI12)/AH12*AF12,(X12*S12+Y12*(MIN(12,R12)-S12))/MIN(12,R12)))</f>
        <v>0</v>
      </c>
      <c r="AK12" s="158">
        <f t="shared" ref="AK12:AK51" si="10">AF12-AJ12</f>
        <v>0</v>
      </c>
      <c r="AL12" s="158">
        <f>IF($A12=Abandonment!$B$4,LossRec,0)</f>
        <v>0</v>
      </c>
      <c r="AM12" s="158">
        <f t="shared" ref="AM12:AM51" si="11">AF12-AL12</f>
        <v>0</v>
      </c>
      <c r="AN12" s="93"/>
      <c r="AO12" s="93"/>
      <c r="AP12" s="93"/>
      <c r="AQ12" s="157"/>
      <c r="AR12" s="157"/>
      <c r="AS12" s="157"/>
      <c r="AT12" s="157"/>
      <c r="AU12" s="93"/>
      <c r="AV12" s="93"/>
      <c r="AW12" s="93"/>
      <c r="AX12" s="93"/>
      <c r="AY12" s="93"/>
      <c r="AZ12" s="93"/>
      <c r="BA12" s="93"/>
      <c r="BB12" s="93"/>
    </row>
    <row r="13" spans="1:54">
      <c r="A13" s="140">
        <f>A12+1</f>
        <v>2016</v>
      </c>
      <c r="B13" s="160">
        <f>'Success Cash Flow'!E11</f>
        <v>0</v>
      </c>
      <c r="C13" s="160">
        <f>IF(noteco=Lists!A$84,0,Exploration!AB36)</f>
        <v>0</v>
      </c>
      <c r="D13" s="160">
        <f>Development!BL92</f>
        <v>3255.271138381665</v>
      </c>
      <c r="E13" s="160">
        <f>Operations!S20</f>
        <v>0</v>
      </c>
      <c r="F13" s="160">
        <f>Abandonment!G17</f>
        <v>0</v>
      </c>
      <c r="G13" s="160">
        <f t="shared" si="3"/>
        <v>0</v>
      </c>
      <c r="H13" s="160">
        <f t="shared" ref="H13:H51" si="12">SUM(C13:G13)</f>
        <v>3255.271138381665</v>
      </c>
      <c r="I13" s="160">
        <f t="shared" ref="I13:I51" si="13">I12+H13-B13</f>
        <v>4113.3196852349265</v>
      </c>
      <c r="J13" s="160">
        <f>IF(A13&lt;Development!$C$6,0,IF(A13=Development!C$6,Development!$D$6,IF(I13&lt;0,IF(I12&gt;0,ROUNDDOWN(-I12/(I13-I12)*12,0),0),12)))</f>
        <v>12</v>
      </c>
      <c r="K13" s="160">
        <f>IF(OR(A13&lt;Development!$C$6,A13&gt;Abandonment!$B$4),0,(J13*I12-(I12-I13)*J13*(J13+1)/24)/12)</f>
        <v>2621.3204134766638</v>
      </c>
      <c r="L13" s="160">
        <f>$K13*(L$7+'Selected Economics'!$G12)</f>
        <v>196.59903101074983</v>
      </c>
      <c r="M13" s="160">
        <f>$K13*(M$7+'Selected Economics'!$G12)</f>
        <v>589.79709303224934</v>
      </c>
      <c r="N13" s="160">
        <f>$K13*(N$7+'Selected Economics'!$G12)</f>
        <v>1245.1271964014154</v>
      </c>
      <c r="O13" s="160">
        <f t="shared" si="4"/>
        <v>4311.6131585008579</v>
      </c>
      <c r="P13" s="160">
        <f t="shared" si="5"/>
        <v>4708.2001050327199</v>
      </c>
      <c r="Q13" s="160">
        <f t="shared" si="5"/>
        <v>5369.1783492524883</v>
      </c>
      <c r="R13" s="160">
        <f>IF(A13=Production!$B$4,Production!$B$5,IF(A13&lt;Production!$B$4,0,12+R12))</f>
        <v>0</v>
      </c>
      <c r="S13" s="160">
        <f>MIN($R13,IF(O13&lt;0,MAX(IF(Input!$B$33="Yes",MIN(12,24-R12),0),IF(AND(O12&gt;0,O13&lt;0),ROUNDDOWN(-O12/(O13-O12)*12,0)+0.5),0),12))</f>
        <v>0</v>
      </c>
      <c r="T13" s="160">
        <f>MAX(0,MIN($R13,IF(P13&lt;0,MAX(IF(Input!$B$33="Yes",MIN(12,36-R12),0),IF(AND(P12&gt;0,P13&lt;0),ROUNDDOWN(-P12/(P13-P12)*12,0)+0.5),0),12))-S13)</f>
        <v>0</v>
      </c>
      <c r="U13" s="160">
        <f>MAX(0,MIN($R13,IF(AND(Q12&gt;0,Q13&lt;0),ROUNDDOWN(-Q12/(Q13-Q12)*12,0)+0.5,IF(AND(Q13&gt;0,MIN(Q$11:Q12)&gt;=0),12,0)))-SUM(S13:T13))</f>
        <v>0</v>
      </c>
      <c r="V13" s="160">
        <f t="shared" si="6"/>
        <v>0</v>
      </c>
      <c r="W13" s="160">
        <f t="shared" ref="W13:W51" si="14">B13-C13-D13-E13-F13</f>
        <v>-3255.271138381665</v>
      </c>
      <c r="X13" s="160">
        <f t="shared" ref="X13:X51" si="15">X$7*$B13</f>
        <v>0</v>
      </c>
      <c r="Y13" s="160">
        <f t="shared" si="7"/>
        <v>0</v>
      </c>
      <c r="Z13" s="160">
        <f t="shared" ref="Z13:Z51" si="16">MAX($Y13,Z$7*$W13)</f>
        <v>0</v>
      </c>
      <c r="AA13" s="160">
        <f t="shared" si="8"/>
        <v>0</v>
      </c>
      <c r="AB13" s="160">
        <f t="shared" ref="AB13:AB51" si="17">IF($R13=0,0,X13*S13/MIN($R13,12))</f>
        <v>0</v>
      </c>
      <c r="AC13" s="160">
        <f t="shared" si="9"/>
        <v>0</v>
      </c>
      <c r="AD13" s="160">
        <f t="shared" si="9"/>
        <v>0</v>
      </c>
      <c r="AE13" s="160">
        <f t="shared" si="9"/>
        <v>0</v>
      </c>
      <c r="AF13" s="160">
        <f t="shared" ref="AF13:AF51" si="18">SUM(AB13:AE13)</f>
        <v>0</v>
      </c>
      <c r="AG13" s="160">
        <f>IF(A13=Abandonment!$B$4,-W13,0)</f>
        <v>0</v>
      </c>
      <c r="AH13" s="160">
        <f t="shared" ref="AH13:AH51" si="19">IF(W13&gt;0,W13,0)</f>
        <v>0</v>
      </c>
      <c r="AI13" s="160">
        <f>MIN(AH13,MAX(0,$AL$3-SUM(AI14:AI$52)))</f>
        <v>0</v>
      </c>
      <c r="AJ13" s="160">
        <f>IF(AI13&lt;=0,AF13,MAX((AH13-AI13)/AH13*AF13,(X13*S13+Y13*(MIN(12,R13)-S13))/MIN(12,R13)))</f>
        <v>0</v>
      </c>
      <c r="AK13" s="160">
        <f t="shared" si="10"/>
        <v>0</v>
      </c>
      <c r="AL13" s="160">
        <f>IF($A13=Abandonment!$B$4,LossRec,0)</f>
        <v>0</v>
      </c>
      <c r="AM13" s="160">
        <f t="shared" si="11"/>
        <v>0</v>
      </c>
      <c r="AN13" s="93"/>
      <c r="AO13" s="93"/>
      <c r="AP13" s="93"/>
      <c r="AQ13" s="245">
        <f>IF(AND(I13&lt;0,I12&gt;0,AQ12=0),DATE(A13,MIN(12,$R13,J13+1),1),AQ12)</f>
        <v>0</v>
      </c>
      <c r="AR13" s="245">
        <f>IF(AND(O13&lt;0,O12&gt;0,AR12=0),DATE($A13,MAX(12-$R13,0)+SUM($S13:S13)+0.5,1),AR12)</f>
        <v>0</v>
      </c>
      <c r="AS13" s="245">
        <f>IF(AND(P13&lt;0,P12&gt;0,AS12=0),DATE($A13,MAX(12-$R13,0)+SUM($S13:T13)+0.5,1),AS12)</f>
        <v>0</v>
      </c>
      <c r="AT13" s="245">
        <f>IF(AND(Q13&lt;0,Q12&gt;0,AT12=0),DATE($A13,MAX(12-$R13,0)+SUM($S13:U13)+0.5,1),AT12)</f>
        <v>0</v>
      </c>
      <c r="AU13" s="93"/>
      <c r="AV13" s="93"/>
      <c r="AW13" s="93"/>
      <c r="AX13" s="93"/>
      <c r="AY13" s="93"/>
      <c r="AZ13" s="93"/>
      <c r="BA13" s="93"/>
      <c r="BB13" s="93"/>
    </row>
    <row r="14" spans="1:54">
      <c r="A14" s="140">
        <f t="shared" ref="A14:A51" si="20">A13+1</f>
        <v>2017</v>
      </c>
      <c r="B14" s="160">
        <f>'Success Cash Flow'!E12</f>
        <v>2012.6514791633831</v>
      </c>
      <c r="C14" s="160">
        <f>IF(noteco=Lists!A$84,0,Exploration!AB37)</f>
        <v>0</v>
      </c>
      <c r="D14" s="160">
        <f>Development!BL93</f>
        <v>1430.0111156795779</v>
      </c>
      <c r="E14" s="160">
        <f>Operations!S21</f>
        <v>301.44749051165951</v>
      </c>
      <c r="F14" s="160">
        <f>Abandonment!G18</f>
        <v>0</v>
      </c>
      <c r="G14" s="160">
        <f t="shared" si="3"/>
        <v>40.253029583267661</v>
      </c>
      <c r="H14" s="160">
        <f t="shared" si="12"/>
        <v>1771.7116357745049</v>
      </c>
      <c r="I14" s="160">
        <f t="shared" si="13"/>
        <v>3872.3798418460487</v>
      </c>
      <c r="J14" s="160">
        <f>IF(A14&lt;Development!$C$6,0,IF(A14=Development!C$6,Development!$D$6,IF(I14&lt;0,IF(I13&gt;0,ROUNDDOWN(-I13/(I14-I13)*12,0),0),12)))</f>
        <v>12</v>
      </c>
      <c r="K14" s="160">
        <f>IF(OR(A14&lt;Development!$C$6,A14&gt;Abandonment!$B$4),0,(J14*I13-(I13-I14)*J14*(J14+1)/24)/12)</f>
        <v>3982.8106033992844</v>
      </c>
      <c r="L14" s="160">
        <f>$K14*(L$7+'Selected Economics'!$G13)</f>
        <v>298.71079525494639</v>
      </c>
      <c r="M14" s="160">
        <f>$K14*(M$7+'Selected Economics'!$G13)</f>
        <v>896.132385764839</v>
      </c>
      <c r="N14" s="160">
        <f>$K14*(N$7+'Selected Economics'!$G13)</f>
        <v>1891.8350366146603</v>
      </c>
      <c r="O14" s="160">
        <f t="shared" si="4"/>
        <v>4369.3841103669265</v>
      </c>
      <c r="P14" s="160">
        <f t="shared" si="5"/>
        <v>5363.3926474086802</v>
      </c>
      <c r="Q14" s="160">
        <f t="shared" si="5"/>
        <v>7020.0735424782706</v>
      </c>
      <c r="R14" s="160">
        <f>IF(A14=Production!$B$4,Production!$B$5,IF(A14&lt;Production!$B$4,0,12+R13))</f>
        <v>3</v>
      </c>
      <c r="S14" s="160">
        <f>MIN($R14,IF(O14&lt;0,MAX(IF(Input!$B$33="Yes",MIN(12,24-R13),0),IF(AND(O13&gt;0,O14&lt;0),ROUNDDOWN(-O13/(O14-O13)*12,0)+0.5),0),12))</f>
        <v>3</v>
      </c>
      <c r="T14" s="160">
        <f>MAX(0,MIN($R14,IF(P14&lt;0,MAX(IF(Input!$B$33="Yes",MIN(12,36-R13),0),IF(AND(P13&gt;0,P14&lt;0),ROUNDDOWN(-P13/(P14-P13)*12,0)+0.5),0),12))-S14)</f>
        <v>0</v>
      </c>
      <c r="U14" s="160">
        <f>MAX(0,MIN($R14,IF(AND(Q13&gt;0,Q14&lt;0),ROUNDDOWN(-Q13/(Q14-Q13)*12,0)+0.5,IF(AND(Q14&gt;0,MIN(Q$11:Q13)&gt;=0),12,0)))-SUM(S14:T14))</f>
        <v>0</v>
      </c>
      <c r="V14" s="160">
        <f t="shared" si="6"/>
        <v>0</v>
      </c>
      <c r="W14" s="160">
        <f t="shared" si="14"/>
        <v>281.19287297214572</v>
      </c>
      <c r="X14" s="160">
        <f t="shared" si="15"/>
        <v>40.253029583267661</v>
      </c>
      <c r="Y14" s="160">
        <f t="shared" si="7"/>
        <v>100.63257395816916</v>
      </c>
      <c r="Z14" s="160">
        <f t="shared" si="16"/>
        <v>100.63257395816916</v>
      </c>
      <c r="AA14" s="160">
        <f t="shared" si="8"/>
        <v>100.63257395816916</v>
      </c>
      <c r="AB14" s="160">
        <f t="shared" si="17"/>
        <v>40.253029583267661</v>
      </c>
      <c r="AC14" s="160">
        <f t="shared" si="9"/>
        <v>0</v>
      </c>
      <c r="AD14" s="160">
        <f t="shared" si="9"/>
        <v>0</v>
      </c>
      <c r="AE14" s="160">
        <f t="shared" si="9"/>
        <v>0</v>
      </c>
      <c r="AF14" s="160">
        <f t="shared" si="18"/>
        <v>40.253029583267661</v>
      </c>
      <c r="AG14" s="160">
        <f>IF(A14=Abandonment!$B$4,-W14,0)</f>
        <v>0</v>
      </c>
      <c r="AH14" s="160">
        <f t="shared" si="19"/>
        <v>281.19287297214572</v>
      </c>
      <c r="AI14" s="160">
        <f>MIN(AH14,MAX(0,$AL$3-SUM(AI15:AI$52)))</f>
        <v>0</v>
      </c>
      <c r="AJ14" s="160">
        <f>IF(AI14&lt;=0,AF14,MAX((AH14-AI14)/AH14*AF14,(X14*S14+Y14*(MIN(12,R14)-S14))/MIN(12,R14)))</f>
        <v>40.253029583267661</v>
      </c>
      <c r="AK14" s="160">
        <f t="shared" si="10"/>
        <v>0</v>
      </c>
      <c r="AL14" s="160">
        <f>IF($A14=Abandonment!$B$4,LossRec,0)</f>
        <v>0</v>
      </c>
      <c r="AM14" s="160">
        <f t="shared" si="11"/>
        <v>40.253029583267661</v>
      </c>
      <c r="AN14" s="93"/>
      <c r="AO14" s="93"/>
      <c r="AP14" s="93"/>
      <c r="AQ14" s="245">
        <f t="shared" ref="AQ14:AQ51" si="21">IF(AND(I14&lt;0,I13&gt;0,AQ13=0),DATE(A14,MIN(12,J14+1),1),AQ13)</f>
        <v>0</v>
      </c>
      <c r="AR14" s="245">
        <f>IF(AND(O14&lt;0,O13&gt;0,AR13=0),DATE($A14,MAX(12-$R14,0)+SUM($S14:S14)+0.5,1),AR13)</f>
        <v>0</v>
      </c>
      <c r="AS14" s="245">
        <f>IF(AND(P14&lt;0,P13&gt;0,AS13=0),DATE($A14,MAX(12-$R14,0)+SUM($S14:T14)+0.5,1),AS13)</f>
        <v>0</v>
      </c>
      <c r="AT14" s="245">
        <f>IF(AND(Q14&lt;0,Q13&gt;0,AT13=0),DATE($A14,MAX(12-$R14,0)+SUM($S14:U14)+0.5,1),AT13)</f>
        <v>0</v>
      </c>
      <c r="AU14" s="93"/>
      <c r="AV14" s="93"/>
      <c r="AW14" s="93"/>
      <c r="AX14" s="93"/>
      <c r="AY14" s="93"/>
      <c r="AZ14" s="93"/>
      <c r="BA14" s="93"/>
      <c r="BB14" s="93"/>
    </row>
    <row r="15" spans="1:54">
      <c r="A15" s="140">
        <f t="shared" si="20"/>
        <v>2018</v>
      </c>
      <c r="B15" s="160">
        <f>'Success Cash Flow'!E13</f>
        <v>3086.9816592345874</v>
      </c>
      <c r="C15" s="160">
        <f>IF(noteco=Lists!A$84,0,Exploration!AB38)</f>
        <v>0</v>
      </c>
      <c r="D15" s="160">
        <f>Development!BL94</f>
        <v>0</v>
      </c>
      <c r="E15" s="160">
        <f>Operations!S22</f>
        <v>380.63763781250333</v>
      </c>
      <c r="F15" s="160">
        <f>Abandonment!G19</f>
        <v>0</v>
      </c>
      <c r="G15" s="160">
        <f t="shared" si="3"/>
        <v>61.739633184691748</v>
      </c>
      <c r="H15" s="160">
        <f t="shared" si="12"/>
        <v>442.37727099719507</v>
      </c>
      <c r="I15" s="160">
        <f t="shared" si="13"/>
        <v>1227.7754536086563</v>
      </c>
      <c r="J15" s="160">
        <f>IF(A15&lt;Development!$C$6,0,IF(A15=Development!C$6,Development!$D$6,IF(I15&lt;0,IF(I14&gt;0,ROUNDDOWN(-I14/(I15-I14)*12,0),0),12)))</f>
        <v>12</v>
      </c>
      <c r="K15" s="160">
        <f>IF(OR(A15&lt;Development!$C$6,A15&gt;Abandonment!$B$4),0,(J15*I14-(I14-I15)*J15*(J15+1)/24)/12)</f>
        <v>2439.8857982174613</v>
      </c>
      <c r="L15" s="160">
        <f>$K15*(L$7+'Selected Economics'!$G14)</f>
        <v>182.99143486630962</v>
      </c>
      <c r="M15" s="160">
        <f>$K15*(M$7+'Selected Economics'!$G14)</f>
        <v>548.97430459892882</v>
      </c>
      <c r="N15" s="160">
        <f>$K15*(N$7+'Selected Economics'!$G14)</f>
        <v>1158.9457541532943</v>
      </c>
      <c r="O15" s="160">
        <f t="shared" si="4"/>
        <v>1907.7711569958437</v>
      </c>
      <c r="P15" s="160">
        <f t="shared" si="5"/>
        <v>3267.7625637702167</v>
      </c>
      <c r="Q15" s="160">
        <f t="shared" si="5"/>
        <v>5534.414908394172</v>
      </c>
      <c r="R15" s="160">
        <f>IF(A15=Production!$B$4,Production!$B$5,IF(A15&lt;Production!$B$4,0,12+R14))</f>
        <v>15</v>
      </c>
      <c r="S15" s="160">
        <f>MIN($R15,IF(O15&lt;0,MAX(IF(Input!$B$33="Yes",MIN(12,24-R14),0),IF(AND(O14&gt;0,O15&lt;0),ROUNDDOWN(-O14/(O15-O14)*12,0)+0.5),0),12))</f>
        <v>12</v>
      </c>
      <c r="T15" s="160">
        <f>MAX(0,MIN($R15,IF(P15&lt;0,MAX(IF(Input!$B$33="Yes",MIN(12,36-R14),0),IF(AND(P14&gt;0,P15&lt;0),ROUNDDOWN(-P14/(P15-P14)*12,0)+0.5),0),12))-S15)</f>
        <v>0</v>
      </c>
      <c r="U15" s="160">
        <f>MAX(0,MIN($R15,IF(AND(Q14&gt;0,Q15&lt;0),ROUNDDOWN(-Q14/(Q15-Q14)*12,0)+0.5,IF(AND(Q15&gt;0,MIN(Q$11:Q14)&gt;=0),12,0)))-SUM(S15:T15))</f>
        <v>0</v>
      </c>
      <c r="V15" s="160">
        <f t="shared" si="6"/>
        <v>0</v>
      </c>
      <c r="W15" s="160">
        <f t="shared" si="14"/>
        <v>2706.3440214220841</v>
      </c>
      <c r="X15" s="160">
        <f t="shared" si="15"/>
        <v>61.739633184691748</v>
      </c>
      <c r="Y15" s="160">
        <f t="shared" si="7"/>
        <v>154.34908296172938</v>
      </c>
      <c r="Z15" s="160">
        <f t="shared" si="16"/>
        <v>541.26880428441689</v>
      </c>
      <c r="AA15" s="160">
        <f t="shared" si="8"/>
        <v>947.22040749772941</v>
      </c>
      <c r="AB15" s="160">
        <f t="shared" si="17"/>
        <v>61.739633184691748</v>
      </c>
      <c r="AC15" s="160">
        <f t="shared" si="9"/>
        <v>0</v>
      </c>
      <c r="AD15" s="160">
        <f t="shared" si="9"/>
        <v>0</v>
      </c>
      <c r="AE15" s="160">
        <f t="shared" si="9"/>
        <v>0</v>
      </c>
      <c r="AF15" s="160">
        <f t="shared" si="18"/>
        <v>61.739633184691748</v>
      </c>
      <c r="AG15" s="160">
        <f>IF(A15=Abandonment!$B$4,-W15,0)</f>
        <v>0</v>
      </c>
      <c r="AH15" s="160">
        <f t="shared" si="19"/>
        <v>2706.3440214220841</v>
      </c>
      <c r="AI15" s="160">
        <f>MIN(AH15,MAX(0,$AL$3-SUM(AI16:AI$52)))</f>
        <v>0</v>
      </c>
      <c r="AJ15" s="160">
        <f>IF(AI15&lt;=0,AF15,MAX((AH15-AI15)/AH15*AF15,(X15*S15+Y15*(MIN(12,R15)-S15))/MIN(12,R15)))</f>
        <v>61.739633184691748</v>
      </c>
      <c r="AK15" s="160">
        <f t="shared" si="10"/>
        <v>0</v>
      </c>
      <c r="AL15" s="160">
        <f>IF($A15=Abandonment!$B$4,LossRec,0)</f>
        <v>0</v>
      </c>
      <c r="AM15" s="160">
        <f t="shared" si="11"/>
        <v>61.739633184691748</v>
      </c>
      <c r="AN15" s="93"/>
      <c r="AO15" s="93"/>
      <c r="AP15" s="93"/>
      <c r="AQ15" s="245">
        <f t="shared" si="21"/>
        <v>0</v>
      </c>
      <c r="AR15" s="245">
        <f>IF(AND(O15&lt;0,O14&gt;0,AR14=0),DATE($A15,MAX(12-$R15,0)+SUM($S15:S15)+0.5,1),AR14)</f>
        <v>0</v>
      </c>
      <c r="AS15" s="245">
        <f>IF(AND(P15&lt;0,P14&gt;0,AS14=0),DATE($A15,MAX(12-$R15,0)+SUM($S15:T15)+0.5,1),AS14)</f>
        <v>0</v>
      </c>
      <c r="AT15" s="245">
        <f>IF(AND(Q15&lt;0,Q14&gt;0,AT14=0),DATE($A15,MAX(12-$R15,0)+SUM($S15:U15)+0.5,1),AT14)</f>
        <v>0</v>
      </c>
      <c r="AU15" s="93"/>
      <c r="AV15" s="93"/>
      <c r="AW15" s="93"/>
      <c r="AX15" s="93"/>
      <c r="AY15" s="93"/>
      <c r="AZ15" s="93"/>
      <c r="BA15" s="93"/>
      <c r="BB15" s="93"/>
    </row>
    <row r="16" spans="1:54">
      <c r="A16" s="140">
        <f t="shared" si="20"/>
        <v>2019</v>
      </c>
      <c r="B16" s="160">
        <f>'Success Cash Flow'!E14</f>
        <v>3360.4565535348706</v>
      </c>
      <c r="C16" s="160">
        <f>IF(noteco=Lists!A$84,0,Exploration!AB39)</f>
        <v>0</v>
      </c>
      <c r="D16" s="160">
        <f>Development!BL95</f>
        <v>0</v>
      </c>
      <c r="E16" s="160">
        <f>Operations!S23</f>
        <v>390.15357875781586</v>
      </c>
      <c r="F16" s="160">
        <f>Abandonment!G20</f>
        <v>0</v>
      </c>
      <c r="G16" s="160">
        <f t="shared" si="3"/>
        <v>67.20913107069741</v>
      </c>
      <c r="H16" s="160">
        <f t="shared" si="12"/>
        <v>457.36270982851329</v>
      </c>
      <c r="I16" s="160">
        <f t="shared" si="13"/>
        <v>-1675.318390097701</v>
      </c>
      <c r="J16" s="160">
        <f>IF(A16&lt;Development!$C$6,0,IF(A16=Development!C$6,Development!$D$6,IF(I16&lt;0,IF(I15&gt;0,ROUNDDOWN(-I15/(I16-I15)*12,0),0),12)))</f>
        <v>5</v>
      </c>
      <c r="K16" s="160">
        <f>IF(OR(A16&lt;Development!$C$6,A16&gt;Abandonment!$B$4),0,(J16*I15-(I15-I16)*J16*(J16+1)/24)/12)</f>
        <v>209.16749695086116</v>
      </c>
      <c r="L16" s="160">
        <f>$K16*(L$7+'Selected Economics'!$G15)</f>
        <v>15.68756227131459</v>
      </c>
      <c r="M16" s="160">
        <f>$K16*(M$7+'Selected Economics'!$G15)</f>
        <v>47.062686813943763</v>
      </c>
      <c r="N16" s="160">
        <f>$K16*(N$7+'Selected Economics'!$G15)</f>
        <v>99.354561051659061</v>
      </c>
      <c r="O16" s="160">
        <f t="shared" si="4"/>
        <v>-979.63512443919899</v>
      </c>
      <c r="P16" s="160">
        <f t="shared" si="5"/>
        <v>411.73140687780324</v>
      </c>
      <c r="Q16" s="160">
        <f t="shared" si="5"/>
        <v>2730.6756257394736</v>
      </c>
      <c r="R16" s="160">
        <f>IF(A16=Production!$B$4,Production!$B$5,IF(A16&lt;Production!$B$4,0,12+R15))</f>
        <v>27</v>
      </c>
      <c r="S16" s="160">
        <f>MIN($R16,IF(O16&lt;0,MAX(IF(Input!$B$33="Yes",MIN(12,24-R15),0),IF(AND(O15&gt;0,O16&lt;0),ROUNDDOWN(-O15/(O16-O15)*12,0)+0.5),0),12))</f>
        <v>7.5</v>
      </c>
      <c r="T16" s="160">
        <f>MAX(0,MIN($R16,IF(P16&lt;0,MAX(IF(Input!$B$33="Yes",MIN(12,36-R15),0),IF(AND(P15&gt;0,P16&lt;0),ROUNDDOWN(-P15/(P16-P15)*12,0)+0.5),0),12))-S16)</f>
        <v>4.5</v>
      </c>
      <c r="U16" s="160">
        <f>MAX(0,MIN($R16,IF(AND(Q15&gt;0,Q16&lt;0),ROUNDDOWN(-Q15/(Q16-Q15)*12,0)+0.5,IF(AND(Q16&gt;0,MIN(Q$11:Q15)&gt;=0),12,0)))-SUM(S16:T16))</f>
        <v>0</v>
      </c>
      <c r="V16" s="160">
        <f t="shared" si="6"/>
        <v>0</v>
      </c>
      <c r="W16" s="160">
        <f t="shared" si="14"/>
        <v>2970.3029747770547</v>
      </c>
      <c r="X16" s="160">
        <f t="shared" si="15"/>
        <v>67.20913107069741</v>
      </c>
      <c r="Y16" s="160">
        <f t="shared" si="7"/>
        <v>168.02282767674353</v>
      </c>
      <c r="Z16" s="160">
        <f t="shared" si="16"/>
        <v>594.06059495541092</v>
      </c>
      <c r="AA16" s="160">
        <f t="shared" si="8"/>
        <v>1039.6060411719691</v>
      </c>
      <c r="AB16" s="160">
        <f t="shared" si="17"/>
        <v>42.005706919185883</v>
      </c>
      <c r="AC16" s="160">
        <f t="shared" si="9"/>
        <v>63.008560378778817</v>
      </c>
      <c r="AD16" s="160">
        <f t="shared" si="9"/>
        <v>0</v>
      </c>
      <c r="AE16" s="160">
        <f t="shared" si="9"/>
        <v>0</v>
      </c>
      <c r="AF16" s="160">
        <f t="shared" si="18"/>
        <v>105.01426729796469</v>
      </c>
      <c r="AG16" s="160">
        <f>IF(A16=Abandonment!$B$4,-W16,0)</f>
        <v>0</v>
      </c>
      <c r="AH16" s="160">
        <f t="shared" si="19"/>
        <v>2970.3029747770547</v>
      </c>
      <c r="AI16" s="160">
        <f>MIN(AH16,MAX(0,$AL$3-SUM(AI17:AI$52)))</f>
        <v>0</v>
      </c>
      <c r="AJ16" s="160">
        <f t="shared" ref="AJ16:AJ51" si="22">IF(AI16&lt;=0,AF16,MAX((AH16-AI16)/AH16*AF16,(X16*S16+Y16*(MIN(12,R16)-S16))/MIN(12,R16)))</f>
        <v>105.01426729796469</v>
      </c>
      <c r="AK16" s="160">
        <f t="shared" si="10"/>
        <v>0</v>
      </c>
      <c r="AL16" s="160">
        <f>IF($A16=Abandonment!$B$4,LossRec,0)</f>
        <v>0</v>
      </c>
      <c r="AM16" s="160">
        <f t="shared" si="11"/>
        <v>105.01426729796469</v>
      </c>
      <c r="AN16" s="93"/>
      <c r="AO16" s="93"/>
      <c r="AP16" s="93"/>
      <c r="AQ16" s="245">
        <f t="shared" si="21"/>
        <v>43617</v>
      </c>
      <c r="AR16" s="245">
        <f>IF(AND(O16&lt;0,O15&gt;0,AR15=0),DATE($A16,MAX(12-$R16,0)+SUM($S16:S16)+0.5,1),AR15)</f>
        <v>43678</v>
      </c>
      <c r="AS16" s="245">
        <f>IF(AND(P16&lt;0,P15&gt;0,AS15=0),DATE($A16,MAX(12-$R16,0)+SUM($S16:T16)+0.5,1),AS15)</f>
        <v>0</v>
      </c>
      <c r="AT16" s="245">
        <f>IF(AND(Q16&lt;0,Q15&gt;0,AT15=0),DATE($A16,MAX(12-$R16,0)+SUM($S16:U16)+0.5,1),AT15)</f>
        <v>0</v>
      </c>
      <c r="AU16" s="93"/>
      <c r="AV16" s="93"/>
      <c r="AW16" s="93"/>
      <c r="AX16" s="93"/>
      <c r="AY16" s="93"/>
      <c r="AZ16" s="93"/>
      <c r="BA16" s="93"/>
      <c r="BB16" s="93"/>
    </row>
    <row r="17" spans="1:54">
      <c r="A17" s="140">
        <f t="shared" si="20"/>
        <v>2020</v>
      </c>
      <c r="B17" s="160">
        <f>'Success Cash Flow'!E15</f>
        <v>3489.6300537107768</v>
      </c>
      <c r="C17" s="160">
        <f>IF(noteco=Lists!A$84,0,Exploration!AB40)</f>
        <v>0</v>
      </c>
      <c r="D17" s="160">
        <f>Development!BL96</f>
        <v>0</v>
      </c>
      <c r="E17" s="160">
        <f>Operations!S24</f>
        <v>400.16945546861524</v>
      </c>
      <c r="F17" s="160">
        <f>Abandonment!G21</f>
        <v>0</v>
      </c>
      <c r="G17" s="160">
        <f t="shared" si="3"/>
        <v>0</v>
      </c>
      <c r="H17" s="160">
        <f t="shared" si="12"/>
        <v>400.16945546861524</v>
      </c>
      <c r="I17" s="160">
        <f t="shared" si="13"/>
        <v>-4764.7789883398627</v>
      </c>
      <c r="J17" s="160">
        <f>IF(A17&lt;Development!$C$6,0,IF(A17=Development!C$6,Development!$D$6,IF(I17&lt;0,IF(I16&gt;0,ROUNDDOWN(-I16/(I17-I16)*12,0),0),12)))</f>
        <v>0</v>
      </c>
      <c r="K17" s="160">
        <f>IF(OR(A17&lt;Development!$C$6,A17&gt;Abandonment!$B$4),0,(J17*I16-(I16-I17)*J17*(J17+1)/24)/12)</f>
        <v>0</v>
      </c>
      <c r="L17" s="160">
        <f>$K17*(L$7+'Selected Economics'!$G16)</f>
        <v>0</v>
      </c>
      <c r="M17" s="160">
        <f>$K17*(M$7+'Selected Economics'!$G16)</f>
        <v>0</v>
      </c>
      <c r="N17" s="160">
        <f>$K17*(N$7+'Selected Economics'!$G16)</f>
        <v>0</v>
      </c>
      <c r="O17" s="160">
        <f t="shared" si="4"/>
        <v>-4069.0957226813607</v>
      </c>
      <c r="P17" s="160">
        <f t="shared" si="5"/>
        <v>-2677.7291913643585</v>
      </c>
      <c r="Q17" s="160">
        <f t="shared" si="5"/>
        <v>-358.78497250268811</v>
      </c>
      <c r="R17" s="160">
        <f>IF(A17=Production!$B$4,Production!$B$5,IF(A17&lt;Production!$B$4,0,12+R16))</f>
        <v>39</v>
      </c>
      <c r="S17" s="160">
        <f>MIN($R17,IF(O17&lt;0,MAX(IF(Input!$B$33="Yes",MIN(12,24-R16),0),IF(AND(O16&gt;0,O17&lt;0),ROUNDDOWN(-O16/(O17-O16)*12,0)+0.5),0),12))</f>
        <v>0</v>
      </c>
      <c r="T17" s="160">
        <f>MAX(0,MIN($R17,IF(P17&lt;0,MAX(IF(Input!$B$33="Yes",MIN(12,36-R16),0),IF(AND(P16&gt;0,P17&lt;0),ROUNDDOWN(-P16/(P17-P16)*12,0)+0.5),0),12))-S17)</f>
        <v>1.5</v>
      </c>
      <c r="U17" s="160">
        <f>MAX(0,MIN($R17,IF(AND(Q16&gt;0,Q17&lt;0),ROUNDDOWN(-Q16/(Q17-Q16)*12,0)+0.5,IF(AND(Q17&gt;0,MIN(Q$11:Q16)&gt;=0),12,0)))-SUM(S17:T17))</f>
        <v>9</v>
      </c>
      <c r="V17" s="160">
        <f t="shared" si="6"/>
        <v>1.5</v>
      </c>
      <c r="W17" s="160">
        <f t="shared" si="14"/>
        <v>3089.4605982421617</v>
      </c>
      <c r="X17" s="160">
        <f t="shared" si="15"/>
        <v>69.79260107421554</v>
      </c>
      <c r="Y17" s="160">
        <f t="shared" si="7"/>
        <v>174.48150268553886</v>
      </c>
      <c r="Z17" s="160">
        <f t="shared" si="16"/>
        <v>617.89211964843241</v>
      </c>
      <c r="AA17" s="160">
        <f t="shared" si="8"/>
        <v>1081.3112093847565</v>
      </c>
      <c r="AB17" s="160">
        <f t="shared" si="17"/>
        <v>0</v>
      </c>
      <c r="AC17" s="160">
        <f t="shared" si="9"/>
        <v>21.810187835692357</v>
      </c>
      <c r="AD17" s="160">
        <f t="shared" si="9"/>
        <v>463.41908973632434</v>
      </c>
      <c r="AE17" s="160">
        <f t="shared" si="9"/>
        <v>135.16390117309456</v>
      </c>
      <c r="AF17" s="160">
        <f t="shared" si="18"/>
        <v>620.3931787451113</v>
      </c>
      <c r="AG17" s="160">
        <f>IF(A17=Abandonment!$B$4,-W17,0)</f>
        <v>0</v>
      </c>
      <c r="AH17" s="160">
        <f t="shared" si="19"/>
        <v>3089.4605982421617</v>
      </c>
      <c r="AI17" s="160">
        <f>MIN(AH17,MAX(0,$AL$3-SUM(AI18:AI$52)))</f>
        <v>0</v>
      </c>
      <c r="AJ17" s="160">
        <f t="shared" si="22"/>
        <v>620.3931787451113</v>
      </c>
      <c r="AK17" s="160">
        <f t="shared" si="10"/>
        <v>0</v>
      </c>
      <c r="AL17" s="160">
        <f>IF($A17=Abandonment!$B$4,LossRec,0)</f>
        <v>0</v>
      </c>
      <c r="AM17" s="160">
        <f t="shared" si="11"/>
        <v>620.3931787451113</v>
      </c>
      <c r="AN17" s="93"/>
      <c r="AO17" s="93"/>
      <c r="AP17" s="93"/>
      <c r="AQ17" s="245">
        <f t="shared" si="21"/>
        <v>43617</v>
      </c>
      <c r="AR17" s="245">
        <f>IF(AND(O17&lt;0,O16&gt;0,AR16=0),DATE($A17,MAX(12-$R17,0)+SUM($S17:S17)+0.5,1),AR16)</f>
        <v>43678</v>
      </c>
      <c r="AS17" s="245">
        <f>IF(AND(P17&lt;0,P16&gt;0,AS16=0),DATE($A17,MAX(12-$R17,0)+SUM($S17:T17)+0.5,1),AS16)</f>
        <v>43862</v>
      </c>
      <c r="AT17" s="245">
        <f>IF(AND(Q17&lt;0,Q16&gt;0,AT16=0),DATE($A17,MAX(12-$R17,0)+SUM($S17:U17)+0.5,1),AT16)</f>
        <v>44136</v>
      </c>
      <c r="AU17" s="93"/>
      <c r="AV17" s="93"/>
      <c r="AW17" s="93"/>
      <c r="AX17" s="93"/>
      <c r="AY17" s="93"/>
      <c r="AZ17" s="93"/>
      <c r="BA17" s="93"/>
      <c r="BB17" s="93"/>
    </row>
    <row r="18" spans="1:54">
      <c r="A18" s="140">
        <f t="shared" si="20"/>
        <v>2021</v>
      </c>
      <c r="B18" s="160">
        <f>'Success Cash Flow'!E16</f>
        <v>3437.9023569650776</v>
      </c>
      <c r="C18" s="160">
        <f>IF(noteco=Lists!A$84,0,Exploration!AB41)</f>
        <v>0</v>
      </c>
      <c r="D18" s="160">
        <f>Development!BL97</f>
        <v>0</v>
      </c>
      <c r="E18" s="160">
        <f>Operations!S25</f>
        <v>400.20429944710787</v>
      </c>
      <c r="F18" s="160">
        <f>Abandonment!G22</f>
        <v>0</v>
      </c>
      <c r="G18" s="160">
        <f t="shared" si="3"/>
        <v>0</v>
      </c>
      <c r="H18" s="160">
        <f t="shared" si="12"/>
        <v>400.20429944710787</v>
      </c>
      <c r="I18" s="160">
        <f t="shared" si="13"/>
        <v>-7802.4770458578332</v>
      </c>
      <c r="J18" s="160">
        <f>IF(A18&lt;Development!$C$6,0,IF(A18=Development!C$6,Development!$D$6,IF(I18&lt;0,IF(I17&gt;0,ROUNDDOWN(-I17/(I18-I17)*12,0),0),12)))</f>
        <v>0</v>
      </c>
      <c r="K18" s="160">
        <f>IF(OR(A18&lt;Development!$C$6,A18&gt;Abandonment!$B$4),0,(J18*I17-(I17-I18)*J18*(J18+1)/24)/12)</f>
        <v>0</v>
      </c>
      <c r="L18" s="160">
        <f>$K18*(L$7+'Selected Economics'!$G17)</f>
        <v>0</v>
      </c>
      <c r="M18" s="160">
        <f>$K18*(M$7+'Selected Economics'!$G17)</f>
        <v>0</v>
      </c>
      <c r="N18" s="160">
        <f>$K18*(N$7+'Selected Economics'!$G17)</f>
        <v>0</v>
      </c>
      <c r="O18" s="160">
        <f t="shared" si="4"/>
        <v>-7106.7937801993303</v>
      </c>
      <c r="P18" s="160">
        <f t="shared" si="5"/>
        <v>-5715.4272488823281</v>
      </c>
      <c r="Q18" s="160">
        <f t="shared" si="5"/>
        <v>-3396.4830300206577</v>
      </c>
      <c r="R18" s="160">
        <f>IF(A18=Production!$B$4,Production!$B$5,IF(A18&lt;Production!$B$4,0,12+R17))</f>
        <v>51</v>
      </c>
      <c r="S18" s="160">
        <f>MIN($R18,IF(O18&lt;0,MAX(IF(Input!$B$33="Yes",MIN(12,24-R17),0),IF(AND(O17&gt;0,O18&lt;0),ROUNDDOWN(-O17/(O18-O17)*12,0)+0.5),0),12))</f>
        <v>0</v>
      </c>
      <c r="T18" s="160">
        <f>MAX(0,MIN($R18,IF(P18&lt;0,MAX(IF(Input!$B$33="Yes",MIN(12,36-R17),0),IF(AND(P17&gt;0,P18&lt;0),ROUNDDOWN(-P17/(P18-P17)*12,0)+0.5),0),12))-S18)</f>
        <v>0</v>
      </c>
      <c r="U18" s="160">
        <f>MAX(0,MIN($R18,IF(AND(Q17&gt;0,Q18&lt;0),ROUNDDOWN(-Q17/(Q18-Q17)*12,0)+0.5,IF(AND(Q18&gt;0,MIN(Q$11:Q17)&gt;=0),12,0)))-SUM(S18:T18))</f>
        <v>0</v>
      </c>
      <c r="V18" s="160">
        <f t="shared" si="6"/>
        <v>12</v>
      </c>
      <c r="W18" s="160">
        <f t="shared" si="14"/>
        <v>3037.6980575179696</v>
      </c>
      <c r="X18" s="160">
        <f t="shared" si="15"/>
        <v>68.758047139301553</v>
      </c>
      <c r="Y18" s="160">
        <f t="shared" si="7"/>
        <v>171.8951178482539</v>
      </c>
      <c r="Z18" s="160">
        <f t="shared" si="16"/>
        <v>607.53961150359396</v>
      </c>
      <c r="AA18" s="160">
        <f t="shared" si="8"/>
        <v>1063.1943201312893</v>
      </c>
      <c r="AB18" s="160">
        <f t="shared" si="17"/>
        <v>0</v>
      </c>
      <c r="AC18" s="160">
        <f t="shared" si="9"/>
        <v>0</v>
      </c>
      <c r="AD18" s="160">
        <f t="shared" si="9"/>
        <v>0</v>
      </c>
      <c r="AE18" s="160">
        <f t="shared" si="9"/>
        <v>1063.1943201312893</v>
      </c>
      <c r="AF18" s="160">
        <f t="shared" si="18"/>
        <v>1063.1943201312893</v>
      </c>
      <c r="AG18" s="160">
        <f>IF(A18=Abandonment!$B$4,-W18,0)</f>
        <v>0</v>
      </c>
      <c r="AH18" s="160">
        <f t="shared" si="19"/>
        <v>3037.6980575179696</v>
      </c>
      <c r="AI18" s="160">
        <f>MIN(AH18,MAX(0,$AL$3-SUM(AI19:AI$52)))</f>
        <v>0</v>
      </c>
      <c r="AJ18" s="160">
        <f t="shared" si="22"/>
        <v>1063.1943201312893</v>
      </c>
      <c r="AK18" s="160">
        <f t="shared" si="10"/>
        <v>0</v>
      </c>
      <c r="AL18" s="160">
        <f>IF($A18=Abandonment!$B$4,LossRec,0)</f>
        <v>0</v>
      </c>
      <c r="AM18" s="160">
        <f t="shared" si="11"/>
        <v>1063.1943201312893</v>
      </c>
      <c r="AN18" s="93"/>
      <c r="AO18" s="93"/>
      <c r="AP18" s="93"/>
      <c r="AQ18" s="245">
        <f t="shared" si="21"/>
        <v>43617</v>
      </c>
      <c r="AR18" s="245">
        <f>IF(AND(O18&lt;0,O17&gt;0,AR17=0),DATE($A18,MAX(12-$R18,0)+SUM($S18:S18)+0.5,1),AR17)</f>
        <v>43678</v>
      </c>
      <c r="AS18" s="245">
        <f>IF(AND(P18&lt;0,P17&gt;0,AS17=0),DATE($A18,MAX(12-$R18,0)+SUM($S18:T18)+0.5,1),AS17)</f>
        <v>43862</v>
      </c>
      <c r="AT18" s="245">
        <f>IF(AND(Q18&lt;0,Q17&gt;0,AT17=0),DATE($A18,MAX(12-$R18,0)+SUM($S18:U18)+0.5,1),AT17)</f>
        <v>44136</v>
      </c>
      <c r="AU18" s="93"/>
      <c r="AV18" s="93"/>
      <c r="AW18" s="93"/>
      <c r="AX18" s="93"/>
      <c r="AY18" s="93"/>
      <c r="AZ18" s="93"/>
      <c r="BA18" s="93"/>
      <c r="BB18" s="93"/>
    </row>
    <row r="19" spans="1:54">
      <c r="A19" s="140">
        <f t="shared" si="20"/>
        <v>2022</v>
      </c>
      <c r="B19" s="160">
        <f>'Success Cash Flow'!E17</f>
        <v>3027.8338255937306</v>
      </c>
      <c r="C19" s="160">
        <f>IF(noteco=Lists!A$84,0,Exploration!AB42)</f>
        <v>0</v>
      </c>
      <c r="D19" s="160">
        <f>Development!BL98</f>
        <v>0</v>
      </c>
      <c r="E19" s="160">
        <f>Operations!S26</f>
        <v>375.99269781398118</v>
      </c>
      <c r="F19" s="160">
        <f>Abandonment!G23</f>
        <v>0</v>
      </c>
      <c r="G19" s="160">
        <f t="shared" si="3"/>
        <v>0</v>
      </c>
      <c r="H19" s="160">
        <f t="shared" si="12"/>
        <v>375.99269781398118</v>
      </c>
      <c r="I19" s="160">
        <f t="shared" si="13"/>
        <v>-10454.318173637583</v>
      </c>
      <c r="J19" s="160">
        <f>IF(A19&lt;Development!$C$6,0,IF(A19=Development!C$6,Development!$D$6,IF(I19&lt;0,IF(I18&gt;0,ROUNDDOWN(-I18/(I19-I18)*12,0),0),12)))</f>
        <v>0</v>
      </c>
      <c r="K19" s="160">
        <f>IF(OR(A19&lt;Development!$C$6,A19&gt;Abandonment!$B$4),0,(J19*I18-(I18-I19)*J19*(J19+1)/24)/12)</f>
        <v>0</v>
      </c>
      <c r="L19" s="160">
        <f>$K19*(L$7+'Selected Economics'!$G18)</f>
        <v>0</v>
      </c>
      <c r="M19" s="160">
        <f>$K19*(M$7+'Selected Economics'!$G18)</f>
        <v>0</v>
      </c>
      <c r="N19" s="160">
        <f>$K19*(N$7+'Selected Economics'!$G18)</f>
        <v>0</v>
      </c>
      <c r="O19" s="160">
        <f t="shared" si="4"/>
        <v>-9758.6349079790798</v>
      </c>
      <c r="P19" s="160">
        <f t="shared" si="5"/>
        <v>-8367.2683766620776</v>
      </c>
      <c r="Q19" s="160">
        <f t="shared" si="5"/>
        <v>-6048.3241578004072</v>
      </c>
      <c r="R19" s="160">
        <f>IF(A19=Production!$B$4,Production!$B$5,IF(A19&lt;Production!$B$4,0,12+R18))</f>
        <v>63</v>
      </c>
      <c r="S19" s="160">
        <f>MIN($R19,IF(O19&lt;0,MAX(IF(Input!$B$33="Yes",MIN(12,24-R18),0),IF(AND(O18&gt;0,O19&lt;0),ROUNDDOWN(-O18/(O19-O18)*12,0)+0.5),0),12))</f>
        <v>0</v>
      </c>
      <c r="T19" s="160">
        <f>MAX(0,MIN($R19,IF(P19&lt;0,MAX(IF(Input!$B$33="Yes",MIN(12,36-R18),0),IF(AND(P18&gt;0,P19&lt;0),ROUNDDOWN(-P18/(P19-P18)*12,0)+0.5),0),12))-S19)</f>
        <v>0</v>
      </c>
      <c r="U19" s="160">
        <f>MAX(0,MIN($R19,IF(AND(Q18&gt;0,Q19&lt;0),ROUNDDOWN(-Q18/(Q19-Q18)*12,0)+0.5,IF(AND(Q19&gt;0,MIN(Q$11:Q18)&gt;=0),12,0)))-SUM(S19:T19))</f>
        <v>0</v>
      </c>
      <c r="V19" s="160">
        <f t="shared" si="6"/>
        <v>12</v>
      </c>
      <c r="W19" s="160">
        <f t="shared" si="14"/>
        <v>2651.8411277797495</v>
      </c>
      <c r="X19" s="160">
        <f t="shared" si="15"/>
        <v>60.556676511874613</v>
      </c>
      <c r="Y19" s="160">
        <f t="shared" si="7"/>
        <v>151.39169127968654</v>
      </c>
      <c r="Z19" s="160">
        <f t="shared" si="16"/>
        <v>530.36822555594995</v>
      </c>
      <c r="AA19" s="160">
        <f t="shared" si="8"/>
        <v>928.14439472291224</v>
      </c>
      <c r="AB19" s="160">
        <f t="shared" si="17"/>
        <v>0</v>
      </c>
      <c r="AC19" s="160">
        <f t="shared" si="9"/>
        <v>0</v>
      </c>
      <c r="AD19" s="160">
        <f t="shared" si="9"/>
        <v>0</v>
      </c>
      <c r="AE19" s="160">
        <f t="shared" si="9"/>
        <v>928.14439472291224</v>
      </c>
      <c r="AF19" s="160">
        <f t="shared" si="18"/>
        <v>928.14439472291224</v>
      </c>
      <c r="AG19" s="160">
        <f>IF(A19=Abandonment!$B$4,-W19,0)</f>
        <v>0</v>
      </c>
      <c r="AH19" s="160">
        <f t="shared" si="19"/>
        <v>2651.8411277797495</v>
      </c>
      <c r="AI19" s="160">
        <f>MIN(AH19,MAX(0,$AL$3-SUM(AI20:AI$52)))</f>
        <v>0</v>
      </c>
      <c r="AJ19" s="160">
        <f t="shared" si="22"/>
        <v>928.14439472291224</v>
      </c>
      <c r="AK19" s="160">
        <f t="shared" si="10"/>
        <v>0</v>
      </c>
      <c r="AL19" s="160">
        <f>IF($A19=Abandonment!$B$4,LossRec,0)</f>
        <v>0</v>
      </c>
      <c r="AM19" s="160">
        <f t="shared" si="11"/>
        <v>928.14439472291224</v>
      </c>
      <c r="AN19" s="93"/>
      <c r="AO19" s="93"/>
      <c r="AP19" s="93"/>
      <c r="AQ19" s="245">
        <f t="shared" si="21"/>
        <v>43617</v>
      </c>
      <c r="AR19" s="245">
        <f>IF(AND(O19&lt;0,O18&gt;0,AR18=0),DATE($A19,MAX(12-$R19,0)+SUM($S19:S19)+0.5,1),AR18)</f>
        <v>43678</v>
      </c>
      <c r="AS19" s="245">
        <f>IF(AND(P19&lt;0,P18&gt;0,AS18=0),DATE($A19,MAX(12-$R19,0)+SUM($S19:T19)+0.5,1),AS18)</f>
        <v>43862</v>
      </c>
      <c r="AT19" s="245">
        <f>IF(AND(Q19&lt;0,Q18&gt;0,AT18=0),DATE($A19,MAX(12-$R19,0)+SUM($S19:U19)+0.5,1),AT18)</f>
        <v>44136</v>
      </c>
      <c r="AU19" s="93"/>
      <c r="AV19" s="93"/>
      <c r="AW19" s="93"/>
      <c r="AX19" s="93"/>
      <c r="AY19" s="93"/>
      <c r="AZ19" s="93"/>
      <c r="BA19" s="93"/>
      <c r="BB19" s="93"/>
    </row>
    <row r="20" spans="1:54">
      <c r="A20" s="140">
        <f t="shared" si="20"/>
        <v>2023</v>
      </c>
      <c r="B20" s="160">
        <f>'Success Cash Flow'!E18</f>
        <v>2647.9554072804549</v>
      </c>
      <c r="C20" s="160">
        <f>IF(noteco=Lists!A$84,0,Exploration!AB43)</f>
        <v>0</v>
      </c>
      <c r="D20" s="160">
        <f>Development!BL99</f>
        <v>0</v>
      </c>
      <c r="E20" s="160">
        <f>Operations!S27</f>
        <v>354.15785687881908</v>
      </c>
      <c r="F20" s="160">
        <f>Abandonment!G24</f>
        <v>0</v>
      </c>
      <c r="G20" s="160">
        <f t="shared" si="3"/>
        <v>0</v>
      </c>
      <c r="H20" s="160">
        <f t="shared" si="12"/>
        <v>354.15785687881908</v>
      </c>
      <c r="I20" s="160">
        <f t="shared" si="13"/>
        <v>-12748.115724039219</v>
      </c>
      <c r="J20" s="160">
        <f>IF(A20&lt;Development!$C$6,0,IF(A20=Development!C$6,Development!$D$6,IF(I20&lt;0,IF(I19&gt;0,ROUNDDOWN(-I19/(I20-I19)*12,0),0),12)))</f>
        <v>0</v>
      </c>
      <c r="K20" s="160">
        <f>IF(OR(A20&lt;Development!$C$6,A20&gt;Abandonment!$B$4),0,(J20*I19-(I19-I20)*J20*(J20+1)/24)/12)</f>
        <v>0</v>
      </c>
      <c r="L20" s="160">
        <f>$K20*(L$7+'Selected Economics'!$G19)</f>
        <v>0</v>
      </c>
      <c r="M20" s="160">
        <f>$K20*(M$7+'Selected Economics'!$G19)</f>
        <v>0</v>
      </c>
      <c r="N20" s="160">
        <f>$K20*(N$7+'Selected Economics'!$G19)</f>
        <v>0</v>
      </c>
      <c r="O20" s="160">
        <f t="shared" si="4"/>
        <v>-12052.432458380716</v>
      </c>
      <c r="P20" s="160">
        <f t="shared" si="5"/>
        <v>-10661.065927063713</v>
      </c>
      <c r="Q20" s="160">
        <f t="shared" si="5"/>
        <v>-8342.121708202043</v>
      </c>
      <c r="R20" s="160">
        <f>IF(A20=Production!$B$4,Production!$B$5,IF(A20&lt;Production!$B$4,0,12+R19))</f>
        <v>75</v>
      </c>
      <c r="S20" s="160">
        <f>MIN($R20,IF(O20&lt;0,MAX(IF(Input!$B$33="Yes",MIN(12,24-R19),0),IF(AND(O19&gt;0,O20&lt;0),ROUNDDOWN(-O19/(O20-O19)*12,0)+0.5),0),12))</f>
        <v>0</v>
      </c>
      <c r="T20" s="160">
        <f>MAX(0,MIN($R20,IF(P20&lt;0,MAX(IF(Input!$B$33="Yes",MIN(12,36-R19),0),IF(AND(P19&gt;0,P20&lt;0),ROUNDDOWN(-P19/(P20-P19)*12,0)+0.5),0),12))-S20)</f>
        <v>0</v>
      </c>
      <c r="U20" s="160">
        <f>MAX(0,MIN($R20,IF(AND(Q19&gt;0,Q20&lt;0),ROUNDDOWN(-Q19/(Q20-Q19)*12,0)+0.5,IF(AND(Q20&gt;0,MIN(Q$11:Q19)&gt;=0),12,0)))-SUM(S20:T20))</f>
        <v>0</v>
      </c>
      <c r="V20" s="160">
        <f t="shared" si="6"/>
        <v>12</v>
      </c>
      <c r="W20" s="160">
        <f t="shared" si="14"/>
        <v>2293.7975504016358</v>
      </c>
      <c r="X20" s="160">
        <f t="shared" si="15"/>
        <v>52.9591081456091</v>
      </c>
      <c r="Y20" s="160">
        <f t="shared" si="7"/>
        <v>132.39777036402276</v>
      </c>
      <c r="Z20" s="160">
        <f t="shared" si="16"/>
        <v>458.75951008032717</v>
      </c>
      <c r="AA20" s="160">
        <f t="shared" si="8"/>
        <v>802.82914264057251</v>
      </c>
      <c r="AB20" s="160">
        <f t="shared" si="17"/>
        <v>0</v>
      </c>
      <c r="AC20" s="160">
        <f t="shared" si="9"/>
        <v>0</v>
      </c>
      <c r="AD20" s="160">
        <f t="shared" si="9"/>
        <v>0</v>
      </c>
      <c r="AE20" s="160">
        <f t="shared" si="9"/>
        <v>802.82914264057251</v>
      </c>
      <c r="AF20" s="160">
        <f t="shared" si="18"/>
        <v>802.82914264057251</v>
      </c>
      <c r="AG20" s="160">
        <f>IF(A20=Abandonment!$B$4,-W20,0)</f>
        <v>0</v>
      </c>
      <c r="AH20" s="160">
        <f t="shared" si="19"/>
        <v>2293.7975504016358</v>
      </c>
      <c r="AI20" s="160">
        <f>MIN(AH20,MAX(0,$AL$3-SUM(AI21:AI$52)))</f>
        <v>0</v>
      </c>
      <c r="AJ20" s="160">
        <f t="shared" si="22"/>
        <v>802.82914264057251</v>
      </c>
      <c r="AK20" s="160">
        <f t="shared" si="10"/>
        <v>0</v>
      </c>
      <c r="AL20" s="160">
        <f>IF($A20=Abandonment!$B$4,LossRec,0)</f>
        <v>0</v>
      </c>
      <c r="AM20" s="160">
        <f t="shared" si="11"/>
        <v>802.82914264057251</v>
      </c>
      <c r="AN20" s="93"/>
      <c r="AO20" s="93"/>
      <c r="AP20" s="93"/>
      <c r="AQ20" s="245">
        <f t="shared" si="21"/>
        <v>43617</v>
      </c>
      <c r="AR20" s="245">
        <f>IF(AND(O20&lt;0,O19&gt;0,AR19=0),DATE($A20,MAX(12-$R20,0)+SUM($S20:S20)+0.5,1),AR19)</f>
        <v>43678</v>
      </c>
      <c r="AS20" s="245">
        <f>IF(AND(P20&lt;0,P19&gt;0,AS19=0),DATE($A20,MAX(12-$R20,0)+SUM($S20:T20)+0.5,1),AS19)</f>
        <v>43862</v>
      </c>
      <c r="AT20" s="245">
        <f>IF(AND(Q20&lt;0,Q19&gt;0,AT19=0),DATE($A20,MAX(12-$R20,0)+SUM($S20:U20)+0.5,1),AT19)</f>
        <v>44136</v>
      </c>
      <c r="AU20" s="93"/>
      <c r="AV20" s="93"/>
      <c r="AW20" s="93"/>
      <c r="AX20" s="93"/>
      <c r="AY20" s="93"/>
      <c r="AZ20" s="93"/>
      <c r="BA20" s="93"/>
      <c r="BB20" s="93"/>
    </row>
    <row r="21" spans="1:54">
      <c r="A21" s="140">
        <f t="shared" si="20"/>
        <v>2024</v>
      </c>
      <c r="B21" s="160">
        <f>'Success Cash Flow'!E19</f>
        <v>2321.1571385541019</v>
      </c>
      <c r="C21" s="160">
        <f>IF(noteco=Lists!A$84,0,Exploration!AB44)</f>
        <v>0</v>
      </c>
      <c r="D21" s="160">
        <f>Development!BL100</f>
        <v>0</v>
      </c>
      <c r="E21" s="160">
        <f>Operations!S28</f>
        <v>335.93683450790871</v>
      </c>
      <c r="F21" s="160">
        <f>Abandonment!G25</f>
        <v>0</v>
      </c>
      <c r="G21" s="160">
        <f t="shared" si="3"/>
        <v>0</v>
      </c>
      <c r="H21" s="160">
        <f t="shared" si="12"/>
        <v>335.93683450790871</v>
      </c>
      <c r="I21" s="160">
        <f t="shared" si="13"/>
        <v>-14733.33602808541</v>
      </c>
      <c r="J21" s="160">
        <f>IF(A21&lt;Development!$C$6,0,IF(A21=Development!C$6,Development!$D$6,IF(I21&lt;0,IF(I20&gt;0,ROUNDDOWN(-I20/(I21-I20)*12,0),0),12)))</f>
        <v>0</v>
      </c>
      <c r="K21" s="160">
        <f>IF(OR(A21&lt;Development!$C$6,A21&gt;Abandonment!$B$4),0,(J21*I20-(I20-I21)*J21*(J21+1)/24)/12)</f>
        <v>0</v>
      </c>
      <c r="L21" s="160">
        <f>$K21*(L$7+'Selected Economics'!$G20)</f>
        <v>0</v>
      </c>
      <c r="M21" s="160">
        <f>$K21*(M$7+'Selected Economics'!$G20)</f>
        <v>0</v>
      </c>
      <c r="N21" s="160">
        <f>$K21*(N$7+'Selected Economics'!$G20)</f>
        <v>0</v>
      </c>
      <c r="O21" s="160">
        <f t="shared" si="4"/>
        <v>-14037.652762426909</v>
      </c>
      <c r="P21" s="160">
        <f t="shared" si="5"/>
        <v>-12646.286231109907</v>
      </c>
      <c r="Q21" s="160">
        <f t="shared" si="5"/>
        <v>-10327.342012248237</v>
      </c>
      <c r="R21" s="160">
        <f>IF(A21=Production!$B$4,Production!$B$5,IF(A21&lt;Production!$B$4,0,12+R20))</f>
        <v>87</v>
      </c>
      <c r="S21" s="160">
        <f>MIN($R21,IF(O21&lt;0,MAX(IF(Input!$B$33="Yes",MIN(12,24-R20),0),IF(AND(O20&gt;0,O21&lt;0),ROUNDDOWN(-O20/(O21-O20)*12,0)+0.5),0),12))</f>
        <v>0</v>
      </c>
      <c r="T21" s="160">
        <f>MAX(0,MIN($R21,IF(P21&lt;0,MAX(IF(Input!$B$33="Yes",MIN(12,36-R20),0),IF(AND(P20&gt;0,P21&lt;0),ROUNDDOWN(-P20/(P21-P20)*12,0)+0.5),0),12))-S21)</f>
        <v>0</v>
      </c>
      <c r="U21" s="160">
        <f>MAX(0,MIN($R21,IF(AND(Q20&gt;0,Q21&lt;0),ROUNDDOWN(-Q20/(Q21-Q20)*12,0)+0.5,IF(AND(Q21&gt;0,MIN(Q$11:Q20)&gt;=0),12,0)))-SUM(S21:T21))</f>
        <v>0</v>
      </c>
      <c r="V21" s="160">
        <f t="shared" si="6"/>
        <v>12</v>
      </c>
      <c r="W21" s="160">
        <f t="shared" si="14"/>
        <v>1985.2203040461932</v>
      </c>
      <c r="X21" s="160">
        <f t="shared" si="15"/>
        <v>46.423142771082041</v>
      </c>
      <c r="Y21" s="160">
        <f t="shared" si="7"/>
        <v>116.0578569277051</v>
      </c>
      <c r="Z21" s="160">
        <f t="shared" si="16"/>
        <v>397.04406080923866</v>
      </c>
      <c r="AA21" s="160">
        <f t="shared" si="8"/>
        <v>694.82710641616757</v>
      </c>
      <c r="AB21" s="160">
        <f t="shared" si="17"/>
        <v>0</v>
      </c>
      <c r="AC21" s="160">
        <f t="shared" si="9"/>
        <v>0</v>
      </c>
      <c r="AD21" s="160">
        <f t="shared" si="9"/>
        <v>0</v>
      </c>
      <c r="AE21" s="160">
        <f t="shared" si="9"/>
        <v>694.82710641616757</v>
      </c>
      <c r="AF21" s="160">
        <f t="shared" si="18"/>
        <v>694.82710641616757</v>
      </c>
      <c r="AG21" s="160">
        <f>IF(A21=Abandonment!$B$4,-W21,0)</f>
        <v>0</v>
      </c>
      <c r="AH21" s="160">
        <f t="shared" si="19"/>
        <v>1985.2203040461932</v>
      </c>
      <c r="AI21" s="160">
        <f>MIN(AH21,MAX(0,$AL$3-SUM(AI22:AI$52)))</f>
        <v>0</v>
      </c>
      <c r="AJ21" s="160">
        <f t="shared" si="22"/>
        <v>694.82710641616757</v>
      </c>
      <c r="AK21" s="160">
        <f t="shared" si="10"/>
        <v>0</v>
      </c>
      <c r="AL21" s="160">
        <f>IF($A21=Abandonment!$B$4,LossRec,0)</f>
        <v>0</v>
      </c>
      <c r="AM21" s="160">
        <f t="shared" si="11"/>
        <v>694.82710641616757</v>
      </c>
      <c r="AN21" s="93"/>
      <c r="AO21" s="93"/>
      <c r="AP21" s="93"/>
      <c r="AQ21" s="245">
        <f t="shared" si="21"/>
        <v>43617</v>
      </c>
      <c r="AR21" s="245">
        <f>IF(AND(O21&lt;0,O20&gt;0,AR20=0),DATE($A21,MAX(12-$R21,0)+SUM($S21:S21)+0.5,1),AR20)</f>
        <v>43678</v>
      </c>
      <c r="AS21" s="245">
        <f>IF(AND(P21&lt;0,P20&gt;0,AS20=0),DATE($A21,MAX(12-$R21,0)+SUM($S21:T21)+0.5,1),AS20)</f>
        <v>43862</v>
      </c>
      <c r="AT21" s="245">
        <f>IF(AND(Q21&lt;0,Q20&gt;0,AT20=0),DATE($A21,MAX(12-$R21,0)+SUM($S21:U21)+0.5,1),AT20)</f>
        <v>44136</v>
      </c>
      <c r="AU21" s="93"/>
      <c r="AV21" s="93"/>
      <c r="AW21" s="93"/>
      <c r="AX21" s="93"/>
      <c r="AY21" s="93"/>
      <c r="AZ21" s="93"/>
      <c r="BA21" s="93"/>
      <c r="BB21" s="93"/>
    </row>
    <row r="22" spans="1:54">
      <c r="A22" s="140">
        <f t="shared" si="20"/>
        <v>2025</v>
      </c>
      <c r="B22" s="160">
        <f>'Success Cash Flow'!E20</f>
        <v>2023.2050824565088</v>
      </c>
      <c r="C22" s="160">
        <f>IF(noteco=Lists!A$84,0,Exploration!AB45)</f>
        <v>0</v>
      </c>
      <c r="D22" s="160">
        <f>Development!BL101</f>
        <v>0</v>
      </c>
      <c r="E22" s="160">
        <f>Operations!S29</f>
        <v>320.42426654490413</v>
      </c>
      <c r="F22" s="160">
        <f>Abandonment!G26</f>
        <v>0</v>
      </c>
      <c r="G22" s="160">
        <f t="shared" si="3"/>
        <v>0</v>
      </c>
      <c r="H22" s="160">
        <f t="shared" si="12"/>
        <v>320.42426654490413</v>
      </c>
      <c r="I22" s="160">
        <f t="shared" si="13"/>
        <v>-16436.116843997017</v>
      </c>
      <c r="J22" s="160">
        <f>IF(A22&lt;Development!$C$6,0,IF(A22=Development!C$6,Development!$D$6,IF(I22&lt;0,IF(I21&gt;0,ROUNDDOWN(-I21/(I22-I21)*12,0),0),12)))</f>
        <v>0</v>
      </c>
      <c r="K22" s="160">
        <f>IF(OR(A22&lt;Development!$C$6,A22&gt;Abandonment!$B$4),0,(J22*I21-(I21-I22)*J22*(J22+1)/24)/12)</f>
        <v>0</v>
      </c>
      <c r="L22" s="160">
        <f>$K22*(L$7+'Selected Economics'!$G21)</f>
        <v>0</v>
      </c>
      <c r="M22" s="160">
        <f>$K22*(M$7+'Selected Economics'!$G21)</f>
        <v>0</v>
      </c>
      <c r="N22" s="160">
        <f>$K22*(N$7+'Selected Economics'!$G21)</f>
        <v>0</v>
      </c>
      <c r="O22" s="160">
        <f t="shared" si="4"/>
        <v>-15740.433578338514</v>
      </c>
      <c r="P22" s="160">
        <f t="shared" si="5"/>
        <v>-14349.067047021512</v>
      </c>
      <c r="Q22" s="160">
        <f t="shared" si="5"/>
        <v>-12030.122828159841</v>
      </c>
      <c r="R22" s="160">
        <f>IF(A22=Production!$B$4,Production!$B$5,IF(A22&lt;Production!$B$4,0,12+R21))</f>
        <v>99</v>
      </c>
      <c r="S22" s="160">
        <f>MIN($R22,IF(O22&lt;0,MAX(IF(Input!$B$33="Yes",MIN(12,24-R21),0),IF(AND(O21&gt;0,O22&lt;0),ROUNDDOWN(-O21/(O22-O21)*12,0)+0.5),0),12))</f>
        <v>0</v>
      </c>
      <c r="T22" s="160">
        <f>MAX(0,MIN($R22,IF(P22&lt;0,MAX(IF(Input!$B$33="Yes",MIN(12,36-R21),0),IF(AND(P21&gt;0,P22&lt;0),ROUNDDOWN(-P21/(P22-P21)*12,0)+0.5),0),12))-S22)</f>
        <v>0</v>
      </c>
      <c r="U22" s="160">
        <f>MAX(0,MIN($R22,IF(AND(Q21&gt;0,Q22&lt;0),ROUNDDOWN(-Q21/(Q22-Q21)*12,0)+0.5,IF(AND(Q22&gt;0,MIN(Q$11:Q21)&gt;=0),12,0)))-SUM(S22:T22))</f>
        <v>0</v>
      </c>
      <c r="V22" s="160">
        <f t="shared" si="6"/>
        <v>12</v>
      </c>
      <c r="W22" s="160">
        <f t="shared" si="14"/>
        <v>1702.7808159116046</v>
      </c>
      <c r="X22" s="160">
        <f t="shared" si="15"/>
        <v>40.464101649130178</v>
      </c>
      <c r="Y22" s="160">
        <f t="shared" si="7"/>
        <v>101.16025412282545</v>
      </c>
      <c r="Z22" s="160">
        <f t="shared" si="16"/>
        <v>340.55616318232092</v>
      </c>
      <c r="AA22" s="160">
        <f t="shared" si="8"/>
        <v>595.97328556906155</v>
      </c>
      <c r="AB22" s="160">
        <f t="shared" si="17"/>
        <v>0</v>
      </c>
      <c r="AC22" s="160">
        <f t="shared" si="9"/>
        <v>0</v>
      </c>
      <c r="AD22" s="160">
        <f t="shared" si="9"/>
        <v>0</v>
      </c>
      <c r="AE22" s="160">
        <f t="shared" si="9"/>
        <v>595.97328556906155</v>
      </c>
      <c r="AF22" s="160">
        <f t="shared" si="18"/>
        <v>595.97328556906155</v>
      </c>
      <c r="AG22" s="160">
        <f>IF(A22=Abandonment!$B$4,-W22,0)</f>
        <v>0</v>
      </c>
      <c r="AH22" s="160">
        <f t="shared" si="19"/>
        <v>1702.7808159116046</v>
      </c>
      <c r="AI22" s="160">
        <f>MIN(AH22,MAX(0,$AL$3-SUM(AI23:AI$52)))</f>
        <v>0</v>
      </c>
      <c r="AJ22" s="160">
        <f t="shared" si="22"/>
        <v>595.97328556906155</v>
      </c>
      <c r="AK22" s="160">
        <f t="shared" si="10"/>
        <v>0</v>
      </c>
      <c r="AL22" s="160">
        <f>IF($A22=Abandonment!$B$4,LossRec,0)</f>
        <v>0</v>
      </c>
      <c r="AM22" s="160">
        <f t="shared" si="11"/>
        <v>595.97328556906155</v>
      </c>
      <c r="AN22" s="93"/>
      <c r="AO22" s="93"/>
      <c r="AP22" s="93"/>
      <c r="AQ22" s="245">
        <f t="shared" si="21"/>
        <v>43617</v>
      </c>
      <c r="AR22" s="245">
        <f>IF(AND(O22&lt;0,O21&gt;0,AR21=0),DATE($A22,MAX(12-$R22,0)+SUM($S22:S22)+0.5,1),AR21)</f>
        <v>43678</v>
      </c>
      <c r="AS22" s="245">
        <f>IF(AND(P22&lt;0,P21&gt;0,AS21=0),DATE($A22,MAX(12-$R22,0)+SUM($S22:T22)+0.5,1),AS21)</f>
        <v>43862</v>
      </c>
      <c r="AT22" s="245">
        <f>IF(AND(Q22&lt;0,Q21&gt;0,AT21=0),DATE($A22,MAX(12-$R22,0)+SUM($S22:U22)+0.5,1),AT21)</f>
        <v>44136</v>
      </c>
      <c r="AU22" s="93"/>
      <c r="AV22" s="93"/>
      <c r="AW22" s="93"/>
      <c r="AX22" s="93"/>
      <c r="AY22" s="93"/>
      <c r="AZ22" s="93"/>
      <c r="BA22" s="93"/>
      <c r="BB22" s="93"/>
    </row>
    <row r="23" spans="1:54">
      <c r="A23" s="140">
        <f t="shared" si="20"/>
        <v>2026</v>
      </c>
      <c r="B23" s="160">
        <f>'Success Cash Flow'!E21</f>
        <v>1767.8099434506107</v>
      </c>
      <c r="C23" s="160">
        <f>IF(noteco=Lists!A$84,0,Exploration!AB46)</f>
        <v>0</v>
      </c>
      <c r="D23" s="160">
        <f>Development!BL102</f>
        <v>0</v>
      </c>
      <c r="E23" s="160">
        <f>Operations!S30</f>
        <v>307.78716943638852</v>
      </c>
      <c r="F23" s="160">
        <f>Abandonment!G27</f>
        <v>0</v>
      </c>
      <c r="G23" s="160">
        <f t="shared" si="3"/>
        <v>0</v>
      </c>
      <c r="H23" s="160">
        <f t="shared" si="12"/>
        <v>307.78716943638852</v>
      </c>
      <c r="I23" s="160">
        <f t="shared" si="13"/>
        <v>-17896.139618011239</v>
      </c>
      <c r="J23" s="160">
        <f>IF(A23&lt;Development!$C$6,0,IF(A23=Development!C$6,Development!$D$6,IF(I23&lt;0,IF(I22&gt;0,ROUNDDOWN(-I22/(I23-I22)*12,0),0),12)))</f>
        <v>0</v>
      </c>
      <c r="K23" s="160">
        <f>IF(OR(A23&lt;Development!$C$6,A23&gt;Abandonment!$B$4),0,(J23*I22-(I22-I23)*J23*(J23+1)/24)/12)</f>
        <v>0</v>
      </c>
      <c r="L23" s="160">
        <f>$K23*(L$7+'Selected Economics'!$G22)</f>
        <v>0</v>
      </c>
      <c r="M23" s="160">
        <f>$K23*(M$7+'Selected Economics'!$G22)</f>
        <v>0</v>
      </c>
      <c r="N23" s="160">
        <f>$K23*(N$7+'Selected Economics'!$G22)</f>
        <v>0</v>
      </c>
      <c r="O23" s="160">
        <f t="shared" si="4"/>
        <v>-17200.456352352736</v>
      </c>
      <c r="P23" s="160">
        <f t="shared" si="5"/>
        <v>-15809.089821035734</v>
      </c>
      <c r="Q23" s="160">
        <f t="shared" si="5"/>
        <v>-13490.145602174063</v>
      </c>
      <c r="R23" s="160">
        <f>IF(A23=Production!$B$4,Production!$B$5,IF(A23&lt;Production!$B$4,0,12+R22))</f>
        <v>111</v>
      </c>
      <c r="S23" s="160">
        <f>MIN($R23,IF(O23&lt;0,MAX(IF(Input!$B$33="Yes",MIN(12,24-R22),0),IF(AND(O22&gt;0,O23&lt;0),ROUNDDOWN(-O22/(O23-O22)*12,0)+0.5),0),12))</f>
        <v>0</v>
      </c>
      <c r="T23" s="160">
        <f>MAX(0,MIN($R23,IF(P23&lt;0,MAX(IF(Input!$B$33="Yes",MIN(12,36-R22),0),IF(AND(P22&gt;0,P23&lt;0),ROUNDDOWN(-P22/(P23-P22)*12,0)+0.5),0),12))-S23)</f>
        <v>0</v>
      </c>
      <c r="U23" s="160">
        <f>MAX(0,MIN($R23,IF(AND(Q22&gt;0,Q23&lt;0),ROUNDDOWN(-Q22/(Q23-Q22)*12,0)+0.5,IF(AND(Q23&gt;0,MIN(Q$11:Q22)&gt;=0),12,0)))-SUM(S23:T23))</f>
        <v>0</v>
      </c>
      <c r="V23" s="160">
        <f t="shared" si="6"/>
        <v>12</v>
      </c>
      <c r="W23" s="160">
        <f t="shared" si="14"/>
        <v>1460.0227740142223</v>
      </c>
      <c r="X23" s="160">
        <f t="shared" si="15"/>
        <v>35.356198869012218</v>
      </c>
      <c r="Y23" s="160">
        <f t="shared" si="7"/>
        <v>88.390497172530544</v>
      </c>
      <c r="Z23" s="160">
        <f t="shared" si="16"/>
        <v>292.00455480284444</v>
      </c>
      <c r="AA23" s="160">
        <f t="shared" si="8"/>
        <v>511.00797090497775</v>
      </c>
      <c r="AB23" s="160">
        <f t="shared" si="17"/>
        <v>0</v>
      </c>
      <c r="AC23" s="160">
        <f t="shared" si="9"/>
        <v>0</v>
      </c>
      <c r="AD23" s="160">
        <f t="shared" si="9"/>
        <v>0</v>
      </c>
      <c r="AE23" s="160">
        <f t="shared" si="9"/>
        <v>511.00797090497775</v>
      </c>
      <c r="AF23" s="160">
        <f t="shared" si="18"/>
        <v>511.00797090497775</v>
      </c>
      <c r="AG23" s="160">
        <f>IF(A23=Abandonment!$B$4,-W23,0)</f>
        <v>0</v>
      </c>
      <c r="AH23" s="160">
        <f t="shared" si="19"/>
        <v>1460.0227740142223</v>
      </c>
      <c r="AI23" s="160">
        <f>MIN(AH23,MAX(0,$AL$3-SUM(AI24:AI$52)))</f>
        <v>0</v>
      </c>
      <c r="AJ23" s="160">
        <f t="shared" si="22"/>
        <v>511.00797090497775</v>
      </c>
      <c r="AK23" s="160">
        <f t="shared" si="10"/>
        <v>0</v>
      </c>
      <c r="AL23" s="160">
        <f>IF($A23=Abandonment!$B$4,LossRec,0)</f>
        <v>0</v>
      </c>
      <c r="AM23" s="160">
        <f t="shared" si="11"/>
        <v>511.00797090497775</v>
      </c>
      <c r="AN23" s="93"/>
      <c r="AO23" s="93"/>
      <c r="AP23" s="93"/>
      <c r="AQ23" s="245">
        <f t="shared" si="21"/>
        <v>43617</v>
      </c>
      <c r="AR23" s="245">
        <f>IF(AND(O23&lt;0,O22&gt;0,AR22=0),DATE($A23,MAX(12-$R23,0)+SUM($S23:S23)+0.5,1),AR22)</f>
        <v>43678</v>
      </c>
      <c r="AS23" s="245">
        <f>IF(AND(P23&lt;0,P22&gt;0,AS22=0),DATE($A23,MAX(12-$R23,0)+SUM($S23:T23)+0.5,1),AS22)</f>
        <v>43862</v>
      </c>
      <c r="AT23" s="245">
        <f>IF(AND(Q23&lt;0,Q22&gt;0,AT22=0),DATE($A23,MAX(12-$R23,0)+SUM($S23:U23)+0.5,1),AT22)</f>
        <v>44136</v>
      </c>
      <c r="AU23" s="93"/>
      <c r="AV23" s="93"/>
      <c r="AW23" s="93"/>
      <c r="AX23" s="93"/>
      <c r="AY23" s="93"/>
      <c r="AZ23" s="93"/>
      <c r="BA23" s="93"/>
      <c r="BB23" s="93"/>
    </row>
    <row r="24" spans="1:54">
      <c r="A24" s="140">
        <f t="shared" si="20"/>
        <v>2027</v>
      </c>
      <c r="B24" s="160">
        <f>'Success Cash Flow'!E22</f>
        <v>1544.4019252787746</v>
      </c>
      <c r="C24" s="160">
        <f>IF(noteco=Lists!A$84,0,Exploration!AB47)</f>
        <v>0</v>
      </c>
      <c r="D24" s="160">
        <f>Development!BL103</f>
        <v>0</v>
      </c>
      <c r="E24" s="160">
        <f>Operations!S31</f>
        <v>297.49253676082276</v>
      </c>
      <c r="F24" s="160">
        <f>Abandonment!G28</f>
        <v>0</v>
      </c>
      <c r="G24" s="160">
        <f t="shared" si="3"/>
        <v>0</v>
      </c>
      <c r="H24" s="160">
        <f t="shared" si="12"/>
        <v>297.49253676082276</v>
      </c>
      <c r="I24" s="160">
        <f t="shared" si="13"/>
        <v>-19143.049006529189</v>
      </c>
      <c r="J24" s="160">
        <f>IF(A24&lt;Development!$C$6,0,IF(A24=Development!C$6,Development!$D$6,IF(I24&lt;0,IF(I23&gt;0,ROUNDDOWN(-I23/(I24-I23)*12,0),0),12)))</f>
        <v>0</v>
      </c>
      <c r="K24" s="160">
        <f>IF(OR(A24&lt;Development!$C$6,A24&gt;Abandonment!$B$4),0,(J24*I23-(I23-I24)*J24*(J24+1)/24)/12)</f>
        <v>0</v>
      </c>
      <c r="L24" s="160">
        <f>$K24*(L$7+'Selected Economics'!$G23)</f>
        <v>0</v>
      </c>
      <c r="M24" s="160">
        <f>$K24*(M$7+'Selected Economics'!$G23)</f>
        <v>0</v>
      </c>
      <c r="N24" s="160">
        <f>$K24*(N$7+'Selected Economics'!$G23)</f>
        <v>0</v>
      </c>
      <c r="O24" s="160">
        <f t="shared" si="4"/>
        <v>-18447.365740870686</v>
      </c>
      <c r="P24" s="160">
        <f t="shared" si="5"/>
        <v>-17055.999209553687</v>
      </c>
      <c r="Q24" s="160">
        <f t="shared" si="5"/>
        <v>-14737.054990692015</v>
      </c>
      <c r="R24" s="160">
        <f>IF(A24=Production!$B$4,Production!$B$5,IF(A24&lt;Production!$B$4,0,12+R23))</f>
        <v>123</v>
      </c>
      <c r="S24" s="160">
        <f>MIN($R24,IF(O24&lt;0,MAX(IF(Input!$B$33="Yes",MIN(12,24-R23),0),IF(AND(O23&gt;0,O24&lt;0),ROUNDDOWN(-O23/(O24-O23)*12,0)+0.5),0),12))</f>
        <v>0</v>
      </c>
      <c r="T24" s="160">
        <f>MAX(0,MIN($R24,IF(P24&lt;0,MAX(IF(Input!$B$33="Yes",MIN(12,36-R23),0),IF(AND(P23&gt;0,P24&lt;0),ROUNDDOWN(-P23/(P24-P23)*12,0)+0.5),0),12))-S24)</f>
        <v>0</v>
      </c>
      <c r="U24" s="160">
        <f>MAX(0,MIN($R24,IF(AND(Q23&gt;0,Q24&lt;0),ROUNDDOWN(-Q23/(Q24-Q23)*12,0)+0.5,IF(AND(Q24&gt;0,MIN(Q$11:Q23)&gt;=0),12,0)))-SUM(S24:T24))</f>
        <v>0</v>
      </c>
      <c r="V24" s="160">
        <f t="shared" si="6"/>
        <v>12</v>
      </c>
      <c r="W24" s="160">
        <f t="shared" si="14"/>
        <v>1246.9093885179518</v>
      </c>
      <c r="X24" s="160">
        <f t="shared" si="15"/>
        <v>30.888038505575491</v>
      </c>
      <c r="Y24" s="160">
        <f t="shared" si="7"/>
        <v>77.220096263938728</v>
      </c>
      <c r="Z24" s="160">
        <f t="shared" si="16"/>
        <v>249.38187770359036</v>
      </c>
      <c r="AA24" s="160">
        <f t="shared" si="8"/>
        <v>436.41828598128313</v>
      </c>
      <c r="AB24" s="160">
        <f t="shared" si="17"/>
        <v>0</v>
      </c>
      <c r="AC24" s="160">
        <f t="shared" si="9"/>
        <v>0</v>
      </c>
      <c r="AD24" s="160">
        <f t="shared" si="9"/>
        <v>0</v>
      </c>
      <c r="AE24" s="160">
        <f t="shared" si="9"/>
        <v>436.41828598128313</v>
      </c>
      <c r="AF24" s="160">
        <f t="shared" si="18"/>
        <v>436.41828598128313</v>
      </c>
      <c r="AG24" s="160">
        <f>IF(A24=Abandonment!$B$4,-W24,0)</f>
        <v>0</v>
      </c>
      <c r="AH24" s="160">
        <f t="shared" si="19"/>
        <v>1246.9093885179518</v>
      </c>
      <c r="AI24" s="160">
        <f>MIN(AH24,MAX(0,$AL$3-SUM(AI25:AI$52)))</f>
        <v>0</v>
      </c>
      <c r="AJ24" s="160">
        <f t="shared" si="22"/>
        <v>436.41828598128313</v>
      </c>
      <c r="AK24" s="160">
        <f t="shared" si="10"/>
        <v>0</v>
      </c>
      <c r="AL24" s="160">
        <f>IF($A24=Abandonment!$B$4,LossRec,0)</f>
        <v>0</v>
      </c>
      <c r="AM24" s="160">
        <f t="shared" si="11"/>
        <v>436.41828598128313</v>
      </c>
      <c r="AN24" s="93"/>
      <c r="AO24" s="93"/>
      <c r="AP24" s="93"/>
      <c r="AQ24" s="245">
        <f t="shared" si="21"/>
        <v>43617</v>
      </c>
      <c r="AR24" s="245">
        <f>IF(AND(O24&lt;0,O23&gt;0,AR23=0),DATE($A24,MAX(12-$R24,0)+SUM($S24:S24)+0.5,1),AR23)</f>
        <v>43678</v>
      </c>
      <c r="AS24" s="245">
        <f>IF(AND(P24&lt;0,P23&gt;0,AS23=0),DATE($A24,MAX(12-$R24,0)+SUM($S24:T24)+0.5,1),AS23)</f>
        <v>43862</v>
      </c>
      <c r="AT24" s="245">
        <f>IF(AND(Q24&lt;0,Q23&gt;0,AT23=0),DATE($A24,MAX(12-$R24,0)+SUM($S24:U24)+0.5,1),AT23)</f>
        <v>44136</v>
      </c>
      <c r="AU24" s="93"/>
      <c r="AV24" s="93"/>
      <c r="AW24" s="93"/>
      <c r="AX24" s="93"/>
      <c r="AY24" s="93"/>
      <c r="AZ24" s="93"/>
      <c r="BA24" s="93"/>
      <c r="BB24" s="93"/>
    </row>
    <row r="25" spans="1:54">
      <c r="A25" s="140">
        <f t="shared" si="20"/>
        <v>2028</v>
      </c>
      <c r="B25" s="160">
        <f>'Success Cash Flow'!E23</f>
        <v>1352.4154734421593</v>
      </c>
      <c r="C25" s="160">
        <f>IF(noteco=Lists!A$84,0,Exploration!AB48)</f>
        <v>0</v>
      </c>
      <c r="D25" s="160">
        <f>Development!BL104</f>
        <v>0</v>
      </c>
      <c r="E25" s="160">
        <f>Operations!S32</f>
        <v>289.33627292104757</v>
      </c>
      <c r="F25" s="160">
        <f>Abandonment!G29</f>
        <v>0</v>
      </c>
      <c r="G25" s="160">
        <f t="shared" si="3"/>
        <v>0</v>
      </c>
      <c r="H25" s="160">
        <f t="shared" si="12"/>
        <v>289.33627292104757</v>
      </c>
      <c r="I25" s="160">
        <f t="shared" si="13"/>
        <v>-20206.1282070503</v>
      </c>
      <c r="J25" s="160">
        <f>IF(A25&lt;Development!$C$6,0,IF(A25=Development!C$6,Development!$D$6,IF(I25&lt;0,IF(I24&gt;0,ROUNDDOWN(-I24/(I25-I24)*12,0),0),12)))</f>
        <v>0</v>
      </c>
      <c r="K25" s="160">
        <f>IF(OR(A25&lt;Development!$C$6,A25&gt;Abandonment!$B$4),0,(J25*I24-(I24-I25)*J25*(J25+1)/24)/12)</f>
        <v>0</v>
      </c>
      <c r="L25" s="160">
        <f>$K25*(L$7+'Selected Economics'!$G24)</f>
        <v>0</v>
      </c>
      <c r="M25" s="160">
        <f>$K25*(M$7+'Selected Economics'!$G24)</f>
        <v>0</v>
      </c>
      <c r="N25" s="160">
        <f>$K25*(N$7+'Selected Economics'!$G24)</f>
        <v>0</v>
      </c>
      <c r="O25" s="160">
        <f t="shared" si="4"/>
        <v>-19510.444941391797</v>
      </c>
      <c r="P25" s="160">
        <f t="shared" si="5"/>
        <v>-18119.078410074799</v>
      </c>
      <c r="Q25" s="160">
        <f t="shared" si="5"/>
        <v>-15800.134191213127</v>
      </c>
      <c r="R25" s="160">
        <f>IF(A25=Production!$B$4,Production!$B$5,IF(A25&lt;Production!$B$4,0,12+R24))</f>
        <v>135</v>
      </c>
      <c r="S25" s="160">
        <f>MIN($R25,IF(O25&lt;0,MAX(IF(Input!$B$33="Yes",MIN(12,24-R24),0),IF(AND(O24&gt;0,O25&lt;0),ROUNDDOWN(-O24/(O25-O24)*12,0)+0.5),0),12))</f>
        <v>0</v>
      </c>
      <c r="T25" s="160">
        <f>MAX(0,MIN($R25,IF(P25&lt;0,MAX(IF(Input!$B$33="Yes",MIN(12,36-R24),0),IF(AND(P24&gt;0,P25&lt;0),ROUNDDOWN(-P24/(P25-P24)*12,0)+0.5),0),12))-S25)</f>
        <v>0</v>
      </c>
      <c r="U25" s="160">
        <f>MAX(0,MIN($R25,IF(AND(Q24&gt;0,Q25&lt;0),ROUNDDOWN(-Q24/(Q25-Q24)*12,0)+0.5,IF(AND(Q25&gt;0,MIN(Q$11:Q24)&gt;=0),12,0)))-SUM(S25:T25))</f>
        <v>0</v>
      </c>
      <c r="V25" s="160">
        <f t="shared" si="6"/>
        <v>12</v>
      </c>
      <c r="W25" s="160">
        <f t="shared" si="14"/>
        <v>1063.0792005211117</v>
      </c>
      <c r="X25" s="160">
        <f t="shared" si="15"/>
        <v>27.048309468843186</v>
      </c>
      <c r="Y25" s="160">
        <f t="shared" si="7"/>
        <v>67.620773672107973</v>
      </c>
      <c r="Z25" s="160">
        <f t="shared" si="16"/>
        <v>212.61584010422234</v>
      </c>
      <c r="AA25" s="160">
        <f t="shared" si="8"/>
        <v>372.0777201823891</v>
      </c>
      <c r="AB25" s="160">
        <f t="shared" si="17"/>
        <v>0</v>
      </c>
      <c r="AC25" s="160">
        <f t="shared" si="9"/>
        <v>0</v>
      </c>
      <c r="AD25" s="160">
        <f t="shared" si="9"/>
        <v>0</v>
      </c>
      <c r="AE25" s="160">
        <f t="shared" si="9"/>
        <v>372.0777201823891</v>
      </c>
      <c r="AF25" s="160">
        <f t="shared" si="18"/>
        <v>372.0777201823891</v>
      </c>
      <c r="AG25" s="160">
        <f>IF(A25=Abandonment!$B$4,-W25,0)</f>
        <v>0</v>
      </c>
      <c r="AH25" s="160">
        <f t="shared" si="19"/>
        <v>1063.0792005211117</v>
      </c>
      <c r="AI25" s="160">
        <f>MIN(AH25,MAX(0,$AL$3-SUM(AI26:AI$52)))</f>
        <v>0</v>
      </c>
      <c r="AJ25" s="160">
        <f t="shared" si="22"/>
        <v>372.0777201823891</v>
      </c>
      <c r="AK25" s="160">
        <f t="shared" si="10"/>
        <v>0</v>
      </c>
      <c r="AL25" s="160">
        <f>IF($A25=Abandonment!$B$4,LossRec,0)</f>
        <v>0</v>
      </c>
      <c r="AM25" s="160">
        <f t="shared" si="11"/>
        <v>372.0777201823891</v>
      </c>
      <c r="AN25" s="93"/>
      <c r="AO25" s="93"/>
      <c r="AP25" s="93"/>
      <c r="AQ25" s="245">
        <f t="shared" si="21"/>
        <v>43617</v>
      </c>
      <c r="AR25" s="245">
        <f>IF(AND(O25&lt;0,O24&gt;0,AR24=0),DATE($A25,MAX(12-$R25,0)+SUM($S25:S25)+0.5,1),AR24)</f>
        <v>43678</v>
      </c>
      <c r="AS25" s="245">
        <f>IF(AND(P25&lt;0,P24&gt;0,AS24=0),DATE($A25,MAX(12-$R25,0)+SUM($S25:T25)+0.5,1),AS24)</f>
        <v>43862</v>
      </c>
      <c r="AT25" s="245">
        <f>IF(AND(Q25&lt;0,Q24&gt;0,AT24=0),DATE($A25,MAX(12-$R25,0)+SUM($S25:U25)+0.5,1),AT24)</f>
        <v>44136</v>
      </c>
      <c r="AU25" s="93"/>
      <c r="AV25" s="93"/>
      <c r="AW25" s="93"/>
      <c r="AX25" s="93"/>
      <c r="AY25" s="93"/>
      <c r="AZ25" s="93"/>
      <c r="BA25" s="93"/>
      <c r="BB25" s="93"/>
    </row>
    <row r="26" spans="1:54">
      <c r="A26" s="140">
        <f t="shared" si="20"/>
        <v>2029</v>
      </c>
      <c r="B26" s="160">
        <f>'Success Cash Flow'!E24</f>
        <v>1177.6353605502084</v>
      </c>
      <c r="C26" s="160">
        <f>IF(noteco=Lists!A$84,0,Exploration!AB49)</f>
        <v>0</v>
      </c>
      <c r="D26" s="160">
        <f>Development!BL105</f>
        <v>0</v>
      </c>
      <c r="E26" s="160">
        <f>Operations!S33</f>
        <v>282.79836741348208</v>
      </c>
      <c r="F26" s="160">
        <f>Abandonment!G30</f>
        <v>0</v>
      </c>
      <c r="G26" s="160">
        <f t="shared" si="3"/>
        <v>0</v>
      </c>
      <c r="H26" s="160">
        <f t="shared" si="12"/>
        <v>282.79836741348208</v>
      </c>
      <c r="I26" s="160">
        <f t="shared" si="13"/>
        <v>-21100.965200187027</v>
      </c>
      <c r="J26" s="160">
        <f>IF(A26&lt;Development!$C$6,0,IF(A26=Development!C$6,Development!$D$6,IF(I26&lt;0,IF(I25&gt;0,ROUNDDOWN(-I25/(I26-I25)*12,0),0),12)))</f>
        <v>0</v>
      </c>
      <c r="K26" s="160">
        <f>IF(OR(A26&lt;Development!$C$6,A26&gt;Abandonment!$B$4),0,(J26*I25-(I25-I26)*J26*(J26+1)/24)/12)</f>
        <v>0</v>
      </c>
      <c r="L26" s="160">
        <f>$K26*(L$7+'Selected Economics'!$G25)</f>
        <v>0</v>
      </c>
      <c r="M26" s="160">
        <f>$K26*(M$7+'Selected Economics'!$G25)</f>
        <v>0</v>
      </c>
      <c r="N26" s="160">
        <f>$K26*(N$7+'Selected Economics'!$G25)</f>
        <v>0</v>
      </c>
      <c r="O26" s="160">
        <f t="shared" si="4"/>
        <v>-20405.281934528524</v>
      </c>
      <c r="P26" s="160">
        <f t="shared" si="5"/>
        <v>-19013.915403211526</v>
      </c>
      <c r="Q26" s="160">
        <f t="shared" si="5"/>
        <v>-16694.971184349852</v>
      </c>
      <c r="R26" s="160">
        <f>IF(A26=Production!$B$4,Production!$B$5,IF(A26&lt;Production!$B$4,0,12+R25))</f>
        <v>147</v>
      </c>
      <c r="S26" s="160">
        <f>MIN($R26,IF(O26&lt;0,MAX(IF(Input!$B$33="Yes",MIN(12,24-R25),0),IF(AND(O25&gt;0,O26&lt;0),ROUNDDOWN(-O25/(O26-O25)*12,0)+0.5),0),12))</f>
        <v>0</v>
      </c>
      <c r="T26" s="160">
        <f>MAX(0,MIN($R26,IF(P26&lt;0,MAX(IF(Input!$B$33="Yes",MIN(12,36-R25),0),IF(AND(P25&gt;0,P26&lt;0),ROUNDDOWN(-P25/(P26-P25)*12,0)+0.5),0),12))-S26)</f>
        <v>0</v>
      </c>
      <c r="U26" s="160">
        <f>MAX(0,MIN($R26,IF(AND(Q25&gt;0,Q26&lt;0),ROUNDDOWN(-Q25/(Q26-Q25)*12,0)+0.5,IF(AND(Q26&gt;0,MIN(Q$11:Q25)&gt;=0),12,0)))-SUM(S26:T26))</f>
        <v>0</v>
      </c>
      <c r="V26" s="160">
        <f t="shared" si="6"/>
        <v>12</v>
      </c>
      <c r="W26" s="160">
        <f t="shared" si="14"/>
        <v>894.83699313672628</v>
      </c>
      <c r="X26" s="160">
        <f t="shared" si="15"/>
        <v>23.552707211004169</v>
      </c>
      <c r="Y26" s="160">
        <f t="shared" si="7"/>
        <v>58.881768027510418</v>
      </c>
      <c r="Z26" s="160">
        <f t="shared" si="16"/>
        <v>178.96739862734526</v>
      </c>
      <c r="AA26" s="160">
        <f t="shared" si="8"/>
        <v>313.19294759785419</v>
      </c>
      <c r="AB26" s="160">
        <f t="shared" si="17"/>
        <v>0</v>
      </c>
      <c r="AC26" s="160">
        <f t="shared" si="9"/>
        <v>0</v>
      </c>
      <c r="AD26" s="160">
        <f t="shared" si="9"/>
        <v>0</v>
      </c>
      <c r="AE26" s="160">
        <f t="shared" si="9"/>
        <v>313.19294759785419</v>
      </c>
      <c r="AF26" s="160">
        <f t="shared" si="18"/>
        <v>313.19294759785419</v>
      </c>
      <c r="AG26" s="160">
        <f>IF(A26=Abandonment!$B$4,-W26,0)</f>
        <v>0</v>
      </c>
      <c r="AH26" s="160">
        <f t="shared" si="19"/>
        <v>894.83699313672628</v>
      </c>
      <c r="AI26" s="160">
        <f>MIN(AH26,MAX(0,$AL$3-SUM(AI27:AI$52)))</f>
        <v>0</v>
      </c>
      <c r="AJ26" s="160">
        <f t="shared" si="22"/>
        <v>313.19294759785419</v>
      </c>
      <c r="AK26" s="160">
        <f t="shared" si="10"/>
        <v>0</v>
      </c>
      <c r="AL26" s="160">
        <f>IF($A26=Abandonment!$B$4,LossRec,0)</f>
        <v>0</v>
      </c>
      <c r="AM26" s="160">
        <f t="shared" si="11"/>
        <v>313.19294759785419</v>
      </c>
      <c r="AN26" s="93"/>
      <c r="AO26" s="93"/>
      <c r="AP26" s="93"/>
      <c r="AQ26" s="245">
        <f t="shared" si="21"/>
        <v>43617</v>
      </c>
      <c r="AR26" s="245">
        <f>IF(AND(O26&lt;0,O25&gt;0,AR25=0),DATE($A26,MAX(12-$R26,0)+SUM($S26:S26)+0.5,1),AR25)</f>
        <v>43678</v>
      </c>
      <c r="AS26" s="245">
        <f>IF(AND(P26&lt;0,P25&gt;0,AS25=0),DATE($A26,MAX(12-$R26,0)+SUM($S26:T26)+0.5,1),AS25)</f>
        <v>43862</v>
      </c>
      <c r="AT26" s="245">
        <f>IF(AND(Q26&lt;0,Q25&gt;0,AT25=0),DATE($A26,MAX(12-$R26,0)+SUM($S26:U26)+0.5,1),AT25)</f>
        <v>44136</v>
      </c>
      <c r="AU26" s="93"/>
      <c r="AV26" s="93"/>
      <c r="AW26" s="93"/>
      <c r="AX26" s="93"/>
      <c r="AY26" s="93"/>
      <c r="AZ26" s="93"/>
      <c r="BA26" s="93"/>
      <c r="BB26" s="93"/>
    </row>
    <row r="27" spans="1:54">
      <c r="A27" s="140">
        <f t="shared" si="20"/>
        <v>2030</v>
      </c>
      <c r="B27" s="160">
        <f>'Success Cash Flow'!E25</f>
        <v>1028.3319276316436</v>
      </c>
      <c r="C27" s="160">
        <f>IF(noteco=Lists!A$84,0,Exploration!AB50)</f>
        <v>0</v>
      </c>
      <c r="D27" s="160">
        <f>Development!BL106</f>
        <v>0</v>
      </c>
      <c r="E27" s="160">
        <f>Operations!S34</f>
        <v>277.97647304025742</v>
      </c>
      <c r="F27" s="160">
        <f>Abandonment!G31</f>
        <v>0</v>
      </c>
      <c r="G27" s="160">
        <f t="shared" si="3"/>
        <v>0</v>
      </c>
      <c r="H27" s="160">
        <f t="shared" si="12"/>
        <v>277.97647304025742</v>
      </c>
      <c r="I27" s="160">
        <f t="shared" si="13"/>
        <v>-21851.320654778414</v>
      </c>
      <c r="J27" s="160">
        <f>IF(A27&lt;Development!$C$6,0,IF(A27=Development!C$6,Development!$D$6,IF(I27&lt;0,IF(I26&gt;0,ROUNDDOWN(-I26/(I27-I26)*12,0),0),12)))</f>
        <v>0</v>
      </c>
      <c r="K27" s="160">
        <f>IF(OR(A27&lt;Development!$C$6,A27&gt;Abandonment!$B$4),0,(J27*I26-(I26-I27)*J27*(J27+1)/24)/12)</f>
        <v>0</v>
      </c>
      <c r="L27" s="160">
        <f>$K27*(L$7+'Selected Economics'!$G26)</f>
        <v>0</v>
      </c>
      <c r="M27" s="160">
        <f>$K27*(M$7+'Selected Economics'!$G26)</f>
        <v>0</v>
      </c>
      <c r="N27" s="160">
        <f>$K27*(N$7+'Selected Economics'!$G26)</f>
        <v>0</v>
      </c>
      <c r="O27" s="160">
        <f t="shared" si="4"/>
        <v>-21155.637389119911</v>
      </c>
      <c r="P27" s="160">
        <f t="shared" si="5"/>
        <v>-19764.270857802912</v>
      </c>
      <c r="Q27" s="160">
        <f t="shared" si="5"/>
        <v>-17445.326638941238</v>
      </c>
      <c r="R27" s="160">
        <f>IF(A27=Production!$B$4,Production!$B$5,IF(A27&lt;Production!$B$4,0,12+R26))</f>
        <v>159</v>
      </c>
      <c r="S27" s="160">
        <f>MIN($R27,IF(O27&lt;0,MAX(IF(Input!$B$33="Yes",MIN(12,24-R26),0),IF(AND(O26&gt;0,O27&lt;0),ROUNDDOWN(-O26/(O27-O26)*12,0)+0.5),0),12))</f>
        <v>0</v>
      </c>
      <c r="T27" s="160">
        <f>MAX(0,MIN($R27,IF(P27&lt;0,MAX(IF(Input!$B$33="Yes",MIN(12,36-R26),0),IF(AND(P26&gt;0,P27&lt;0),ROUNDDOWN(-P26/(P27-P26)*12,0)+0.5),0),12))-S27)</f>
        <v>0</v>
      </c>
      <c r="U27" s="160">
        <f>MAX(0,MIN($R27,IF(AND(Q26&gt;0,Q27&lt;0),ROUNDDOWN(-Q26/(Q27-Q26)*12,0)+0.5,IF(AND(Q27&gt;0,MIN(Q$11:Q26)&gt;=0),12,0)))-SUM(S27:T27))</f>
        <v>0</v>
      </c>
      <c r="V27" s="160">
        <f t="shared" si="6"/>
        <v>12</v>
      </c>
      <c r="W27" s="160">
        <f t="shared" si="14"/>
        <v>750.35545459138621</v>
      </c>
      <c r="X27" s="160">
        <f t="shared" si="15"/>
        <v>20.56663855263287</v>
      </c>
      <c r="Y27" s="160">
        <f t="shared" si="7"/>
        <v>51.416596381582181</v>
      </c>
      <c r="Z27" s="160">
        <f t="shared" si="16"/>
        <v>150.07109091827724</v>
      </c>
      <c r="AA27" s="160">
        <f t="shared" si="8"/>
        <v>262.62440910698518</v>
      </c>
      <c r="AB27" s="160">
        <f t="shared" si="17"/>
        <v>0</v>
      </c>
      <c r="AC27" s="160">
        <f t="shared" si="9"/>
        <v>0</v>
      </c>
      <c r="AD27" s="160">
        <f t="shared" si="9"/>
        <v>0</v>
      </c>
      <c r="AE27" s="160">
        <f t="shared" si="9"/>
        <v>262.62440910698518</v>
      </c>
      <c r="AF27" s="160">
        <f t="shared" si="18"/>
        <v>262.62440910698518</v>
      </c>
      <c r="AG27" s="160">
        <f>IF(A27=Abandonment!$B$4,-W27,0)</f>
        <v>0</v>
      </c>
      <c r="AH27" s="160">
        <f t="shared" si="19"/>
        <v>750.35545459138621</v>
      </c>
      <c r="AI27" s="160">
        <f>MIN(AH27,MAX(0,$AL$3-SUM(AI28:AI$52)))</f>
        <v>0</v>
      </c>
      <c r="AJ27" s="160">
        <f t="shared" si="22"/>
        <v>262.62440910698518</v>
      </c>
      <c r="AK27" s="160">
        <f t="shared" si="10"/>
        <v>0</v>
      </c>
      <c r="AL27" s="160">
        <f>IF($A27=Abandonment!$B$4,LossRec,0)</f>
        <v>0</v>
      </c>
      <c r="AM27" s="160">
        <f t="shared" si="11"/>
        <v>262.62440910698518</v>
      </c>
      <c r="AN27" s="93"/>
      <c r="AO27" s="93"/>
      <c r="AP27" s="93"/>
      <c r="AQ27" s="245">
        <f t="shared" si="21"/>
        <v>43617</v>
      </c>
      <c r="AR27" s="245">
        <f>IF(AND(O27&lt;0,O26&gt;0,AR26=0),DATE($A27,MAX(12-$R27,0)+SUM($S27:S27)+0.5,1),AR26)</f>
        <v>43678</v>
      </c>
      <c r="AS27" s="245">
        <f>IF(AND(P27&lt;0,P26&gt;0,AS26=0),DATE($A27,MAX(12-$R27,0)+SUM($S27:T27)+0.5,1),AS26)</f>
        <v>43862</v>
      </c>
      <c r="AT27" s="245">
        <f>IF(AND(Q27&lt;0,Q26&gt;0,AT26=0),DATE($A27,MAX(12-$R27,0)+SUM($S27:U27)+0.5,1),AT26)</f>
        <v>44136</v>
      </c>
      <c r="AU27" s="93"/>
      <c r="AV27" s="93"/>
      <c r="AW27" s="93"/>
      <c r="AX27" s="93"/>
      <c r="AY27" s="93"/>
      <c r="AZ27" s="93"/>
      <c r="BA27" s="93"/>
      <c r="BB27" s="93"/>
    </row>
    <row r="28" spans="1:54">
      <c r="A28" s="140">
        <f t="shared" si="20"/>
        <v>2031</v>
      </c>
      <c r="B28" s="160">
        <f>'Success Cash Flow'!E26</f>
        <v>897.82489223453922</v>
      </c>
      <c r="C28" s="160">
        <f>IF(noteco=Lists!A$84,0,Exploration!AB51)</f>
        <v>0</v>
      </c>
      <c r="D28" s="160">
        <f>Development!BL107</f>
        <v>0</v>
      </c>
      <c r="E28" s="160">
        <f>Operations!S35</f>
        <v>274.56510745336703</v>
      </c>
      <c r="F28" s="160">
        <f>Abandonment!G32</f>
        <v>0</v>
      </c>
      <c r="G28" s="160">
        <f t="shared" si="3"/>
        <v>0</v>
      </c>
      <c r="H28" s="160">
        <f t="shared" si="12"/>
        <v>274.56510745336703</v>
      </c>
      <c r="I28" s="160">
        <f t="shared" si="13"/>
        <v>-22474.580439559584</v>
      </c>
      <c r="J28" s="160">
        <f>IF(A28&lt;Development!$C$6,0,IF(A28=Development!C$6,Development!$D$6,IF(I28&lt;0,IF(I27&gt;0,ROUNDDOWN(-I27/(I28-I27)*12,0),0),12)))</f>
        <v>0</v>
      </c>
      <c r="K28" s="160">
        <f>IF(OR(A28&lt;Development!$C$6,A28&gt;Abandonment!$B$4),0,(J28*I27-(I27-I28)*J28*(J28+1)/24)/12)</f>
        <v>0</v>
      </c>
      <c r="L28" s="160">
        <f>$K28*(L$7+'Selected Economics'!$G27)</f>
        <v>0</v>
      </c>
      <c r="M28" s="160">
        <f>$K28*(M$7+'Selected Economics'!$G27)</f>
        <v>0</v>
      </c>
      <c r="N28" s="160">
        <f>$K28*(N$7+'Selected Economics'!$G27)</f>
        <v>0</v>
      </c>
      <c r="O28" s="160">
        <f t="shared" si="4"/>
        <v>-21778.897173901081</v>
      </c>
      <c r="P28" s="160">
        <f>$H28-$B28+M28+P27</f>
        <v>-20387.530642584083</v>
      </c>
      <c r="Q28" s="160">
        <f>$H28-$B28+N28+Q27</f>
        <v>-18068.586423722409</v>
      </c>
      <c r="R28" s="160">
        <f>IF(A28=Production!$B$4,Production!$B$5,IF(A28&lt;Production!$B$4,0,12+R27))</f>
        <v>171</v>
      </c>
      <c r="S28" s="160">
        <f>MIN($R28,IF(O28&lt;0,MAX(IF(Input!$B$33="Yes",MIN(12,24-R27),0),IF(AND(O27&gt;0,O28&lt;0),ROUNDDOWN(-O27/(O28-O27)*12,0)+0.5),0),12))</f>
        <v>0</v>
      </c>
      <c r="T28" s="160">
        <f>MAX(0,MIN($R28,IF(P28&lt;0,MAX(IF(Input!$B$33="Yes",MIN(12,36-R27),0),IF(AND(P27&gt;0,P28&lt;0),ROUNDDOWN(-P27/(P28-P27)*12,0)+0.5),0),12))-S28)</f>
        <v>0</v>
      </c>
      <c r="U28" s="160">
        <f>MAX(0,MIN($R28,IF(AND(Q27&gt;0,Q28&lt;0),ROUNDDOWN(-Q27/(Q28-Q27)*12,0)+0.5,IF(AND(Q28&gt;0,MIN(Q$11:Q27)&gt;=0),12,0)))-SUM(S28:T28))</f>
        <v>0</v>
      </c>
      <c r="V28" s="160">
        <f t="shared" si="6"/>
        <v>12</v>
      </c>
      <c r="W28" s="160">
        <f t="shared" si="14"/>
        <v>623.25978478117213</v>
      </c>
      <c r="X28" s="160">
        <f t="shared" si="15"/>
        <v>17.956497844690784</v>
      </c>
      <c r="Y28" s="160">
        <f t="shared" si="7"/>
        <v>44.891244611726961</v>
      </c>
      <c r="Z28" s="160">
        <f t="shared" si="16"/>
        <v>124.65195695623443</v>
      </c>
      <c r="AA28" s="160">
        <f t="shared" si="8"/>
        <v>218.14092467341024</v>
      </c>
      <c r="AB28" s="160">
        <f t="shared" si="17"/>
        <v>0</v>
      </c>
      <c r="AC28" s="160">
        <f t="shared" si="9"/>
        <v>0</v>
      </c>
      <c r="AD28" s="160">
        <f t="shared" si="9"/>
        <v>0</v>
      </c>
      <c r="AE28" s="160">
        <f t="shared" si="9"/>
        <v>218.14092467341024</v>
      </c>
      <c r="AF28" s="160">
        <f t="shared" si="18"/>
        <v>218.14092467341024</v>
      </c>
      <c r="AG28" s="160">
        <f>IF(A28=Abandonment!$B$4,-W28,0)</f>
        <v>0</v>
      </c>
      <c r="AH28" s="160">
        <f t="shared" si="19"/>
        <v>623.25978478117213</v>
      </c>
      <c r="AI28" s="160">
        <f>MIN(AH28,MAX(0,$AL$3-SUM(AI29:AI$52)))</f>
        <v>0</v>
      </c>
      <c r="AJ28" s="160">
        <f t="shared" si="22"/>
        <v>218.14092467341024</v>
      </c>
      <c r="AK28" s="160">
        <f t="shared" si="10"/>
        <v>0</v>
      </c>
      <c r="AL28" s="160">
        <f>IF($A28=Abandonment!$B$4,LossRec,0)</f>
        <v>0</v>
      </c>
      <c r="AM28" s="160">
        <f t="shared" si="11"/>
        <v>218.14092467341024</v>
      </c>
      <c r="AN28" s="93"/>
      <c r="AO28" s="93"/>
      <c r="AP28" s="93"/>
      <c r="AQ28" s="245">
        <f t="shared" si="21"/>
        <v>43617</v>
      </c>
      <c r="AR28" s="245">
        <f>IF(AND(O28&lt;0,O27&gt;0,AR27=0),DATE($A28,MAX(12-$R28,0)+SUM($S28:S28)+0.5,1),AR27)</f>
        <v>43678</v>
      </c>
      <c r="AS28" s="245">
        <f>IF(AND(P28&lt;0,P27&gt;0,AS27=0),DATE($A28,MAX(12-$R28,0)+SUM($S28:T28)+0.5,1),AS27)</f>
        <v>43862</v>
      </c>
      <c r="AT28" s="245">
        <f>IF(AND(Q28&lt;0,Q27&gt;0,AT27=0),DATE($A28,MAX(12-$R28,0)+SUM($S28:U28)+0.5,1),AT27)</f>
        <v>44136</v>
      </c>
      <c r="AU28" s="93"/>
      <c r="AV28" s="93"/>
      <c r="AW28" s="93"/>
      <c r="AX28" s="93"/>
      <c r="AY28" s="93"/>
      <c r="AZ28" s="93"/>
      <c r="BA28" s="93"/>
      <c r="BB28" s="93"/>
    </row>
    <row r="29" spans="1:54">
      <c r="A29" s="140">
        <f t="shared" si="20"/>
        <v>2032</v>
      </c>
      <c r="B29" s="160">
        <f>'Success Cash Flow'!E27</f>
        <v>785.74476337553085</v>
      </c>
      <c r="C29" s="160">
        <f>IF(noteco=Lists!A$84,0,Exploration!AB52)</f>
        <v>0</v>
      </c>
      <c r="D29" s="160">
        <f>Development!BL108</f>
        <v>0</v>
      </c>
      <c r="E29" s="160">
        <f>Operations!S36</f>
        <v>272.44825888867905</v>
      </c>
      <c r="F29" s="160">
        <f>Abandonment!G33</f>
        <v>0</v>
      </c>
      <c r="G29" s="160">
        <f t="shared" si="3"/>
        <v>0</v>
      </c>
      <c r="H29" s="160">
        <f t="shared" si="12"/>
        <v>272.44825888867905</v>
      </c>
      <c r="I29" s="160">
        <f t="shared" si="13"/>
        <v>-22987.876944046435</v>
      </c>
      <c r="J29" s="160">
        <f>IF(A29&lt;Development!$C$6,0,IF(A29=Development!C$6,Development!$D$6,IF(I29&lt;0,IF(I28&gt;0,ROUNDDOWN(-I28/(I29-I28)*12,0),0),12)))</f>
        <v>0</v>
      </c>
      <c r="K29" s="160">
        <f>IF(OR(A29&lt;Development!$C$6,A29&gt;Abandonment!$B$4),0,(J29*I28-(I28-I29)*J29*(J29+1)/24)/12)</f>
        <v>0</v>
      </c>
      <c r="L29" s="160">
        <f>$K29*(L$7+'Selected Economics'!$G28)</f>
        <v>0</v>
      </c>
      <c r="M29" s="160">
        <f>$K29*(M$7+'Selected Economics'!$G28)</f>
        <v>0</v>
      </c>
      <c r="N29" s="160">
        <f>$K29*(N$7+'Selected Economics'!$G28)</f>
        <v>0</v>
      </c>
      <c r="O29" s="160">
        <f t="shared" ref="O29:Q44" si="23">$H29-$B29+L29+O28</f>
        <v>-22292.193678387932</v>
      </c>
      <c r="P29" s="160">
        <f t="shared" si="23"/>
        <v>-20900.827147070933</v>
      </c>
      <c r="Q29" s="160">
        <f t="shared" si="23"/>
        <v>-18581.882928209259</v>
      </c>
      <c r="R29" s="160">
        <f>IF(A29=Production!$B$4,Production!$B$5,IF(A29&lt;Production!$B$4,0,12+R28))</f>
        <v>183</v>
      </c>
      <c r="S29" s="160">
        <f>MIN($R29,IF(O29&lt;0,MAX(IF(Input!$B$33="Yes",MIN(12,24-R28),0),IF(AND(O28&gt;0,O29&lt;0),ROUNDDOWN(-O28/(O29-O28)*12,0)+0.5),0),12))</f>
        <v>0</v>
      </c>
      <c r="T29" s="160">
        <f>MAX(0,MIN($R29,IF(P29&lt;0,MAX(IF(Input!$B$33="Yes",MIN(12,36-R28),0),IF(AND(P28&gt;0,P29&lt;0),ROUNDDOWN(-P28/(P29-P28)*12,0)+0.5),0),12))-S29)</f>
        <v>0</v>
      </c>
      <c r="U29" s="160">
        <f>MAX(0,MIN($R29,IF(AND(Q28&gt;0,Q29&lt;0),ROUNDDOWN(-Q28/(Q29-Q28)*12,0)+0.5,IF(AND(Q29&gt;0,MIN(Q$11:Q28)&gt;=0),12,0)))-SUM(S29:T29))</f>
        <v>0</v>
      </c>
      <c r="V29" s="160">
        <f t="shared" si="6"/>
        <v>12</v>
      </c>
      <c r="W29" s="160">
        <f t="shared" si="14"/>
        <v>513.29650448685175</v>
      </c>
      <c r="X29" s="160">
        <f t="shared" si="15"/>
        <v>15.714895267510617</v>
      </c>
      <c r="Y29" s="160">
        <f t="shared" si="7"/>
        <v>39.287238168776547</v>
      </c>
      <c r="Z29" s="160">
        <f t="shared" si="16"/>
        <v>102.65930089737036</v>
      </c>
      <c r="AA29" s="160">
        <f t="shared" si="8"/>
        <v>179.65377657039809</v>
      </c>
      <c r="AB29" s="160">
        <f t="shared" si="17"/>
        <v>0</v>
      </c>
      <c r="AC29" s="160">
        <f t="shared" si="9"/>
        <v>0</v>
      </c>
      <c r="AD29" s="160">
        <f t="shared" si="9"/>
        <v>0</v>
      </c>
      <c r="AE29" s="160">
        <f t="shared" si="9"/>
        <v>179.65377657039809</v>
      </c>
      <c r="AF29" s="160">
        <f t="shared" si="18"/>
        <v>179.65377657039809</v>
      </c>
      <c r="AG29" s="160">
        <f>IF(A29=Abandonment!$B$4,-W29,0)</f>
        <v>0</v>
      </c>
      <c r="AH29" s="160">
        <f t="shared" si="19"/>
        <v>513.29650448685175</v>
      </c>
      <c r="AI29" s="160">
        <f>MIN(AH29,MAX(0,$AL$3-SUM(AI30:AI$52)))</f>
        <v>0</v>
      </c>
      <c r="AJ29" s="160">
        <f t="shared" si="22"/>
        <v>179.65377657039809</v>
      </c>
      <c r="AK29" s="160">
        <f t="shared" si="10"/>
        <v>0</v>
      </c>
      <c r="AL29" s="160">
        <f>IF($A29=Abandonment!$B$4,LossRec,0)</f>
        <v>0</v>
      </c>
      <c r="AM29" s="160">
        <f t="shared" si="11"/>
        <v>179.65377657039809</v>
      </c>
      <c r="AN29" s="93"/>
      <c r="AO29" s="93"/>
      <c r="AP29" s="93"/>
      <c r="AQ29" s="245">
        <f t="shared" si="21"/>
        <v>43617</v>
      </c>
      <c r="AR29" s="245">
        <f>IF(AND(O29&lt;0,O28&gt;0,AR28=0),DATE($A29,MAX(12-$R29,0)+SUM($S29:S29)+0.5,1),AR28)</f>
        <v>43678</v>
      </c>
      <c r="AS29" s="245">
        <f>IF(AND(P29&lt;0,P28&gt;0,AS28=0),DATE($A29,MAX(12-$R29,0)+SUM($S29:T29)+0.5,1),AS28)</f>
        <v>43862</v>
      </c>
      <c r="AT29" s="245">
        <f>IF(AND(Q29&lt;0,Q28&gt;0,AT28=0),DATE($A29,MAX(12-$R29,0)+SUM($S29:U29)+0.5,1),AT28)</f>
        <v>44136</v>
      </c>
      <c r="AU29" s="93"/>
      <c r="AV29" s="93"/>
      <c r="AW29" s="93"/>
      <c r="AX29" s="93"/>
      <c r="AY29" s="93"/>
      <c r="AZ29" s="93"/>
      <c r="BA29" s="93"/>
      <c r="BB29" s="93"/>
    </row>
    <row r="30" spans="1:54">
      <c r="A30" s="140">
        <f t="shared" si="20"/>
        <v>2033</v>
      </c>
      <c r="B30" s="160">
        <f>'Success Cash Flow'!E28</f>
        <v>683.79909324241123</v>
      </c>
      <c r="C30" s="160">
        <f>IF(noteco=Lists!A$84,0,Exploration!AB53)</f>
        <v>0</v>
      </c>
      <c r="D30" s="160">
        <f>Development!BL109</f>
        <v>0</v>
      </c>
      <c r="E30" s="160">
        <f>Operations!S37</f>
        <v>271.32800570068935</v>
      </c>
      <c r="F30" s="160">
        <f>Abandonment!G34</f>
        <v>0</v>
      </c>
      <c r="G30" s="160">
        <f t="shared" si="3"/>
        <v>0</v>
      </c>
      <c r="H30" s="160">
        <f t="shared" si="12"/>
        <v>271.32800570068935</v>
      </c>
      <c r="I30" s="160">
        <f t="shared" si="13"/>
        <v>-23400.348031588157</v>
      </c>
      <c r="J30" s="160">
        <f>IF(A30&lt;Development!$C$6,0,IF(A30=Development!C$6,Development!$D$6,IF(I30&lt;0,IF(I29&gt;0,ROUNDDOWN(-I29/(I30-I29)*12,0),0),12)))</f>
        <v>0</v>
      </c>
      <c r="K30" s="160">
        <f>IF(OR(A30&lt;Development!$C$6,A30&gt;Abandonment!$B$4),0,(J30*I29-(I29-I30)*J30*(J30+1)/24)/12)</f>
        <v>0</v>
      </c>
      <c r="L30" s="160">
        <f>$K30*(L$7+'Selected Economics'!$G29)</f>
        <v>0</v>
      </c>
      <c r="M30" s="160">
        <f>$K30*(M$7+'Selected Economics'!$G29)</f>
        <v>0</v>
      </c>
      <c r="N30" s="160">
        <f>$K30*(N$7+'Selected Economics'!$G29)</f>
        <v>0</v>
      </c>
      <c r="O30" s="160">
        <f t="shared" si="23"/>
        <v>-22704.664765929654</v>
      </c>
      <c r="P30" s="160">
        <f t="shared" si="23"/>
        <v>-21313.298234612656</v>
      </c>
      <c r="Q30" s="160">
        <f t="shared" si="23"/>
        <v>-18994.354015750981</v>
      </c>
      <c r="R30" s="160">
        <f>IF(A30=Production!$B$4,Production!$B$5,IF(A30&lt;Production!$B$4,0,12+R29))</f>
        <v>195</v>
      </c>
      <c r="S30" s="160">
        <f>MIN($R30,IF(O30&lt;0,MAX(IF(Input!$B$33="Yes",MIN(12,24-R29),0),IF(AND(O29&gt;0,O30&lt;0),ROUNDDOWN(-O29/(O30-O29)*12,0)+0.5),0),12))</f>
        <v>0</v>
      </c>
      <c r="T30" s="160">
        <f>MAX(0,MIN($R30,IF(P30&lt;0,MAX(IF(Input!$B$33="Yes",MIN(12,36-R29),0),IF(AND(P29&gt;0,P30&lt;0),ROUNDDOWN(-P29/(P30-P29)*12,0)+0.5),0),12))-S30)</f>
        <v>0</v>
      </c>
      <c r="U30" s="160">
        <f>MAX(0,MIN($R30,IF(AND(Q29&gt;0,Q30&lt;0),ROUNDDOWN(-Q29/(Q30-Q29)*12,0)+0.5,IF(AND(Q30&gt;0,MIN(Q$11:Q29)&gt;=0),12,0)))-SUM(S30:T30))</f>
        <v>0</v>
      </c>
      <c r="V30" s="160">
        <f t="shared" si="6"/>
        <v>12</v>
      </c>
      <c r="W30" s="160">
        <f t="shared" si="14"/>
        <v>412.47108754172189</v>
      </c>
      <c r="X30" s="160">
        <f t="shared" si="15"/>
        <v>13.675981864848225</v>
      </c>
      <c r="Y30" s="160">
        <f t="shared" si="7"/>
        <v>34.189954662120563</v>
      </c>
      <c r="Z30" s="160">
        <f t="shared" si="16"/>
        <v>82.494217508344377</v>
      </c>
      <c r="AA30" s="160">
        <f t="shared" si="8"/>
        <v>144.36488063960266</v>
      </c>
      <c r="AB30" s="160">
        <f t="shared" si="17"/>
        <v>0</v>
      </c>
      <c r="AC30" s="160">
        <f t="shared" si="9"/>
        <v>0</v>
      </c>
      <c r="AD30" s="160">
        <f t="shared" si="9"/>
        <v>0</v>
      </c>
      <c r="AE30" s="160">
        <f t="shared" si="9"/>
        <v>144.36488063960266</v>
      </c>
      <c r="AF30" s="160">
        <f t="shared" si="18"/>
        <v>144.36488063960266</v>
      </c>
      <c r="AG30" s="160">
        <f>IF(A30=Abandonment!$B$4,-W30,0)</f>
        <v>0</v>
      </c>
      <c r="AH30" s="160">
        <f t="shared" si="19"/>
        <v>412.47108754172189</v>
      </c>
      <c r="AI30" s="160">
        <f>MIN(AH30,MAX(0,$AL$3-SUM(AI31:AI$52)))</f>
        <v>0</v>
      </c>
      <c r="AJ30" s="160">
        <f t="shared" si="22"/>
        <v>144.36488063960266</v>
      </c>
      <c r="AK30" s="160">
        <f t="shared" si="10"/>
        <v>0</v>
      </c>
      <c r="AL30" s="160">
        <f>IF($A30=Abandonment!$B$4,LossRec,0)</f>
        <v>0</v>
      </c>
      <c r="AM30" s="160">
        <f t="shared" si="11"/>
        <v>144.36488063960266</v>
      </c>
      <c r="AN30" s="93"/>
      <c r="AO30" s="93"/>
      <c r="AP30" s="93"/>
      <c r="AQ30" s="245">
        <f t="shared" si="21"/>
        <v>43617</v>
      </c>
      <c r="AR30" s="245">
        <f>IF(AND(O30&lt;0,O29&gt;0,AR29=0),DATE($A30,MAX(12-$R30,0)+SUM($S30:S30)+0.5,1),AR29)</f>
        <v>43678</v>
      </c>
      <c r="AS30" s="245">
        <f>IF(AND(P30&lt;0,P29&gt;0,AS29=0),DATE($A30,MAX(12-$R30,0)+SUM($S30:T30)+0.5,1),AS29)</f>
        <v>43862</v>
      </c>
      <c r="AT30" s="245">
        <f>IF(AND(Q30&lt;0,Q29&gt;0,AT29=0),DATE($A30,MAX(12-$R30,0)+SUM($S30:U30)+0.5,1),AT29)</f>
        <v>44136</v>
      </c>
      <c r="AU30" s="93"/>
      <c r="AV30" s="93"/>
      <c r="AW30" s="93"/>
      <c r="AX30" s="93"/>
      <c r="AY30" s="93"/>
      <c r="AZ30" s="93"/>
      <c r="BA30" s="93"/>
      <c r="BB30" s="93"/>
    </row>
    <row r="31" spans="1:54">
      <c r="A31" s="140">
        <f t="shared" si="20"/>
        <v>2034</v>
      </c>
      <c r="B31" s="160">
        <f>'Success Cash Flow'!E29</f>
        <v>596.76502233232452</v>
      </c>
      <c r="C31" s="160">
        <f>IF(noteco=Lists!A$84,0,Exploration!AB54)</f>
        <v>0</v>
      </c>
      <c r="D31" s="160">
        <f>Development!BL110</f>
        <v>0</v>
      </c>
      <c r="E31" s="160">
        <f>Operations!S38</f>
        <v>271.26220303791149</v>
      </c>
      <c r="F31" s="160">
        <f>Abandonment!G35</f>
        <v>0</v>
      </c>
      <c r="G31" s="160">
        <f t="shared" si="3"/>
        <v>0</v>
      </c>
      <c r="H31" s="160">
        <f t="shared" si="12"/>
        <v>271.26220303791149</v>
      </c>
      <c r="I31" s="160">
        <f t="shared" si="13"/>
        <v>-23725.850850882573</v>
      </c>
      <c r="J31" s="160">
        <f>IF(A31&lt;Development!$C$6,0,IF(A31=Development!C$6,Development!$D$6,IF(I31&lt;0,IF(I30&gt;0,ROUNDDOWN(-I30/(I31-I30)*12,0),0),12)))</f>
        <v>0</v>
      </c>
      <c r="K31" s="160">
        <f>IF(OR(A31&lt;Development!$C$6,A31&gt;Abandonment!$B$4),0,(J31*I30-(I30-I31)*J31*(J31+1)/24)/12)</f>
        <v>0</v>
      </c>
      <c r="L31" s="160">
        <f>$K31*(L$7+'Selected Economics'!$G30)</f>
        <v>0</v>
      </c>
      <c r="M31" s="160">
        <f>$K31*(M$7+'Selected Economics'!$G30)</f>
        <v>0</v>
      </c>
      <c r="N31" s="160">
        <f>$K31*(N$7+'Selected Economics'!$G30)</f>
        <v>0</v>
      </c>
      <c r="O31" s="160">
        <f t="shared" si="23"/>
        <v>-23030.167585224066</v>
      </c>
      <c r="P31" s="160">
        <f t="shared" si="23"/>
        <v>-21638.801053907067</v>
      </c>
      <c r="Q31" s="160">
        <f t="shared" si="23"/>
        <v>-19319.856835045393</v>
      </c>
      <c r="R31" s="160">
        <f>IF(A31=Production!$B$4,Production!$B$5,IF(A31&lt;Production!$B$4,0,12+R30))</f>
        <v>207</v>
      </c>
      <c r="S31" s="160">
        <f>MIN($R31,IF(O31&lt;0,MAX(IF(Input!$B$33="Yes",MIN(12,24-R30),0),IF(AND(O30&gt;0,O31&lt;0),ROUNDDOWN(-O30/(O31-O30)*12,0)+0.5),0),12))</f>
        <v>0</v>
      </c>
      <c r="T31" s="160">
        <f>MAX(0,MIN($R31,IF(P31&lt;0,MAX(IF(Input!$B$33="Yes",MIN(12,36-R30),0),IF(AND(P30&gt;0,P31&lt;0),ROUNDDOWN(-P30/(P31-P30)*12,0)+0.5),0),12))-S31)</f>
        <v>0</v>
      </c>
      <c r="U31" s="160">
        <f>MAX(0,MIN($R31,IF(AND(Q30&gt;0,Q31&lt;0),ROUNDDOWN(-Q30/(Q31-Q30)*12,0)+0.5,IF(AND(Q31&gt;0,MIN(Q$11:Q30)&gt;=0),12,0)))-SUM(S31:T31))</f>
        <v>0</v>
      </c>
      <c r="V31" s="160">
        <f t="shared" si="6"/>
        <v>12</v>
      </c>
      <c r="W31" s="160">
        <f t="shared" si="14"/>
        <v>325.50281929441303</v>
      </c>
      <c r="X31" s="160">
        <f t="shared" si="15"/>
        <v>11.93530044664649</v>
      </c>
      <c r="Y31" s="160">
        <f t="shared" si="7"/>
        <v>29.838251116616227</v>
      </c>
      <c r="Z31" s="160">
        <f t="shared" si="16"/>
        <v>65.100563858882609</v>
      </c>
      <c r="AA31" s="160">
        <f t="shared" si="8"/>
        <v>113.92598675304455</v>
      </c>
      <c r="AB31" s="160">
        <f t="shared" si="17"/>
        <v>0</v>
      </c>
      <c r="AC31" s="160">
        <f t="shared" si="9"/>
        <v>0</v>
      </c>
      <c r="AD31" s="160">
        <f t="shared" si="9"/>
        <v>0</v>
      </c>
      <c r="AE31" s="160">
        <f t="shared" si="9"/>
        <v>113.92598675304457</v>
      </c>
      <c r="AF31" s="160">
        <f t="shared" si="18"/>
        <v>113.92598675304457</v>
      </c>
      <c r="AG31" s="160">
        <f>IF(A31=Abandonment!$B$4,-W31,0)</f>
        <v>0</v>
      </c>
      <c r="AH31" s="160">
        <f t="shared" si="19"/>
        <v>325.50281929441303</v>
      </c>
      <c r="AI31" s="160">
        <f>MIN(AH31,MAX(0,$AL$3-SUM(AI32:AI$52)))</f>
        <v>0</v>
      </c>
      <c r="AJ31" s="160">
        <f t="shared" si="22"/>
        <v>113.92598675304457</v>
      </c>
      <c r="AK31" s="160">
        <f t="shared" si="10"/>
        <v>0</v>
      </c>
      <c r="AL31" s="160">
        <f>IF($A31=Abandonment!$B$4,LossRec,0)</f>
        <v>0</v>
      </c>
      <c r="AM31" s="160">
        <f t="shared" si="11"/>
        <v>113.92598675304457</v>
      </c>
      <c r="AN31" s="93"/>
      <c r="AO31" s="93"/>
      <c r="AP31" s="93"/>
      <c r="AQ31" s="245">
        <f t="shared" si="21"/>
        <v>43617</v>
      </c>
      <c r="AR31" s="245">
        <f>IF(AND(O31&lt;0,O30&gt;0,AR30=0),DATE($A31,MAX(12-$R31,0)+SUM($S31:S31)+0.5,1),AR30)</f>
        <v>43678</v>
      </c>
      <c r="AS31" s="245">
        <f>IF(AND(P31&lt;0,P30&gt;0,AS30=0),DATE($A31,MAX(12-$R31,0)+SUM($S31:T31)+0.5,1),AS30)</f>
        <v>43862</v>
      </c>
      <c r="AT31" s="245">
        <f>IF(AND(Q31&lt;0,Q30&gt;0,AT30=0),DATE($A31,MAX(12-$R31,0)+SUM($S31:U31)+0.5,1),AT30)</f>
        <v>44136</v>
      </c>
      <c r="AU31" s="93"/>
      <c r="AV31" s="93"/>
      <c r="AW31" s="93"/>
      <c r="AX31" s="93"/>
      <c r="AY31" s="93"/>
      <c r="AZ31" s="93"/>
      <c r="BA31" s="93"/>
      <c r="BB31" s="93"/>
    </row>
    <row r="32" spans="1:54">
      <c r="A32" s="140">
        <f t="shared" si="20"/>
        <v>2035</v>
      </c>
      <c r="B32" s="160">
        <f>'Success Cash Flow'!E30</f>
        <v>520.73871336508751</v>
      </c>
      <c r="C32" s="160">
        <f>IF(noteco=Lists!A$84,0,Exploration!AB55)</f>
        <v>0</v>
      </c>
      <c r="D32" s="160">
        <f>Development!BL111</f>
        <v>0</v>
      </c>
      <c r="E32" s="160">
        <f>Operations!S39</f>
        <v>272.07656441974609</v>
      </c>
      <c r="F32" s="160">
        <f>Abandonment!G36</f>
        <v>0</v>
      </c>
      <c r="G32" s="160">
        <f t="shared" si="3"/>
        <v>0</v>
      </c>
      <c r="H32" s="160">
        <f t="shared" si="12"/>
        <v>272.07656441974609</v>
      </c>
      <c r="I32" s="160">
        <f t="shared" si="13"/>
        <v>-23974.512999827915</v>
      </c>
      <c r="J32" s="160">
        <f>IF(A32&lt;Development!$C$6,0,IF(A32=Development!C$6,Development!$D$6,IF(I32&lt;0,IF(I31&gt;0,ROUNDDOWN(-I31/(I32-I31)*12,0),0),12)))</f>
        <v>0</v>
      </c>
      <c r="K32" s="160">
        <f>IF(OR(A32&lt;Development!$C$6,A32&gt;Abandonment!$B$4),0,(J32*I31-(I31-I32)*J32*(J32+1)/24)/12)</f>
        <v>0</v>
      </c>
      <c r="L32" s="160">
        <f>$K32*(L$7+'Selected Economics'!$G31)</f>
        <v>0</v>
      </c>
      <c r="M32" s="160">
        <f>$K32*(M$7+'Selected Economics'!$G31)</f>
        <v>0</v>
      </c>
      <c r="N32" s="160">
        <f>$K32*(N$7+'Selected Economics'!$G31)</f>
        <v>0</v>
      </c>
      <c r="O32" s="160">
        <f t="shared" si="23"/>
        <v>-23278.829734169409</v>
      </c>
      <c r="P32" s="160">
        <f t="shared" si="23"/>
        <v>-21887.46320285241</v>
      </c>
      <c r="Q32" s="160">
        <f t="shared" si="23"/>
        <v>-19568.518983990736</v>
      </c>
      <c r="R32" s="160">
        <f>IF(A32=Production!$B$4,Production!$B$5,IF(A32&lt;Production!$B$4,0,12+R31))</f>
        <v>219</v>
      </c>
      <c r="S32" s="160">
        <f>MIN($R32,IF(O32&lt;0,MAX(IF(Input!$B$33="Yes",MIN(12,24-R31),0),IF(AND(O31&gt;0,O32&lt;0),ROUNDDOWN(-O31/(O32-O31)*12,0)+0.5),0),12))</f>
        <v>0</v>
      </c>
      <c r="T32" s="160">
        <f>MAX(0,MIN($R32,IF(P32&lt;0,MAX(IF(Input!$B$33="Yes",MIN(12,36-R31),0),IF(AND(P31&gt;0,P32&lt;0),ROUNDDOWN(-P31/(P32-P31)*12,0)+0.5),0),12))-S32)</f>
        <v>0</v>
      </c>
      <c r="U32" s="160">
        <f>MAX(0,MIN($R32,IF(AND(Q31&gt;0,Q32&lt;0),ROUNDDOWN(-Q31/(Q32-Q31)*12,0)+0.5,IF(AND(Q32&gt;0,MIN(Q$11:Q31)&gt;=0),12,0)))-SUM(S32:T32))</f>
        <v>0</v>
      </c>
      <c r="V32" s="160">
        <f t="shared" si="6"/>
        <v>12</v>
      </c>
      <c r="W32" s="160">
        <f t="shared" si="14"/>
        <v>248.66214894534141</v>
      </c>
      <c r="X32" s="160">
        <f t="shared" si="15"/>
        <v>10.41477426730175</v>
      </c>
      <c r="Y32" s="160">
        <f t="shared" si="7"/>
        <v>26.036935668254376</v>
      </c>
      <c r="Z32" s="160">
        <f t="shared" si="16"/>
        <v>49.732429789068284</v>
      </c>
      <c r="AA32" s="160">
        <f t="shared" si="8"/>
        <v>87.031752130869492</v>
      </c>
      <c r="AB32" s="160">
        <f t="shared" si="17"/>
        <v>0</v>
      </c>
      <c r="AC32" s="160">
        <f t="shared" si="9"/>
        <v>0</v>
      </c>
      <c r="AD32" s="160">
        <f t="shared" si="9"/>
        <v>0</v>
      </c>
      <c r="AE32" s="160">
        <f t="shared" si="9"/>
        <v>87.031752130869492</v>
      </c>
      <c r="AF32" s="160">
        <f t="shared" si="18"/>
        <v>87.031752130869492</v>
      </c>
      <c r="AG32" s="160">
        <f>IF(A32=Abandonment!$B$4,-W32,0)</f>
        <v>0</v>
      </c>
      <c r="AH32" s="160">
        <f t="shared" si="19"/>
        <v>248.66214894534141</v>
      </c>
      <c r="AI32" s="160">
        <f>MIN(AH32,MAX(0,$AL$3-SUM(AI33:AI$52)))</f>
        <v>0</v>
      </c>
      <c r="AJ32" s="160">
        <f t="shared" si="22"/>
        <v>87.031752130869492</v>
      </c>
      <c r="AK32" s="160">
        <f t="shared" si="10"/>
        <v>0</v>
      </c>
      <c r="AL32" s="160">
        <f>IF($A32=Abandonment!$B$4,LossRec,0)</f>
        <v>0</v>
      </c>
      <c r="AM32" s="160">
        <f t="shared" si="11"/>
        <v>87.031752130869492</v>
      </c>
      <c r="AN32" s="93"/>
      <c r="AO32" s="93"/>
      <c r="AP32" s="93"/>
      <c r="AQ32" s="245">
        <f t="shared" si="21"/>
        <v>43617</v>
      </c>
      <c r="AR32" s="245">
        <f>IF(AND(O32&lt;0,O31&gt;0,AR31=0),DATE($A32,MAX(12-$R32,0)+SUM($S32:S32)+0.5,1),AR31)</f>
        <v>43678</v>
      </c>
      <c r="AS32" s="245">
        <f>IF(AND(P32&lt;0,P31&gt;0,AS31=0),DATE($A32,MAX(12-$R32,0)+SUM($S32:T32)+0.5,1),AS31)</f>
        <v>43862</v>
      </c>
      <c r="AT32" s="245">
        <f>IF(AND(Q32&lt;0,Q31&gt;0,AT31=0),DATE($A32,MAX(12-$R32,0)+SUM($S32:U32)+0.5,1),AT31)</f>
        <v>44136</v>
      </c>
      <c r="AU32" s="93"/>
      <c r="AV32" s="93"/>
      <c r="AW32" s="93"/>
      <c r="AX32" s="93"/>
      <c r="AY32" s="93"/>
      <c r="AZ32" s="93"/>
      <c r="BA32" s="93"/>
      <c r="BB32" s="93"/>
    </row>
    <row r="33" spans="1:54">
      <c r="A33" s="140">
        <f t="shared" si="20"/>
        <v>2036</v>
      </c>
      <c r="B33" s="160">
        <f>'Success Cash Flow'!E31</f>
        <v>455.48441890446168</v>
      </c>
      <c r="C33" s="160">
        <f>IF(noteco=Lists!A$84,0,Exploration!AB56)</f>
        <v>0</v>
      </c>
      <c r="D33" s="160">
        <f>Development!BL112</f>
        <v>0</v>
      </c>
      <c r="E33" s="160">
        <f>Operations!S40</f>
        <v>273.70596852289492</v>
      </c>
      <c r="F33" s="160">
        <f>Abandonment!G37</f>
        <v>0</v>
      </c>
      <c r="G33" s="160">
        <f t="shared" si="3"/>
        <v>0</v>
      </c>
      <c r="H33" s="160">
        <f t="shared" si="12"/>
        <v>273.70596852289492</v>
      </c>
      <c r="I33" s="160">
        <f t="shared" si="13"/>
        <v>-24156.291450209483</v>
      </c>
      <c r="J33" s="160">
        <f>IF(A33&lt;Development!$C$6,0,IF(A33=Development!C$6,Development!$D$6,IF(I33&lt;0,IF(I32&gt;0,ROUNDDOWN(-I32/(I33-I32)*12,0),0),12)))</f>
        <v>0</v>
      </c>
      <c r="K33" s="160">
        <f>IF(OR(A33&lt;Development!$C$6,A33&gt;Abandonment!$B$4),0,(J33*I32-(I32-I33)*J33*(J33+1)/24)/12)</f>
        <v>0</v>
      </c>
      <c r="L33" s="160">
        <f>$K33*(L$7+'Selected Economics'!$G32)</f>
        <v>0</v>
      </c>
      <c r="M33" s="160">
        <f>$K33*(M$7+'Selected Economics'!$G32)</f>
        <v>0</v>
      </c>
      <c r="N33" s="160">
        <f>$K33*(N$7+'Selected Economics'!$G32)</f>
        <v>0</v>
      </c>
      <c r="O33" s="160">
        <f t="shared" si="23"/>
        <v>-23460.608184550976</v>
      </c>
      <c r="P33" s="160">
        <f t="shared" si="23"/>
        <v>-22069.241653233978</v>
      </c>
      <c r="Q33" s="160">
        <f t="shared" si="23"/>
        <v>-19750.297434372304</v>
      </c>
      <c r="R33" s="160">
        <f>IF(A33=Production!$B$4,Production!$B$5,IF(A33&lt;Production!$B$4,0,12+R32))</f>
        <v>231</v>
      </c>
      <c r="S33" s="160">
        <f>MIN($R33,IF(O33&lt;0,MAX(IF(Input!$B$33="Yes",MIN(12,24-R32),0),IF(AND(O32&gt;0,O33&lt;0),ROUNDDOWN(-O32/(O33-O32)*12,0)+0.5),0),12))</f>
        <v>0</v>
      </c>
      <c r="T33" s="160">
        <f>MAX(0,MIN($R33,IF(P33&lt;0,MAX(IF(Input!$B$33="Yes",MIN(12,36-R32),0),IF(AND(P32&gt;0,P33&lt;0),ROUNDDOWN(-P32/(P33-P32)*12,0)+0.5),0),12))-S33)</f>
        <v>0</v>
      </c>
      <c r="U33" s="160">
        <f>MAX(0,MIN($R33,IF(AND(Q32&gt;0,Q33&lt;0),ROUNDDOWN(-Q32/(Q33-Q32)*12,0)+0.5,IF(AND(Q33&gt;0,MIN(Q$11:Q32)&gt;=0),12,0)))-SUM(S33:T33))</f>
        <v>0</v>
      </c>
      <c r="V33" s="160">
        <f t="shared" si="6"/>
        <v>12</v>
      </c>
      <c r="W33" s="160">
        <f t="shared" si="14"/>
        <v>181.77845038156676</v>
      </c>
      <c r="X33" s="160">
        <f t="shared" si="15"/>
        <v>9.109688378089233</v>
      </c>
      <c r="Y33" s="160">
        <f t="shared" si="7"/>
        <v>22.774220945223085</v>
      </c>
      <c r="Z33" s="160">
        <f t="shared" si="16"/>
        <v>36.355690076313351</v>
      </c>
      <c r="AA33" s="160">
        <f t="shared" si="8"/>
        <v>63.622457633548358</v>
      </c>
      <c r="AB33" s="160">
        <f t="shared" si="17"/>
        <v>0</v>
      </c>
      <c r="AC33" s="160">
        <f t="shared" si="9"/>
        <v>0</v>
      </c>
      <c r="AD33" s="160">
        <f t="shared" si="9"/>
        <v>0</v>
      </c>
      <c r="AE33" s="160">
        <f t="shared" si="9"/>
        <v>63.622457633548358</v>
      </c>
      <c r="AF33" s="160">
        <f t="shared" si="18"/>
        <v>63.622457633548358</v>
      </c>
      <c r="AG33" s="160">
        <f>IF(A33=Abandonment!$B$4,-W33,0)</f>
        <v>0</v>
      </c>
      <c r="AH33" s="160">
        <f t="shared" si="19"/>
        <v>181.77845038156676</v>
      </c>
      <c r="AI33" s="160">
        <f>MIN(AH33,MAX(0,$AL$3-SUM(AI34:AI$52)))</f>
        <v>152.79103978149834</v>
      </c>
      <c r="AJ33" s="160">
        <f t="shared" si="22"/>
        <v>22.774220945223089</v>
      </c>
      <c r="AK33" s="160">
        <f t="shared" si="10"/>
        <v>40.848236688325272</v>
      </c>
      <c r="AL33" s="160">
        <f>IF($A33=Abandonment!$B$4,LossRec,0)</f>
        <v>0</v>
      </c>
      <c r="AM33" s="160">
        <f t="shared" si="11"/>
        <v>63.622457633548358</v>
      </c>
      <c r="AN33" s="93"/>
      <c r="AO33" s="93"/>
      <c r="AP33" s="93"/>
      <c r="AQ33" s="245">
        <f t="shared" si="21"/>
        <v>43617</v>
      </c>
      <c r="AR33" s="245">
        <f>IF(AND(O33&lt;0,O32&gt;0,AR32=0),DATE($A33,MAX(12-$R33,0)+SUM($S33:S33)+0.5,1),AR32)</f>
        <v>43678</v>
      </c>
      <c r="AS33" s="245">
        <f>IF(AND(P33&lt;0,P32&gt;0,AS32=0),DATE($A33,MAX(12-$R33,0)+SUM($S33:T33)+0.5,1),AS32)</f>
        <v>43862</v>
      </c>
      <c r="AT33" s="245">
        <f>IF(AND(Q33&lt;0,Q32&gt;0,AT32=0),DATE($A33,MAX(12-$R33,0)+SUM($S33:U33)+0.5,1),AT32)</f>
        <v>44136</v>
      </c>
      <c r="AU33" s="93"/>
      <c r="AV33" s="93"/>
      <c r="AW33" s="93"/>
      <c r="AX33" s="93"/>
      <c r="AY33" s="93"/>
      <c r="AZ33" s="93"/>
      <c r="BA33" s="93"/>
      <c r="BB33" s="93"/>
    </row>
    <row r="34" spans="1:54">
      <c r="A34" s="140">
        <f t="shared" si="20"/>
        <v>2037</v>
      </c>
      <c r="B34" s="160">
        <f>'Success Cash Flow'!E32</f>
        <v>396.17748104059569</v>
      </c>
      <c r="C34" s="160">
        <f>IF(noteco=Lists!A$84,0,Exploration!AB57)</f>
        <v>0</v>
      </c>
      <c r="D34" s="160">
        <f>Development!BL113</f>
        <v>0</v>
      </c>
      <c r="E34" s="160">
        <f>Operations!S41</f>
        <v>275.98056707882398</v>
      </c>
      <c r="F34" s="160">
        <f>Abandonment!G38</f>
        <v>0</v>
      </c>
      <c r="G34" s="160">
        <f t="shared" si="3"/>
        <v>0</v>
      </c>
      <c r="H34" s="160">
        <f t="shared" si="12"/>
        <v>275.98056707882398</v>
      </c>
      <c r="I34" s="160">
        <f t="shared" si="13"/>
        <v>-24276.488364171255</v>
      </c>
      <c r="J34" s="160">
        <f>IF(A34&lt;Development!$C$6,0,IF(A34=Development!C$6,Development!$D$6,IF(I34&lt;0,IF(I33&gt;0,ROUNDDOWN(-I33/(I34-I33)*12,0),0),12)))</f>
        <v>0</v>
      </c>
      <c r="K34" s="160">
        <f>IF(OR(A34&lt;Development!$C$6,A34&gt;Abandonment!$B$4),0,(J34*I33-(I33-I34)*J34*(J34+1)/24)/12)</f>
        <v>0</v>
      </c>
      <c r="L34" s="160">
        <f>$K34*(L$7+'Selected Economics'!$G33)</f>
        <v>0</v>
      </c>
      <c r="M34" s="160">
        <f>$K34*(M$7+'Selected Economics'!$G33)</f>
        <v>0</v>
      </c>
      <c r="N34" s="160">
        <f>$K34*(N$7+'Selected Economics'!$G33)</f>
        <v>0</v>
      </c>
      <c r="O34" s="160">
        <f t="shared" si="23"/>
        <v>-23580.805098512748</v>
      </c>
      <c r="P34" s="160">
        <f t="shared" si="23"/>
        <v>-22189.43856719575</v>
      </c>
      <c r="Q34" s="160">
        <f t="shared" si="23"/>
        <v>-19870.494348334076</v>
      </c>
      <c r="R34" s="160">
        <f>IF(A34=Production!$B$4,Production!$B$5,IF(A34&lt;Production!$B$4,0,12+R33))</f>
        <v>243</v>
      </c>
      <c r="S34" s="160">
        <f>MIN($R34,IF(O34&lt;0,MAX(IF(Input!$B$33="Yes",MIN(12,24-R33),0),IF(AND(O33&gt;0,O34&lt;0),ROUNDDOWN(-O33/(O34-O33)*12,0)+0.5),0),12))</f>
        <v>0</v>
      </c>
      <c r="T34" s="160">
        <f>MAX(0,MIN($R34,IF(P34&lt;0,MAX(IF(Input!$B$33="Yes",MIN(12,36-R33),0),IF(AND(P33&gt;0,P34&lt;0),ROUNDDOWN(-P33/(P34-P33)*12,0)+0.5),0),12))-S34)</f>
        <v>0</v>
      </c>
      <c r="U34" s="160">
        <f>MAX(0,MIN($R34,IF(AND(Q33&gt;0,Q34&lt;0),ROUNDDOWN(-Q33/(Q34-Q33)*12,0)+0.5,IF(AND(Q34&gt;0,MIN(Q$11:Q33)&gt;=0),12,0)))-SUM(S34:T34))</f>
        <v>0</v>
      </c>
      <c r="V34" s="160">
        <f t="shared" si="6"/>
        <v>12</v>
      </c>
      <c r="W34" s="160">
        <f t="shared" si="14"/>
        <v>120.19691396177171</v>
      </c>
      <c r="X34" s="160">
        <f t="shared" si="15"/>
        <v>7.9235496208119143</v>
      </c>
      <c r="Y34" s="160">
        <f t="shared" si="7"/>
        <v>19.808874052029786</v>
      </c>
      <c r="Z34" s="160">
        <f t="shared" si="16"/>
        <v>24.039382792354345</v>
      </c>
      <c r="AA34" s="160">
        <f t="shared" si="8"/>
        <v>42.068919886620094</v>
      </c>
      <c r="AB34" s="160">
        <f t="shared" si="17"/>
        <v>0</v>
      </c>
      <c r="AC34" s="160">
        <f t="shared" si="9"/>
        <v>0</v>
      </c>
      <c r="AD34" s="160">
        <f t="shared" si="9"/>
        <v>0</v>
      </c>
      <c r="AE34" s="160">
        <f t="shared" si="9"/>
        <v>42.068919886620094</v>
      </c>
      <c r="AF34" s="160">
        <f t="shared" si="18"/>
        <v>42.068919886620094</v>
      </c>
      <c r="AG34" s="160">
        <f>IF(A34=Abandonment!$B$4,-W34,0)</f>
        <v>0</v>
      </c>
      <c r="AH34" s="160">
        <f t="shared" si="19"/>
        <v>120.19691396177171</v>
      </c>
      <c r="AI34" s="160">
        <f>MIN(AH34,MAX(0,$AL$3-SUM(AI35:AI$52)))</f>
        <v>120.19691396177171</v>
      </c>
      <c r="AJ34" s="160">
        <f t="shared" si="22"/>
        <v>19.808874052029786</v>
      </c>
      <c r="AK34" s="160">
        <f t="shared" si="10"/>
        <v>22.260045834590308</v>
      </c>
      <c r="AL34" s="160">
        <f>IF($A34=Abandonment!$B$4,LossRec,0)</f>
        <v>0</v>
      </c>
      <c r="AM34" s="160">
        <f t="shared" si="11"/>
        <v>42.068919886620094</v>
      </c>
      <c r="AN34" s="93"/>
      <c r="AO34" s="93"/>
      <c r="AP34" s="93"/>
      <c r="AQ34" s="245">
        <f t="shared" si="21"/>
        <v>43617</v>
      </c>
      <c r="AR34" s="245">
        <f>IF(AND(O34&lt;0,O33&gt;0,AR33=0),DATE($A34,MAX(12-$R34,0)+SUM($S34:S34)+0.5,1),AR33)</f>
        <v>43678</v>
      </c>
      <c r="AS34" s="245">
        <f>IF(AND(P34&lt;0,P33&gt;0,AS33=0),DATE($A34,MAX(12-$R34,0)+SUM($S34:T34)+0.5,1),AS33)</f>
        <v>43862</v>
      </c>
      <c r="AT34" s="245">
        <f>IF(AND(Q34&lt;0,Q33&gt;0,AT33=0),DATE($A34,MAX(12-$R34,0)+SUM($S34:U34)+0.5,1),AT33)</f>
        <v>44136</v>
      </c>
      <c r="AU34" s="93"/>
      <c r="AV34" s="93"/>
      <c r="AW34" s="93"/>
      <c r="AX34" s="93"/>
      <c r="AY34" s="93"/>
      <c r="AZ34" s="93"/>
      <c r="BA34" s="93"/>
      <c r="BB34" s="93"/>
    </row>
    <row r="35" spans="1:54">
      <c r="A35" s="140">
        <f t="shared" si="20"/>
        <v>2038</v>
      </c>
      <c r="B35" s="160">
        <f>'Success Cash Flow'!E33</f>
        <v>345.57244559477238</v>
      </c>
      <c r="C35" s="160">
        <f>IF(noteco=Lists!A$84,0,Exploration!AB58)</f>
        <v>0</v>
      </c>
      <c r="D35" s="160">
        <f>Development!BL114</f>
        <v>0</v>
      </c>
      <c r="E35" s="160">
        <f>Operations!S42</f>
        <v>278.9354615885631</v>
      </c>
      <c r="F35" s="160">
        <f>Abandonment!G39</f>
        <v>0</v>
      </c>
      <c r="G35" s="160">
        <f t="shared" si="3"/>
        <v>0</v>
      </c>
      <c r="H35" s="160">
        <f t="shared" si="12"/>
        <v>278.9354615885631</v>
      </c>
      <c r="I35" s="160">
        <f t="shared" si="13"/>
        <v>-24343.125348177462</v>
      </c>
      <c r="J35" s="160">
        <f>IF(A35&lt;Development!$C$6,0,IF(A35=Development!C$6,Development!$D$6,IF(I35&lt;0,IF(I34&gt;0,ROUNDDOWN(-I34/(I35-I34)*12,0),0),12)))</f>
        <v>0</v>
      </c>
      <c r="K35" s="160">
        <f>IF(OR(A35&lt;Development!$C$6,A35&gt;Abandonment!$B$4),0,(J35*I34-(I34-I35)*J35*(J35+1)/24)/12)</f>
        <v>0</v>
      </c>
      <c r="L35" s="160">
        <f>$K35*(L$7+'Selected Economics'!$G34)</f>
        <v>0</v>
      </c>
      <c r="M35" s="160">
        <f>$K35*(M$7+'Selected Economics'!$G34)</f>
        <v>0</v>
      </c>
      <c r="N35" s="160">
        <f>$K35*(N$7+'Selected Economics'!$G34)</f>
        <v>0</v>
      </c>
      <c r="O35" s="160">
        <f t="shared" si="23"/>
        <v>-23647.442082518959</v>
      </c>
      <c r="P35" s="160">
        <f t="shared" si="23"/>
        <v>-22256.07555120196</v>
      </c>
      <c r="Q35" s="160">
        <f t="shared" si="23"/>
        <v>-19937.131332340286</v>
      </c>
      <c r="R35" s="160">
        <f>IF(A35=Production!$B$4,Production!$B$5,IF(A35&lt;Production!$B$4,0,12+R34))</f>
        <v>255</v>
      </c>
      <c r="S35" s="160">
        <f>MIN($R35,IF(O35&lt;0,MAX(IF(Input!$B$33="Yes",MIN(12,24-R34),0),IF(AND(O34&gt;0,O35&lt;0),ROUNDDOWN(-O34/(O35-O34)*12,0)+0.5),0),12))</f>
        <v>0</v>
      </c>
      <c r="T35" s="160">
        <f>MAX(0,MIN($R35,IF(P35&lt;0,MAX(IF(Input!$B$33="Yes",MIN(12,36-R34),0),IF(AND(P34&gt;0,P35&lt;0),ROUNDDOWN(-P34/(P35-P34)*12,0)+0.5),0),12))-S35)</f>
        <v>0</v>
      </c>
      <c r="U35" s="160">
        <f>MAX(0,MIN($R35,IF(AND(Q34&gt;0,Q35&lt;0),ROUNDDOWN(-Q34/(Q35-Q34)*12,0)+0.5,IF(AND(Q35&gt;0,MIN(Q$11:Q34)&gt;=0),12,0)))-SUM(S35:T35))</f>
        <v>0</v>
      </c>
      <c r="V35" s="160">
        <f t="shared" si="6"/>
        <v>12</v>
      </c>
      <c r="W35" s="160">
        <f t="shared" si="14"/>
        <v>66.636984006209275</v>
      </c>
      <c r="X35" s="160">
        <f t="shared" si="15"/>
        <v>6.9114489118954481</v>
      </c>
      <c r="Y35" s="160">
        <f t="shared" si="7"/>
        <v>17.27862227973862</v>
      </c>
      <c r="Z35" s="160">
        <f t="shared" si="16"/>
        <v>17.27862227973862</v>
      </c>
      <c r="AA35" s="160">
        <f t="shared" si="8"/>
        <v>23.322944402173245</v>
      </c>
      <c r="AB35" s="160">
        <f t="shared" si="17"/>
        <v>0</v>
      </c>
      <c r="AC35" s="160">
        <f t="shared" si="9"/>
        <v>0</v>
      </c>
      <c r="AD35" s="160">
        <f t="shared" si="9"/>
        <v>0</v>
      </c>
      <c r="AE35" s="160">
        <f t="shared" si="9"/>
        <v>23.322944402173245</v>
      </c>
      <c r="AF35" s="160">
        <f t="shared" si="18"/>
        <v>23.322944402173245</v>
      </c>
      <c r="AG35" s="160">
        <f>IF(A35=Abandonment!$B$4,-W35,0)</f>
        <v>0</v>
      </c>
      <c r="AH35" s="160">
        <f t="shared" si="19"/>
        <v>66.636984006209275</v>
      </c>
      <c r="AI35" s="160">
        <f>MIN(AH35,MAX(0,$AL$3-SUM(AI36:AI$52)))</f>
        <v>66.636984006209275</v>
      </c>
      <c r="AJ35" s="160">
        <f t="shared" si="22"/>
        <v>17.27862227973862</v>
      </c>
      <c r="AK35" s="160">
        <f t="shared" si="10"/>
        <v>6.0443221224346253</v>
      </c>
      <c r="AL35" s="160">
        <f>IF($A35=Abandonment!$B$4,LossRec,0)</f>
        <v>0</v>
      </c>
      <c r="AM35" s="160">
        <f t="shared" si="11"/>
        <v>23.322944402173245</v>
      </c>
      <c r="AN35" s="93"/>
      <c r="AO35" s="93"/>
      <c r="AP35" s="93"/>
      <c r="AQ35" s="245">
        <f t="shared" si="21"/>
        <v>43617</v>
      </c>
      <c r="AR35" s="245">
        <f>IF(AND(O35&lt;0,O34&gt;0,AR34=0),DATE($A35,MAX(12-$R35,0)+SUM($S35:S35)+0.5,1),AR34)</f>
        <v>43678</v>
      </c>
      <c r="AS35" s="245">
        <f>IF(AND(P35&lt;0,P34&gt;0,AS34=0),DATE($A35,MAX(12-$R35,0)+SUM($S35:T35)+0.5,1),AS34)</f>
        <v>43862</v>
      </c>
      <c r="AT35" s="245">
        <f>IF(AND(Q35&lt;0,Q34&gt;0,AT34=0),DATE($A35,MAX(12-$R35,0)+SUM($S35:U35)+0.5,1),AT34)</f>
        <v>44136</v>
      </c>
      <c r="AU35" s="93"/>
      <c r="AV35" s="93"/>
      <c r="AW35" s="93"/>
      <c r="AX35" s="93"/>
      <c r="AY35" s="93"/>
      <c r="AZ35" s="93"/>
      <c r="BA35" s="93"/>
      <c r="BB35" s="93"/>
    </row>
    <row r="36" spans="1:54">
      <c r="A36" s="140">
        <f t="shared" si="20"/>
        <v>2039</v>
      </c>
      <c r="B36" s="160">
        <f>'Success Cash Flow'!E34</f>
        <v>301.39438727693158</v>
      </c>
      <c r="C36" s="160">
        <f>IF(noteco=Lists!A$84,0,Exploration!AB59)</f>
        <v>0</v>
      </c>
      <c r="D36" s="160">
        <f>Development!BL115</f>
        <v>0</v>
      </c>
      <c r="E36" s="160">
        <f>Operations!S43</f>
        <v>282.47209824320174</v>
      </c>
      <c r="F36" s="160">
        <f>Abandonment!G40</f>
        <v>0</v>
      </c>
      <c r="G36" s="160">
        <f t="shared" si="3"/>
        <v>0</v>
      </c>
      <c r="H36" s="160">
        <f t="shared" si="12"/>
        <v>282.47209824320174</v>
      </c>
      <c r="I36" s="160">
        <f t="shared" si="13"/>
        <v>-24362.047637211192</v>
      </c>
      <c r="J36" s="160">
        <f>IF(A36&lt;Development!$C$6,0,IF(A36=Development!C$6,Development!$D$6,IF(I36&lt;0,IF(I35&gt;0,ROUNDDOWN(-I35/(I36-I35)*12,0),0),12)))</f>
        <v>0</v>
      </c>
      <c r="K36" s="160">
        <f>IF(OR(A36&lt;Development!$C$6,A36&gt;Abandonment!$B$4),0,(J36*I35-(I35-I36)*J36*(J36+1)/24)/12)</f>
        <v>0</v>
      </c>
      <c r="L36" s="160">
        <f>$K36*(L$7+'Selected Economics'!$G35)</f>
        <v>0</v>
      </c>
      <c r="M36" s="160">
        <f>$K36*(M$7+'Selected Economics'!$G35)</f>
        <v>0</v>
      </c>
      <c r="N36" s="160">
        <f>$K36*(N$7+'Selected Economics'!$G35)</f>
        <v>0</v>
      </c>
      <c r="O36" s="160">
        <f t="shared" si="23"/>
        <v>-23666.364371552689</v>
      </c>
      <c r="P36" s="160">
        <f t="shared" si="23"/>
        <v>-22274.99784023569</v>
      </c>
      <c r="Q36" s="160">
        <f t="shared" si="23"/>
        <v>-19956.053621374016</v>
      </c>
      <c r="R36" s="160">
        <f>IF(A36=Production!$B$4,Production!$B$5,IF(A36&lt;Production!$B$4,0,12+R35))</f>
        <v>267</v>
      </c>
      <c r="S36" s="160">
        <f>MIN($R36,IF(O36&lt;0,MAX(IF(Input!$B$33="Yes",MIN(12,24-R35),0),IF(AND(O35&gt;0,O36&lt;0),ROUNDDOWN(-O35/(O36-O35)*12,0)+0.5),0),12))</f>
        <v>0</v>
      </c>
      <c r="T36" s="160">
        <f>MAX(0,MIN($R36,IF(P36&lt;0,MAX(IF(Input!$B$33="Yes",MIN(12,36-R35),0),IF(AND(P35&gt;0,P36&lt;0),ROUNDDOWN(-P35/(P36-P35)*12,0)+0.5),0),12))-S36)</f>
        <v>0</v>
      </c>
      <c r="U36" s="160">
        <f>MAX(0,MIN($R36,IF(AND(Q35&gt;0,Q36&lt;0),ROUNDDOWN(-Q35/(Q36-Q35)*12,0)+0.5,IF(AND(Q36&gt;0,MIN(Q$11:Q35)&gt;=0),12,0)))-SUM(S36:T36))</f>
        <v>0</v>
      </c>
      <c r="V36" s="160">
        <f t="shared" si="6"/>
        <v>12</v>
      </c>
      <c r="W36" s="160">
        <f t="shared" si="14"/>
        <v>18.92228903372984</v>
      </c>
      <c r="X36" s="160">
        <f t="shared" si="15"/>
        <v>6.0278877455386315</v>
      </c>
      <c r="Y36" s="160">
        <f t="shared" si="7"/>
        <v>15.069719363846581</v>
      </c>
      <c r="Z36" s="160">
        <f t="shared" si="16"/>
        <v>15.069719363846581</v>
      </c>
      <c r="AA36" s="160">
        <f t="shared" si="8"/>
        <v>15.069719363846581</v>
      </c>
      <c r="AB36" s="160">
        <f t="shared" si="17"/>
        <v>0</v>
      </c>
      <c r="AC36" s="160">
        <f t="shared" si="9"/>
        <v>0</v>
      </c>
      <c r="AD36" s="160">
        <f t="shared" si="9"/>
        <v>0</v>
      </c>
      <c r="AE36" s="160">
        <f t="shared" si="9"/>
        <v>15.069719363846581</v>
      </c>
      <c r="AF36" s="160">
        <f t="shared" si="18"/>
        <v>15.069719363846581</v>
      </c>
      <c r="AG36" s="160">
        <f>IF(A36=Abandonment!$B$4,-W36,0)</f>
        <v>0</v>
      </c>
      <c r="AH36" s="160">
        <f t="shared" si="19"/>
        <v>18.92228903372984</v>
      </c>
      <c r="AI36" s="160">
        <f>MIN(AH36,MAX(0,$AL$3-SUM(AI37:AI$52)))</f>
        <v>18.92228903372984</v>
      </c>
      <c r="AJ36" s="160">
        <f t="shared" si="22"/>
        <v>15.069719363846581</v>
      </c>
      <c r="AK36" s="160">
        <f t="shared" si="10"/>
        <v>0</v>
      </c>
      <c r="AL36" s="160">
        <f>IF($A36=Abandonment!$B$4,LossRec,0)</f>
        <v>0</v>
      </c>
      <c r="AM36" s="160">
        <f t="shared" si="11"/>
        <v>15.069719363846581</v>
      </c>
      <c r="AN36" s="93"/>
      <c r="AO36" s="93"/>
      <c r="AP36" s="93"/>
      <c r="AQ36" s="245">
        <f t="shared" si="21"/>
        <v>43617</v>
      </c>
      <c r="AR36" s="245">
        <f>IF(AND(O36&lt;0,O35&gt;0,AR35=0),DATE($A36,MAX(12-$R36,0)+SUM($S36:S36)+0.5,1),AR35)</f>
        <v>43678</v>
      </c>
      <c r="AS36" s="245">
        <f>IF(AND(P36&lt;0,P35&gt;0,AS35=0),DATE($A36,MAX(12-$R36,0)+SUM($S36:T36)+0.5,1),AS35)</f>
        <v>43862</v>
      </c>
      <c r="AT36" s="245">
        <f>IF(AND(Q36&lt;0,Q35&gt;0,AT35=0),DATE($A36,MAX(12-$R36,0)+SUM($S36:U36)+0.5,1),AT35)</f>
        <v>44136</v>
      </c>
      <c r="AU36" s="93"/>
      <c r="AV36" s="93"/>
      <c r="AW36" s="93"/>
      <c r="AX36" s="93"/>
      <c r="AY36" s="93"/>
      <c r="AZ36" s="93"/>
      <c r="BA36" s="93"/>
      <c r="BB36" s="93"/>
    </row>
    <row r="37" spans="1:54">
      <c r="A37" s="140">
        <f t="shared" si="20"/>
        <v>2040</v>
      </c>
      <c r="B37" s="160">
        <f>'Success Cash Flow'!E35</f>
        <v>263.49553957782268</v>
      </c>
      <c r="C37" s="160">
        <f>IF(noteco=Lists!A$84,0,Exploration!AB60)</f>
        <v>0</v>
      </c>
      <c r="D37" s="160">
        <f>Development!BL116</f>
        <v>0</v>
      </c>
      <c r="E37" s="160">
        <f>Operations!S44</f>
        <v>286.5548415159289</v>
      </c>
      <c r="F37" s="160">
        <f>Abandonment!G41</f>
        <v>0</v>
      </c>
      <c r="G37" s="160">
        <f t="shared" si="3"/>
        <v>0</v>
      </c>
      <c r="H37" s="160">
        <f t="shared" si="12"/>
        <v>286.5548415159289</v>
      </c>
      <c r="I37" s="160">
        <f t="shared" si="13"/>
        <v>-24338.988335273087</v>
      </c>
      <c r="J37" s="160">
        <f>IF(A37&lt;Development!$C$6,0,IF(A37=Development!C$6,Development!$D$6,IF(I37&lt;0,IF(I36&gt;0,ROUNDDOWN(-I36/(I37-I36)*12,0),0),12)))</f>
        <v>0</v>
      </c>
      <c r="K37" s="160">
        <f>IF(OR(A37&lt;Development!$C$6,A37&gt;Abandonment!$B$4),0,(J37*I36-(I36-I37)*J37*(J37+1)/24)/12)</f>
        <v>0</v>
      </c>
      <c r="L37" s="160">
        <f>$K37*(L$7+'Selected Economics'!$G36)</f>
        <v>0</v>
      </c>
      <c r="M37" s="160">
        <f>$K37*(M$7+'Selected Economics'!$G36)</f>
        <v>0</v>
      </c>
      <c r="N37" s="160">
        <f>$K37*(N$7+'Selected Economics'!$G36)</f>
        <v>0</v>
      </c>
      <c r="O37" s="160">
        <f t="shared" si="23"/>
        <v>-23643.305069614584</v>
      </c>
      <c r="P37" s="160">
        <f t="shared" si="23"/>
        <v>-22251.938538297585</v>
      </c>
      <c r="Q37" s="160">
        <f t="shared" si="23"/>
        <v>-19932.994319435911</v>
      </c>
      <c r="R37" s="160">
        <f>IF(A37=Production!$B$4,Production!$B$5,IF(A37&lt;Production!$B$4,0,12+R36))</f>
        <v>279</v>
      </c>
      <c r="S37" s="160">
        <f>MIN($R37,IF(O37&lt;0,MAX(IF(Input!$B$33="Yes",MIN(12,24-R36),0),IF(AND(O36&gt;0,O37&lt;0),ROUNDDOWN(-O36/(O37-O36)*12,0)+0.5),0),12))</f>
        <v>0</v>
      </c>
      <c r="T37" s="160">
        <f>MAX(0,MIN($R37,IF(P37&lt;0,MAX(IF(Input!$B$33="Yes",MIN(12,36-R36),0),IF(AND(P36&gt;0,P37&lt;0),ROUNDDOWN(-P36/(P37-P36)*12,0)+0.5),0),12))-S37)</f>
        <v>0</v>
      </c>
      <c r="U37" s="160">
        <f>MAX(0,MIN($R37,IF(AND(Q36&gt;0,Q37&lt;0),ROUNDDOWN(-Q36/(Q37-Q36)*12,0)+0.5,IF(AND(Q37&gt;0,MIN(Q$11:Q36)&gt;=0),12,0)))-SUM(S37:T37))</f>
        <v>0</v>
      </c>
      <c r="V37" s="160">
        <f t="shared" si="6"/>
        <v>12</v>
      </c>
      <c r="W37" s="160">
        <f t="shared" si="14"/>
        <v>-23.059301938106216</v>
      </c>
      <c r="X37" s="160">
        <f t="shared" si="15"/>
        <v>5.2699107915564536</v>
      </c>
      <c r="Y37" s="160">
        <f t="shared" si="7"/>
        <v>13.174776978891135</v>
      </c>
      <c r="Z37" s="160">
        <f t="shared" si="16"/>
        <v>13.174776978891135</v>
      </c>
      <c r="AA37" s="160">
        <f t="shared" si="8"/>
        <v>13.174776978891135</v>
      </c>
      <c r="AB37" s="160">
        <f t="shared" si="17"/>
        <v>0</v>
      </c>
      <c r="AC37" s="160">
        <f t="shared" si="9"/>
        <v>0</v>
      </c>
      <c r="AD37" s="160">
        <f t="shared" si="9"/>
        <v>0</v>
      </c>
      <c r="AE37" s="160">
        <f t="shared" si="9"/>
        <v>13.174776978891137</v>
      </c>
      <c r="AF37" s="160">
        <f t="shared" si="18"/>
        <v>13.174776978891137</v>
      </c>
      <c r="AG37" s="160">
        <f>IF(A37=Abandonment!$B$4,-W37,0)</f>
        <v>0</v>
      </c>
      <c r="AH37" s="160">
        <f t="shared" si="19"/>
        <v>0</v>
      </c>
      <c r="AI37" s="160">
        <f>MIN(AH37,MAX(0,$AL$3-SUM(AI38:AI$52)))</f>
        <v>0</v>
      </c>
      <c r="AJ37" s="160">
        <f t="shared" si="22"/>
        <v>13.174776978891137</v>
      </c>
      <c r="AK37" s="160">
        <f t="shared" si="10"/>
        <v>0</v>
      </c>
      <c r="AL37" s="160">
        <f>IF($A37=Abandonment!$B$4,LossRec,0)</f>
        <v>0</v>
      </c>
      <c r="AM37" s="160">
        <f t="shared" si="11"/>
        <v>13.174776978891137</v>
      </c>
      <c r="AN37" s="93"/>
      <c r="AO37" s="93"/>
      <c r="AP37" s="93"/>
      <c r="AQ37" s="245">
        <f t="shared" si="21"/>
        <v>43617</v>
      </c>
      <c r="AR37" s="245">
        <f>IF(AND(O37&lt;0,O36&gt;0,AR36=0),DATE($A37,MAX(12-$R37,0)+SUM($S37:S37)+0.5,1),AR36)</f>
        <v>43678</v>
      </c>
      <c r="AS37" s="245">
        <f>IF(AND(P37&lt;0,P36&gt;0,AS36=0),DATE($A37,MAX(12-$R37,0)+SUM($S37:T37)+0.5,1),AS36)</f>
        <v>43862</v>
      </c>
      <c r="AT37" s="245">
        <f>IF(AND(Q37&lt;0,Q36&gt;0,AT36=0),DATE($A37,MAX(12-$R37,0)+SUM($S37:U37)+0.5,1),AT36)</f>
        <v>44136</v>
      </c>
      <c r="AU37" s="93"/>
      <c r="AV37" s="93"/>
      <c r="AW37" s="93"/>
      <c r="AX37" s="93"/>
      <c r="AY37" s="93"/>
      <c r="AZ37" s="93"/>
      <c r="BA37" s="93"/>
      <c r="BB37" s="93"/>
    </row>
    <row r="38" spans="1:54">
      <c r="A38" s="140">
        <f t="shared" si="20"/>
        <v>2041</v>
      </c>
      <c r="B38" s="160">
        <f>'Success Cash Flow'!E36</f>
        <v>0</v>
      </c>
      <c r="C38" s="160">
        <f>IF(noteco=Lists!A$84,0,Exploration!AB61)</f>
        <v>0</v>
      </c>
      <c r="D38" s="160">
        <f>Development!BL117</f>
        <v>0</v>
      </c>
      <c r="E38" s="160">
        <f>Operations!S45</f>
        <v>0</v>
      </c>
      <c r="F38" s="160">
        <f>Abandonment!G42</f>
        <v>358.54722678320917</v>
      </c>
      <c r="G38" s="160">
        <f t="shared" si="3"/>
        <v>0</v>
      </c>
      <c r="H38" s="160">
        <f t="shared" si="12"/>
        <v>358.54722678320917</v>
      </c>
      <c r="I38" s="160">
        <f t="shared" si="13"/>
        <v>-23980.441108489878</v>
      </c>
      <c r="J38" s="160">
        <f>IF(A38&lt;Development!$C$6,0,IF(A38=Development!C$6,Development!$D$6,IF(I38&lt;0,IF(I37&gt;0,ROUNDDOWN(-I37/(I38-I37)*12,0),0),12)))</f>
        <v>0</v>
      </c>
      <c r="K38" s="160">
        <f>IF(OR(A38&lt;Development!$C$6,A38&gt;Abandonment!$B$4),0,(J38*I37-(I37-I38)*J38*(J38+1)/24)/12)</f>
        <v>0</v>
      </c>
      <c r="L38" s="160">
        <f>$K38*(L$7+'Selected Economics'!$G37)</f>
        <v>0</v>
      </c>
      <c r="M38" s="160">
        <f>$K38*(M$7+'Selected Economics'!$G37)</f>
        <v>0</v>
      </c>
      <c r="N38" s="160">
        <f>$K38*(N$7+'Selected Economics'!$G37)</f>
        <v>0</v>
      </c>
      <c r="O38" s="160">
        <f t="shared" si="23"/>
        <v>-23284.757842831375</v>
      </c>
      <c r="P38" s="160">
        <f t="shared" si="23"/>
        <v>-21893.391311514377</v>
      </c>
      <c r="Q38" s="160">
        <f t="shared" si="23"/>
        <v>-19574.447092652703</v>
      </c>
      <c r="R38" s="160">
        <f>IF(A38=Production!$B$4,Production!$B$5,IF(A38&lt;Production!$B$4,0,12+R37))</f>
        <v>291</v>
      </c>
      <c r="S38" s="160">
        <f>MIN($R38,IF(O38&lt;0,MAX(IF(Input!$B$33="Yes",MIN(12,24-R37),0),IF(AND(O37&gt;0,O38&lt;0),ROUNDDOWN(-O37/(O38-O37)*12,0)+0.5),0),12))</f>
        <v>0</v>
      </c>
      <c r="T38" s="160">
        <f>MAX(0,MIN($R38,IF(P38&lt;0,MAX(IF(Input!$B$33="Yes",MIN(12,36-R37),0),IF(AND(P37&gt;0,P38&lt;0),ROUNDDOWN(-P37/(P38-P37)*12,0)+0.5),0),12))-S38)</f>
        <v>0</v>
      </c>
      <c r="U38" s="160">
        <f>MAX(0,MIN($R38,IF(AND(Q37&gt;0,Q38&lt;0),ROUNDDOWN(-Q37/(Q38-Q37)*12,0)+0.5,IF(AND(Q38&gt;0,MIN(Q$11:Q37)&gt;=0),12,0)))-SUM(S38:T38))</f>
        <v>0</v>
      </c>
      <c r="V38" s="160">
        <f t="shared" si="6"/>
        <v>12</v>
      </c>
      <c r="W38" s="160">
        <f t="shared" si="14"/>
        <v>-358.54722678320917</v>
      </c>
      <c r="X38" s="160">
        <f t="shared" si="15"/>
        <v>0</v>
      </c>
      <c r="Y38" s="160">
        <f t="shared" si="7"/>
        <v>0</v>
      </c>
      <c r="Z38" s="160">
        <f t="shared" si="16"/>
        <v>0</v>
      </c>
      <c r="AA38" s="160">
        <f t="shared" si="8"/>
        <v>0</v>
      </c>
      <c r="AB38" s="160">
        <f t="shared" si="17"/>
        <v>0</v>
      </c>
      <c r="AC38" s="160">
        <f t="shared" si="9"/>
        <v>0</v>
      </c>
      <c r="AD38" s="160">
        <f t="shared" si="9"/>
        <v>0</v>
      </c>
      <c r="AE38" s="160">
        <f t="shared" si="9"/>
        <v>0</v>
      </c>
      <c r="AF38" s="160">
        <f t="shared" si="18"/>
        <v>0</v>
      </c>
      <c r="AG38" s="160">
        <f>IF(A38=Abandonment!$B$4,-W38,0)</f>
        <v>358.54722678320917</v>
      </c>
      <c r="AH38" s="160">
        <f t="shared" si="19"/>
        <v>0</v>
      </c>
      <c r="AI38" s="160">
        <f>MIN(AH38,MAX(0,$AL$3-SUM(AI39:AI$52)))</f>
        <v>0</v>
      </c>
      <c r="AJ38" s="160">
        <f t="shared" si="22"/>
        <v>0</v>
      </c>
      <c r="AK38" s="160">
        <f t="shared" si="10"/>
        <v>0</v>
      </c>
      <c r="AL38" s="160">
        <f>IF($A38=Abandonment!$B$4,LossRec,0)</f>
        <v>69.152604645350209</v>
      </c>
      <c r="AM38" s="160">
        <f t="shared" si="11"/>
        <v>-69.152604645350209</v>
      </c>
      <c r="AN38" s="93"/>
      <c r="AO38" s="93"/>
      <c r="AP38" s="93"/>
      <c r="AQ38" s="245">
        <f t="shared" si="21"/>
        <v>43617</v>
      </c>
      <c r="AR38" s="245">
        <f>IF(AND(O38&lt;0,O37&gt;0,AR37=0),DATE($A38,MAX(12-$R38,0)+SUM($S38:S38)+0.5,1),AR37)</f>
        <v>43678</v>
      </c>
      <c r="AS38" s="245">
        <f>IF(AND(P38&lt;0,P37&gt;0,AS37=0),DATE($A38,MAX(12-$R38,0)+SUM($S38:T38)+0.5,1),AS37)</f>
        <v>43862</v>
      </c>
      <c r="AT38" s="245">
        <f>IF(AND(Q38&lt;0,Q37&gt;0,AT37=0),DATE($A38,MAX(12-$R38,0)+SUM($S38:U38)+0.5,1),AT37)</f>
        <v>44136</v>
      </c>
      <c r="AU38" s="93"/>
      <c r="AV38" s="93"/>
      <c r="AW38" s="93"/>
      <c r="AX38" s="93"/>
      <c r="AY38" s="93"/>
      <c r="AZ38" s="93"/>
      <c r="BA38" s="93"/>
      <c r="BB38" s="93"/>
    </row>
    <row r="39" spans="1:54">
      <c r="A39" s="140">
        <f t="shared" si="20"/>
        <v>2042</v>
      </c>
      <c r="B39" s="160">
        <f>'Success Cash Flow'!E37</f>
        <v>0</v>
      </c>
      <c r="C39" s="160">
        <f>IF(noteco=Lists!A$84,0,Exploration!AB62)</f>
        <v>0</v>
      </c>
      <c r="D39" s="160">
        <f>Development!BL118</f>
        <v>0</v>
      </c>
      <c r="E39" s="160">
        <f>Operations!S46</f>
        <v>0</v>
      </c>
      <c r="F39" s="160">
        <f>Abandonment!G43</f>
        <v>0</v>
      </c>
      <c r="G39" s="160">
        <f t="shared" si="3"/>
        <v>0</v>
      </c>
      <c r="H39" s="160">
        <f t="shared" si="12"/>
        <v>0</v>
      </c>
      <c r="I39" s="160">
        <f t="shared" si="13"/>
        <v>-23980.441108489878</v>
      </c>
      <c r="J39" s="160">
        <f>IF(A39&lt;Development!$C$6,0,IF(A39=Development!C$6,Development!$D$6,IF(I39&lt;0,IF(I38&gt;0,ROUNDDOWN(-I38/(I39-I38)*12,0),0),12)))</f>
        <v>0</v>
      </c>
      <c r="K39" s="160">
        <f>IF(OR(A39&lt;Development!$C$6,A39&gt;Abandonment!$B$4),0,(J39*I38-(I38-I39)*J39*(J39+1)/24)/12)</f>
        <v>0</v>
      </c>
      <c r="L39" s="160">
        <f>$K39*(L$7+'Selected Economics'!$G38)</f>
        <v>0</v>
      </c>
      <c r="M39" s="160">
        <f>$K39*(M$7+'Selected Economics'!$G38)</f>
        <v>0</v>
      </c>
      <c r="N39" s="160">
        <f>$K39*(N$7+'Selected Economics'!$G38)</f>
        <v>0</v>
      </c>
      <c r="O39" s="160">
        <f t="shared" si="23"/>
        <v>-23284.757842831375</v>
      </c>
      <c r="P39" s="160">
        <f t="shared" si="23"/>
        <v>-21893.391311514377</v>
      </c>
      <c r="Q39" s="160">
        <f t="shared" si="23"/>
        <v>-19574.447092652703</v>
      </c>
      <c r="R39" s="160">
        <f>IF(A39=Production!$B$4,Production!$B$5,IF(A39&lt;Production!$B$4,0,12+R38))</f>
        <v>303</v>
      </c>
      <c r="S39" s="160">
        <f>MIN($R39,IF(O39&lt;0,MAX(IF(Input!$B$33="Yes",MIN(12,24-R38),0),IF(AND(O38&gt;0,O39&lt;0),ROUNDDOWN(-O38/(O39-O38)*12,0)+0.5),0),12))</f>
        <v>0</v>
      </c>
      <c r="T39" s="160">
        <f>MAX(0,MIN($R39,IF(P39&lt;0,MAX(IF(Input!$B$33="Yes",MIN(12,36-R38),0),IF(AND(P38&gt;0,P39&lt;0),ROUNDDOWN(-P38/(P39-P38)*12,0)+0.5),0),12))-S39)</f>
        <v>0</v>
      </c>
      <c r="U39" s="160">
        <f>MAX(0,MIN($R39,IF(AND(Q38&gt;0,Q39&lt;0),ROUNDDOWN(-Q38/(Q39-Q38)*12,0)+0.5,IF(AND(Q39&gt;0,MIN(Q$11:Q38)&gt;=0),12,0)))-SUM(S39:T39))</f>
        <v>0</v>
      </c>
      <c r="V39" s="160">
        <f t="shared" si="6"/>
        <v>12</v>
      </c>
      <c r="W39" s="160">
        <f t="shared" si="14"/>
        <v>0</v>
      </c>
      <c r="X39" s="160">
        <f t="shared" si="15"/>
        <v>0</v>
      </c>
      <c r="Y39" s="160">
        <f t="shared" si="7"/>
        <v>0</v>
      </c>
      <c r="Z39" s="160">
        <f t="shared" si="16"/>
        <v>0</v>
      </c>
      <c r="AA39" s="160">
        <f t="shared" si="8"/>
        <v>0</v>
      </c>
      <c r="AB39" s="160">
        <f t="shared" si="17"/>
        <v>0</v>
      </c>
      <c r="AC39" s="160">
        <f t="shared" si="9"/>
        <v>0</v>
      </c>
      <c r="AD39" s="160">
        <f t="shared" si="9"/>
        <v>0</v>
      </c>
      <c r="AE39" s="160">
        <f t="shared" si="9"/>
        <v>0</v>
      </c>
      <c r="AF39" s="160">
        <f t="shared" si="18"/>
        <v>0</v>
      </c>
      <c r="AG39" s="160">
        <f>IF(A39=Abandonment!$B$4,-W39,0)</f>
        <v>0</v>
      </c>
      <c r="AH39" s="160">
        <f t="shared" si="19"/>
        <v>0</v>
      </c>
      <c r="AI39" s="160">
        <f>MIN(AH39,MAX(0,$AL$3-SUM(AI40:AI$52)))</f>
        <v>0</v>
      </c>
      <c r="AJ39" s="160">
        <f t="shared" si="22"/>
        <v>0</v>
      </c>
      <c r="AK39" s="160">
        <f t="shared" si="10"/>
        <v>0</v>
      </c>
      <c r="AL39" s="160">
        <f>IF($A39=Abandonment!$B$4,LossRec,0)</f>
        <v>0</v>
      </c>
      <c r="AM39" s="160">
        <f t="shared" si="11"/>
        <v>0</v>
      </c>
      <c r="AN39" s="93"/>
      <c r="AO39" s="93"/>
      <c r="AP39" s="93"/>
      <c r="AQ39" s="245">
        <f t="shared" si="21"/>
        <v>43617</v>
      </c>
      <c r="AR39" s="245">
        <f>IF(AND(O39&lt;0,O38&gt;0,AR38=0),DATE($A39,MAX(12-$R39,0)+SUM($S39:S39)+0.5,1),AR38)</f>
        <v>43678</v>
      </c>
      <c r="AS39" s="245">
        <f>IF(AND(P39&lt;0,P38&gt;0,AS38=0),DATE($A39,MAX(12-$R39,0)+SUM($S39:T39)+0.5,1),AS38)</f>
        <v>43862</v>
      </c>
      <c r="AT39" s="245">
        <f>IF(AND(Q39&lt;0,Q38&gt;0,AT38=0),DATE($A39,MAX(12-$R39,0)+SUM($S39:U39)+0.5,1),AT38)</f>
        <v>44136</v>
      </c>
      <c r="AU39" s="93"/>
      <c r="AV39" s="93"/>
      <c r="AW39" s="93"/>
      <c r="AX39" s="93"/>
      <c r="AY39" s="93"/>
      <c r="AZ39" s="93"/>
      <c r="BA39" s="93"/>
      <c r="BB39" s="93"/>
    </row>
    <row r="40" spans="1:54">
      <c r="A40" s="140">
        <f t="shared" si="20"/>
        <v>2043</v>
      </c>
      <c r="B40" s="160">
        <f>'Success Cash Flow'!E38</f>
        <v>0</v>
      </c>
      <c r="C40" s="160">
        <f>IF(noteco=Lists!A$84,0,Exploration!AB63)</f>
        <v>0</v>
      </c>
      <c r="D40" s="160">
        <f>Development!BL119</f>
        <v>0</v>
      </c>
      <c r="E40" s="160">
        <f>Operations!S47</f>
        <v>0</v>
      </c>
      <c r="F40" s="160">
        <f>Abandonment!G44</f>
        <v>0</v>
      </c>
      <c r="G40" s="160">
        <f t="shared" si="3"/>
        <v>0</v>
      </c>
      <c r="H40" s="160">
        <f t="shared" si="12"/>
        <v>0</v>
      </c>
      <c r="I40" s="160">
        <f t="shared" si="13"/>
        <v>-23980.441108489878</v>
      </c>
      <c r="J40" s="160">
        <f>IF(A40&lt;Development!$C$6,0,IF(A40=Development!C$6,Development!$D$6,IF(I40&lt;0,IF(I39&gt;0,ROUNDDOWN(-I39/(I40-I39)*12,0),0),12)))</f>
        <v>0</v>
      </c>
      <c r="K40" s="160">
        <f>IF(OR(A40&lt;Development!$C$6,A40&gt;Abandonment!$B$4),0,(J40*I39-(I39-I40)*J40*(J40+1)/24)/12)</f>
        <v>0</v>
      </c>
      <c r="L40" s="160">
        <f>$K40*(L$7+'Selected Economics'!$G39)</f>
        <v>0</v>
      </c>
      <c r="M40" s="160">
        <f>$K40*(M$7+'Selected Economics'!$G39)</f>
        <v>0</v>
      </c>
      <c r="N40" s="160">
        <f>$K40*(N$7+'Selected Economics'!$G39)</f>
        <v>0</v>
      </c>
      <c r="O40" s="160">
        <f t="shared" si="23"/>
        <v>-23284.757842831375</v>
      </c>
      <c r="P40" s="160">
        <f t="shared" si="23"/>
        <v>-21893.391311514377</v>
      </c>
      <c r="Q40" s="160">
        <f t="shared" si="23"/>
        <v>-19574.447092652703</v>
      </c>
      <c r="R40" s="160">
        <f>IF(A40=Production!$B$4,Production!$B$5,IF(A40&lt;Production!$B$4,0,12+R39))</f>
        <v>315</v>
      </c>
      <c r="S40" s="160">
        <f>MIN($R40,IF(O40&lt;0,MAX(IF(Input!$B$33="Yes",MIN(12,24-R39),0),IF(AND(O39&gt;0,O40&lt;0),ROUNDDOWN(-O39/(O40-O39)*12,0)+0.5),0),12))</f>
        <v>0</v>
      </c>
      <c r="T40" s="160">
        <f>MAX(0,MIN($R40,IF(P40&lt;0,MAX(IF(Input!$B$33="Yes",MIN(12,36-R39),0),IF(AND(P39&gt;0,P40&lt;0),ROUNDDOWN(-P39/(P40-P39)*12,0)+0.5),0),12))-S40)</f>
        <v>0</v>
      </c>
      <c r="U40" s="160">
        <f>MAX(0,MIN($R40,IF(AND(Q39&gt;0,Q40&lt;0),ROUNDDOWN(-Q39/(Q40-Q39)*12,0)+0.5,IF(AND(Q40&gt;0,MIN(Q$11:Q39)&gt;=0),12,0)))-SUM(S40:T40))</f>
        <v>0</v>
      </c>
      <c r="V40" s="160">
        <f t="shared" si="6"/>
        <v>12</v>
      </c>
      <c r="W40" s="160">
        <f t="shared" si="14"/>
        <v>0</v>
      </c>
      <c r="X40" s="160">
        <f t="shared" si="15"/>
        <v>0</v>
      </c>
      <c r="Y40" s="160">
        <f t="shared" si="7"/>
        <v>0</v>
      </c>
      <c r="Z40" s="160">
        <f t="shared" si="16"/>
        <v>0</v>
      </c>
      <c r="AA40" s="160">
        <f t="shared" si="8"/>
        <v>0</v>
      </c>
      <c r="AB40" s="160">
        <f t="shared" si="17"/>
        <v>0</v>
      </c>
      <c r="AC40" s="160">
        <f t="shared" si="9"/>
        <v>0</v>
      </c>
      <c r="AD40" s="160">
        <f t="shared" si="9"/>
        <v>0</v>
      </c>
      <c r="AE40" s="160">
        <f t="shared" si="9"/>
        <v>0</v>
      </c>
      <c r="AF40" s="160">
        <f t="shared" si="18"/>
        <v>0</v>
      </c>
      <c r="AG40" s="160">
        <f>IF(A40=Abandonment!$B$4,-W40,0)</f>
        <v>0</v>
      </c>
      <c r="AH40" s="160">
        <f t="shared" si="19"/>
        <v>0</v>
      </c>
      <c r="AI40" s="160">
        <f>MIN(AH40,MAX(0,$AL$3-SUM(AI41:AI$52)))</f>
        <v>0</v>
      </c>
      <c r="AJ40" s="160">
        <f t="shared" si="22"/>
        <v>0</v>
      </c>
      <c r="AK40" s="160">
        <f t="shared" si="10"/>
        <v>0</v>
      </c>
      <c r="AL40" s="160">
        <f>IF($A40=Abandonment!$B$4,LossRec,0)</f>
        <v>0</v>
      </c>
      <c r="AM40" s="160">
        <f t="shared" si="11"/>
        <v>0</v>
      </c>
      <c r="AN40" s="93"/>
      <c r="AO40" s="93"/>
      <c r="AP40" s="93"/>
      <c r="AQ40" s="245">
        <f t="shared" si="21"/>
        <v>43617</v>
      </c>
      <c r="AR40" s="245">
        <f>IF(AND(O40&lt;0,O39&gt;0,AR39=0),DATE($A40,MAX(12-$R40,0)+SUM($S40:S40)+0.5,1),AR39)</f>
        <v>43678</v>
      </c>
      <c r="AS40" s="245">
        <f>IF(AND(P40&lt;0,P39&gt;0,AS39=0),DATE($A40,MAX(12-$R40,0)+SUM($S40:T40)+0.5,1),AS39)</f>
        <v>43862</v>
      </c>
      <c r="AT40" s="245">
        <f>IF(AND(Q40&lt;0,Q39&gt;0,AT39=0),DATE($A40,MAX(12-$R40,0)+SUM($S40:U40)+0.5,1),AT39)</f>
        <v>44136</v>
      </c>
      <c r="AU40" s="93"/>
      <c r="AV40" s="93"/>
      <c r="AW40" s="93"/>
      <c r="AX40" s="93"/>
      <c r="AY40" s="93"/>
      <c r="AZ40" s="93"/>
      <c r="BA40" s="93"/>
      <c r="BB40" s="93"/>
    </row>
    <row r="41" spans="1:54">
      <c r="A41" s="140">
        <f t="shared" si="20"/>
        <v>2044</v>
      </c>
      <c r="B41" s="160">
        <f>'Success Cash Flow'!E39</f>
        <v>0</v>
      </c>
      <c r="C41" s="160">
        <f>IF(noteco=Lists!A$84,0,Exploration!AB64)</f>
        <v>0</v>
      </c>
      <c r="D41" s="160">
        <f>Development!BL120</f>
        <v>0</v>
      </c>
      <c r="E41" s="160">
        <f>Operations!S48</f>
        <v>0</v>
      </c>
      <c r="F41" s="160">
        <f>Abandonment!G45</f>
        <v>0</v>
      </c>
      <c r="G41" s="160">
        <f t="shared" si="3"/>
        <v>0</v>
      </c>
      <c r="H41" s="160">
        <f t="shared" si="12"/>
        <v>0</v>
      </c>
      <c r="I41" s="160">
        <f t="shared" si="13"/>
        <v>-23980.441108489878</v>
      </c>
      <c r="J41" s="160">
        <f>IF(A41&lt;Development!$C$6,0,IF(A41=Development!C$6,Development!$D$6,IF(I41&lt;0,IF(I40&gt;0,ROUNDDOWN(-I40/(I41-I40)*12,0),0),12)))</f>
        <v>0</v>
      </c>
      <c r="K41" s="160">
        <f>IF(OR(A41&lt;Development!$C$6,A41&gt;Abandonment!$B$4),0,(J41*I40-(I40-I41)*J41*(J41+1)/24)/12)</f>
        <v>0</v>
      </c>
      <c r="L41" s="160">
        <f>$K41*(L$7+'Selected Economics'!$G40)</f>
        <v>0</v>
      </c>
      <c r="M41" s="160">
        <f>$K41*(M$7+'Selected Economics'!$G40)</f>
        <v>0</v>
      </c>
      <c r="N41" s="160">
        <f>$K41*(N$7+'Selected Economics'!$G40)</f>
        <v>0</v>
      </c>
      <c r="O41" s="160">
        <f t="shared" si="23"/>
        <v>-23284.757842831375</v>
      </c>
      <c r="P41" s="160">
        <f t="shared" si="23"/>
        <v>-21893.391311514377</v>
      </c>
      <c r="Q41" s="160">
        <f t="shared" si="23"/>
        <v>-19574.447092652703</v>
      </c>
      <c r="R41" s="160">
        <f>IF(A41=Production!$B$4,Production!$B$5,IF(A41&lt;Production!$B$4,0,12+R40))</f>
        <v>327</v>
      </c>
      <c r="S41" s="160">
        <f>MIN($R41,IF(O41&lt;0,MAX(IF(Input!$B$33="Yes",MIN(12,24-R40),0),IF(AND(O40&gt;0,O41&lt;0),ROUNDDOWN(-O40/(O41-O40)*12,0)+0.5),0),12))</f>
        <v>0</v>
      </c>
      <c r="T41" s="160">
        <f>MAX(0,MIN($R41,IF(P41&lt;0,MAX(IF(Input!$B$33="Yes",MIN(12,36-R40),0),IF(AND(P40&gt;0,P41&lt;0),ROUNDDOWN(-P40/(P41-P40)*12,0)+0.5),0),12))-S41)</f>
        <v>0</v>
      </c>
      <c r="U41" s="160">
        <f>MAX(0,MIN($R41,IF(AND(Q40&gt;0,Q41&lt;0),ROUNDDOWN(-Q40/(Q41-Q40)*12,0)+0.5,IF(AND(Q41&gt;0,MIN(Q$11:Q40)&gt;=0),12,0)))-SUM(S41:T41))</f>
        <v>0</v>
      </c>
      <c r="V41" s="160">
        <f t="shared" si="6"/>
        <v>12</v>
      </c>
      <c r="W41" s="160">
        <f t="shared" si="14"/>
        <v>0</v>
      </c>
      <c r="X41" s="160">
        <f t="shared" si="15"/>
        <v>0</v>
      </c>
      <c r="Y41" s="160">
        <f t="shared" si="7"/>
        <v>0</v>
      </c>
      <c r="Z41" s="160">
        <f t="shared" si="16"/>
        <v>0</v>
      </c>
      <c r="AA41" s="160">
        <f t="shared" si="8"/>
        <v>0</v>
      </c>
      <c r="AB41" s="160">
        <f t="shared" si="17"/>
        <v>0</v>
      </c>
      <c r="AC41" s="160">
        <f t="shared" si="9"/>
        <v>0</v>
      </c>
      <c r="AD41" s="160">
        <f t="shared" si="9"/>
        <v>0</v>
      </c>
      <c r="AE41" s="160">
        <f t="shared" si="9"/>
        <v>0</v>
      </c>
      <c r="AF41" s="160">
        <f t="shared" si="18"/>
        <v>0</v>
      </c>
      <c r="AG41" s="160">
        <f>IF(A41=Abandonment!$B$4,-W41,0)</f>
        <v>0</v>
      </c>
      <c r="AH41" s="160">
        <f t="shared" si="19"/>
        <v>0</v>
      </c>
      <c r="AI41" s="160">
        <f>MIN(AH41,MAX(0,$AL$3-SUM(AI42:AI$52)))</f>
        <v>0</v>
      </c>
      <c r="AJ41" s="160">
        <f t="shared" si="22"/>
        <v>0</v>
      </c>
      <c r="AK41" s="160">
        <f t="shared" si="10"/>
        <v>0</v>
      </c>
      <c r="AL41" s="160">
        <f>IF($A41=Abandonment!$B$4,LossRec,0)</f>
        <v>0</v>
      </c>
      <c r="AM41" s="160">
        <f t="shared" si="11"/>
        <v>0</v>
      </c>
      <c r="AN41" s="93"/>
      <c r="AO41" s="93"/>
      <c r="AP41" s="93"/>
      <c r="AQ41" s="245">
        <f t="shared" si="21"/>
        <v>43617</v>
      </c>
      <c r="AR41" s="245">
        <f>IF(AND(O41&lt;0,O40&gt;0,AR40=0),DATE($A41,MAX(12-$R41,0)+SUM($S41:S41)+0.5,1),AR40)</f>
        <v>43678</v>
      </c>
      <c r="AS41" s="245">
        <f>IF(AND(P41&lt;0,P40&gt;0,AS40=0),DATE($A41,MAX(12-$R41,0)+SUM($S41:T41)+0.5,1),AS40)</f>
        <v>43862</v>
      </c>
      <c r="AT41" s="245">
        <f>IF(AND(Q41&lt;0,Q40&gt;0,AT40=0),DATE($A41,MAX(12-$R41,0)+SUM($S41:U41)+0.5,1),AT40)</f>
        <v>44136</v>
      </c>
      <c r="AU41" s="93"/>
      <c r="AV41" s="93"/>
      <c r="AW41" s="93"/>
      <c r="AX41" s="93"/>
      <c r="AY41" s="93"/>
      <c r="AZ41" s="93"/>
      <c r="BA41" s="93"/>
      <c r="BB41" s="93"/>
    </row>
    <row r="42" spans="1:54">
      <c r="A42" s="140">
        <f t="shared" si="20"/>
        <v>2045</v>
      </c>
      <c r="B42" s="160">
        <f>'Success Cash Flow'!E40</f>
        <v>0</v>
      </c>
      <c r="C42" s="160">
        <f>IF(noteco=Lists!A$84,0,Exploration!AB65)</f>
        <v>0</v>
      </c>
      <c r="D42" s="160">
        <f>Development!BL121</f>
        <v>0</v>
      </c>
      <c r="E42" s="160">
        <f>Operations!S49</f>
        <v>0</v>
      </c>
      <c r="F42" s="160">
        <f>Abandonment!G46</f>
        <v>0</v>
      </c>
      <c r="G42" s="160">
        <f t="shared" si="3"/>
        <v>0</v>
      </c>
      <c r="H42" s="160">
        <f t="shared" si="12"/>
        <v>0</v>
      </c>
      <c r="I42" s="160">
        <f t="shared" si="13"/>
        <v>-23980.441108489878</v>
      </c>
      <c r="J42" s="160">
        <f>IF(A42&lt;Development!$C$6,0,IF(A42=Development!C$6,Development!$D$6,IF(I42&lt;0,IF(I41&gt;0,ROUNDDOWN(-I41/(I42-I41)*12,0),0),12)))</f>
        <v>0</v>
      </c>
      <c r="K42" s="160">
        <f>IF(OR(A42&lt;Development!$C$6,A42&gt;Abandonment!$B$4),0,(J42*I41-(I41-I42)*J42*(J42+1)/24)/12)</f>
        <v>0</v>
      </c>
      <c r="L42" s="160">
        <f>$K42*(L$7+'Selected Economics'!$G41)</f>
        <v>0</v>
      </c>
      <c r="M42" s="160">
        <f>$K42*(M$7+'Selected Economics'!$G41)</f>
        <v>0</v>
      </c>
      <c r="N42" s="160">
        <f>$K42*(N$7+'Selected Economics'!$G41)</f>
        <v>0</v>
      </c>
      <c r="O42" s="160">
        <f t="shared" si="23"/>
        <v>-23284.757842831375</v>
      </c>
      <c r="P42" s="160">
        <f t="shared" si="23"/>
        <v>-21893.391311514377</v>
      </c>
      <c r="Q42" s="160">
        <f t="shared" si="23"/>
        <v>-19574.447092652703</v>
      </c>
      <c r="R42" s="160">
        <f>IF(A42=Production!$B$4,Production!$B$5,IF(A42&lt;Production!$B$4,0,12+R41))</f>
        <v>339</v>
      </c>
      <c r="S42" s="160">
        <f>MIN($R42,IF(O42&lt;0,MAX(IF(Input!$B$33="Yes",MIN(12,24-R41),0),IF(AND(O41&gt;0,O42&lt;0),ROUNDDOWN(-O41/(O42-O41)*12,0)+0.5),0),12))</f>
        <v>0</v>
      </c>
      <c r="T42" s="160">
        <f>MAX(0,MIN($R42,IF(P42&lt;0,MAX(IF(Input!$B$33="Yes",MIN(12,36-R41),0),IF(AND(P41&gt;0,P42&lt;0),ROUNDDOWN(-P41/(P42-P41)*12,0)+0.5),0),12))-S42)</f>
        <v>0</v>
      </c>
      <c r="U42" s="160">
        <f>MAX(0,MIN($R42,IF(AND(Q41&gt;0,Q42&lt;0),ROUNDDOWN(-Q41/(Q42-Q41)*12,0)+0.5,IF(AND(Q42&gt;0,MIN(Q$11:Q41)&gt;=0),12,0)))-SUM(S42:T42))</f>
        <v>0</v>
      </c>
      <c r="V42" s="160">
        <f t="shared" si="6"/>
        <v>12</v>
      </c>
      <c r="W42" s="160">
        <f t="shared" si="14"/>
        <v>0</v>
      </c>
      <c r="X42" s="160">
        <f t="shared" si="15"/>
        <v>0</v>
      </c>
      <c r="Y42" s="160">
        <f t="shared" si="7"/>
        <v>0</v>
      </c>
      <c r="Z42" s="160">
        <f t="shared" si="16"/>
        <v>0</v>
      </c>
      <c r="AA42" s="160">
        <f t="shared" si="8"/>
        <v>0</v>
      </c>
      <c r="AB42" s="160">
        <f t="shared" si="17"/>
        <v>0</v>
      </c>
      <c r="AC42" s="160">
        <f t="shared" si="9"/>
        <v>0</v>
      </c>
      <c r="AD42" s="160">
        <f t="shared" si="9"/>
        <v>0</v>
      </c>
      <c r="AE42" s="160">
        <f t="shared" si="9"/>
        <v>0</v>
      </c>
      <c r="AF42" s="160">
        <f t="shared" si="18"/>
        <v>0</v>
      </c>
      <c r="AG42" s="160">
        <f>IF(A42=Abandonment!$B$4,-W42,0)</f>
        <v>0</v>
      </c>
      <c r="AH42" s="160">
        <f t="shared" si="19"/>
        <v>0</v>
      </c>
      <c r="AI42" s="160">
        <f>MIN(AH42,MAX(0,$AL$3-SUM(AI43:AI$52)))</f>
        <v>0</v>
      </c>
      <c r="AJ42" s="160">
        <f t="shared" si="22"/>
        <v>0</v>
      </c>
      <c r="AK42" s="160">
        <f t="shared" si="10"/>
        <v>0</v>
      </c>
      <c r="AL42" s="160">
        <f>IF($A42=Abandonment!$B$4,LossRec,0)</f>
        <v>0</v>
      </c>
      <c r="AM42" s="160">
        <f t="shared" si="11"/>
        <v>0</v>
      </c>
      <c r="AN42" s="93"/>
      <c r="AO42" s="93"/>
      <c r="AP42" s="93"/>
      <c r="AQ42" s="245">
        <f t="shared" si="21"/>
        <v>43617</v>
      </c>
      <c r="AR42" s="245">
        <f>IF(AND(O42&lt;0,O41&gt;0,AR41=0),DATE($A42,MAX(12-$R42,0)+SUM($S42:S42)+0.5,1),AR41)</f>
        <v>43678</v>
      </c>
      <c r="AS42" s="245">
        <f>IF(AND(P42&lt;0,P41&gt;0,AS41=0),DATE($A42,MAX(12-$R42,0)+SUM($S42:T42)+0.5,1),AS41)</f>
        <v>43862</v>
      </c>
      <c r="AT42" s="245">
        <f>IF(AND(Q42&lt;0,Q41&gt;0,AT41=0),DATE($A42,MAX(12-$R42,0)+SUM($S42:U42)+0.5,1),AT41)</f>
        <v>44136</v>
      </c>
      <c r="AU42" s="93"/>
      <c r="AV42" s="93"/>
      <c r="AW42" s="93"/>
      <c r="AX42" s="93"/>
      <c r="AY42" s="93"/>
      <c r="AZ42" s="93"/>
      <c r="BA42" s="93"/>
      <c r="BB42" s="93"/>
    </row>
    <row r="43" spans="1:54">
      <c r="A43" s="140">
        <f t="shared" si="20"/>
        <v>2046</v>
      </c>
      <c r="B43" s="160">
        <f>'Success Cash Flow'!E41</f>
        <v>0</v>
      </c>
      <c r="C43" s="160">
        <f>IF(noteco=Lists!A$84,0,Exploration!AB66)</f>
        <v>0</v>
      </c>
      <c r="D43" s="160">
        <f>Development!BL122</f>
        <v>0</v>
      </c>
      <c r="E43" s="160">
        <f>Operations!S50</f>
        <v>0</v>
      </c>
      <c r="F43" s="160">
        <f>Abandonment!G47</f>
        <v>0</v>
      </c>
      <c r="G43" s="160">
        <f t="shared" si="3"/>
        <v>0</v>
      </c>
      <c r="H43" s="160">
        <f t="shared" si="12"/>
        <v>0</v>
      </c>
      <c r="I43" s="160">
        <f t="shared" si="13"/>
        <v>-23980.441108489878</v>
      </c>
      <c r="J43" s="160">
        <f>IF(A43&lt;Development!$C$6,0,IF(A43=Development!C$6,Development!$D$6,IF(I43&lt;0,IF(I42&gt;0,ROUNDDOWN(-I42/(I43-I42)*12,0),0),12)))</f>
        <v>0</v>
      </c>
      <c r="K43" s="160">
        <f>IF(OR(A43&lt;Development!$C$6,A43&gt;Abandonment!$B$4),0,(J43*I42-(I42-I43)*J43*(J43+1)/24)/12)</f>
        <v>0</v>
      </c>
      <c r="L43" s="160">
        <f>$K43*(L$7+'Selected Economics'!$G42)</f>
        <v>0</v>
      </c>
      <c r="M43" s="160">
        <f>$K43*(M$7+'Selected Economics'!$G42)</f>
        <v>0</v>
      </c>
      <c r="N43" s="160">
        <f>$K43*(N$7+'Selected Economics'!$G42)</f>
        <v>0</v>
      </c>
      <c r="O43" s="160">
        <f t="shared" si="23"/>
        <v>-23284.757842831375</v>
      </c>
      <c r="P43" s="160">
        <f t="shared" si="23"/>
        <v>-21893.391311514377</v>
      </c>
      <c r="Q43" s="160">
        <f t="shared" si="23"/>
        <v>-19574.447092652703</v>
      </c>
      <c r="R43" s="160">
        <f>IF(A43=Production!$B$4,Production!$B$5,IF(A43&lt;Production!$B$4,0,12+R42))</f>
        <v>351</v>
      </c>
      <c r="S43" s="160">
        <f>MIN($R43,IF(O43&lt;0,MAX(IF(Input!$B$33="Yes",MIN(12,24-R42),0),IF(AND(O42&gt;0,O43&lt;0),ROUNDDOWN(-O42/(O43-O42)*12,0)+0.5),0),12))</f>
        <v>0</v>
      </c>
      <c r="T43" s="160">
        <f>MAX(0,MIN($R43,IF(P43&lt;0,MAX(IF(Input!$B$33="Yes",MIN(12,36-R42),0),IF(AND(P42&gt;0,P43&lt;0),ROUNDDOWN(-P42/(P43-P42)*12,0)+0.5),0),12))-S43)</f>
        <v>0</v>
      </c>
      <c r="U43" s="160">
        <f>MAX(0,MIN($R43,IF(AND(Q42&gt;0,Q43&lt;0),ROUNDDOWN(-Q42/(Q43-Q42)*12,0)+0.5,IF(AND(Q43&gt;0,MIN(Q$11:Q42)&gt;=0),12,0)))-SUM(S43:T43))</f>
        <v>0</v>
      </c>
      <c r="V43" s="160">
        <f t="shared" si="6"/>
        <v>12</v>
      </c>
      <c r="W43" s="160">
        <f t="shared" si="14"/>
        <v>0</v>
      </c>
      <c r="X43" s="160">
        <f t="shared" si="15"/>
        <v>0</v>
      </c>
      <c r="Y43" s="160">
        <f t="shared" si="7"/>
        <v>0</v>
      </c>
      <c r="Z43" s="160">
        <f t="shared" si="16"/>
        <v>0</v>
      </c>
      <c r="AA43" s="160">
        <f t="shared" si="8"/>
        <v>0</v>
      </c>
      <c r="AB43" s="160">
        <f t="shared" si="17"/>
        <v>0</v>
      </c>
      <c r="AC43" s="160">
        <f t="shared" si="9"/>
        <v>0</v>
      </c>
      <c r="AD43" s="160">
        <f t="shared" si="9"/>
        <v>0</v>
      </c>
      <c r="AE43" s="160">
        <f t="shared" si="9"/>
        <v>0</v>
      </c>
      <c r="AF43" s="160">
        <f t="shared" si="18"/>
        <v>0</v>
      </c>
      <c r="AG43" s="160">
        <f>IF(A43=Abandonment!$B$4,-W43,0)</f>
        <v>0</v>
      </c>
      <c r="AH43" s="160">
        <f t="shared" si="19"/>
        <v>0</v>
      </c>
      <c r="AI43" s="160">
        <f>MIN(AH43,MAX(0,$AL$3-SUM(AI44:AI$52)))</f>
        <v>0</v>
      </c>
      <c r="AJ43" s="160">
        <f t="shared" si="22"/>
        <v>0</v>
      </c>
      <c r="AK43" s="160">
        <f t="shared" si="10"/>
        <v>0</v>
      </c>
      <c r="AL43" s="160">
        <f>IF($A43=Abandonment!$B$4,LossRec,0)</f>
        <v>0</v>
      </c>
      <c r="AM43" s="160">
        <f t="shared" si="11"/>
        <v>0</v>
      </c>
      <c r="AN43" s="93"/>
      <c r="AO43" s="93"/>
      <c r="AP43" s="93"/>
      <c r="AQ43" s="245">
        <f t="shared" si="21"/>
        <v>43617</v>
      </c>
      <c r="AR43" s="245">
        <f>IF(AND(O43&lt;0,O42&gt;0,AR42=0),DATE($A43,MAX(12-$R43,0)+SUM($S43:S43)+0.5,1),AR42)</f>
        <v>43678</v>
      </c>
      <c r="AS43" s="245">
        <f>IF(AND(P43&lt;0,P42&gt;0,AS42=0),DATE($A43,MAX(12-$R43,0)+SUM($S43:T43)+0.5,1),AS42)</f>
        <v>43862</v>
      </c>
      <c r="AT43" s="245">
        <f>IF(AND(Q43&lt;0,Q42&gt;0,AT42=0),DATE($A43,MAX(12-$R43,0)+SUM($S43:U43)+0.5,1),AT42)</f>
        <v>44136</v>
      </c>
      <c r="AU43" s="93"/>
      <c r="AV43" s="93"/>
      <c r="AW43" s="93"/>
      <c r="AX43" s="93"/>
      <c r="AY43" s="93"/>
      <c r="AZ43" s="93"/>
      <c r="BA43" s="93"/>
      <c r="BB43" s="93"/>
    </row>
    <row r="44" spans="1:54">
      <c r="A44" s="140">
        <f t="shared" si="20"/>
        <v>2047</v>
      </c>
      <c r="B44" s="160">
        <f>'Success Cash Flow'!E42</f>
        <v>0</v>
      </c>
      <c r="C44" s="160">
        <f>IF(noteco=Lists!A$84,0,Exploration!AB67)</f>
        <v>0</v>
      </c>
      <c r="D44" s="160">
        <f>Development!BL123</f>
        <v>0</v>
      </c>
      <c r="E44" s="160">
        <f>Operations!S51</f>
        <v>0</v>
      </c>
      <c r="F44" s="160">
        <f>Abandonment!G48</f>
        <v>0</v>
      </c>
      <c r="G44" s="160">
        <f t="shared" si="3"/>
        <v>0</v>
      </c>
      <c r="H44" s="160">
        <f t="shared" si="12"/>
        <v>0</v>
      </c>
      <c r="I44" s="160">
        <f t="shared" si="13"/>
        <v>-23980.441108489878</v>
      </c>
      <c r="J44" s="160">
        <f>IF(A44&lt;Development!$C$6,0,IF(A44=Development!C$6,Development!$D$6,IF(I44&lt;0,IF(I43&gt;0,ROUNDDOWN(-I43/(I44-I43)*12,0),0),12)))</f>
        <v>0</v>
      </c>
      <c r="K44" s="160">
        <f>IF(OR(A44&lt;Development!$C$6,A44&gt;Abandonment!$B$4),0,(J44*I43-(I43-I44)*J44*(J44+1)/24)/12)</f>
        <v>0</v>
      </c>
      <c r="L44" s="160">
        <f>$K44*(L$7+'Selected Economics'!$G43)</f>
        <v>0</v>
      </c>
      <c r="M44" s="160">
        <f>$K44*(M$7+'Selected Economics'!$G43)</f>
        <v>0</v>
      </c>
      <c r="N44" s="160">
        <f>$K44*(N$7+'Selected Economics'!$G43)</f>
        <v>0</v>
      </c>
      <c r="O44" s="160">
        <f t="shared" si="23"/>
        <v>-23284.757842831375</v>
      </c>
      <c r="P44" s="160">
        <f t="shared" si="23"/>
        <v>-21893.391311514377</v>
      </c>
      <c r="Q44" s="160">
        <f t="shared" si="23"/>
        <v>-19574.447092652703</v>
      </c>
      <c r="R44" s="160">
        <f>IF(A44=Production!$B$4,Production!$B$5,IF(A44&lt;Production!$B$4,0,12+R43))</f>
        <v>363</v>
      </c>
      <c r="S44" s="160">
        <f>MIN($R44,IF(O44&lt;0,MAX(IF(Input!$B$33="Yes",MIN(12,24-R43),0),IF(AND(O43&gt;0,O44&lt;0),ROUNDDOWN(-O43/(O44-O43)*12,0)+0.5),0),12))</f>
        <v>0</v>
      </c>
      <c r="T44" s="160">
        <f>MAX(0,MIN($R44,IF(P44&lt;0,MAX(IF(Input!$B$33="Yes",MIN(12,36-R43),0),IF(AND(P43&gt;0,P44&lt;0),ROUNDDOWN(-P43/(P44-P43)*12,0)+0.5),0),12))-S44)</f>
        <v>0</v>
      </c>
      <c r="U44" s="160">
        <f>MAX(0,MIN($R44,IF(AND(Q43&gt;0,Q44&lt;0),ROUNDDOWN(-Q43/(Q44-Q43)*12,0)+0.5,IF(AND(Q44&gt;0,MIN(Q$11:Q43)&gt;=0),12,0)))-SUM(S44:T44))</f>
        <v>0</v>
      </c>
      <c r="V44" s="160">
        <f t="shared" si="6"/>
        <v>12</v>
      </c>
      <c r="W44" s="160">
        <f t="shared" si="14"/>
        <v>0</v>
      </c>
      <c r="X44" s="160">
        <f t="shared" si="15"/>
        <v>0</v>
      </c>
      <c r="Y44" s="160">
        <f t="shared" si="7"/>
        <v>0</v>
      </c>
      <c r="Z44" s="160">
        <f t="shared" si="16"/>
        <v>0</v>
      </c>
      <c r="AA44" s="160">
        <f t="shared" si="8"/>
        <v>0</v>
      </c>
      <c r="AB44" s="160">
        <f t="shared" si="17"/>
        <v>0</v>
      </c>
      <c r="AC44" s="160">
        <f t="shared" si="9"/>
        <v>0</v>
      </c>
      <c r="AD44" s="160">
        <f t="shared" si="9"/>
        <v>0</v>
      </c>
      <c r="AE44" s="160">
        <f t="shared" si="9"/>
        <v>0</v>
      </c>
      <c r="AF44" s="160">
        <f t="shared" si="18"/>
        <v>0</v>
      </c>
      <c r="AG44" s="160">
        <f>IF(A44=Abandonment!$B$4,-W44,0)</f>
        <v>0</v>
      </c>
      <c r="AH44" s="160">
        <f t="shared" si="19"/>
        <v>0</v>
      </c>
      <c r="AI44" s="160">
        <f>MIN(AH44,MAX(0,$AL$3-SUM(AI45:AI$52)))</f>
        <v>0</v>
      </c>
      <c r="AJ44" s="160">
        <f t="shared" si="22"/>
        <v>0</v>
      </c>
      <c r="AK44" s="160">
        <f t="shared" si="10"/>
        <v>0</v>
      </c>
      <c r="AL44" s="160">
        <f>IF($A44=Abandonment!$B$4,LossRec,0)</f>
        <v>0</v>
      </c>
      <c r="AM44" s="160">
        <f t="shared" si="11"/>
        <v>0</v>
      </c>
      <c r="AN44" s="93"/>
      <c r="AO44" s="93"/>
      <c r="AP44" s="93"/>
      <c r="AQ44" s="245">
        <f t="shared" si="21"/>
        <v>43617</v>
      </c>
      <c r="AR44" s="245">
        <f>IF(AND(O44&lt;0,O43&gt;0,AR43=0),DATE($A44,MAX(12-$R44,0)+SUM($S44:S44)+0.5,1),AR43)</f>
        <v>43678</v>
      </c>
      <c r="AS44" s="245">
        <f>IF(AND(P44&lt;0,P43&gt;0,AS43=0),DATE($A44,MAX(12-$R44,0)+SUM($S44:T44)+0.5,1),AS43)</f>
        <v>43862</v>
      </c>
      <c r="AT44" s="245">
        <f>IF(AND(Q44&lt;0,Q43&gt;0,AT43=0),DATE($A44,MAX(12-$R44,0)+SUM($S44:U44)+0.5,1),AT43)</f>
        <v>44136</v>
      </c>
      <c r="AU44" s="93"/>
      <c r="AV44" s="93"/>
      <c r="AW44" s="93"/>
      <c r="AX44" s="93"/>
      <c r="AY44" s="93"/>
      <c r="AZ44" s="93"/>
      <c r="BA44" s="93"/>
      <c r="BB44" s="93"/>
    </row>
    <row r="45" spans="1:54">
      <c r="A45" s="140">
        <f t="shared" si="20"/>
        <v>2048</v>
      </c>
      <c r="B45" s="160">
        <f>'Success Cash Flow'!E43</f>
        <v>0</v>
      </c>
      <c r="C45" s="160">
        <f>IF(noteco=Lists!A$84,0,Exploration!AB68)</f>
        <v>0</v>
      </c>
      <c r="D45" s="160">
        <f>Development!BL124</f>
        <v>0</v>
      </c>
      <c r="E45" s="160">
        <f>Operations!S52</f>
        <v>0</v>
      </c>
      <c r="F45" s="160">
        <f>Abandonment!G49</f>
        <v>0</v>
      </c>
      <c r="G45" s="160">
        <f t="shared" si="3"/>
        <v>0</v>
      </c>
      <c r="H45" s="160">
        <f t="shared" si="12"/>
        <v>0</v>
      </c>
      <c r="I45" s="160">
        <f t="shared" si="13"/>
        <v>-23980.441108489878</v>
      </c>
      <c r="J45" s="160">
        <f>IF(A45&lt;Development!$C$6,0,IF(A45=Development!C$6,Development!$D$6,IF(I45&lt;0,IF(I44&gt;0,ROUNDDOWN(-I44/(I45-I44)*12,0),0),12)))</f>
        <v>0</v>
      </c>
      <c r="K45" s="160">
        <f>IF(OR(A45&lt;Development!$C$6,A45&gt;Abandonment!$B$4),0,(J45*I44-(I44-I45)*J45*(J45+1)/24)/12)</f>
        <v>0</v>
      </c>
      <c r="L45" s="160">
        <f>$K45*(L$7+'Selected Economics'!$G44)</f>
        <v>0</v>
      </c>
      <c r="M45" s="160">
        <f>$K45*(M$7+'Selected Economics'!$G44)</f>
        <v>0</v>
      </c>
      <c r="N45" s="160">
        <f>$K45*(N$7+'Selected Economics'!$G44)</f>
        <v>0</v>
      </c>
      <c r="O45" s="160">
        <f t="shared" ref="O45:Q51" si="24">$H45-$B45+L45+O44</f>
        <v>-23284.757842831375</v>
      </c>
      <c r="P45" s="160">
        <f t="shared" si="24"/>
        <v>-21893.391311514377</v>
      </c>
      <c r="Q45" s="160">
        <f t="shared" si="24"/>
        <v>-19574.447092652703</v>
      </c>
      <c r="R45" s="160">
        <f>IF(A45=Production!$B$4,Production!$B$5,IF(A45&lt;Production!$B$4,0,12+R44))</f>
        <v>375</v>
      </c>
      <c r="S45" s="160">
        <f>MIN($R45,IF(O45&lt;0,MAX(IF(Input!$B$33="Yes",MIN(12,24-R44),0),IF(AND(O44&gt;0,O45&lt;0),ROUNDDOWN(-O44/(O45-O44)*12,0)+0.5),0),12))</f>
        <v>0</v>
      </c>
      <c r="T45" s="160">
        <f>MAX(0,MIN($R45,IF(P45&lt;0,MAX(IF(Input!$B$33="Yes",MIN(12,36-R44),0),IF(AND(P44&gt;0,P45&lt;0),ROUNDDOWN(-P44/(P45-P44)*12,0)+0.5),0),12))-S45)</f>
        <v>0</v>
      </c>
      <c r="U45" s="160">
        <f>MAX(0,MIN($R45,IF(AND(Q44&gt;0,Q45&lt;0),ROUNDDOWN(-Q44/(Q45-Q44)*12,0)+0.5,IF(AND(Q45&gt;0,MIN(Q$11:Q44)&gt;=0),12,0)))-SUM(S45:T45))</f>
        <v>0</v>
      </c>
      <c r="V45" s="160">
        <f t="shared" si="6"/>
        <v>12</v>
      </c>
      <c r="W45" s="160">
        <f t="shared" si="14"/>
        <v>0</v>
      </c>
      <c r="X45" s="160">
        <f t="shared" si="15"/>
        <v>0</v>
      </c>
      <c r="Y45" s="160">
        <f t="shared" si="7"/>
        <v>0</v>
      </c>
      <c r="Z45" s="160">
        <f t="shared" si="16"/>
        <v>0</v>
      </c>
      <c r="AA45" s="160">
        <f t="shared" si="8"/>
        <v>0</v>
      </c>
      <c r="AB45" s="160">
        <f t="shared" si="17"/>
        <v>0</v>
      </c>
      <c r="AC45" s="160">
        <f t="shared" si="9"/>
        <v>0</v>
      </c>
      <c r="AD45" s="160">
        <f t="shared" si="9"/>
        <v>0</v>
      </c>
      <c r="AE45" s="160">
        <f t="shared" si="9"/>
        <v>0</v>
      </c>
      <c r="AF45" s="160">
        <f t="shared" si="18"/>
        <v>0</v>
      </c>
      <c r="AG45" s="160">
        <f>IF(A45=Abandonment!$B$4,-W45,0)</f>
        <v>0</v>
      </c>
      <c r="AH45" s="160">
        <f t="shared" si="19"/>
        <v>0</v>
      </c>
      <c r="AI45" s="160">
        <f>MIN(AH45,MAX(0,$AL$3-SUM(AI46:AI$52)))</f>
        <v>0</v>
      </c>
      <c r="AJ45" s="160">
        <f t="shared" si="22"/>
        <v>0</v>
      </c>
      <c r="AK45" s="160">
        <f t="shared" si="10"/>
        <v>0</v>
      </c>
      <c r="AL45" s="160">
        <f>IF($A45=Abandonment!$B$4,LossRec,0)</f>
        <v>0</v>
      </c>
      <c r="AM45" s="160">
        <f t="shared" si="11"/>
        <v>0</v>
      </c>
      <c r="AN45" s="93"/>
      <c r="AO45" s="93"/>
      <c r="AP45" s="93"/>
      <c r="AQ45" s="245">
        <f t="shared" si="21"/>
        <v>43617</v>
      </c>
      <c r="AR45" s="245">
        <f>IF(AND(O45&lt;0,O44&gt;0,AR44=0),DATE($A45,MAX(12-$R45,0)+SUM($S45:S45)+0.5,1),AR44)</f>
        <v>43678</v>
      </c>
      <c r="AS45" s="245">
        <f>IF(AND(P45&lt;0,P44&gt;0,AS44=0),DATE($A45,MAX(12-$R45,0)+SUM($S45:T45)+0.5,1),AS44)</f>
        <v>43862</v>
      </c>
      <c r="AT45" s="245">
        <f>IF(AND(Q45&lt;0,Q44&gt;0,AT44=0),DATE($A45,MAX(12-$R45,0)+SUM($S45:U45)+0.5,1),AT44)</f>
        <v>44136</v>
      </c>
      <c r="AU45" s="93"/>
      <c r="AV45" s="93"/>
      <c r="AW45" s="93"/>
      <c r="AX45" s="93"/>
      <c r="AY45" s="93"/>
      <c r="AZ45" s="93"/>
      <c r="BA45" s="93"/>
      <c r="BB45" s="93"/>
    </row>
    <row r="46" spans="1:54">
      <c r="A46" s="140">
        <f t="shared" si="20"/>
        <v>2049</v>
      </c>
      <c r="B46" s="160">
        <f>'Success Cash Flow'!E44</f>
        <v>0</v>
      </c>
      <c r="C46" s="160">
        <f>IF(noteco=Lists!A$84,0,Exploration!AB69)</f>
        <v>0</v>
      </c>
      <c r="D46" s="160">
        <f>Development!BL125</f>
        <v>0</v>
      </c>
      <c r="E46" s="160">
        <f>Operations!S53</f>
        <v>0</v>
      </c>
      <c r="F46" s="160">
        <f>Abandonment!G50</f>
        <v>0</v>
      </c>
      <c r="G46" s="160">
        <f t="shared" si="3"/>
        <v>0</v>
      </c>
      <c r="H46" s="160">
        <f t="shared" si="12"/>
        <v>0</v>
      </c>
      <c r="I46" s="160">
        <f t="shared" si="13"/>
        <v>-23980.441108489878</v>
      </c>
      <c r="J46" s="160">
        <f>IF(A46&lt;Development!$C$6,0,IF(A46=Development!C$6,Development!$D$6,IF(I46&lt;0,IF(I45&gt;0,ROUNDDOWN(-I45/(I46-I45)*12,0),0),12)))</f>
        <v>0</v>
      </c>
      <c r="K46" s="160">
        <f>IF(OR(A46&lt;Development!$C$6,A46&gt;Abandonment!$B$4),0,(J46*I45-(I45-I46)*J46*(J46+1)/24)/12)</f>
        <v>0</v>
      </c>
      <c r="L46" s="160">
        <f>$K46*(L$7+'Selected Economics'!$G45)</f>
        <v>0</v>
      </c>
      <c r="M46" s="160">
        <f>$K46*(M$7+'Selected Economics'!$G45)</f>
        <v>0</v>
      </c>
      <c r="N46" s="160">
        <f>$K46*(N$7+'Selected Economics'!$G45)</f>
        <v>0</v>
      </c>
      <c r="O46" s="160">
        <f t="shared" si="24"/>
        <v>-23284.757842831375</v>
      </c>
      <c r="P46" s="160">
        <f t="shared" si="24"/>
        <v>-21893.391311514377</v>
      </c>
      <c r="Q46" s="160">
        <f t="shared" si="24"/>
        <v>-19574.447092652703</v>
      </c>
      <c r="R46" s="160">
        <f>IF(A46=Production!$B$4,Production!$B$5,IF(A46&lt;Production!$B$4,0,12+R45))</f>
        <v>387</v>
      </c>
      <c r="S46" s="160">
        <f>MIN($R46,IF(O46&lt;0,MAX(IF(Input!$B$33="Yes",MIN(12,24-R45),0),IF(AND(O45&gt;0,O46&lt;0),ROUNDDOWN(-O45/(O46-O45)*12,0)+0.5),0),12))</f>
        <v>0</v>
      </c>
      <c r="T46" s="160">
        <f>MAX(0,MIN($R46,IF(P46&lt;0,MAX(IF(Input!$B$33="Yes",MIN(12,36-R45),0),IF(AND(P45&gt;0,P46&lt;0),ROUNDDOWN(-P45/(P46-P45)*12,0)+0.5),0),12))-S46)</f>
        <v>0</v>
      </c>
      <c r="U46" s="160">
        <f>MAX(0,MIN($R46,IF(AND(Q45&gt;0,Q46&lt;0),ROUNDDOWN(-Q45/(Q46-Q45)*12,0)+0.5,IF(AND(Q46&gt;0,MIN(Q$11:Q45)&gt;=0),12,0)))-SUM(S46:T46))</f>
        <v>0</v>
      </c>
      <c r="V46" s="160">
        <f t="shared" si="6"/>
        <v>12</v>
      </c>
      <c r="W46" s="160">
        <f t="shared" si="14"/>
        <v>0</v>
      </c>
      <c r="X46" s="160">
        <f t="shared" si="15"/>
        <v>0</v>
      </c>
      <c r="Y46" s="160">
        <f t="shared" si="7"/>
        <v>0</v>
      </c>
      <c r="Z46" s="160">
        <f t="shared" si="16"/>
        <v>0</v>
      </c>
      <c r="AA46" s="160">
        <f t="shared" si="8"/>
        <v>0</v>
      </c>
      <c r="AB46" s="160">
        <f t="shared" si="17"/>
        <v>0</v>
      </c>
      <c r="AC46" s="160">
        <f t="shared" si="9"/>
        <v>0</v>
      </c>
      <c r="AD46" s="160">
        <f t="shared" si="9"/>
        <v>0</v>
      </c>
      <c r="AE46" s="160">
        <f t="shared" si="9"/>
        <v>0</v>
      </c>
      <c r="AF46" s="160">
        <f t="shared" si="18"/>
        <v>0</v>
      </c>
      <c r="AG46" s="160">
        <f>IF(A46=Abandonment!$B$4,-W46,0)</f>
        <v>0</v>
      </c>
      <c r="AH46" s="160">
        <f t="shared" si="19"/>
        <v>0</v>
      </c>
      <c r="AI46" s="160">
        <f>MIN(AH46,MAX(0,$AL$3-SUM(AI47:AI$52)))</f>
        <v>0</v>
      </c>
      <c r="AJ46" s="160">
        <f t="shared" si="22"/>
        <v>0</v>
      </c>
      <c r="AK46" s="160">
        <f t="shared" si="10"/>
        <v>0</v>
      </c>
      <c r="AL46" s="160">
        <f>IF($A46=Abandonment!$B$4,LossRec,0)</f>
        <v>0</v>
      </c>
      <c r="AM46" s="160">
        <f t="shared" si="11"/>
        <v>0</v>
      </c>
      <c r="AN46" s="93"/>
      <c r="AO46" s="93"/>
      <c r="AP46" s="93"/>
      <c r="AQ46" s="245">
        <f t="shared" si="21"/>
        <v>43617</v>
      </c>
      <c r="AR46" s="245">
        <f>IF(AND(O46&lt;0,O45&gt;0,AR45=0),DATE($A46,MAX(12-$R46,0)+SUM($S46:S46)+0.5,1),AR45)</f>
        <v>43678</v>
      </c>
      <c r="AS46" s="245">
        <f>IF(AND(P46&lt;0,P45&gt;0,AS45=0),DATE($A46,MAX(12-$R46,0)+SUM($S46:T46)+0.5,1),AS45)</f>
        <v>43862</v>
      </c>
      <c r="AT46" s="245">
        <f>IF(AND(Q46&lt;0,Q45&gt;0,AT45=0),DATE($A46,MAX(12-$R46,0)+SUM($S46:U46)+0.5,1),AT45)</f>
        <v>44136</v>
      </c>
      <c r="AU46" s="93"/>
      <c r="AV46" s="93"/>
      <c r="AW46" s="93"/>
      <c r="AX46" s="93"/>
      <c r="AY46" s="93"/>
      <c r="AZ46" s="93"/>
      <c r="BA46" s="93"/>
      <c r="BB46" s="93"/>
    </row>
    <row r="47" spans="1:54">
      <c r="A47" s="140">
        <f t="shared" si="20"/>
        <v>2050</v>
      </c>
      <c r="B47" s="160">
        <f>'Success Cash Flow'!E45</f>
        <v>0</v>
      </c>
      <c r="C47" s="160">
        <f>IF(noteco=Lists!A$84,0,Exploration!AB70)</f>
        <v>0</v>
      </c>
      <c r="D47" s="160">
        <f>Development!BL126</f>
        <v>0</v>
      </c>
      <c r="E47" s="160">
        <f>Operations!S54</f>
        <v>0</v>
      </c>
      <c r="F47" s="160">
        <f>Abandonment!G51</f>
        <v>0</v>
      </c>
      <c r="G47" s="160">
        <f t="shared" si="3"/>
        <v>0</v>
      </c>
      <c r="H47" s="160">
        <f t="shared" si="12"/>
        <v>0</v>
      </c>
      <c r="I47" s="160">
        <f t="shared" si="13"/>
        <v>-23980.441108489878</v>
      </c>
      <c r="J47" s="160">
        <f>IF(A47&lt;Development!$C$6,0,IF(A47=Development!C$6,Development!$D$6,IF(I47&lt;0,IF(I46&gt;0,ROUNDDOWN(-I46/(I47-I46)*12,0),0),12)))</f>
        <v>0</v>
      </c>
      <c r="K47" s="160">
        <f>IF(OR(A47&lt;Development!$C$6,A47&gt;Abandonment!$B$4),0,(J47*I46-(I46-I47)*J47*(J47+1)/24)/12)</f>
        <v>0</v>
      </c>
      <c r="L47" s="160">
        <f>$K47*(L$7+'Selected Economics'!$G46)</f>
        <v>0</v>
      </c>
      <c r="M47" s="160">
        <f>$K47*(M$7+'Selected Economics'!$G46)</f>
        <v>0</v>
      </c>
      <c r="N47" s="160">
        <f>$K47*(N$7+'Selected Economics'!$G46)</f>
        <v>0</v>
      </c>
      <c r="O47" s="160">
        <f t="shared" si="24"/>
        <v>-23284.757842831375</v>
      </c>
      <c r="P47" s="160">
        <f t="shared" si="24"/>
        <v>-21893.391311514377</v>
      </c>
      <c r="Q47" s="160">
        <f t="shared" si="24"/>
        <v>-19574.447092652703</v>
      </c>
      <c r="R47" s="160">
        <f>IF(A47=Production!$B$4,Production!$B$5,IF(A47&lt;Production!$B$4,0,12+R46))</f>
        <v>399</v>
      </c>
      <c r="S47" s="160">
        <f>MIN($R47,IF(O47&lt;0,MAX(IF(Input!$B$33="Yes",MIN(12,24-R46),0),IF(AND(O46&gt;0,O47&lt;0),ROUNDDOWN(-O46/(O47-O46)*12,0)+0.5),0),12))</f>
        <v>0</v>
      </c>
      <c r="T47" s="160">
        <f>MAX(0,MIN($R47,IF(P47&lt;0,MAX(IF(Input!$B$33="Yes",MIN(12,36-R46),0),IF(AND(P46&gt;0,P47&lt;0),ROUNDDOWN(-P46/(P47-P46)*12,0)+0.5),0),12))-S47)</f>
        <v>0</v>
      </c>
      <c r="U47" s="160">
        <f>MAX(0,MIN($R47,IF(AND(Q46&gt;0,Q47&lt;0),ROUNDDOWN(-Q46/(Q47-Q46)*12,0)+0.5,IF(AND(Q47&gt;0,MIN(Q$11:Q46)&gt;=0),12,0)))-SUM(S47:T47))</f>
        <v>0</v>
      </c>
      <c r="V47" s="160">
        <f t="shared" si="6"/>
        <v>12</v>
      </c>
      <c r="W47" s="160">
        <f t="shared" si="14"/>
        <v>0</v>
      </c>
      <c r="X47" s="160">
        <f t="shared" si="15"/>
        <v>0</v>
      </c>
      <c r="Y47" s="160">
        <f t="shared" si="7"/>
        <v>0</v>
      </c>
      <c r="Z47" s="160">
        <f t="shared" si="16"/>
        <v>0</v>
      </c>
      <c r="AA47" s="160">
        <f t="shared" si="8"/>
        <v>0</v>
      </c>
      <c r="AB47" s="160">
        <f t="shared" si="17"/>
        <v>0</v>
      </c>
      <c r="AC47" s="160">
        <f t="shared" si="9"/>
        <v>0</v>
      </c>
      <c r="AD47" s="160">
        <f t="shared" si="9"/>
        <v>0</v>
      </c>
      <c r="AE47" s="160">
        <f t="shared" si="9"/>
        <v>0</v>
      </c>
      <c r="AF47" s="160">
        <f t="shared" si="18"/>
        <v>0</v>
      </c>
      <c r="AG47" s="160">
        <f>IF(A47=Abandonment!$B$4,-W47,0)</f>
        <v>0</v>
      </c>
      <c r="AH47" s="160">
        <f t="shared" si="19"/>
        <v>0</v>
      </c>
      <c r="AI47" s="160">
        <f>MIN(AH47,MAX(0,$AL$3-SUM(AI48:AI$52)))</f>
        <v>0</v>
      </c>
      <c r="AJ47" s="160">
        <f t="shared" si="22"/>
        <v>0</v>
      </c>
      <c r="AK47" s="160">
        <f t="shared" si="10"/>
        <v>0</v>
      </c>
      <c r="AL47" s="160">
        <f>IF($A47=Abandonment!$B$4,LossRec,0)</f>
        <v>0</v>
      </c>
      <c r="AM47" s="160">
        <f t="shared" si="11"/>
        <v>0</v>
      </c>
      <c r="AN47" s="93"/>
      <c r="AO47" s="93"/>
      <c r="AP47" s="93"/>
      <c r="AQ47" s="245">
        <f t="shared" si="21"/>
        <v>43617</v>
      </c>
      <c r="AR47" s="245">
        <f>IF(AND(O47&lt;0,O46&gt;0,AR46=0),DATE($A47,MAX(12-$R47,0)+SUM($S47:S47)+0.5,1),AR46)</f>
        <v>43678</v>
      </c>
      <c r="AS47" s="245">
        <f>IF(AND(P47&lt;0,P46&gt;0,AS46=0),DATE($A47,MAX(12-$R47,0)+SUM($S47:T47)+0.5,1),AS46)</f>
        <v>43862</v>
      </c>
      <c r="AT47" s="245">
        <f>IF(AND(Q47&lt;0,Q46&gt;0,AT46=0),DATE($A47,MAX(12-$R47,0)+SUM($S47:U47)+0.5,1),AT46)</f>
        <v>44136</v>
      </c>
      <c r="AU47" s="93"/>
      <c r="AV47" s="93"/>
      <c r="AW47" s="93"/>
      <c r="AX47" s="93"/>
      <c r="AY47" s="93"/>
      <c r="AZ47" s="93"/>
      <c r="BA47" s="93"/>
      <c r="BB47" s="93"/>
    </row>
    <row r="48" spans="1:54">
      <c r="A48" s="140">
        <f t="shared" si="20"/>
        <v>2051</v>
      </c>
      <c r="B48" s="160">
        <f>'Success Cash Flow'!E46</f>
        <v>0</v>
      </c>
      <c r="C48" s="160">
        <f>IF(noteco=Lists!A$84,0,Exploration!AB71)</f>
        <v>0</v>
      </c>
      <c r="D48" s="160">
        <f>Development!BL127</f>
        <v>0</v>
      </c>
      <c r="E48" s="160">
        <f>Operations!S55</f>
        <v>0</v>
      </c>
      <c r="F48" s="160">
        <f>Abandonment!G52</f>
        <v>0</v>
      </c>
      <c r="G48" s="160">
        <f t="shared" si="3"/>
        <v>0</v>
      </c>
      <c r="H48" s="160">
        <f t="shared" si="12"/>
        <v>0</v>
      </c>
      <c r="I48" s="160">
        <f t="shared" si="13"/>
        <v>-23980.441108489878</v>
      </c>
      <c r="J48" s="160">
        <f>IF(A48&lt;Development!$C$6,0,IF(A48=Development!C$6,Development!$D$6,IF(I48&lt;0,IF(I47&gt;0,ROUNDDOWN(-I47/(I48-I47)*12,0),0),12)))</f>
        <v>0</v>
      </c>
      <c r="K48" s="160">
        <f>IF(OR(A48&lt;Development!$C$6,A48&gt;Abandonment!$B$4),0,(J48*I47-(I47-I48)*J48*(J48+1)/24)/12)</f>
        <v>0</v>
      </c>
      <c r="L48" s="160">
        <f>$K48*(L$7+'Selected Economics'!$G47)</f>
        <v>0</v>
      </c>
      <c r="M48" s="160">
        <f>$K48*(M$7+'Selected Economics'!$G47)</f>
        <v>0</v>
      </c>
      <c r="N48" s="160">
        <f>$K48*(N$7+'Selected Economics'!$G47)</f>
        <v>0</v>
      </c>
      <c r="O48" s="160">
        <f t="shared" si="24"/>
        <v>-23284.757842831375</v>
      </c>
      <c r="P48" s="160">
        <f t="shared" si="24"/>
        <v>-21893.391311514377</v>
      </c>
      <c r="Q48" s="160">
        <f t="shared" si="24"/>
        <v>-19574.447092652703</v>
      </c>
      <c r="R48" s="160">
        <f>IF(A48=Production!$B$4,Production!$B$5,IF(A48&lt;Production!$B$4,0,12+R47))</f>
        <v>411</v>
      </c>
      <c r="S48" s="160">
        <f>MIN($R48,IF(O48&lt;0,MAX(IF(Input!$B$33="Yes",MIN(12,24-R47),0),IF(AND(O47&gt;0,O48&lt;0),ROUNDDOWN(-O47/(O48-O47)*12,0)+0.5),0),12))</f>
        <v>0</v>
      </c>
      <c r="T48" s="160">
        <f>MAX(0,MIN($R48,IF(P48&lt;0,MAX(IF(Input!$B$33="Yes",MIN(12,36-R47),0),IF(AND(P47&gt;0,P48&lt;0),ROUNDDOWN(-P47/(P48-P47)*12,0)+0.5),0),12))-S48)</f>
        <v>0</v>
      </c>
      <c r="U48" s="160">
        <f>MAX(0,MIN($R48,IF(AND(Q47&gt;0,Q48&lt;0),ROUNDDOWN(-Q47/(Q48-Q47)*12,0)+0.5,IF(AND(Q48&gt;0,MIN(Q$11:Q47)&gt;=0),12,0)))-SUM(S48:T48))</f>
        <v>0</v>
      </c>
      <c r="V48" s="160">
        <f t="shared" si="6"/>
        <v>12</v>
      </c>
      <c r="W48" s="160">
        <f t="shared" si="14"/>
        <v>0</v>
      </c>
      <c r="X48" s="160">
        <f t="shared" si="15"/>
        <v>0</v>
      </c>
      <c r="Y48" s="160">
        <f t="shared" si="7"/>
        <v>0</v>
      </c>
      <c r="Z48" s="160">
        <f t="shared" si="16"/>
        <v>0</v>
      </c>
      <c r="AA48" s="160">
        <f t="shared" si="8"/>
        <v>0</v>
      </c>
      <c r="AB48" s="160">
        <f t="shared" si="17"/>
        <v>0</v>
      </c>
      <c r="AC48" s="160">
        <f t="shared" si="9"/>
        <v>0</v>
      </c>
      <c r="AD48" s="160">
        <f t="shared" si="9"/>
        <v>0</v>
      </c>
      <c r="AE48" s="160">
        <f t="shared" si="9"/>
        <v>0</v>
      </c>
      <c r="AF48" s="160">
        <f t="shared" si="18"/>
        <v>0</v>
      </c>
      <c r="AG48" s="160">
        <f>IF(A48=Abandonment!$B$4,-W48,0)</f>
        <v>0</v>
      </c>
      <c r="AH48" s="160">
        <f t="shared" si="19"/>
        <v>0</v>
      </c>
      <c r="AI48" s="160">
        <f>MIN(AH48,MAX(0,$AL$3-SUM(AI49:AI$52)))</f>
        <v>0</v>
      </c>
      <c r="AJ48" s="160">
        <f t="shared" si="22"/>
        <v>0</v>
      </c>
      <c r="AK48" s="160">
        <f t="shared" si="10"/>
        <v>0</v>
      </c>
      <c r="AL48" s="160">
        <f>IF($A48=Abandonment!$B$4,LossRec,0)</f>
        <v>0</v>
      </c>
      <c r="AM48" s="160">
        <f t="shared" si="11"/>
        <v>0</v>
      </c>
      <c r="AN48" s="93"/>
      <c r="AO48" s="93"/>
      <c r="AP48" s="93"/>
      <c r="AQ48" s="245">
        <f t="shared" si="21"/>
        <v>43617</v>
      </c>
      <c r="AR48" s="245">
        <f>IF(AND(O48&lt;0,O47&gt;0,AR47=0),DATE($A48,MAX(12-$R48,0)+SUM($S48:S48)+0.5,1),AR47)</f>
        <v>43678</v>
      </c>
      <c r="AS48" s="245">
        <f>IF(AND(P48&lt;0,P47&gt;0,AS47=0),DATE($A48,MAX(12-$R48,0)+SUM($S48:T48)+0.5,1),AS47)</f>
        <v>43862</v>
      </c>
      <c r="AT48" s="245">
        <f>IF(AND(Q48&lt;0,Q47&gt;0,AT47=0),DATE($A48,MAX(12-$R48,0)+SUM($S48:U48)+0.5,1),AT47)</f>
        <v>44136</v>
      </c>
      <c r="AU48" s="93"/>
      <c r="AV48" s="93"/>
      <c r="AW48" s="93"/>
      <c r="AX48" s="93"/>
      <c r="AY48" s="93"/>
      <c r="AZ48" s="93"/>
      <c r="BA48" s="93"/>
      <c r="BB48" s="93"/>
    </row>
    <row r="49" spans="1:54">
      <c r="A49" s="140">
        <f t="shared" si="20"/>
        <v>2052</v>
      </c>
      <c r="B49" s="160">
        <f>'Success Cash Flow'!E47</f>
        <v>0</v>
      </c>
      <c r="C49" s="160">
        <f>IF(noteco=Lists!A$84,0,Exploration!AB72)</f>
        <v>0</v>
      </c>
      <c r="D49" s="160">
        <f>Development!BL128</f>
        <v>0</v>
      </c>
      <c r="E49" s="160">
        <f>Operations!S56</f>
        <v>0</v>
      </c>
      <c r="F49" s="160">
        <f>Abandonment!G53</f>
        <v>0</v>
      </c>
      <c r="G49" s="160">
        <f t="shared" si="3"/>
        <v>0</v>
      </c>
      <c r="H49" s="160">
        <f t="shared" si="12"/>
        <v>0</v>
      </c>
      <c r="I49" s="160">
        <f t="shared" si="13"/>
        <v>-23980.441108489878</v>
      </c>
      <c r="J49" s="160">
        <f>IF(A49&lt;Development!$C$6,0,IF(A49=Development!C$6,Development!$D$6,IF(I49&lt;0,IF(I48&gt;0,ROUNDDOWN(-I48/(I49-I48)*12,0),0),12)))</f>
        <v>0</v>
      </c>
      <c r="K49" s="160">
        <f>IF(OR(A49&lt;Development!$C$6,A49&gt;Abandonment!$B$4),0,(J49*I48-(I48-I49)*J49*(J49+1)/24)/12)</f>
        <v>0</v>
      </c>
      <c r="L49" s="160">
        <f>$K49*(L$7+'Selected Economics'!$G48)</f>
        <v>0</v>
      </c>
      <c r="M49" s="160">
        <f>$K49*(M$7+'Selected Economics'!$G48)</f>
        <v>0</v>
      </c>
      <c r="N49" s="160">
        <f>$K49*(N$7+'Selected Economics'!$G48)</f>
        <v>0</v>
      </c>
      <c r="O49" s="160">
        <f t="shared" si="24"/>
        <v>-23284.757842831375</v>
      </c>
      <c r="P49" s="160">
        <f t="shared" si="24"/>
        <v>-21893.391311514377</v>
      </c>
      <c r="Q49" s="160">
        <f t="shared" si="24"/>
        <v>-19574.447092652703</v>
      </c>
      <c r="R49" s="160">
        <f>IF(A49=Production!$B$4,Production!$B$5,IF(A49&lt;Production!$B$4,0,12+R48))</f>
        <v>423</v>
      </c>
      <c r="S49" s="160">
        <f>MIN($R49,IF(O49&lt;0,MAX(IF(Input!$B$33="Yes",MIN(12,24-R48),0),IF(AND(O48&gt;0,O49&lt;0),ROUNDDOWN(-O48/(O49-O48)*12,0)+0.5),0),12))</f>
        <v>0</v>
      </c>
      <c r="T49" s="160">
        <f>MAX(0,MIN($R49,IF(P49&lt;0,MAX(IF(Input!$B$33="Yes",MIN(12,36-R48),0),IF(AND(P48&gt;0,P49&lt;0),ROUNDDOWN(-P48/(P49-P48)*12,0)+0.5),0),12))-S49)</f>
        <v>0</v>
      </c>
      <c r="U49" s="160">
        <f>MAX(0,MIN($R49,IF(AND(Q48&gt;0,Q49&lt;0),ROUNDDOWN(-Q48/(Q49-Q48)*12,0)+0.5,IF(AND(Q49&gt;0,MIN(Q$11:Q48)&gt;=0),12,0)))-SUM(S49:T49))</f>
        <v>0</v>
      </c>
      <c r="V49" s="160">
        <f t="shared" si="6"/>
        <v>12</v>
      </c>
      <c r="W49" s="160">
        <f t="shared" si="14"/>
        <v>0</v>
      </c>
      <c r="X49" s="160">
        <f t="shared" si="15"/>
        <v>0</v>
      </c>
      <c r="Y49" s="160">
        <f t="shared" si="7"/>
        <v>0</v>
      </c>
      <c r="Z49" s="160">
        <f t="shared" si="16"/>
        <v>0</v>
      </c>
      <c r="AA49" s="160">
        <f t="shared" si="8"/>
        <v>0</v>
      </c>
      <c r="AB49" s="160">
        <f t="shared" si="17"/>
        <v>0</v>
      </c>
      <c r="AC49" s="160">
        <f t="shared" si="9"/>
        <v>0</v>
      </c>
      <c r="AD49" s="160">
        <f t="shared" si="9"/>
        <v>0</v>
      </c>
      <c r="AE49" s="160">
        <f t="shared" si="9"/>
        <v>0</v>
      </c>
      <c r="AF49" s="160">
        <f t="shared" si="18"/>
        <v>0</v>
      </c>
      <c r="AG49" s="160">
        <f>IF(A49=Abandonment!$B$4,-W49,0)</f>
        <v>0</v>
      </c>
      <c r="AH49" s="160">
        <f t="shared" si="19"/>
        <v>0</v>
      </c>
      <c r="AI49" s="160">
        <f>MIN(AH49,MAX(0,$AL$3-SUM(AI50:AI$52)))</f>
        <v>0</v>
      </c>
      <c r="AJ49" s="160">
        <f t="shared" si="22"/>
        <v>0</v>
      </c>
      <c r="AK49" s="160">
        <f t="shared" si="10"/>
        <v>0</v>
      </c>
      <c r="AL49" s="160">
        <f>IF($A49=Abandonment!$B$4,LossRec,0)</f>
        <v>0</v>
      </c>
      <c r="AM49" s="160">
        <f t="shared" si="11"/>
        <v>0</v>
      </c>
      <c r="AN49" s="93"/>
      <c r="AO49" s="93"/>
      <c r="AP49" s="93"/>
      <c r="AQ49" s="245">
        <f t="shared" si="21"/>
        <v>43617</v>
      </c>
      <c r="AR49" s="245">
        <f>IF(AND(O49&lt;0,O48&gt;0,AR48=0),DATE($A49,MAX(12-$R49,0)+SUM($S49:S49)+0.5,1),AR48)</f>
        <v>43678</v>
      </c>
      <c r="AS49" s="245">
        <f>IF(AND(P49&lt;0,P48&gt;0,AS48=0),DATE($A49,MAX(12-$R49,0)+SUM($S49:T49)+0.5,1),AS48)</f>
        <v>43862</v>
      </c>
      <c r="AT49" s="245">
        <f>IF(AND(Q49&lt;0,Q48&gt;0,AT48=0),DATE($A49,MAX(12-$R49,0)+SUM($S49:U49)+0.5,1),AT48)</f>
        <v>44136</v>
      </c>
      <c r="AU49" s="93"/>
      <c r="AV49" s="93"/>
      <c r="AW49" s="93"/>
      <c r="AX49" s="93"/>
      <c r="AY49" s="93"/>
      <c r="AZ49" s="93"/>
      <c r="BA49" s="93"/>
      <c r="BB49" s="93"/>
    </row>
    <row r="50" spans="1:54">
      <c r="A50" s="140">
        <f t="shared" si="20"/>
        <v>2053</v>
      </c>
      <c r="B50" s="160">
        <f>'Success Cash Flow'!E48</f>
        <v>0</v>
      </c>
      <c r="C50" s="160">
        <f>IF(noteco=Lists!A$84,0,Exploration!AB73)</f>
        <v>0</v>
      </c>
      <c r="D50" s="160">
        <f>Development!BL129</f>
        <v>0</v>
      </c>
      <c r="E50" s="160">
        <f>Operations!S57</f>
        <v>0</v>
      </c>
      <c r="F50" s="160">
        <f>Abandonment!G54</f>
        <v>0</v>
      </c>
      <c r="G50" s="160">
        <f t="shared" si="3"/>
        <v>0</v>
      </c>
      <c r="H50" s="160">
        <f t="shared" si="12"/>
        <v>0</v>
      </c>
      <c r="I50" s="160">
        <f t="shared" si="13"/>
        <v>-23980.441108489878</v>
      </c>
      <c r="J50" s="160">
        <f>IF(A50&lt;Development!$C$6,0,IF(A50=Development!C$6,Development!$D$6,IF(I50&lt;0,IF(I49&gt;0,ROUNDDOWN(-I49/(I50-I49)*12,0),0),12)))</f>
        <v>0</v>
      </c>
      <c r="K50" s="160">
        <f>IF(OR(A50&lt;Development!$C$6,A50&gt;Abandonment!$B$4),0,(J50*I49-(I49-I50)*J50*(J50+1)/24)/12)</f>
        <v>0</v>
      </c>
      <c r="L50" s="160">
        <f>$K50*(L$7+'Selected Economics'!$G49)</f>
        <v>0</v>
      </c>
      <c r="M50" s="160">
        <f>$K50*(M$7+'Selected Economics'!$G49)</f>
        <v>0</v>
      </c>
      <c r="N50" s="160">
        <f>$K50*(N$7+'Selected Economics'!$G49)</f>
        <v>0</v>
      </c>
      <c r="O50" s="160">
        <f t="shared" si="24"/>
        <v>-23284.757842831375</v>
      </c>
      <c r="P50" s="160">
        <f t="shared" si="24"/>
        <v>-21893.391311514377</v>
      </c>
      <c r="Q50" s="160">
        <f t="shared" si="24"/>
        <v>-19574.447092652703</v>
      </c>
      <c r="R50" s="160">
        <f>IF(A50=Production!$B$4,Production!$B$5,IF(A50&lt;Production!$B$4,0,12+R49))</f>
        <v>435</v>
      </c>
      <c r="S50" s="160">
        <f>MIN($R50,IF(O50&lt;0,MAX(IF(Input!$B$33="Yes",MIN(12,24-R49),0),IF(AND(O49&gt;0,O50&lt;0),ROUNDDOWN(-O49/(O50-O49)*12,0)+0.5),0),12))</f>
        <v>0</v>
      </c>
      <c r="T50" s="160">
        <f>MAX(0,MIN($R50,IF(P50&lt;0,MAX(IF(Input!$B$33="Yes",MIN(12,36-R49),0),IF(AND(P49&gt;0,P50&lt;0),ROUNDDOWN(-P49/(P50-P49)*12,0)+0.5),0),12))-S50)</f>
        <v>0</v>
      </c>
      <c r="U50" s="160">
        <f>MAX(0,MIN($R50,IF(AND(Q49&gt;0,Q50&lt;0),ROUNDDOWN(-Q49/(Q50-Q49)*12,0)+0.5,IF(AND(Q50&gt;0,MIN(Q$11:Q49)&gt;=0),12,0)))-SUM(S50:T50))</f>
        <v>0</v>
      </c>
      <c r="V50" s="160">
        <f t="shared" si="6"/>
        <v>12</v>
      </c>
      <c r="W50" s="160">
        <f t="shared" si="14"/>
        <v>0</v>
      </c>
      <c r="X50" s="160">
        <f t="shared" si="15"/>
        <v>0</v>
      </c>
      <c r="Y50" s="160">
        <f t="shared" si="7"/>
        <v>0</v>
      </c>
      <c r="Z50" s="160">
        <f t="shared" si="16"/>
        <v>0</v>
      </c>
      <c r="AA50" s="160">
        <f t="shared" si="8"/>
        <v>0</v>
      </c>
      <c r="AB50" s="160">
        <f t="shared" si="17"/>
        <v>0</v>
      </c>
      <c r="AC50" s="160">
        <f t="shared" si="9"/>
        <v>0</v>
      </c>
      <c r="AD50" s="160">
        <f t="shared" si="9"/>
        <v>0</v>
      </c>
      <c r="AE50" s="160">
        <f t="shared" si="9"/>
        <v>0</v>
      </c>
      <c r="AF50" s="160">
        <f t="shared" si="18"/>
        <v>0</v>
      </c>
      <c r="AG50" s="160">
        <f>IF(A50=Abandonment!$B$4,-W50,0)</f>
        <v>0</v>
      </c>
      <c r="AH50" s="160">
        <f t="shared" si="19"/>
        <v>0</v>
      </c>
      <c r="AI50" s="160">
        <f>MIN(AH50,MAX(0,$AL$3-SUM(AI51:AI$52)))</f>
        <v>0</v>
      </c>
      <c r="AJ50" s="160">
        <f t="shared" si="22"/>
        <v>0</v>
      </c>
      <c r="AK50" s="160">
        <f t="shared" si="10"/>
        <v>0</v>
      </c>
      <c r="AL50" s="160">
        <f>IF($A50=Abandonment!$B$4,LossRec,0)</f>
        <v>0</v>
      </c>
      <c r="AM50" s="160">
        <f t="shared" si="11"/>
        <v>0</v>
      </c>
      <c r="AN50" s="93"/>
      <c r="AO50" s="93"/>
      <c r="AP50" s="93"/>
      <c r="AQ50" s="245">
        <f t="shared" si="21"/>
        <v>43617</v>
      </c>
      <c r="AR50" s="245">
        <f>IF(AND(O50&lt;0,O49&gt;0,AR49=0),DATE($A50,MAX(12-$R50,0)+SUM($S50:S50)+0.5,1),AR49)</f>
        <v>43678</v>
      </c>
      <c r="AS50" s="245">
        <f>IF(AND(P50&lt;0,P49&gt;0,AS49=0),DATE($A50,MAX(12-$R50,0)+SUM($S50:T50)+0.5,1),AS49)</f>
        <v>43862</v>
      </c>
      <c r="AT50" s="245">
        <f>IF(AND(Q50&lt;0,Q49&gt;0,AT49=0),DATE($A50,MAX(12-$R50,0)+SUM($S50:U50)+0.5,1),AT49)</f>
        <v>44136</v>
      </c>
      <c r="AU50" s="93"/>
      <c r="AV50" s="93"/>
      <c r="AW50" s="93"/>
      <c r="AX50" s="93"/>
      <c r="AY50" s="93"/>
      <c r="AZ50" s="93"/>
      <c r="BA50" s="93"/>
      <c r="BB50" s="93"/>
    </row>
    <row r="51" spans="1:54">
      <c r="A51" s="148">
        <f t="shared" si="20"/>
        <v>2054</v>
      </c>
      <c r="B51" s="162">
        <f>'Success Cash Flow'!E49</f>
        <v>0</v>
      </c>
      <c r="C51" s="162">
        <f>IF(noteco=Lists!A$84,0,Exploration!AB74)</f>
        <v>0</v>
      </c>
      <c r="D51" s="162">
        <f>Development!BL130</f>
        <v>0</v>
      </c>
      <c r="E51" s="162">
        <f>Operations!S58</f>
        <v>0</v>
      </c>
      <c r="F51" s="162">
        <f>Abandonment!G55</f>
        <v>0</v>
      </c>
      <c r="G51" s="162">
        <f t="shared" si="3"/>
        <v>0</v>
      </c>
      <c r="H51" s="162">
        <f t="shared" si="12"/>
        <v>0</v>
      </c>
      <c r="I51" s="162">
        <f t="shared" si="13"/>
        <v>-23980.441108489878</v>
      </c>
      <c r="J51" s="162">
        <f>IF(A51&lt;Development!$C$6,0,IF(A51=Development!C$6,Development!$D$6,IF(I51&lt;0,IF(I50&gt;0,ROUNDDOWN(-I50/(I51-I50)*12,0),0),12)))</f>
        <v>0</v>
      </c>
      <c r="K51" s="162">
        <f>IF(OR(A51&lt;Development!$C$6,A51&gt;Abandonment!$B$4),0,(J51*I50-(I50-I51)*J51*(J51+1)/24)/12)</f>
        <v>0</v>
      </c>
      <c r="L51" s="162">
        <f>$K51*(L$7+'Selected Economics'!$G50)</f>
        <v>0</v>
      </c>
      <c r="M51" s="162">
        <f>$K51*(M$7+'Selected Economics'!$G50)</f>
        <v>0</v>
      </c>
      <c r="N51" s="162">
        <f>$K51*(N$7+'Selected Economics'!$G50)</f>
        <v>0</v>
      </c>
      <c r="O51" s="162">
        <f t="shared" si="24"/>
        <v>-23284.757842831375</v>
      </c>
      <c r="P51" s="162">
        <f t="shared" si="24"/>
        <v>-21893.391311514377</v>
      </c>
      <c r="Q51" s="162">
        <f t="shared" si="24"/>
        <v>-19574.447092652703</v>
      </c>
      <c r="R51" s="162">
        <f>IF(A51=Production!$B$4,Production!$B$5,IF(A51&lt;Production!$B$4,0,12+R50))</f>
        <v>447</v>
      </c>
      <c r="S51" s="162">
        <f>MIN($R51,IF(O51&lt;0,MAX(IF(Input!$B$33="Yes",MIN(12,24-R50),0),IF(AND(O50&gt;0,O51&lt;0),ROUNDDOWN(-O50/(O51-O50)*12,0)+0.5),0),12))</f>
        <v>0</v>
      </c>
      <c r="T51" s="162">
        <f>MAX(0,MIN($R51,IF(P51&lt;0,MAX(IF(Input!$B$33="Yes",MIN(12,36-R50),0),IF(AND(P50&gt;0,P51&lt;0),ROUNDDOWN(-P50/(P51-P50)*12,0)+0.5),0),12))-S51)</f>
        <v>0</v>
      </c>
      <c r="U51" s="162">
        <f>MAX(0,MIN($R51,IF(AND(Q50&gt;0,Q51&lt;0),ROUNDDOWN(-Q50/(Q51-Q50)*12,0)+0.5,IF(AND(Q51&gt;0,MIN(Q$11:Q50)&gt;=0),12,0)))-SUM(S51:T51))</f>
        <v>0</v>
      </c>
      <c r="V51" s="162">
        <f t="shared" si="6"/>
        <v>12</v>
      </c>
      <c r="W51" s="162">
        <f t="shared" si="14"/>
        <v>0</v>
      </c>
      <c r="X51" s="162">
        <f t="shared" si="15"/>
        <v>0</v>
      </c>
      <c r="Y51" s="162">
        <f t="shared" si="7"/>
        <v>0</v>
      </c>
      <c r="Z51" s="162">
        <f t="shared" si="16"/>
        <v>0</v>
      </c>
      <c r="AA51" s="162">
        <f t="shared" si="8"/>
        <v>0</v>
      </c>
      <c r="AB51" s="162">
        <f t="shared" si="17"/>
        <v>0</v>
      </c>
      <c r="AC51" s="162">
        <f t="shared" si="9"/>
        <v>0</v>
      </c>
      <c r="AD51" s="162">
        <f t="shared" si="9"/>
        <v>0</v>
      </c>
      <c r="AE51" s="162">
        <f t="shared" si="9"/>
        <v>0</v>
      </c>
      <c r="AF51" s="162">
        <f t="shared" si="18"/>
        <v>0</v>
      </c>
      <c r="AG51" s="162">
        <f>IF(A51=Abandonment!$B$4,-W51,0)</f>
        <v>0</v>
      </c>
      <c r="AH51" s="162">
        <f t="shared" si="19"/>
        <v>0</v>
      </c>
      <c r="AI51" s="162">
        <f>MIN(AH51,MAX(0,$AL$3-SUM(AI52:AI$52)))</f>
        <v>0</v>
      </c>
      <c r="AJ51" s="162">
        <f t="shared" si="22"/>
        <v>0</v>
      </c>
      <c r="AK51" s="162">
        <f t="shared" si="10"/>
        <v>0</v>
      </c>
      <c r="AL51" s="162">
        <f>IF($A51=Abandonment!$B$4,LossRec,0)</f>
        <v>0</v>
      </c>
      <c r="AM51" s="162">
        <f t="shared" si="11"/>
        <v>0</v>
      </c>
      <c r="AN51" s="93"/>
      <c r="AO51" s="93"/>
      <c r="AP51" s="93"/>
      <c r="AQ51" s="246">
        <f t="shared" si="21"/>
        <v>43617</v>
      </c>
      <c r="AR51" s="246">
        <f>IF(AND(O51&lt;0,O50&gt;0,AR50=0),DATE($A51,MAX(12-$R51,0)+SUM($S51:S51)+0.5,1),AR50)</f>
        <v>43678</v>
      </c>
      <c r="AS51" s="246">
        <f>IF(AND(P51&lt;0,P50&gt;0,AS50=0),DATE($A51,MAX(12-$R51,0)+SUM($S51:T51)+0.5,1),AS50)</f>
        <v>43862</v>
      </c>
      <c r="AT51" s="246">
        <f>IF(AND(Q51&lt;0,Q50&gt;0,AT50=0),DATE($A51,MAX(12-$R51,0)+SUM($S51:U51)+0.5,1),AT50)</f>
        <v>44136</v>
      </c>
      <c r="AU51" s="93"/>
      <c r="AV51" s="93"/>
      <c r="AW51" s="93"/>
      <c r="AX51" s="93"/>
      <c r="AY51" s="93"/>
      <c r="AZ51" s="93"/>
      <c r="BA51" s="93"/>
      <c r="BB51" s="93"/>
    </row>
    <row r="52" spans="1:54">
      <c r="A52" s="93"/>
      <c r="B52" s="93"/>
      <c r="C52" s="93"/>
      <c r="D52" s="93"/>
      <c r="E52" s="93"/>
      <c r="F52" s="93"/>
      <c r="G52" s="93"/>
      <c r="H52" s="93"/>
      <c r="I52" s="93"/>
      <c r="J52" s="93"/>
      <c r="K52" s="93"/>
      <c r="L52" s="93"/>
      <c r="M52" s="93"/>
      <c r="N52" s="93"/>
      <c r="O52" s="93"/>
      <c r="P52" s="93"/>
      <c r="Q52" s="93"/>
      <c r="R52" s="93"/>
      <c r="S52" s="93"/>
      <c r="T52" s="93"/>
      <c r="U52" s="93"/>
      <c r="V52" s="93"/>
      <c r="W52" s="93"/>
      <c r="X52" s="93"/>
      <c r="Y52" s="93"/>
      <c r="Z52" s="93"/>
      <c r="AA52" s="93"/>
      <c r="AB52" s="93"/>
      <c r="AC52" s="93"/>
      <c r="AD52" s="93"/>
      <c r="AE52" s="93"/>
      <c r="AF52" s="93"/>
      <c r="AG52" s="93"/>
      <c r="AH52" s="93"/>
      <c r="AI52" s="93"/>
      <c r="AJ52" s="93"/>
      <c r="AK52" s="93"/>
      <c r="AL52" s="93"/>
      <c r="AM52" s="93"/>
      <c r="AN52" s="93"/>
      <c r="AO52" s="93"/>
      <c r="AP52" s="93"/>
      <c r="AQ52" s="93"/>
      <c r="AR52" s="93"/>
      <c r="AS52" s="93"/>
      <c r="AT52" s="93"/>
      <c r="AU52" s="93"/>
      <c r="AV52" s="93"/>
      <c r="AW52" s="93"/>
      <c r="AX52" s="93"/>
      <c r="AY52" s="93"/>
      <c r="AZ52" s="93"/>
      <c r="BA52" s="93"/>
      <c r="BB52" s="93"/>
    </row>
  </sheetData>
  <sheetProtection algorithmName="SHA-512" hashValue="IMlukmVHX2kweXswQjhuN4nANW4jH7WjcdlQOb53YAUe3u/8VI/HrPQw5JZ1VQTEjZM4Q+WXJgn2gK3MCqgUrQ==" saltValue="acICnNnOAPJ9EN3JpbeLkw==" spinCount="100000" sheet="1" objects="1" scenarios="1"/>
  <mergeCells count="6">
    <mergeCell ref="AQ5:AT5"/>
    <mergeCell ref="L5:N5"/>
    <mergeCell ref="O5:Q5"/>
    <mergeCell ref="S5:V5"/>
    <mergeCell ref="X5:AA5"/>
    <mergeCell ref="AB5:AE5"/>
  </mergeCells>
  <hyperlinks>
    <hyperlink ref="F1" location="Guide" display="Guide"/>
    <hyperlink ref="F2" location="Input" display="Input"/>
  </hyperlinks>
  <pageMargins left="0.7" right="0.7" top="0.75" bottom="0.75" header="0.3" footer="0.3"/>
  <pageSetup paperSize="9" scale="64" fitToWidth="0" orientation="landscape" r:id="rId1"/>
  <headerFooter>
    <oddFooter>&amp;LNova Scotia Exploration Economics Model&amp;Rwww.indeva.com</oddFooter>
  </headerFooter>
  <colBreaks count="1" manualBreakCount="1">
    <brk id="23" max="51"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tint="0.79998168889431442"/>
    <pageSetUpPr fitToPage="1"/>
  </sheetPr>
  <dimension ref="A1:X52"/>
  <sheetViews>
    <sheetView showGridLines="0" showZeros="0" zoomScale="75" zoomScaleNormal="75" workbookViewId="0">
      <pane xSplit="1" ySplit="9" topLeftCell="B10" activePane="bottomRight" state="frozen"/>
      <selection activeCell="D43" sqref="D43"/>
      <selection pane="topRight" activeCell="D43" sqref="D43"/>
      <selection pane="bottomLeft" activeCell="D43" sqref="D43"/>
      <selection pane="bottomRight" activeCell="D9" sqref="D9"/>
    </sheetView>
  </sheetViews>
  <sheetFormatPr defaultRowHeight="14.5"/>
  <cols>
    <col min="1" max="1" width="18.1796875" customWidth="1"/>
    <col min="2" max="2" width="14.26953125" customWidth="1"/>
    <col min="3" max="3" width="11.81640625" customWidth="1"/>
    <col min="4" max="4" width="12.453125" customWidth="1"/>
    <col min="5" max="5" width="13.453125" customWidth="1"/>
    <col min="6" max="6" width="11.453125" customWidth="1"/>
    <col min="7" max="7" width="13.54296875" customWidth="1"/>
    <col min="8" max="9" width="13.453125" customWidth="1"/>
    <col min="10" max="10" width="10.26953125" customWidth="1"/>
    <col min="11" max="11" width="13.1796875" customWidth="1"/>
    <col min="12" max="12" width="12.26953125" customWidth="1"/>
    <col min="13" max="14" width="11.81640625" customWidth="1"/>
    <col min="15" max="15" width="10.453125" customWidth="1"/>
    <col min="16" max="16" width="10.453125" bestFit="1" customWidth="1"/>
    <col min="17" max="17" width="11" customWidth="1"/>
    <col min="18" max="19" width="12.26953125" customWidth="1"/>
    <col min="20" max="20" width="13.453125" customWidth="1"/>
    <col min="21" max="21" width="13.54296875" customWidth="1"/>
    <col min="22" max="22" width="12.54296875" customWidth="1"/>
    <col min="23" max="23" width="13.7265625" customWidth="1"/>
    <col min="24" max="24" width="11.81640625" customWidth="1"/>
    <col min="25" max="25" width="11" bestFit="1" customWidth="1"/>
    <col min="26" max="26" width="17.1796875" customWidth="1"/>
  </cols>
  <sheetData>
    <row r="1" spans="1:24" ht="18.5">
      <c r="A1" s="142" t="str">
        <f>Input!B8</f>
        <v>Prospect X</v>
      </c>
      <c r="B1" s="142" t="s">
        <v>389</v>
      </c>
      <c r="C1" s="93"/>
      <c r="D1" s="93"/>
      <c r="E1" s="93"/>
      <c r="F1" s="93"/>
      <c r="G1" s="143" t="s">
        <v>768</v>
      </c>
      <c r="H1" s="93"/>
      <c r="I1" s="93"/>
      <c r="J1" s="93"/>
      <c r="K1" s="93"/>
      <c r="L1" s="93"/>
      <c r="M1" s="93"/>
      <c r="N1" s="93"/>
      <c r="O1" s="93"/>
      <c r="P1" s="93"/>
      <c r="Q1" s="93"/>
      <c r="R1" s="93"/>
      <c r="S1" s="93"/>
      <c r="T1" s="93"/>
      <c r="U1" s="93"/>
      <c r="V1" s="93"/>
      <c r="W1" s="93"/>
      <c r="X1" s="93"/>
    </row>
    <row r="2" spans="1:24" ht="18.5">
      <c r="A2" s="93"/>
      <c r="B2" s="93"/>
      <c r="C2" s="93"/>
      <c r="D2" s="93"/>
      <c r="E2" s="93"/>
      <c r="F2" s="93"/>
      <c r="G2" s="143" t="s">
        <v>143</v>
      </c>
      <c r="H2" s="93"/>
      <c r="I2" s="93"/>
      <c r="J2" s="93"/>
      <c r="K2" s="93"/>
      <c r="L2" s="93"/>
      <c r="M2" s="238"/>
      <c r="N2" s="93"/>
      <c r="O2" s="93"/>
      <c r="P2" s="93"/>
      <c r="Q2" s="93"/>
      <c r="R2" s="93"/>
      <c r="S2" s="238"/>
      <c r="T2" s="93"/>
      <c r="U2" s="93"/>
      <c r="V2" s="93"/>
      <c r="W2" s="93"/>
      <c r="X2" s="93"/>
    </row>
    <row r="3" spans="1:24">
      <c r="A3" s="93"/>
      <c r="B3" s="93"/>
      <c r="C3" s="93"/>
      <c r="D3" s="238"/>
      <c r="E3" s="93"/>
      <c r="F3" s="93"/>
      <c r="G3" s="93"/>
      <c r="H3" s="93"/>
      <c r="I3" s="93"/>
      <c r="J3" s="93"/>
      <c r="K3" s="93"/>
      <c r="L3" s="93"/>
      <c r="M3" s="238"/>
      <c r="N3" s="93"/>
      <c r="O3" s="93"/>
      <c r="P3" s="93"/>
      <c r="Q3" s="93"/>
      <c r="R3" s="93"/>
      <c r="S3" s="93"/>
      <c r="T3" s="93"/>
      <c r="U3" s="93"/>
      <c r="V3" s="93"/>
      <c r="W3" s="93"/>
      <c r="X3" s="93"/>
    </row>
    <row r="4" spans="1:24">
      <c r="A4" s="139" t="s">
        <v>14</v>
      </c>
      <c r="B4" s="139" t="s">
        <v>15</v>
      </c>
      <c r="C4" s="139" t="s">
        <v>18</v>
      </c>
      <c r="D4" s="139" t="s">
        <v>41</v>
      </c>
      <c r="E4" s="139" t="s">
        <v>390</v>
      </c>
      <c r="F4" s="139"/>
      <c r="G4" s="139" t="s">
        <v>305</v>
      </c>
      <c r="H4" s="139" t="s">
        <v>391</v>
      </c>
      <c r="I4" s="139" t="s">
        <v>390</v>
      </c>
      <c r="J4" s="139" t="s">
        <v>392</v>
      </c>
      <c r="K4" s="139" t="s">
        <v>393</v>
      </c>
      <c r="L4" s="139" t="s">
        <v>394</v>
      </c>
      <c r="M4" s="139" t="s">
        <v>32</v>
      </c>
      <c r="N4" s="139" t="s">
        <v>41</v>
      </c>
      <c r="O4" s="139"/>
      <c r="P4" s="139" t="s">
        <v>304</v>
      </c>
      <c r="Q4" s="139" t="s">
        <v>217</v>
      </c>
      <c r="R4" s="139" t="s">
        <v>395</v>
      </c>
      <c r="S4" s="139" t="s">
        <v>396</v>
      </c>
      <c r="T4" s="139" t="s">
        <v>397</v>
      </c>
      <c r="U4" s="139" t="s">
        <v>398</v>
      </c>
      <c r="V4" s="139" t="s">
        <v>399</v>
      </c>
      <c r="W4" s="139" t="s">
        <v>400</v>
      </c>
      <c r="X4" s="139" t="s">
        <v>401</v>
      </c>
    </row>
    <row r="5" spans="1:24">
      <c r="A5" s="148"/>
      <c r="B5" s="148"/>
      <c r="C5" s="148" t="s">
        <v>41</v>
      </c>
      <c r="D5" s="148" t="s">
        <v>402</v>
      </c>
      <c r="E5" s="148" t="s">
        <v>403</v>
      </c>
      <c r="F5" s="148" t="s">
        <v>61</v>
      </c>
      <c r="G5" s="240">
        <v>0.25</v>
      </c>
      <c r="H5" s="148" t="s">
        <v>404</v>
      </c>
      <c r="I5" s="148" t="s">
        <v>403</v>
      </c>
      <c r="J5" s="148" t="s">
        <v>61</v>
      </c>
      <c r="K5" s="240">
        <f>IF(Abandonment!B7&lt;=15,20%,8%)</f>
        <v>0.08</v>
      </c>
      <c r="L5" s="148" t="s">
        <v>405</v>
      </c>
      <c r="M5" s="148"/>
      <c r="N5" s="148" t="s">
        <v>406</v>
      </c>
      <c r="O5" s="148" t="s">
        <v>61</v>
      </c>
      <c r="P5" s="240">
        <v>0.3</v>
      </c>
      <c r="Q5" s="148"/>
      <c r="R5" s="148" t="s">
        <v>407</v>
      </c>
      <c r="S5" s="148"/>
      <c r="T5" s="148" t="s">
        <v>408</v>
      </c>
      <c r="U5" s="148" t="s">
        <v>409</v>
      </c>
      <c r="V5" s="148" t="s">
        <v>405</v>
      </c>
      <c r="W5" s="148"/>
      <c r="X5" s="148" t="s">
        <v>54</v>
      </c>
    </row>
    <row r="6" spans="1:24">
      <c r="A6" s="134" t="s">
        <v>13</v>
      </c>
      <c r="B6" s="151">
        <f>SUM(B8:B48)</f>
        <v>37525.364943791363</v>
      </c>
      <c r="C6" s="151">
        <f>SUM(C8:C48)</f>
        <v>7152.9508756605892</v>
      </c>
      <c r="D6" s="151">
        <f>SUM(D8:D48)</f>
        <v>3971.8467165715292</v>
      </c>
      <c r="E6" s="151">
        <f>SUM(E8:E48)</f>
        <v>3971.8467165715292</v>
      </c>
      <c r="F6" s="151"/>
      <c r="G6" s="151">
        <f>SUM(G9:G49)</f>
        <v>3971.8467165715278</v>
      </c>
      <c r="H6" s="151">
        <f t="shared" ref="H6:S6" si="0">SUM(H9:H49)</f>
        <v>0</v>
      </c>
      <c r="I6" s="151">
        <f t="shared" si="0"/>
        <v>0</v>
      </c>
      <c r="J6" s="151"/>
      <c r="K6" s="151">
        <f t="shared" si="0"/>
        <v>0</v>
      </c>
      <c r="L6" s="151">
        <f t="shared" si="0"/>
        <v>26400.567351559253</v>
      </c>
      <c r="M6" s="151">
        <f t="shared" si="0"/>
        <v>7638.9132264515811</v>
      </c>
      <c r="N6" s="151">
        <f t="shared" si="0"/>
        <v>1312.5250088078778</v>
      </c>
      <c r="O6" s="151"/>
      <c r="P6" s="151">
        <f t="shared" si="0"/>
        <v>1458.0554440188548</v>
      </c>
      <c r="Q6" s="151">
        <f t="shared" si="0"/>
        <v>60.700145070325902</v>
      </c>
      <c r="R6" s="151">
        <f t="shared" si="0"/>
        <v>17242.898536018489</v>
      </c>
      <c r="S6" s="151">
        <f t="shared" si="0"/>
        <v>-80.173724220919453</v>
      </c>
      <c r="T6" s="151"/>
      <c r="U6" s="151"/>
      <c r="V6" s="151">
        <f>SUM(V9:V49)</f>
        <v>17303.598681088813</v>
      </c>
      <c r="W6" s="151"/>
      <c r="X6" s="151">
        <f>SUM(X9:X49)</f>
        <v>3292.2163276677743</v>
      </c>
    </row>
    <row r="7" spans="1:24">
      <c r="A7" s="93"/>
      <c r="B7" s="156"/>
      <c r="C7" s="156"/>
      <c r="D7" s="156"/>
      <c r="E7" s="156"/>
      <c r="F7" s="156"/>
      <c r="G7" s="156"/>
      <c r="H7" s="156"/>
      <c r="I7" s="156"/>
      <c r="J7" s="156"/>
      <c r="K7" s="156"/>
      <c r="L7" s="156"/>
      <c r="M7" s="156"/>
      <c r="N7" s="156"/>
      <c r="O7" s="156"/>
      <c r="P7" s="156"/>
      <c r="Q7" s="156"/>
      <c r="R7" s="156"/>
      <c r="S7" s="156"/>
      <c r="T7" s="156"/>
      <c r="U7" s="156"/>
      <c r="V7" s="156"/>
      <c r="W7" s="156"/>
      <c r="X7" s="156"/>
    </row>
    <row r="8" spans="1:24">
      <c r="A8" s="93"/>
      <c r="B8" s="156"/>
      <c r="C8" s="156"/>
      <c r="D8" s="156"/>
      <c r="E8" s="156"/>
      <c r="F8" s="156"/>
      <c r="G8" s="156"/>
      <c r="H8" s="156"/>
      <c r="I8" s="156"/>
      <c r="J8" s="156"/>
      <c r="K8" s="156"/>
      <c r="L8" s="156"/>
      <c r="M8" s="156"/>
      <c r="N8" s="156"/>
      <c r="O8" s="156"/>
      <c r="P8" s="156"/>
      <c r="Q8" s="156"/>
      <c r="R8" s="156"/>
      <c r="S8" s="156"/>
      <c r="T8" s="156"/>
      <c r="U8" s="156"/>
      <c r="V8" s="156"/>
      <c r="W8" s="156"/>
      <c r="X8" s="156"/>
    </row>
    <row r="9" spans="1:24">
      <c r="A9" s="155" t="s">
        <v>63</v>
      </c>
      <c r="B9" s="247"/>
      <c r="C9" s="151"/>
      <c r="D9" s="151">
        <f>IF(Overrides!C95=Lists!A37,Overrides!C100,Exploration!V27)</f>
        <v>11.522200000000002</v>
      </c>
      <c r="E9" s="151"/>
      <c r="F9" s="151"/>
      <c r="G9" s="151"/>
      <c r="H9" s="151">
        <v>0</v>
      </c>
      <c r="I9" s="151"/>
      <c r="J9" s="151">
        <v>0</v>
      </c>
      <c r="K9" s="151"/>
      <c r="L9" s="151"/>
      <c r="M9" s="151"/>
      <c r="N9" s="151"/>
      <c r="O9" s="151">
        <f>IF(Overrides!C95=Lists!A37,Overrides!C102,Exploration!V26)</f>
        <v>145.53043521097769</v>
      </c>
      <c r="P9" s="151"/>
      <c r="Q9" s="151">
        <f>IF(Overrides!C95=Lists!A37,Overrides!C103,Exploration!V25)</f>
        <v>60.700145070325902</v>
      </c>
      <c r="R9" s="151">
        <f>-Q9</f>
        <v>-60.700145070325902</v>
      </c>
      <c r="S9" s="151"/>
      <c r="T9" s="151"/>
      <c r="U9" s="151">
        <f>MIN(0,R9+U8-S9)</f>
        <v>-60.700145070325902</v>
      </c>
      <c r="V9" s="151"/>
      <c r="W9" s="151"/>
      <c r="X9" s="151"/>
    </row>
    <row r="10" spans="1:24">
      <c r="A10" s="140"/>
      <c r="B10" s="248"/>
      <c r="C10" s="158"/>
      <c r="D10" s="158"/>
      <c r="E10" s="158"/>
      <c r="F10" s="158"/>
      <c r="G10" s="158"/>
      <c r="H10" s="158"/>
      <c r="I10" s="158"/>
      <c r="J10" s="158"/>
      <c r="K10" s="158"/>
      <c r="L10" s="158"/>
      <c r="M10" s="158"/>
      <c r="N10" s="158"/>
      <c r="O10" s="158"/>
      <c r="P10" s="158"/>
      <c r="Q10" s="158"/>
      <c r="R10" s="158"/>
      <c r="S10" s="158"/>
      <c r="T10" s="158"/>
      <c r="U10" s="158"/>
      <c r="V10" s="158"/>
      <c r="W10" s="158"/>
      <c r="X10" s="158"/>
    </row>
    <row r="11" spans="1:24">
      <c r="A11" s="140">
        <f>'Success Cash Flow'!A10</f>
        <v>2015</v>
      </c>
      <c r="B11" s="158">
        <f>Revenue!Q11</f>
        <v>0</v>
      </c>
      <c r="C11" s="158">
        <f>Operations!M19+Abandonment!G16</f>
        <v>0</v>
      </c>
      <c r="D11" s="158">
        <f>Development!BH91</f>
        <v>633.95620452669152</v>
      </c>
      <c r="E11" s="158">
        <f>IF($A11&lt;Production!$B$4,0,IF($A11=Production!$B$4,SUM(D$9:D11),D11))</f>
        <v>0</v>
      </c>
      <c r="F11" s="158">
        <f>0.5*E10+0.5*E11+F9-G9</f>
        <v>0</v>
      </c>
      <c r="G11" s="158">
        <f>F11*IF(A11&gt;=Abandonment!$B$4,1,G$5)</f>
        <v>0</v>
      </c>
      <c r="H11" s="158">
        <f>Development!BI91</f>
        <v>0</v>
      </c>
      <c r="I11" s="158">
        <f>IF($A11&lt;Production!$B$4,0,IF($A11=Production!$B$4,SUM(H$9:H11),H11))</f>
        <v>0</v>
      </c>
      <c r="J11" s="158">
        <f>0.5*I9+0.5*I11+J9-K9</f>
        <v>0</v>
      </c>
      <c r="K11" s="158">
        <f>J11*IF(Abandonment!$B$4='Federal Tax'!A11,1,K$5)</f>
        <v>0</v>
      </c>
      <c r="L11" s="158">
        <f t="shared" ref="L11:L50" si="1">B11-C11-G11-K11</f>
        <v>0</v>
      </c>
      <c r="M11" s="158">
        <f>Royalty!AM12</f>
        <v>0</v>
      </c>
      <c r="N11" s="158">
        <f>Development!BG91</f>
        <v>0</v>
      </c>
      <c r="O11" s="158">
        <f>O9+N11-P9</f>
        <v>145.53043521097769</v>
      </c>
      <c r="P11" s="158">
        <f>O11*IF(A11=Abandonment!$B$4,1,P$5)</f>
        <v>43.659130563293303</v>
      </c>
      <c r="Q11" s="158">
        <f>Exploration!Z35</f>
        <v>0</v>
      </c>
      <c r="R11" s="158">
        <f t="shared" ref="R11:R50" si="2">L11-M11-P11-Q11</f>
        <v>-43.659130563293303</v>
      </c>
      <c r="S11" s="158">
        <f>-MIN(-MIN(R11,0),MAX(0,SUM(V7:V9)-SUM(S7:S9)+T9))</f>
        <v>0</v>
      </c>
      <c r="T11" s="158">
        <f>MIN(0,MAX(0,R7)+S11+T9)</f>
        <v>0</v>
      </c>
      <c r="U11" s="158">
        <f>MIN(0,R11+U9-S11)</f>
        <v>-104.35927563361921</v>
      </c>
      <c r="V11" s="158">
        <f>IF(Input!$B$35="Yes",R11,MAX(0,R11+U9)+S11)</f>
        <v>-43.659130563293303</v>
      </c>
      <c r="W11" s="249">
        <v>0.22120000000000001</v>
      </c>
      <c r="X11" s="158">
        <f>V11*W11</f>
        <v>-9.6573996806004789</v>
      </c>
    </row>
    <row r="12" spans="1:24">
      <c r="A12" s="140">
        <f>A11+1</f>
        <v>2016</v>
      </c>
      <c r="B12" s="160">
        <f>Revenue!Q12</f>
        <v>0</v>
      </c>
      <c r="C12" s="160">
        <f>Operations!M20+Abandonment!G17</f>
        <v>0</v>
      </c>
      <c r="D12" s="160">
        <f>Development!BH92</f>
        <v>2802.4641764631424</v>
      </c>
      <c r="E12" s="160">
        <f>IF($A12&lt;Production!$B$4,0,IF($A12=Production!$B$4,SUM(D$9:D12),D12))</f>
        <v>0</v>
      </c>
      <c r="F12" s="160">
        <f t="shared" ref="F12:F50" si="3">0.5*E11+0.5*E12+F10-G10</f>
        <v>0</v>
      </c>
      <c r="G12" s="160">
        <f>F12*IF(A12&gt;=Abandonment!$B$4,1,G$5)</f>
        <v>0</v>
      </c>
      <c r="H12" s="160">
        <f>Development!BI92</f>
        <v>0</v>
      </c>
      <c r="I12" s="160">
        <f>IF($A12&lt;Production!$B$4,0,IF($A12=Production!$B$4,SUM(H$9:H12),H12))</f>
        <v>0</v>
      </c>
      <c r="J12" s="160">
        <f t="shared" ref="J12:J50" si="4">0.5*I11+0.5*I12+J11-K11</f>
        <v>0</v>
      </c>
      <c r="K12" s="160">
        <f>J12*IF(Abandonment!$B$4='Federal Tax'!A12,1,K$5)</f>
        <v>0</v>
      </c>
      <c r="L12" s="160">
        <f t="shared" si="1"/>
        <v>0</v>
      </c>
      <c r="M12" s="160">
        <f>Royalty!AM13</f>
        <v>0</v>
      </c>
      <c r="N12" s="160">
        <f>Development!BG92</f>
        <v>420.57655460781302</v>
      </c>
      <c r="O12" s="160">
        <f t="shared" ref="O12:O50" si="5">O11+N12-P11</f>
        <v>522.44785925549741</v>
      </c>
      <c r="P12" s="160">
        <f>O12*IF(A12=Abandonment!$B$4,1,P$5)</f>
        <v>156.7343577766492</v>
      </c>
      <c r="Q12" s="160">
        <f>Exploration!Z36</f>
        <v>0</v>
      </c>
      <c r="R12" s="160">
        <f t="shared" si="2"/>
        <v>-156.7343577766492</v>
      </c>
      <c r="S12" s="160">
        <f>-MIN(-MIN(R12,0),MAX(0,SUM(V8:V11)-SUM(S8:S11)+T11))</f>
        <v>0</v>
      </c>
      <c r="T12" s="160">
        <f>MIN(0,MAX(0,R8)+S12+T11)</f>
        <v>0</v>
      </c>
      <c r="U12" s="160">
        <f t="shared" ref="U12:U50" si="6">MIN(0,R12+U11-S12)</f>
        <v>-261.09363341026841</v>
      </c>
      <c r="V12" s="160">
        <f>IF(Input!$B$35="Yes",R12,MAX(0,R12+U11)+S12)</f>
        <v>-156.7343577766492</v>
      </c>
      <c r="W12" s="250">
        <v>0.20499999999999999</v>
      </c>
      <c r="X12" s="160">
        <f t="shared" ref="X12:X50" si="7">V12*W12</f>
        <v>-32.130543344213088</v>
      </c>
    </row>
    <row r="13" spans="1:24">
      <c r="A13" s="140">
        <f t="shared" ref="A13:A50" si="8">A12+1</f>
        <v>2017</v>
      </c>
      <c r="B13" s="160">
        <f>Revenue!Q13</f>
        <v>2012.6514791633831</v>
      </c>
      <c r="C13" s="160">
        <f>Operations!M21+Abandonment!G18</f>
        <v>274.04317319241773</v>
      </c>
      <c r="D13" s="160">
        <f>Development!BH93</f>
        <v>523.90413558169553</v>
      </c>
      <c r="E13" s="160">
        <f>IF($A13&lt;Production!$B$4,0,IF($A13=Production!$B$4,SUM(D$9:D13),D13))</f>
        <v>3971.8467165715292</v>
      </c>
      <c r="F13" s="160">
        <f t="shared" si="3"/>
        <v>1985.9233582857646</v>
      </c>
      <c r="G13" s="160">
        <f>F13*IF(A13&gt;=Abandonment!$B$4,1,G$5)</f>
        <v>496.48083957144115</v>
      </c>
      <c r="H13" s="160">
        <f>Development!BI93</f>
        <v>0</v>
      </c>
      <c r="I13" s="160">
        <f>IF($A13&lt;Production!$B$4,0,IF($A13=Production!$B$4,SUM(H$9:H13),H13))</f>
        <v>0</v>
      </c>
      <c r="J13" s="160">
        <f t="shared" si="4"/>
        <v>0</v>
      </c>
      <c r="K13" s="160">
        <f>J13*IF(Abandonment!$B$4='Federal Tax'!A13,1,K$5)</f>
        <v>0</v>
      </c>
      <c r="L13" s="160">
        <f t="shared" si="1"/>
        <v>1242.1274663995241</v>
      </c>
      <c r="M13" s="160">
        <f>Royalty!AM14</f>
        <v>40.253029583267661</v>
      </c>
      <c r="N13" s="160">
        <f>Development!BG93</f>
        <v>891.9484542000647</v>
      </c>
      <c r="O13" s="160">
        <f t="shared" si="5"/>
        <v>1257.6619556789128</v>
      </c>
      <c r="P13" s="160">
        <f>O13*IF(A13=Abandonment!$B$4,1,P$5)</f>
        <v>377.29858670367383</v>
      </c>
      <c r="Q13" s="160">
        <f>Exploration!Z37</f>
        <v>0</v>
      </c>
      <c r="R13" s="160">
        <f t="shared" si="2"/>
        <v>824.57585011258266</v>
      </c>
      <c r="S13" s="160">
        <f>-MIN(-MIN(R13,0),MAX(0,SUM(V9:V12)-SUM(S9:S12)+T12))</f>
        <v>0</v>
      </c>
      <c r="T13" s="160">
        <f>MIN(0,MAX(0,R9)+S13+T12)</f>
        <v>0</v>
      </c>
      <c r="U13" s="160">
        <f t="shared" si="6"/>
        <v>0</v>
      </c>
      <c r="V13" s="160">
        <f>IF(Input!$B$35="Yes",R13,MAX(0,R13+U12)+S13)</f>
        <v>824.57585011258266</v>
      </c>
      <c r="W13" s="250">
        <v>0.2</v>
      </c>
      <c r="X13" s="160">
        <f t="shared" si="7"/>
        <v>164.91517002251655</v>
      </c>
    </row>
    <row r="14" spans="1:24">
      <c r="A14" s="140">
        <f t="shared" si="8"/>
        <v>2018</v>
      </c>
      <c r="B14" s="160">
        <f>Revenue!Q14</f>
        <v>3086.9816592345874</v>
      </c>
      <c r="C14" s="160">
        <f>Operations!M22+Abandonment!G19</f>
        <v>346.03421619318482</v>
      </c>
      <c r="D14" s="160">
        <f>Development!BH94</f>
        <v>0</v>
      </c>
      <c r="E14" s="160">
        <f>IF($A14&lt;Production!$B$4,0,IF($A14=Production!$B$4,SUM(D$9:D14),D14))</f>
        <v>0</v>
      </c>
      <c r="F14" s="160">
        <f t="shared" si="3"/>
        <v>1985.9233582857646</v>
      </c>
      <c r="G14" s="160">
        <f>F14*IF(A14&gt;=Abandonment!$B$4,1,G$5)</f>
        <v>496.48083957144115</v>
      </c>
      <c r="H14" s="160">
        <f>Development!BI94</f>
        <v>0</v>
      </c>
      <c r="I14" s="160">
        <f>IF($A14&lt;Production!$B$4,0,IF($A14=Production!$B$4,SUM(H$9:H14),H14))</f>
        <v>0</v>
      </c>
      <c r="J14" s="160">
        <f t="shared" si="4"/>
        <v>0</v>
      </c>
      <c r="K14" s="160">
        <f>J14*IF(Abandonment!$B$4='Federal Tax'!A14,1,K$5)</f>
        <v>0</v>
      </c>
      <c r="L14" s="160">
        <f t="shared" si="1"/>
        <v>2244.4666034699612</v>
      </c>
      <c r="M14" s="160">
        <f>Royalty!AM15</f>
        <v>61.739633184691748</v>
      </c>
      <c r="N14" s="160">
        <f>Development!BG94</f>
        <v>0</v>
      </c>
      <c r="O14" s="160">
        <f t="shared" si="5"/>
        <v>880.36336897523893</v>
      </c>
      <c r="P14" s="160">
        <f>O14*IF(A14=Abandonment!$B$4,1,P$5)</f>
        <v>264.10901069257164</v>
      </c>
      <c r="Q14" s="160">
        <f>Exploration!Z38</f>
        <v>0</v>
      </c>
      <c r="R14" s="160">
        <f t="shared" si="2"/>
        <v>1918.6179595926978</v>
      </c>
      <c r="S14" s="160">
        <f t="shared" ref="S14:S50" si="9">-MIN(-MIN(R14,0),MAX(0,SUM(V11:V13)-SUM(S11:S13)+T13))</f>
        <v>0</v>
      </c>
      <c r="T14" s="160">
        <f>MIN(0,MAX(0,R11)+S14+T13)</f>
        <v>0</v>
      </c>
      <c r="U14" s="160">
        <f t="shared" si="6"/>
        <v>0</v>
      </c>
      <c r="V14" s="160">
        <f>IF(Input!$B$35="Yes",R14,MAX(0,R14+U13)+S14)</f>
        <v>1918.6179595926978</v>
      </c>
      <c r="W14" s="250">
        <v>0.19</v>
      </c>
      <c r="X14" s="160">
        <f t="shared" si="7"/>
        <v>364.53741232261257</v>
      </c>
    </row>
    <row r="15" spans="1:24">
      <c r="A15" s="140">
        <f t="shared" si="8"/>
        <v>2019</v>
      </c>
      <c r="B15" s="160">
        <f>Revenue!Q15</f>
        <v>3360.4565535348706</v>
      </c>
      <c r="C15" s="160">
        <f>Operations!M23+Abandonment!G20</f>
        <v>354.68507159801442</v>
      </c>
      <c r="D15" s="160">
        <f>Development!BH95</f>
        <v>0</v>
      </c>
      <c r="E15" s="160">
        <f>IF($A15&lt;Production!$B$4,0,IF($A15=Production!$B$4,SUM(D$9:D15),D15))</f>
        <v>0</v>
      </c>
      <c r="F15" s="160">
        <f t="shared" si="3"/>
        <v>1489.4425187143233</v>
      </c>
      <c r="G15" s="160">
        <f>F15*IF(A15&gt;=Abandonment!$B$4,1,G$5)</f>
        <v>372.36062967858084</v>
      </c>
      <c r="H15" s="160">
        <f>Development!BI95</f>
        <v>0</v>
      </c>
      <c r="I15" s="160">
        <f>IF($A15&lt;Production!$B$4,0,IF($A15=Production!$B$4,SUM(H$9:H15),H15))</f>
        <v>0</v>
      </c>
      <c r="J15" s="160">
        <f t="shared" si="4"/>
        <v>0</v>
      </c>
      <c r="K15" s="160">
        <f>J15*IF(Abandonment!$B$4='Federal Tax'!A15,1,K$5)</f>
        <v>0</v>
      </c>
      <c r="L15" s="160">
        <f t="shared" si="1"/>
        <v>2633.4108522582756</v>
      </c>
      <c r="M15" s="160">
        <f>Royalty!AM16</f>
        <v>105.01426729796469</v>
      </c>
      <c r="N15" s="160">
        <f>Development!BG95</f>
        <v>0</v>
      </c>
      <c r="O15" s="160">
        <f t="shared" si="5"/>
        <v>616.25435828266723</v>
      </c>
      <c r="P15" s="160">
        <f>O15*IF(A15=Abandonment!$B$4,1,P$5)</f>
        <v>184.87630748480015</v>
      </c>
      <c r="Q15" s="160">
        <f>Exploration!Z39</f>
        <v>0</v>
      </c>
      <c r="R15" s="160">
        <f t="shared" si="2"/>
        <v>2343.5202774755107</v>
      </c>
      <c r="S15" s="160">
        <f t="shared" si="9"/>
        <v>0</v>
      </c>
      <c r="T15" s="160">
        <f t="shared" ref="T15:T50" si="10">MIN(0,MAX(0,R12)+S15+T14)</f>
        <v>0</v>
      </c>
      <c r="U15" s="160">
        <f t="shared" si="6"/>
        <v>0</v>
      </c>
      <c r="V15" s="160">
        <f>IF(Input!$B$35="Yes",R15,MAX(0,R15+U14)+S15)</f>
        <v>2343.5202774755107</v>
      </c>
      <c r="W15" s="250">
        <v>0.19</v>
      </c>
      <c r="X15" s="160">
        <f t="shared" si="7"/>
        <v>445.26885272034707</v>
      </c>
    </row>
    <row r="16" spans="1:24">
      <c r="A16" s="140">
        <f t="shared" si="8"/>
        <v>2020</v>
      </c>
      <c r="B16" s="160">
        <f>Revenue!Q16</f>
        <v>3489.6300537107768</v>
      </c>
      <c r="C16" s="160">
        <f>Operations!M24+Abandonment!G21</f>
        <v>363.79041406237747</v>
      </c>
      <c r="D16" s="160">
        <f>Development!BH96</f>
        <v>0</v>
      </c>
      <c r="E16" s="160">
        <f>IF($A16&lt;Production!$B$4,0,IF($A16=Production!$B$4,SUM(D$9:D16),D16))</f>
        <v>0</v>
      </c>
      <c r="F16" s="160">
        <f t="shared" si="3"/>
        <v>1489.4425187143233</v>
      </c>
      <c r="G16" s="160">
        <f>F16*IF(A16&gt;=Abandonment!$B$4,1,G$5)</f>
        <v>372.36062967858084</v>
      </c>
      <c r="H16" s="160">
        <f>Development!BI96</f>
        <v>0</v>
      </c>
      <c r="I16" s="160">
        <f>IF($A16&lt;Production!$B$4,0,IF($A16=Production!$B$4,SUM(H$9:H16),H16))</f>
        <v>0</v>
      </c>
      <c r="J16" s="160">
        <f t="shared" si="4"/>
        <v>0</v>
      </c>
      <c r="K16" s="160">
        <f>J16*IF(Abandonment!$B$4='Federal Tax'!A16,1,K$5)</f>
        <v>0</v>
      </c>
      <c r="L16" s="160">
        <f t="shared" si="1"/>
        <v>2753.4790099698184</v>
      </c>
      <c r="M16" s="160">
        <f>Royalty!AM17</f>
        <v>620.3931787451113</v>
      </c>
      <c r="N16" s="160">
        <f>Development!BG96</f>
        <v>0</v>
      </c>
      <c r="O16" s="160">
        <f t="shared" si="5"/>
        <v>431.3780507978671</v>
      </c>
      <c r="P16" s="160">
        <f>O16*IF(A16=Abandonment!$B$4,1,P$5)</f>
        <v>129.41341523936012</v>
      </c>
      <c r="Q16" s="160">
        <f>Exploration!Z40</f>
        <v>0</v>
      </c>
      <c r="R16" s="160">
        <f t="shared" si="2"/>
        <v>2003.6724159853472</v>
      </c>
      <c r="S16" s="160">
        <f t="shared" si="9"/>
        <v>0</v>
      </c>
      <c r="T16" s="160">
        <f t="shared" si="10"/>
        <v>0</v>
      </c>
      <c r="U16" s="160">
        <f t="shared" si="6"/>
        <v>0</v>
      </c>
      <c r="V16" s="160">
        <f>IF(Input!$B$35="Yes",R16,MAX(0,R16+U15)+S16)</f>
        <v>2003.6724159853472</v>
      </c>
      <c r="W16" s="250">
        <v>0.19</v>
      </c>
      <c r="X16" s="160">
        <f t="shared" si="7"/>
        <v>380.69775903721597</v>
      </c>
    </row>
    <row r="17" spans="1:24">
      <c r="A17" s="140">
        <f t="shared" si="8"/>
        <v>2021</v>
      </c>
      <c r="B17" s="160">
        <f>Revenue!Q17</f>
        <v>3437.9023569650776</v>
      </c>
      <c r="C17" s="160">
        <f>Operations!M25+Abandonment!G22</f>
        <v>363.82209040646165</v>
      </c>
      <c r="D17" s="160">
        <f>Development!BH97</f>
        <v>0</v>
      </c>
      <c r="E17" s="160">
        <f>IF($A17&lt;Production!$B$4,0,IF($A17=Production!$B$4,SUM(D$9:D17),D17))</f>
        <v>0</v>
      </c>
      <c r="F17" s="160">
        <f t="shared" si="3"/>
        <v>1117.0818890357425</v>
      </c>
      <c r="G17" s="160">
        <f>F17*IF(A17&gt;=Abandonment!$B$4,1,G$5)</f>
        <v>279.27047225893563</v>
      </c>
      <c r="H17" s="160">
        <f>Development!BI97</f>
        <v>0</v>
      </c>
      <c r="I17" s="160">
        <f>IF($A17&lt;Production!$B$4,0,IF($A17=Production!$B$4,SUM(H$9:H17),H17))</f>
        <v>0</v>
      </c>
      <c r="J17" s="160">
        <f t="shared" si="4"/>
        <v>0</v>
      </c>
      <c r="K17" s="160">
        <f>J17*IF(Abandonment!$B$4='Federal Tax'!A17,1,K$5)</f>
        <v>0</v>
      </c>
      <c r="L17" s="160">
        <f t="shared" si="1"/>
        <v>2794.8097942996806</v>
      </c>
      <c r="M17" s="160">
        <f>Royalty!AM18</f>
        <v>1063.1943201312893</v>
      </c>
      <c r="N17" s="160">
        <f>Development!BG97</f>
        <v>0</v>
      </c>
      <c r="O17" s="160">
        <f t="shared" si="5"/>
        <v>301.96463555850698</v>
      </c>
      <c r="P17" s="160">
        <f>O17*IF(A17=Abandonment!$B$4,1,P$5)</f>
        <v>90.589390667552095</v>
      </c>
      <c r="Q17" s="160">
        <f>Exploration!Z41</f>
        <v>0</v>
      </c>
      <c r="R17" s="160">
        <f t="shared" si="2"/>
        <v>1641.0260835008391</v>
      </c>
      <c r="S17" s="160">
        <f t="shared" si="9"/>
        <v>0</v>
      </c>
      <c r="T17" s="160">
        <f t="shared" si="10"/>
        <v>0</v>
      </c>
      <c r="U17" s="160">
        <f t="shared" si="6"/>
        <v>0</v>
      </c>
      <c r="V17" s="160">
        <f>IF(Input!$B$35="Yes",R17,MAX(0,R17+U16)+S17)</f>
        <v>1641.0260835008391</v>
      </c>
      <c r="W17" s="250">
        <v>0.19</v>
      </c>
      <c r="X17" s="160">
        <f t="shared" si="7"/>
        <v>311.79495586515947</v>
      </c>
    </row>
    <row r="18" spans="1:24">
      <c r="A18" s="140">
        <f t="shared" si="8"/>
        <v>2022</v>
      </c>
      <c r="B18" s="160">
        <f>Revenue!Q18</f>
        <v>3027.8338255937306</v>
      </c>
      <c r="C18" s="160">
        <f>Operations!M26+Abandonment!G23</f>
        <v>341.8115434672556</v>
      </c>
      <c r="D18" s="160">
        <f>Development!BH98</f>
        <v>0</v>
      </c>
      <c r="E18" s="160">
        <f>IF($A18&lt;Production!$B$4,0,IF($A18=Production!$B$4,SUM(D$9:D18),D18))</f>
        <v>0</v>
      </c>
      <c r="F18" s="160">
        <f t="shared" si="3"/>
        <v>1117.0818890357425</v>
      </c>
      <c r="G18" s="160">
        <f>F18*IF(A18&gt;=Abandonment!$B$4,1,G$5)</f>
        <v>279.27047225893563</v>
      </c>
      <c r="H18" s="160">
        <f>Development!BI98</f>
        <v>0</v>
      </c>
      <c r="I18" s="160">
        <f>IF($A18&lt;Production!$B$4,0,IF($A18=Production!$B$4,SUM(H$9:H18),H18))</f>
        <v>0</v>
      </c>
      <c r="J18" s="160">
        <f t="shared" si="4"/>
        <v>0</v>
      </c>
      <c r="K18" s="160">
        <f>J18*IF(Abandonment!$B$4='Federal Tax'!A18,1,K$5)</f>
        <v>0</v>
      </c>
      <c r="L18" s="160">
        <f t="shared" si="1"/>
        <v>2406.7518098675396</v>
      </c>
      <c r="M18" s="160">
        <f>Royalty!AM19</f>
        <v>928.14439472291224</v>
      </c>
      <c r="N18" s="160">
        <f>Development!BG98</f>
        <v>0</v>
      </c>
      <c r="O18" s="160">
        <f t="shared" si="5"/>
        <v>211.37524489095489</v>
      </c>
      <c r="P18" s="160">
        <f>O18*IF(A18=Abandonment!$B$4,1,P$5)</f>
        <v>63.412573467286464</v>
      </c>
      <c r="Q18" s="160">
        <f>Exploration!Z42</f>
        <v>0</v>
      </c>
      <c r="R18" s="160">
        <f t="shared" si="2"/>
        <v>1415.1948416773409</v>
      </c>
      <c r="S18" s="160">
        <f t="shared" si="9"/>
        <v>0</v>
      </c>
      <c r="T18" s="160">
        <f t="shared" si="10"/>
        <v>0</v>
      </c>
      <c r="U18" s="160">
        <f t="shared" si="6"/>
        <v>0</v>
      </c>
      <c r="V18" s="160">
        <f>IF(Input!$B$35="Yes",R18,MAX(0,R18+U17)+S18)</f>
        <v>1415.1948416773409</v>
      </c>
      <c r="W18" s="250">
        <v>0.19</v>
      </c>
      <c r="X18" s="160">
        <f t="shared" si="7"/>
        <v>268.88701991869476</v>
      </c>
    </row>
    <row r="19" spans="1:24">
      <c r="A19" s="140">
        <f t="shared" si="8"/>
        <v>2023</v>
      </c>
      <c r="B19" s="160">
        <f>Revenue!Q19</f>
        <v>2647.9554072804549</v>
      </c>
      <c r="C19" s="160">
        <f>Operations!M27+Abandonment!G24</f>
        <v>321.96168807165367</v>
      </c>
      <c r="D19" s="160">
        <f>Development!BH99</f>
        <v>0</v>
      </c>
      <c r="E19" s="160">
        <f>IF($A19&lt;Production!$B$4,0,IF($A19=Production!$B$4,SUM(D$9:D19),D19))</f>
        <v>0</v>
      </c>
      <c r="F19" s="160">
        <f t="shared" si="3"/>
        <v>837.81141677680694</v>
      </c>
      <c r="G19" s="160">
        <f>F19*IF(A19&gt;=Abandonment!$B$4,1,G$5)</f>
        <v>209.45285419420173</v>
      </c>
      <c r="H19" s="160">
        <f>Development!BI99</f>
        <v>0</v>
      </c>
      <c r="I19" s="160">
        <f>IF($A19&lt;Production!$B$4,0,IF($A19=Production!$B$4,SUM(H$9:H19),H19))</f>
        <v>0</v>
      </c>
      <c r="J19" s="160">
        <f t="shared" si="4"/>
        <v>0</v>
      </c>
      <c r="K19" s="160">
        <f>J19*IF(Abandonment!$B$4='Federal Tax'!A19,1,K$5)</f>
        <v>0</v>
      </c>
      <c r="L19" s="160">
        <f t="shared" si="1"/>
        <v>2116.5408650145996</v>
      </c>
      <c r="M19" s="160">
        <f>Royalty!AM20</f>
        <v>802.82914264057251</v>
      </c>
      <c r="N19" s="160">
        <f>Development!BG99</f>
        <v>0</v>
      </c>
      <c r="O19" s="160">
        <f t="shared" si="5"/>
        <v>147.96267142366844</v>
      </c>
      <c r="P19" s="160">
        <f>O19*IF(A19=Abandonment!$B$4,1,P$5)</f>
        <v>44.388801427100532</v>
      </c>
      <c r="Q19" s="160">
        <f>Exploration!Z43</f>
        <v>0</v>
      </c>
      <c r="R19" s="160">
        <f t="shared" si="2"/>
        <v>1269.3229209469264</v>
      </c>
      <c r="S19" s="160">
        <f t="shared" si="9"/>
        <v>0</v>
      </c>
      <c r="T19" s="160">
        <f t="shared" si="10"/>
        <v>0</v>
      </c>
      <c r="U19" s="160">
        <f t="shared" si="6"/>
        <v>0</v>
      </c>
      <c r="V19" s="160">
        <f>IF(Input!$B$35="Yes",R19,MAX(0,R19+U18)+S19)</f>
        <v>1269.3229209469264</v>
      </c>
      <c r="W19" s="250">
        <v>0.19</v>
      </c>
      <c r="X19" s="160">
        <f t="shared" si="7"/>
        <v>241.171354979916</v>
      </c>
    </row>
    <row r="20" spans="1:24">
      <c r="A20" s="140">
        <f t="shared" si="8"/>
        <v>2024</v>
      </c>
      <c r="B20" s="160">
        <f>Revenue!Q20</f>
        <v>2321.1571385541019</v>
      </c>
      <c r="C20" s="160">
        <f>Operations!M28+Abandonment!G25</f>
        <v>305.39712227991697</v>
      </c>
      <c r="D20" s="160">
        <f>Development!BH100</f>
        <v>0</v>
      </c>
      <c r="E20" s="160">
        <f>IF($A20&lt;Production!$B$4,0,IF($A20=Production!$B$4,SUM(D$9:D20),D20))</f>
        <v>0</v>
      </c>
      <c r="F20" s="160">
        <f t="shared" si="3"/>
        <v>837.81141677680694</v>
      </c>
      <c r="G20" s="160">
        <f>F20*IF(A20&gt;=Abandonment!$B$4,1,G$5)</f>
        <v>209.45285419420173</v>
      </c>
      <c r="H20" s="160">
        <f>Development!BI100</f>
        <v>0</v>
      </c>
      <c r="I20" s="160">
        <f>IF($A20&lt;Production!$B$4,0,IF($A20=Production!$B$4,SUM(H$9:H20),H20))</f>
        <v>0</v>
      </c>
      <c r="J20" s="160">
        <f t="shared" si="4"/>
        <v>0</v>
      </c>
      <c r="K20" s="160">
        <f>J20*IF(Abandonment!$B$4='Federal Tax'!A20,1,K$5)</f>
        <v>0</v>
      </c>
      <c r="L20" s="160">
        <f t="shared" si="1"/>
        <v>1806.3071620799833</v>
      </c>
      <c r="M20" s="160">
        <f>Royalty!AM21</f>
        <v>694.82710641616757</v>
      </c>
      <c r="N20" s="160">
        <f>Development!BG100</f>
        <v>0</v>
      </c>
      <c r="O20" s="160">
        <f t="shared" si="5"/>
        <v>103.57386999656791</v>
      </c>
      <c r="P20" s="160">
        <f>O20*IF(A20=Abandonment!$B$4,1,P$5)</f>
        <v>31.072160998970372</v>
      </c>
      <c r="Q20" s="160">
        <f>Exploration!Z44</f>
        <v>0</v>
      </c>
      <c r="R20" s="160">
        <f t="shared" si="2"/>
        <v>1080.4078946648453</v>
      </c>
      <c r="S20" s="160">
        <f t="shared" si="9"/>
        <v>0</v>
      </c>
      <c r="T20" s="160">
        <f t="shared" si="10"/>
        <v>0</v>
      </c>
      <c r="U20" s="160">
        <f t="shared" si="6"/>
        <v>0</v>
      </c>
      <c r="V20" s="160">
        <f>IF(Input!$B$35="Yes",R20,MAX(0,R20+U19)+S20)</f>
        <v>1080.4078946648453</v>
      </c>
      <c r="W20" s="250">
        <v>0.19</v>
      </c>
      <c r="X20" s="160">
        <f t="shared" si="7"/>
        <v>205.27749998632061</v>
      </c>
    </row>
    <row r="21" spans="1:24">
      <c r="A21" s="140">
        <f t="shared" si="8"/>
        <v>2025</v>
      </c>
      <c r="B21" s="160">
        <f>Revenue!Q21</f>
        <v>2023.2050824565088</v>
      </c>
      <c r="C21" s="160">
        <f>Operations!M29+Abandonment!G26</f>
        <v>291.29478776809464</v>
      </c>
      <c r="D21" s="160">
        <f>Development!BH101</f>
        <v>0</v>
      </c>
      <c r="E21" s="160">
        <f>IF($A21&lt;Production!$B$4,0,IF($A21=Production!$B$4,SUM(D$9:D21),D21))</f>
        <v>0</v>
      </c>
      <c r="F21" s="160">
        <f t="shared" si="3"/>
        <v>628.35856258260515</v>
      </c>
      <c r="G21" s="160">
        <f>F21*IF(A21&gt;=Abandonment!$B$4,1,G$5)</f>
        <v>157.08964064565129</v>
      </c>
      <c r="H21" s="160">
        <f>Development!BI101</f>
        <v>0</v>
      </c>
      <c r="I21" s="160">
        <f>IF($A21&lt;Production!$B$4,0,IF($A21=Production!$B$4,SUM(H$9:H21),H21))</f>
        <v>0</v>
      </c>
      <c r="J21" s="160">
        <f t="shared" si="4"/>
        <v>0</v>
      </c>
      <c r="K21" s="160">
        <f>J21*IF(Abandonment!$B$4='Federal Tax'!A21,1,K$5)</f>
        <v>0</v>
      </c>
      <c r="L21" s="160">
        <f t="shared" si="1"/>
        <v>1574.8206540427627</v>
      </c>
      <c r="M21" s="160">
        <f>Royalty!AM22</f>
        <v>595.97328556906155</v>
      </c>
      <c r="N21" s="160">
        <f>Development!BG101</f>
        <v>0</v>
      </c>
      <c r="O21" s="160">
        <f t="shared" si="5"/>
        <v>72.501708997597532</v>
      </c>
      <c r="P21" s="160">
        <f>O21*IF(A21=Abandonment!$B$4,1,P$5)</f>
        <v>21.750512699279259</v>
      </c>
      <c r="Q21" s="160">
        <f>Exploration!Z45</f>
        <v>0</v>
      </c>
      <c r="R21" s="160">
        <f t="shared" si="2"/>
        <v>957.0968557744219</v>
      </c>
      <c r="S21" s="160">
        <f t="shared" si="9"/>
        <v>0</v>
      </c>
      <c r="T21" s="160">
        <f t="shared" si="10"/>
        <v>0</v>
      </c>
      <c r="U21" s="160">
        <f t="shared" si="6"/>
        <v>0</v>
      </c>
      <c r="V21" s="160">
        <f>IF(Input!$B$35="Yes",R21,MAX(0,R21+U20)+S21)</f>
        <v>957.0968557744219</v>
      </c>
      <c r="W21" s="250">
        <v>0.19</v>
      </c>
      <c r="X21" s="160">
        <f t="shared" si="7"/>
        <v>181.84840259714016</v>
      </c>
    </row>
    <row r="22" spans="1:24">
      <c r="A22" s="140">
        <f t="shared" si="8"/>
        <v>2026</v>
      </c>
      <c r="B22" s="160">
        <f>Revenue!Q22</f>
        <v>1767.8099434506107</v>
      </c>
      <c r="C22" s="160">
        <f>Operations!M30+Abandonment!G27</f>
        <v>279.80651766944408</v>
      </c>
      <c r="D22" s="160">
        <f>Development!BH102</f>
        <v>0</v>
      </c>
      <c r="E22" s="160">
        <f>IF($A22&lt;Production!$B$4,0,IF($A22=Production!$B$4,SUM(D$9:D22),D22))</f>
        <v>0</v>
      </c>
      <c r="F22" s="160">
        <f t="shared" si="3"/>
        <v>628.35856258260515</v>
      </c>
      <c r="G22" s="160">
        <f>F22*IF(A22&gt;=Abandonment!$B$4,1,G$5)</f>
        <v>157.08964064565129</v>
      </c>
      <c r="H22" s="160">
        <f>Development!BI102</f>
        <v>0</v>
      </c>
      <c r="I22" s="160">
        <f>IF($A22&lt;Production!$B$4,0,IF($A22=Production!$B$4,SUM(H$9:H22),H22))</f>
        <v>0</v>
      </c>
      <c r="J22" s="160">
        <f t="shared" si="4"/>
        <v>0</v>
      </c>
      <c r="K22" s="160">
        <f>J22*IF(Abandonment!$B$4='Federal Tax'!A22,1,K$5)</f>
        <v>0</v>
      </c>
      <c r="L22" s="160">
        <f t="shared" si="1"/>
        <v>1330.9137851355154</v>
      </c>
      <c r="M22" s="160">
        <f>Royalty!AM23</f>
        <v>511.00797090497775</v>
      </c>
      <c r="N22" s="160">
        <f>Development!BG102</f>
        <v>0</v>
      </c>
      <c r="O22" s="160">
        <f t="shared" si="5"/>
        <v>50.751196298318277</v>
      </c>
      <c r="P22" s="160">
        <f>O22*IF(A22=Abandonment!$B$4,1,P$5)</f>
        <v>15.225358889495482</v>
      </c>
      <c r="Q22" s="160">
        <f>Exploration!Z46</f>
        <v>0</v>
      </c>
      <c r="R22" s="160">
        <f t="shared" si="2"/>
        <v>804.68045534104203</v>
      </c>
      <c r="S22" s="160">
        <f t="shared" si="9"/>
        <v>0</v>
      </c>
      <c r="T22" s="160">
        <f t="shared" si="10"/>
        <v>0</v>
      </c>
      <c r="U22" s="160">
        <f t="shared" si="6"/>
        <v>0</v>
      </c>
      <c r="V22" s="160">
        <f>IF(Input!$B$35="Yes",R22,MAX(0,R22+U21)+S22)</f>
        <v>804.68045534104203</v>
      </c>
      <c r="W22" s="250">
        <v>0.19</v>
      </c>
      <c r="X22" s="160">
        <f t="shared" si="7"/>
        <v>152.88928651479799</v>
      </c>
    </row>
    <row r="23" spans="1:24">
      <c r="A23" s="140">
        <f t="shared" si="8"/>
        <v>2027</v>
      </c>
      <c r="B23" s="160">
        <f>Revenue!Q23</f>
        <v>1544.4019252787746</v>
      </c>
      <c r="C23" s="160">
        <f>Operations!M31+Abandonment!G28</f>
        <v>270.44776069165704</v>
      </c>
      <c r="D23" s="160">
        <f>Development!BH103</f>
        <v>0</v>
      </c>
      <c r="E23" s="160">
        <f>IF($A23&lt;Production!$B$4,0,IF($A23=Production!$B$4,SUM(D$9:D23),D23))</f>
        <v>0</v>
      </c>
      <c r="F23" s="160">
        <f t="shared" si="3"/>
        <v>471.26892193695386</v>
      </c>
      <c r="G23" s="160">
        <f>F23*IF(A23&gt;=Abandonment!$B$4,1,G$5)</f>
        <v>117.81723048423846</v>
      </c>
      <c r="H23" s="160">
        <f>Development!BI103</f>
        <v>0</v>
      </c>
      <c r="I23" s="160">
        <f>IF($A23&lt;Production!$B$4,0,IF($A23=Production!$B$4,SUM(H$9:H23),H23))</f>
        <v>0</v>
      </c>
      <c r="J23" s="160">
        <f t="shared" si="4"/>
        <v>0</v>
      </c>
      <c r="K23" s="160">
        <f>J23*IF(Abandonment!$B$4='Federal Tax'!A23,1,K$5)</f>
        <v>0</v>
      </c>
      <c r="L23" s="160">
        <f t="shared" si="1"/>
        <v>1156.136934102879</v>
      </c>
      <c r="M23" s="160">
        <f>Royalty!AM24</f>
        <v>436.41828598128313</v>
      </c>
      <c r="N23" s="160">
        <f>Development!BG103</f>
        <v>0</v>
      </c>
      <c r="O23" s="160">
        <f t="shared" si="5"/>
        <v>35.525837408822795</v>
      </c>
      <c r="P23" s="160">
        <f>O23*IF(A23=Abandonment!$B$4,1,P$5)</f>
        <v>10.657751222646839</v>
      </c>
      <c r="Q23" s="160">
        <f>Exploration!Z47</f>
        <v>0</v>
      </c>
      <c r="R23" s="160">
        <f t="shared" si="2"/>
        <v>709.06089689894895</v>
      </c>
      <c r="S23" s="160">
        <f t="shared" si="9"/>
        <v>0</v>
      </c>
      <c r="T23" s="160">
        <f t="shared" si="10"/>
        <v>0</v>
      </c>
      <c r="U23" s="160">
        <f t="shared" si="6"/>
        <v>0</v>
      </c>
      <c r="V23" s="160">
        <f>IF(Input!$B$35="Yes",R23,MAX(0,R23+U22)+S23)</f>
        <v>709.06089689894895</v>
      </c>
      <c r="W23" s="250">
        <v>0.19</v>
      </c>
      <c r="X23" s="160">
        <f t="shared" si="7"/>
        <v>134.7215704108003</v>
      </c>
    </row>
    <row r="24" spans="1:24">
      <c r="A24" s="140">
        <f t="shared" si="8"/>
        <v>2028</v>
      </c>
      <c r="B24" s="160">
        <f>Revenue!Q24</f>
        <v>1352.4154734421593</v>
      </c>
      <c r="C24" s="160">
        <f>Operations!M32+Abandonment!G29</f>
        <v>263.03297538277047</v>
      </c>
      <c r="D24" s="160">
        <f>Development!BH104</f>
        <v>0</v>
      </c>
      <c r="E24" s="160">
        <f>IF($A24&lt;Production!$B$4,0,IF($A24=Production!$B$4,SUM(D$9:D24),D24))</f>
        <v>0</v>
      </c>
      <c r="F24" s="160">
        <f t="shared" si="3"/>
        <v>471.26892193695386</v>
      </c>
      <c r="G24" s="160">
        <f>F24*IF(A24&gt;=Abandonment!$B$4,1,G$5)</f>
        <v>117.81723048423846</v>
      </c>
      <c r="H24" s="160">
        <f>Development!BI104</f>
        <v>0</v>
      </c>
      <c r="I24" s="160">
        <f>IF($A24&lt;Production!$B$4,0,IF($A24=Production!$B$4,SUM(H$9:H24),H24))</f>
        <v>0</v>
      </c>
      <c r="J24" s="160">
        <f t="shared" si="4"/>
        <v>0</v>
      </c>
      <c r="K24" s="160">
        <f>J24*IF(Abandonment!$B$4='Federal Tax'!A24,1,K$5)</f>
        <v>0</v>
      </c>
      <c r="L24" s="160">
        <f t="shared" si="1"/>
        <v>971.5652675751503</v>
      </c>
      <c r="M24" s="160">
        <f>Royalty!AM25</f>
        <v>372.0777201823891</v>
      </c>
      <c r="N24" s="160">
        <f>Development!BG104</f>
        <v>0</v>
      </c>
      <c r="O24" s="160">
        <f t="shared" si="5"/>
        <v>24.868086186175958</v>
      </c>
      <c r="P24" s="160">
        <f>O24*IF(A24=Abandonment!$B$4,1,P$5)</f>
        <v>7.4604258558527867</v>
      </c>
      <c r="Q24" s="160">
        <f>Exploration!Z48</f>
        <v>0</v>
      </c>
      <c r="R24" s="160">
        <f t="shared" si="2"/>
        <v>592.02712153690834</v>
      </c>
      <c r="S24" s="160">
        <f t="shared" si="9"/>
        <v>0</v>
      </c>
      <c r="T24" s="160">
        <f t="shared" si="10"/>
        <v>0</v>
      </c>
      <c r="U24" s="160">
        <f t="shared" si="6"/>
        <v>0</v>
      </c>
      <c r="V24" s="160">
        <f>IF(Input!$B$35="Yes",R24,MAX(0,R24+U23)+S24)</f>
        <v>592.02712153690834</v>
      </c>
      <c r="W24" s="250">
        <v>0.19</v>
      </c>
      <c r="X24" s="160">
        <f t="shared" si="7"/>
        <v>112.48515309201258</v>
      </c>
    </row>
    <row r="25" spans="1:24">
      <c r="A25" s="140">
        <f t="shared" si="8"/>
        <v>2029</v>
      </c>
      <c r="B25" s="160">
        <f>Revenue!Q25</f>
        <v>1177.6353605502084</v>
      </c>
      <c r="C25" s="160">
        <f>Operations!M33+Abandonment!G30</f>
        <v>257.0894249213473</v>
      </c>
      <c r="D25" s="160">
        <f>Development!BH105</f>
        <v>0</v>
      </c>
      <c r="E25" s="160">
        <f>IF($A25&lt;Production!$B$4,0,IF($A25=Production!$B$4,SUM(D$9:D25),D25))</f>
        <v>0</v>
      </c>
      <c r="F25" s="160">
        <f t="shared" si="3"/>
        <v>353.45169145271541</v>
      </c>
      <c r="G25" s="160">
        <f>F25*IF(A25&gt;=Abandonment!$B$4,1,G$5)</f>
        <v>88.362922863178852</v>
      </c>
      <c r="H25" s="160">
        <f>Development!BI105</f>
        <v>0</v>
      </c>
      <c r="I25" s="160">
        <f>IF($A25&lt;Production!$B$4,0,IF($A25=Production!$B$4,SUM(H$9:H25),H25))</f>
        <v>0</v>
      </c>
      <c r="J25" s="160">
        <f t="shared" si="4"/>
        <v>0</v>
      </c>
      <c r="K25" s="160">
        <f>J25*IF(Abandonment!$B$4='Federal Tax'!A25,1,K$5)</f>
        <v>0</v>
      </c>
      <c r="L25" s="160">
        <f t="shared" si="1"/>
        <v>832.18301276568229</v>
      </c>
      <c r="M25" s="160">
        <f>Royalty!AM26</f>
        <v>313.19294759785419</v>
      </c>
      <c r="N25" s="160">
        <f>Development!BG105</f>
        <v>0</v>
      </c>
      <c r="O25" s="160">
        <f t="shared" si="5"/>
        <v>17.407660330323171</v>
      </c>
      <c r="P25" s="160">
        <f>O25*IF(A25=Abandonment!$B$4,1,P$5)</f>
        <v>5.2222980990969514</v>
      </c>
      <c r="Q25" s="160">
        <f>Exploration!Z49</f>
        <v>0</v>
      </c>
      <c r="R25" s="160">
        <f t="shared" si="2"/>
        <v>513.76776706873113</v>
      </c>
      <c r="S25" s="160">
        <f t="shared" si="9"/>
        <v>0</v>
      </c>
      <c r="T25" s="160">
        <f t="shared" si="10"/>
        <v>0</v>
      </c>
      <c r="U25" s="160">
        <f t="shared" si="6"/>
        <v>0</v>
      </c>
      <c r="V25" s="160">
        <f>IF(Input!$B$35="Yes",R25,MAX(0,R25+U24)+S25)</f>
        <v>513.76776706873113</v>
      </c>
      <c r="W25" s="250">
        <v>0.19</v>
      </c>
      <c r="X25" s="160">
        <f t="shared" si="7"/>
        <v>97.615875743058922</v>
      </c>
    </row>
    <row r="26" spans="1:24">
      <c r="A26" s="140">
        <f t="shared" si="8"/>
        <v>2030</v>
      </c>
      <c r="B26" s="160">
        <f>Revenue!Q26</f>
        <v>1028.3319276316436</v>
      </c>
      <c r="C26" s="160">
        <f>Operations!M34+Abandonment!G31</f>
        <v>252.70588458205219</v>
      </c>
      <c r="D26" s="160">
        <f>Development!BH106</f>
        <v>0</v>
      </c>
      <c r="E26" s="160">
        <f>IF($A26&lt;Production!$B$4,0,IF($A26=Production!$B$4,SUM(D$9:D26),D26))</f>
        <v>0</v>
      </c>
      <c r="F26" s="160">
        <f t="shared" si="3"/>
        <v>353.45169145271541</v>
      </c>
      <c r="G26" s="160">
        <f>F26*IF(A26&gt;=Abandonment!$B$4,1,G$5)</f>
        <v>88.362922863178852</v>
      </c>
      <c r="H26" s="160">
        <f>Development!BI106</f>
        <v>0</v>
      </c>
      <c r="I26" s="160">
        <f>IF($A26&lt;Production!$B$4,0,IF($A26=Production!$B$4,SUM(H$9:H26),H26))</f>
        <v>0</v>
      </c>
      <c r="J26" s="160">
        <f t="shared" si="4"/>
        <v>0</v>
      </c>
      <c r="K26" s="160">
        <f>J26*IF(Abandonment!$B$4='Federal Tax'!A26,1,K$5)</f>
        <v>0</v>
      </c>
      <c r="L26" s="160">
        <f t="shared" si="1"/>
        <v>687.26312018641249</v>
      </c>
      <c r="M26" s="160">
        <f>Royalty!AM27</f>
        <v>262.62440910698518</v>
      </c>
      <c r="N26" s="160">
        <f>Development!BG106</f>
        <v>0</v>
      </c>
      <c r="O26" s="160">
        <f t="shared" si="5"/>
        <v>12.18536223122622</v>
      </c>
      <c r="P26" s="160">
        <f>O26*IF(A26=Abandonment!$B$4,1,P$5)</f>
        <v>3.655608669367866</v>
      </c>
      <c r="Q26" s="160">
        <f>Exploration!Z50</f>
        <v>0</v>
      </c>
      <c r="R26" s="160">
        <f t="shared" si="2"/>
        <v>420.98310241005942</v>
      </c>
      <c r="S26" s="160">
        <f t="shared" si="9"/>
        <v>0</v>
      </c>
      <c r="T26" s="160">
        <f t="shared" si="10"/>
        <v>0</v>
      </c>
      <c r="U26" s="160">
        <f t="shared" si="6"/>
        <v>0</v>
      </c>
      <c r="V26" s="160">
        <f>IF(Input!$B$35="Yes",R26,MAX(0,R26+U25)+S26)</f>
        <v>420.98310241005942</v>
      </c>
      <c r="W26" s="250">
        <v>0.19</v>
      </c>
      <c r="X26" s="160">
        <f t="shared" si="7"/>
        <v>79.986789457911286</v>
      </c>
    </row>
    <row r="27" spans="1:24">
      <c r="A27" s="140">
        <f t="shared" si="8"/>
        <v>2031</v>
      </c>
      <c r="B27" s="160">
        <f>Revenue!Q27</f>
        <v>897.82489223453922</v>
      </c>
      <c r="C27" s="160">
        <f>Operations!M35+Abandonment!G32</f>
        <v>249.60464313942458</v>
      </c>
      <c r="D27" s="160">
        <f>Development!BH107</f>
        <v>0</v>
      </c>
      <c r="E27" s="160">
        <f>IF($A27&lt;Production!$B$4,0,IF($A27=Production!$B$4,SUM(D$9:D27),D27))</f>
        <v>0</v>
      </c>
      <c r="F27" s="160">
        <f t="shared" si="3"/>
        <v>265.08876858953658</v>
      </c>
      <c r="G27" s="160">
        <f>F27*IF(A27&gt;=Abandonment!$B$4,1,G$5)</f>
        <v>66.272192147384146</v>
      </c>
      <c r="H27" s="160">
        <f>Development!BI107</f>
        <v>0</v>
      </c>
      <c r="I27" s="160">
        <f>IF($A27&lt;Production!$B$4,0,IF($A27=Production!$B$4,SUM(H$9:H27),H27))</f>
        <v>0</v>
      </c>
      <c r="J27" s="160">
        <f t="shared" si="4"/>
        <v>0</v>
      </c>
      <c r="K27" s="160">
        <f>J27*IF(Abandonment!$B$4='Federal Tax'!A27,1,K$5)</f>
        <v>0</v>
      </c>
      <c r="L27" s="160">
        <f t="shared" si="1"/>
        <v>581.94805694773049</v>
      </c>
      <c r="M27" s="160">
        <f>Royalty!AM28</f>
        <v>218.14092467341024</v>
      </c>
      <c r="N27" s="160">
        <f>Development!BG107</f>
        <v>0</v>
      </c>
      <c r="O27" s="160">
        <f t="shared" si="5"/>
        <v>8.5297535618583531</v>
      </c>
      <c r="P27" s="160">
        <f>O27*IF(A27=Abandonment!$B$4,1,P$5)</f>
        <v>2.5589260685575059</v>
      </c>
      <c r="Q27" s="160">
        <f>Exploration!Z51</f>
        <v>0</v>
      </c>
      <c r="R27" s="160">
        <f t="shared" si="2"/>
        <v>361.2482062057627</v>
      </c>
      <c r="S27" s="160">
        <f t="shared" si="9"/>
        <v>0</v>
      </c>
      <c r="T27" s="160">
        <f t="shared" si="10"/>
        <v>0</v>
      </c>
      <c r="U27" s="160">
        <f t="shared" si="6"/>
        <v>0</v>
      </c>
      <c r="V27" s="160">
        <f>IF(Input!$B$35="Yes",R27,MAX(0,R27+U26)+S27)</f>
        <v>361.2482062057627</v>
      </c>
      <c r="W27" s="250">
        <v>0.19</v>
      </c>
      <c r="X27" s="160">
        <f t="shared" si="7"/>
        <v>68.637159179094908</v>
      </c>
    </row>
    <row r="28" spans="1:24">
      <c r="A28" s="140">
        <f t="shared" si="8"/>
        <v>2032</v>
      </c>
      <c r="B28" s="160">
        <f>Revenue!Q28</f>
        <v>785.74476337553085</v>
      </c>
      <c r="C28" s="160">
        <f>Operations!M36+Abandonment!G33</f>
        <v>247.68023535334459</v>
      </c>
      <c r="D28" s="160">
        <f>Development!BH108</f>
        <v>0</v>
      </c>
      <c r="E28" s="160">
        <f>IF($A28&lt;Production!$B$4,0,IF($A28=Production!$B$4,SUM(D$9:D28),D28))</f>
        <v>0</v>
      </c>
      <c r="F28" s="160">
        <f t="shared" si="3"/>
        <v>265.08876858953658</v>
      </c>
      <c r="G28" s="160">
        <f>F28*IF(A28&gt;=Abandonment!$B$4,1,G$5)</f>
        <v>66.272192147384146</v>
      </c>
      <c r="H28" s="160">
        <f>Development!BI108</f>
        <v>0</v>
      </c>
      <c r="I28" s="160">
        <f>IF($A28&lt;Production!$B$4,0,IF($A28=Production!$B$4,SUM(H$9:H28),H28))</f>
        <v>0</v>
      </c>
      <c r="J28" s="160">
        <f t="shared" si="4"/>
        <v>0</v>
      </c>
      <c r="K28" s="160">
        <f>J28*IF(Abandonment!$B$4='Federal Tax'!A28,1,K$5)</f>
        <v>0</v>
      </c>
      <c r="L28" s="160">
        <f t="shared" si="1"/>
        <v>471.79233587480218</v>
      </c>
      <c r="M28" s="160">
        <f>Royalty!AM29</f>
        <v>179.65377657039809</v>
      </c>
      <c r="N28" s="160">
        <f>Development!BG108</f>
        <v>0</v>
      </c>
      <c r="O28" s="160">
        <f t="shared" si="5"/>
        <v>5.9708274933008472</v>
      </c>
      <c r="P28" s="160">
        <f>O28*IF(A28=Abandonment!$B$4,1,P$5)</f>
        <v>1.7912482479902541</v>
      </c>
      <c r="Q28" s="160">
        <f>Exploration!Z52</f>
        <v>0</v>
      </c>
      <c r="R28" s="160">
        <f t="shared" si="2"/>
        <v>290.34731105641384</v>
      </c>
      <c r="S28" s="160">
        <f t="shared" si="9"/>
        <v>0</v>
      </c>
      <c r="T28" s="160">
        <f t="shared" si="10"/>
        <v>0</v>
      </c>
      <c r="U28" s="160">
        <f t="shared" si="6"/>
        <v>0</v>
      </c>
      <c r="V28" s="160">
        <f>IF(Input!$B$35="Yes",R28,MAX(0,R28+U27)+S28)</f>
        <v>290.34731105641384</v>
      </c>
      <c r="W28" s="250">
        <v>0.19</v>
      </c>
      <c r="X28" s="160">
        <f t="shared" si="7"/>
        <v>55.165989100718633</v>
      </c>
    </row>
    <row r="29" spans="1:24">
      <c r="A29" s="140">
        <f t="shared" si="8"/>
        <v>2033</v>
      </c>
      <c r="B29" s="160">
        <f>Revenue!Q29</f>
        <v>683.79909324241123</v>
      </c>
      <c r="C29" s="160">
        <f>Operations!M37+Abandonment!G34</f>
        <v>246.661823364263</v>
      </c>
      <c r="D29" s="160">
        <f>Development!BH109</f>
        <v>0</v>
      </c>
      <c r="E29" s="160">
        <f>IF($A29&lt;Production!$B$4,0,IF($A29=Production!$B$4,SUM(D$9:D29),D29))</f>
        <v>0</v>
      </c>
      <c r="F29" s="160">
        <f t="shared" si="3"/>
        <v>198.81657644215244</v>
      </c>
      <c r="G29" s="160">
        <f>F29*IF(A29&gt;=Abandonment!$B$4,1,G$5)</f>
        <v>49.70414411053811</v>
      </c>
      <c r="H29" s="160">
        <f>Development!BI109</f>
        <v>0</v>
      </c>
      <c r="I29" s="160">
        <f>IF($A29&lt;Production!$B$4,0,IF($A29=Production!$B$4,SUM(H$9:H29),H29))</f>
        <v>0</v>
      </c>
      <c r="J29" s="160">
        <f t="shared" si="4"/>
        <v>0</v>
      </c>
      <c r="K29" s="160">
        <f>J29*IF(Abandonment!$B$4='Federal Tax'!A29,1,K$5)</f>
        <v>0</v>
      </c>
      <c r="L29" s="160">
        <f t="shared" si="1"/>
        <v>387.43312576761014</v>
      </c>
      <c r="M29" s="160">
        <f>Royalty!AM30</f>
        <v>144.36488063960266</v>
      </c>
      <c r="N29" s="160">
        <f>Development!BG109</f>
        <v>0</v>
      </c>
      <c r="O29" s="160">
        <f t="shared" si="5"/>
        <v>4.1795792453105935</v>
      </c>
      <c r="P29" s="160">
        <f>O29*IF(A29=Abandonment!$B$4,1,P$5)</f>
        <v>1.253873773593178</v>
      </c>
      <c r="Q29" s="160">
        <f>Exploration!Z53</f>
        <v>0</v>
      </c>
      <c r="R29" s="160">
        <f t="shared" si="2"/>
        <v>241.81437135441431</v>
      </c>
      <c r="S29" s="160">
        <f t="shared" si="9"/>
        <v>0</v>
      </c>
      <c r="T29" s="160">
        <f t="shared" si="10"/>
        <v>0</v>
      </c>
      <c r="U29" s="160">
        <f t="shared" si="6"/>
        <v>0</v>
      </c>
      <c r="V29" s="160">
        <f>IF(Input!$B$35="Yes",R29,MAX(0,R29+U28)+S29)</f>
        <v>241.81437135441431</v>
      </c>
      <c r="W29" s="250">
        <v>0.19</v>
      </c>
      <c r="X29" s="160">
        <f t="shared" si="7"/>
        <v>45.944730557338715</v>
      </c>
    </row>
    <row r="30" spans="1:24">
      <c r="A30" s="140">
        <f t="shared" si="8"/>
        <v>2034</v>
      </c>
      <c r="B30" s="160">
        <f>Revenue!Q30</f>
        <v>596.76502233232452</v>
      </c>
      <c r="C30" s="160">
        <f>Operations!M38+Abandonment!G35</f>
        <v>246.60200276173768</v>
      </c>
      <c r="D30" s="160">
        <f>Development!BH110</f>
        <v>0</v>
      </c>
      <c r="E30" s="160">
        <f>IF($A30&lt;Production!$B$4,0,IF($A30=Production!$B$4,SUM(D$9:D30),D30))</f>
        <v>0</v>
      </c>
      <c r="F30" s="160">
        <f t="shared" si="3"/>
        <v>198.81657644215244</v>
      </c>
      <c r="G30" s="160">
        <f>F30*IF(A30&gt;=Abandonment!$B$4,1,G$5)</f>
        <v>49.70414411053811</v>
      </c>
      <c r="H30" s="160">
        <f>Development!BI110</f>
        <v>0</v>
      </c>
      <c r="I30" s="160">
        <f>IF($A30&lt;Production!$B$4,0,IF($A30=Production!$B$4,SUM(H$9:H30),H30))</f>
        <v>0</v>
      </c>
      <c r="J30" s="160">
        <f t="shared" si="4"/>
        <v>0</v>
      </c>
      <c r="K30" s="160">
        <f>J30*IF(Abandonment!$B$4='Federal Tax'!A30,1,K$5)</f>
        <v>0</v>
      </c>
      <c r="L30" s="160">
        <f t="shared" si="1"/>
        <v>300.45887546004872</v>
      </c>
      <c r="M30" s="160">
        <f>Royalty!AM31</f>
        <v>113.92598675304457</v>
      </c>
      <c r="N30" s="160">
        <f>Development!BG110</f>
        <v>0</v>
      </c>
      <c r="O30" s="160">
        <f t="shared" si="5"/>
        <v>2.9257054717174156</v>
      </c>
      <c r="P30" s="160">
        <f>O30*IF(A30=Abandonment!$B$4,1,P$5)</f>
        <v>0.87771164151522463</v>
      </c>
      <c r="Q30" s="160">
        <f>Exploration!Z54</f>
        <v>0</v>
      </c>
      <c r="R30" s="160">
        <f t="shared" si="2"/>
        <v>185.65517706548891</v>
      </c>
      <c r="S30" s="160">
        <f t="shared" si="9"/>
        <v>0</v>
      </c>
      <c r="T30" s="160">
        <f t="shared" si="10"/>
        <v>0</v>
      </c>
      <c r="U30" s="160">
        <f t="shared" si="6"/>
        <v>0</v>
      </c>
      <c r="V30" s="160">
        <f>IF(Input!$B$35="Yes",R30,MAX(0,R30+U29)+S30)</f>
        <v>185.65517706548891</v>
      </c>
      <c r="W30" s="250">
        <v>0.19</v>
      </c>
      <c r="X30" s="160">
        <f t="shared" si="7"/>
        <v>35.274483642442895</v>
      </c>
    </row>
    <row r="31" spans="1:24">
      <c r="A31" s="140">
        <f t="shared" si="8"/>
        <v>2035</v>
      </c>
      <c r="B31" s="160">
        <f>Revenue!Q31</f>
        <v>520.73871336508751</v>
      </c>
      <c r="C31" s="160">
        <f>Operations!M39+Abandonment!G36</f>
        <v>247.34233129067826</v>
      </c>
      <c r="D31" s="160">
        <f>Development!BH111</f>
        <v>0</v>
      </c>
      <c r="E31" s="160">
        <f>IF($A31&lt;Production!$B$4,0,IF($A31=Production!$B$4,SUM(D$9:D31),D31))</f>
        <v>0</v>
      </c>
      <c r="F31" s="160">
        <f t="shared" si="3"/>
        <v>149.11243233161434</v>
      </c>
      <c r="G31" s="160">
        <f>F31*IF(A31&gt;=Abandonment!$B$4,1,G$5)</f>
        <v>37.278108082903586</v>
      </c>
      <c r="H31" s="160">
        <f>Development!BI111</f>
        <v>0</v>
      </c>
      <c r="I31" s="160">
        <f>IF($A31&lt;Production!$B$4,0,IF($A31=Production!$B$4,SUM(H$9:H31),H31))</f>
        <v>0</v>
      </c>
      <c r="J31" s="160">
        <f t="shared" si="4"/>
        <v>0</v>
      </c>
      <c r="K31" s="160">
        <f>J31*IF(Abandonment!$B$4='Federal Tax'!A31,1,K$5)</f>
        <v>0</v>
      </c>
      <c r="L31" s="160">
        <f t="shared" si="1"/>
        <v>236.11827399150565</v>
      </c>
      <c r="M31" s="160">
        <f>Royalty!AM32</f>
        <v>87.031752130869492</v>
      </c>
      <c r="N31" s="160">
        <f>Development!BG111</f>
        <v>0</v>
      </c>
      <c r="O31" s="160">
        <f t="shared" si="5"/>
        <v>2.0479938302021909</v>
      </c>
      <c r="P31" s="160">
        <f>O31*IF(A31=Abandonment!$B$4,1,P$5)</f>
        <v>0.61439814906065726</v>
      </c>
      <c r="Q31" s="160">
        <f>Exploration!Z55</f>
        <v>0</v>
      </c>
      <c r="R31" s="160">
        <f t="shared" si="2"/>
        <v>148.47212371157548</v>
      </c>
      <c r="S31" s="160">
        <f t="shared" si="9"/>
        <v>0</v>
      </c>
      <c r="T31" s="160">
        <f t="shared" si="10"/>
        <v>0</v>
      </c>
      <c r="U31" s="160">
        <f t="shared" si="6"/>
        <v>0</v>
      </c>
      <c r="V31" s="160">
        <f>IF(Input!$B$35="Yes",R31,MAX(0,R31+U30)+S31)</f>
        <v>148.47212371157548</v>
      </c>
      <c r="W31" s="250">
        <v>0.19</v>
      </c>
      <c r="X31" s="160">
        <f t="shared" si="7"/>
        <v>28.209703505199339</v>
      </c>
    </row>
    <row r="32" spans="1:24">
      <c r="A32" s="140">
        <f t="shared" si="8"/>
        <v>2036</v>
      </c>
      <c r="B32" s="160">
        <f>Revenue!Q32</f>
        <v>455.48441890446168</v>
      </c>
      <c r="C32" s="160">
        <f>Operations!M40+Abandonment!G37</f>
        <v>248.82360774808626</v>
      </c>
      <c r="D32" s="160">
        <f>Development!BH112</f>
        <v>0</v>
      </c>
      <c r="E32" s="160">
        <f>IF($A32&lt;Production!$B$4,0,IF($A32=Production!$B$4,SUM(D$9:D32),D32))</f>
        <v>0</v>
      </c>
      <c r="F32" s="160">
        <f t="shared" si="3"/>
        <v>149.11243233161434</v>
      </c>
      <c r="G32" s="160">
        <f>F32*IF(A32&gt;=Abandonment!$B$4,1,G$5)</f>
        <v>37.278108082903586</v>
      </c>
      <c r="H32" s="160">
        <f>Development!BI112</f>
        <v>0</v>
      </c>
      <c r="I32" s="160">
        <f>IF($A32&lt;Production!$B$4,0,IF($A32=Production!$B$4,SUM(H$9:H32),H32))</f>
        <v>0</v>
      </c>
      <c r="J32" s="160">
        <f t="shared" si="4"/>
        <v>0</v>
      </c>
      <c r="K32" s="160">
        <f>J32*IF(Abandonment!$B$4='Federal Tax'!A32,1,K$5)</f>
        <v>0</v>
      </c>
      <c r="L32" s="160">
        <f t="shared" si="1"/>
        <v>169.38270307347182</v>
      </c>
      <c r="M32" s="160">
        <f>Royalty!AM33</f>
        <v>63.622457633548358</v>
      </c>
      <c r="N32" s="160">
        <f>Development!BG112</f>
        <v>0</v>
      </c>
      <c r="O32" s="160">
        <f t="shared" si="5"/>
        <v>1.4335956811415338</v>
      </c>
      <c r="P32" s="160">
        <f>O32*IF(A32=Abandonment!$B$4,1,P$5)</f>
        <v>0.43007870434246015</v>
      </c>
      <c r="Q32" s="160">
        <f>Exploration!Z56</f>
        <v>0</v>
      </c>
      <c r="R32" s="160">
        <f t="shared" si="2"/>
        <v>105.330166735581</v>
      </c>
      <c r="S32" s="160">
        <f t="shared" si="9"/>
        <v>0</v>
      </c>
      <c r="T32" s="160">
        <f t="shared" si="10"/>
        <v>0</v>
      </c>
      <c r="U32" s="160">
        <f t="shared" si="6"/>
        <v>0</v>
      </c>
      <c r="V32" s="160">
        <f>IF(Input!$B$35="Yes",R32,MAX(0,R32+U31)+S32)</f>
        <v>105.330166735581</v>
      </c>
      <c r="W32" s="250">
        <v>0.19</v>
      </c>
      <c r="X32" s="160">
        <f t="shared" si="7"/>
        <v>20.012731679760392</v>
      </c>
    </row>
    <row r="33" spans="1:24">
      <c r="A33" s="140">
        <f t="shared" si="8"/>
        <v>2037</v>
      </c>
      <c r="B33" s="160">
        <f>Revenue!Q33</f>
        <v>396.17748104059569</v>
      </c>
      <c r="C33" s="160">
        <f>Operations!M41+Abandonment!G38</f>
        <v>250.89142461711268</v>
      </c>
      <c r="D33" s="160">
        <f>Development!BH113</f>
        <v>0</v>
      </c>
      <c r="E33" s="160">
        <f>IF($A33&lt;Production!$B$4,0,IF($A33=Production!$B$4,SUM(D$9:D33),D33))</f>
        <v>0</v>
      </c>
      <c r="F33" s="160">
        <f t="shared" si="3"/>
        <v>111.83432424871076</v>
      </c>
      <c r="G33" s="160">
        <f>F33*IF(A33&gt;=Abandonment!$B$4,1,G$5)</f>
        <v>27.958581062177689</v>
      </c>
      <c r="H33" s="160">
        <f>Development!BI113</f>
        <v>0</v>
      </c>
      <c r="I33" s="160">
        <f>IF($A33&lt;Production!$B$4,0,IF($A33=Production!$B$4,SUM(H$9:H33),H33))</f>
        <v>0</v>
      </c>
      <c r="J33" s="160">
        <f t="shared" si="4"/>
        <v>0</v>
      </c>
      <c r="K33" s="160">
        <f>J33*IF(Abandonment!$B$4='Federal Tax'!A33,1,K$5)</f>
        <v>0</v>
      </c>
      <c r="L33" s="160">
        <f t="shared" si="1"/>
        <v>117.32747536130533</v>
      </c>
      <c r="M33" s="160">
        <f>Royalty!AM34</f>
        <v>42.068919886620094</v>
      </c>
      <c r="N33" s="160">
        <f>Development!BG113</f>
        <v>0</v>
      </c>
      <c r="O33" s="160">
        <f t="shared" si="5"/>
        <v>1.0035169767990737</v>
      </c>
      <c r="P33" s="160">
        <f>O33*IF(A33=Abandonment!$B$4,1,P$5)</f>
        <v>0.30105509303972211</v>
      </c>
      <c r="Q33" s="160">
        <f>Exploration!Z57</f>
        <v>0</v>
      </c>
      <c r="R33" s="160">
        <f t="shared" si="2"/>
        <v>74.957500381645517</v>
      </c>
      <c r="S33" s="160">
        <f t="shared" si="9"/>
        <v>0</v>
      </c>
      <c r="T33" s="160">
        <f t="shared" si="10"/>
        <v>0</v>
      </c>
      <c r="U33" s="160">
        <f t="shared" si="6"/>
        <v>0</v>
      </c>
      <c r="V33" s="160">
        <f>IF(Input!$B$35="Yes",R33,MAX(0,R33+U32)+S33)</f>
        <v>74.957500381645517</v>
      </c>
      <c r="W33" s="250">
        <v>0.19</v>
      </c>
      <c r="X33" s="160">
        <f t="shared" si="7"/>
        <v>14.241925072512648</v>
      </c>
    </row>
    <row r="34" spans="1:24">
      <c r="A34" s="140">
        <f t="shared" si="8"/>
        <v>2038</v>
      </c>
      <c r="B34" s="160">
        <f>Revenue!Q34</f>
        <v>345.57244559477238</v>
      </c>
      <c r="C34" s="160">
        <f>Operations!M42+Abandonment!G39</f>
        <v>253.57769235323914</v>
      </c>
      <c r="D34" s="160">
        <f>Development!BH114</f>
        <v>0</v>
      </c>
      <c r="E34" s="160">
        <f>IF($A34&lt;Production!$B$4,0,IF($A34=Production!$B$4,SUM(D$9:D34),D34))</f>
        <v>0</v>
      </c>
      <c r="F34" s="160">
        <f t="shared" si="3"/>
        <v>111.83432424871076</v>
      </c>
      <c r="G34" s="160">
        <f>F34*IF(A34&gt;=Abandonment!$B$4,1,G$5)</f>
        <v>27.958581062177689</v>
      </c>
      <c r="H34" s="160">
        <f>Development!BI114</f>
        <v>0</v>
      </c>
      <c r="I34" s="160">
        <f>IF($A34&lt;Production!$B$4,0,IF($A34=Production!$B$4,SUM(H$9:H34),H34))</f>
        <v>0</v>
      </c>
      <c r="J34" s="160">
        <f t="shared" si="4"/>
        <v>0</v>
      </c>
      <c r="K34" s="160">
        <f>J34*IF(Abandonment!$B$4='Federal Tax'!A34,1,K$5)</f>
        <v>0</v>
      </c>
      <c r="L34" s="160">
        <f t="shared" si="1"/>
        <v>64.036172179355546</v>
      </c>
      <c r="M34" s="160">
        <f>Royalty!AM35</f>
        <v>23.322944402173245</v>
      </c>
      <c r="N34" s="160">
        <f>Development!BG114</f>
        <v>0</v>
      </c>
      <c r="O34" s="160">
        <f t="shared" si="5"/>
        <v>0.70246188375935159</v>
      </c>
      <c r="P34" s="160">
        <f>O34*IF(A34=Abandonment!$B$4,1,P$5)</f>
        <v>0.21073856512780548</v>
      </c>
      <c r="Q34" s="160">
        <f>Exploration!Z58</f>
        <v>0</v>
      </c>
      <c r="R34" s="160">
        <f t="shared" si="2"/>
        <v>40.502489212054492</v>
      </c>
      <c r="S34" s="160">
        <f t="shared" si="9"/>
        <v>0</v>
      </c>
      <c r="T34" s="160">
        <f t="shared" si="10"/>
        <v>0</v>
      </c>
      <c r="U34" s="160">
        <f t="shared" si="6"/>
        <v>0</v>
      </c>
      <c r="V34" s="160">
        <f>IF(Input!$B$35="Yes",R34,MAX(0,R34+U33)+S34)</f>
        <v>40.502489212054492</v>
      </c>
      <c r="W34" s="250">
        <v>0.19</v>
      </c>
      <c r="X34" s="160">
        <f t="shared" si="7"/>
        <v>7.6954729502903536</v>
      </c>
    </row>
    <row r="35" spans="1:24">
      <c r="A35" s="140">
        <f t="shared" si="8"/>
        <v>2039</v>
      </c>
      <c r="B35" s="160">
        <f>Revenue!Q35</f>
        <v>301.39438727693158</v>
      </c>
      <c r="C35" s="160">
        <f>Operations!M43+Abandonment!G40</f>
        <v>256.79281658472883</v>
      </c>
      <c r="D35" s="160">
        <f>Development!BH115</f>
        <v>0</v>
      </c>
      <c r="E35" s="160">
        <f>IF($A35&lt;Production!$B$4,0,IF($A35=Production!$B$4,SUM(D$9:D35),D35))</f>
        <v>0</v>
      </c>
      <c r="F35" s="160">
        <f t="shared" si="3"/>
        <v>83.875743186533072</v>
      </c>
      <c r="G35" s="160">
        <f>F35*IF(A35&gt;=Abandonment!$B$4,1,G$5)</f>
        <v>20.968935796633268</v>
      </c>
      <c r="H35" s="160">
        <f>Development!BI115</f>
        <v>0</v>
      </c>
      <c r="I35" s="160">
        <f>IF($A35&lt;Production!$B$4,0,IF($A35=Production!$B$4,SUM(H$9:H35),H35))</f>
        <v>0</v>
      </c>
      <c r="J35" s="160">
        <f t="shared" si="4"/>
        <v>0</v>
      </c>
      <c r="K35" s="160">
        <f>J35*IF(Abandonment!$B$4='Federal Tax'!A35,1,K$5)</f>
        <v>0</v>
      </c>
      <c r="L35" s="160">
        <f t="shared" si="1"/>
        <v>23.632634895569488</v>
      </c>
      <c r="M35" s="160">
        <f>Royalty!AM36</f>
        <v>15.069719363846581</v>
      </c>
      <c r="N35" s="160">
        <f>Development!BG115</f>
        <v>0</v>
      </c>
      <c r="O35" s="160">
        <f t="shared" si="5"/>
        <v>0.49172331863154611</v>
      </c>
      <c r="P35" s="160">
        <f>O35*IF(A35=Abandonment!$B$4,1,P$5)</f>
        <v>0.14751699558946382</v>
      </c>
      <c r="Q35" s="160">
        <f>Exploration!Z59</f>
        <v>0</v>
      </c>
      <c r="R35" s="160">
        <f t="shared" si="2"/>
        <v>8.4153985361334431</v>
      </c>
      <c r="S35" s="160">
        <f t="shared" si="9"/>
        <v>0</v>
      </c>
      <c r="T35" s="160">
        <f t="shared" si="10"/>
        <v>0</v>
      </c>
      <c r="U35" s="160">
        <f t="shared" si="6"/>
        <v>0</v>
      </c>
      <c r="V35" s="160">
        <f>IF(Input!$B$35="Yes",R35,MAX(0,R35+U34)+S35)</f>
        <v>8.4153985361334431</v>
      </c>
      <c r="W35" s="250">
        <v>0.19</v>
      </c>
      <c r="X35" s="160">
        <f t="shared" si="7"/>
        <v>1.5989257218653543</v>
      </c>
    </row>
    <row r="36" spans="1:24">
      <c r="A36" s="140">
        <f t="shared" si="8"/>
        <v>2040</v>
      </c>
      <c r="B36" s="160">
        <f>Revenue!Q36</f>
        <v>263.49553957782268</v>
      </c>
      <c r="C36" s="160">
        <f>Operations!M44+Abandonment!G41</f>
        <v>260.50440137811717</v>
      </c>
      <c r="D36" s="160">
        <f>Development!BH116</f>
        <v>0</v>
      </c>
      <c r="E36" s="160">
        <f>IF($A36&lt;Production!$B$4,0,IF($A36=Production!$B$4,SUM(D$9:D36),D36))</f>
        <v>0</v>
      </c>
      <c r="F36" s="160">
        <f t="shared" si="3"/>
        <v>83.875743186533072</v>
      </c>
      <c r="G36" s="160">
        <f>F36*IF(A36&gt;=Abandonment!$B$4,1,G$5)</f>
        <v>20.968935796633268</v>
      </c>
      <c r="H36" s="160">
        <f>Development!BI116</f>
        <v>0</v>
      </c>
      <c r="I36" s="160">
        <f>IF($A36&lt;Production!$B$4,0,IF($A36=Production!$B$4,SUM(H$9:H36),H36))</f>
        <v>0</v>
      </c>
      <c r="J36" s="160">
        <f t="shared" si="4"/>
        <v>0</v>
      </c>
      <c r="K36" s="160">
        <f>J36*IF(Abandonment!$B$4='Federal Tax'!A36,1,K$5)</f>
        <v>0</v>
      </c>
      <c r="L36" s="160">
        <f t="shared" si="1"/>
        <v>-17.977797596927751</v>
      </c>
      <c r="M36" s="160">
        <f>Royalty!AM37</f>
        <v>13.174776978891137</v>
      </c>
      <c r="N36" s="160">
        <f>Development!BG116</f>
        <v>0</v>
      </c>
      <c r="O36" s="160">
        <f t="shared" si="5"/>
        <v>0.34420632304208232</v>
      </c>
      <c r="P36" s="160">
        <f>O36*IF(A36=Abandonment!$B$4,1,P$5)</f>
        <v>0.10326189691262469</v>
      </c>
      <c r="Q36" s="160">
        <f>Exploration!Z60</f>
        <v>0</v>
      </c>
      <c r="R36" s="160">
        <f t="shared" si="2"/>
        <v>-31.255836472731513</v>
      </c>
      <c r="S36" s="160">
        <f t="shared" si="9"/>
        <v>-31.255836472731513</v>
      </c>
      <c r="T36" s="160">
        <f t="shared" si="10"/>
        <v>0</v>
      </c>
      <c r="U36" s="160">
        <f t="shared" si="6"/>
        <v>0</v>
      </c>
      <c r="V36" s="160">
        <f>IF(Input!$B$35="Yes",R36,MAX(0,R36+U35)+S36)</f>
        <v>-31.255836472731513</v>
      </c>
      <c r="W36" s="250">
        <v>0.19</v>
      </c>
      <c r="X36" s="160">
        <f t="shared" si="7"/>
        <v>-5.9386089298189875</v>
      </c>
    </row>
    <row r="37" spans="1:24">
      <c r="A37" s="140">
        <f t="shared" si="8"/>
        <v>2041</v>
      </c>
      <c r="B37" s="160">
        <f>Revenue!Q37</f>
        <v>0</v>
      </c>
      <c r="C37" s="160">
        <f>Operations!M45+Abandonment!G42</f>
        <v>358.54722678320917</v>
      </c>
      <c r="D37" s="160">
        <f>Development!BH117</f>
        <v>0</v>
      </c>
      <c r="E37" s="160">
        <f>IF($A37&lt;Production!$B$4,0,IF($A37=Production!$B$4,SUM(D$9:D37),D37))</f>
        <v>0</v>
      </c>
      <c r="F37" s="160">
        <f t="shared" si="3"/>
        <v>62.906807389899804</v>
      </c>
      <c r="G37" s="160">
        <f>F37*IF(A37&gt;=Abandonment!$B$4,1,G$5)</f>
        <v>62.906807389899804</v>
      </c>
      <c r="H37" s="160">
        <f>Development!BI117</f>
        <v>0</v>
      </c>
      <c r="I37" s="160">
        <f>IF($A37&lt;Production!$B$4,0,IF($A37=Production!$B$4,SUM(H$9:H37),H37))</f>
        <v>0</v>
      </c>
      <c r="J37" s="160">
        <f t="shared" si="4"/>
        <v>0</v>
      </c>
      <c r="K37" s="160">
        <f>J37*IF(Abandonment!$B$4='Federal Tax'!A37,1,K$5)</f>
        <v>0</v>
      </c>
      <c r="L37" s="160">
        <f t="shared" si="1"/>
        <v>-421.45403417310899</v>
      </c>
      <c r="M37" s="160">
        <f>Royalty!AM38</f>
        <v>-69.152604645350209</v>
      </c>
      <c r="N37" s="160">
        <f>Development!BG117</f>
        <v>0</v>
      </c>
      <c r="O37" s="160">
        <f t="shared" si="5"/>
        <v>0.24094442612945763</v>
      </c>
      <c r="P37" s="160">
        <f>O37*IF(A37=Abandonment!$B$4,1,P$5)</f>
        <v>0.24094442612945763</v>
      </c>
      <c r="Q37" s="160">
        <f>Exploration!Z61</f>
        <v>0</v>
      </c>
      <c r="R37" s="160">
        <f t="shared" si="2"/>
        <v>-352.54237395388822</v>
      </c>
      <c r="S37" s="160">
        <f t="shared" si="9"/>
        <v>-48.917887748187937</v>
      </c>
      <c r="T37" s="160">
        <f t="shared" si="10"/>
        <v>-8.4153985361334449</v>
      </c>
      <c r="U37" s="160">
        <f t="shared" si="6"/>
        <v>-303.62448620570029</v>
      </c>
      <c r="V37" s="160">
        <f>IF(Input!$B$35="Yes",R37,MAX(0,R37+U36)+S37)</f>
        <v>-352.54237395388822</v>
      </c>
      <c r="W37" s="250">
        <v>0.19</v>
      </c>
      <c r="X37" s="160">
        <f t="shared" si="7"/>
        <v>-66.98305105123876</v>
      </c>
    </row>
    <row r="38" spans="1:24">
      <c r="A38" s="140">
        <f t="shared" si="8"/>
        <v>2042</v>
      </c>
      <c r="B38" s="160">
        <f>Revenue!Q38</f>
        <v>0</v>
      </c>
      <c r="C38" s="160">
        <f>Operations!M46+Abandonment!G43</f>
        <v>0</v>
      </c>
      <c r="D38" s="160">
        <f>Development!BH118</f>
        <v>0</v>
      </c>
      <c r="E38" s="160">
        <f>IF($A38&lt;Production!$B$4,0,IF($A38=Production!$B$4,SUM(D$9:D38),D38))</f>
        <v>0</v>
      </c>
      <c r="F38" s="160">
        <f t="shared" si="3"/>
        <v>62.906807389899804</v>
      </c>
      <c r="G38" s="160">
        <f>F38*IF(A38&gt;=Abandonment!$B$4,1,G$5)</f>
        <v>62.906807389899804</v>
      </c>
      <c r="H38" s="160">
        <f>Development!BI118</f>
        <v>0</v>
      </c>
      <c r="I38" s="160">
        <f>IF($A38&lt;Production!$B$4,0,IF($A38=Production!$B$4,SUM(H$9:H38),H38))</f>
        <v>0</v>
      </c>
      <c r="J38" s="160">
        <f t="shared" si="4"/>
        <v>0</v>
      </c>
      <c r="K38" s="160">
        <f>J38*IF(Abandonment!$B$4='Federal Tax'!A38,1,K$5)</f>
        <v>0</v>
      </c>
      <c r="L38" s="160">
        <f t="shared" si="1"/>
        <v>-62.906807389899804</v>
      </c>
      <c r="M38" s="160">
        <f>Royalty!AM39</f>
        <v>0</v>
      </c>
      <c r="N38" s="160">
        <f>Development!BG118</f>
        <v>0</v>
      </c>
      <c r="O38" s="160">
        <f t="shared" si="5"/>
        <v>0</v>
      </c>
      <c r="P38" s="160">
        <f>O38*IF(A38=Abandonment!$B$4,1,P$5)</f>
        <v>0</v>
      </c>
      <c r="Q38" s="160">
        <f>Exploration!Z62</f>
        <v>0</v>
      </c>
      <c r="R38" s="160">
        <f t="shared" si="2"/>
        <v>-62.906807389899804</v>
      </c>
      <c r="S38" s="160">
        <f t="shared" si="9"/>
        <v>0</v>
      </c>
      <c r="T38" s="160">
        <f t="shared" si="10"/>
        <v>-1.7763568394002505E-15</v>
      </c>
      <c r="U38" s="160">
        <f t="shared" si="6"/>
        <v>-366.53129359560012</v>
      </c>
      <c r="V38" s="160">
        <f>IF(Input!$B$35="Yes",R38,MAX(0,R38+U37)+S38)</f>
        <v>-62.906807389899804</v>
      </c>
      <c r="W38" s="250">
        <v>0.19</v>
      </c>
      <c r="X38" s="160">
        <f t="shared" si="7"/>
        <v>-11.952293404080963</v>
      </c>
    </row>
    <row r="39" spans="1:24">
      <c r="A39" s="140">
        <f t="shared" si="8"/>
        <v>2043</v>
      </c>
      <c r="B39" s="160">
        <f>Revenue!Q39</f>
        <v>0</v>
      </c>
      <c r="C39" s="160">
        <f>Operations!M47+Abandonment!G44</f>
        <v>0</v>
      </c>
      <c r="D39" s="160">
        <f>Development!BH119</f>
        <v>0</v>
      </c>
      <c r="E39" s="160">
        <f>IF($A39&lt;Production!$B$4,0,IF($A39=Production!$B$4,SUM(D$9:D39),D39))</f>
        <v>0</v>
      </c>
      <c r="F39" s="160">
        <f t="shared" si="3"/>
        <v>0</v>
      </c>
      <c r="G39" s="160">
        <f>F39*IF(A39&gt;=Abandonment!$B$4,1,G$5)</f>
        <v>0</v>
      </c>
      <c r="H39" s="160">
        <f>Development!BI119</f>
        <v>0</v>
      </c>
      <c r="I39" s="160">
        <f>IF($A39&lt;Production!$B$4,0,IF($A39=Production!$B$4,SUM(H$9:H39),H39))</f>
        <v>0</v>
      </c>
      <c r="J39" s="160">
        <f t="shared" si="4"/>
        <v>0</v>
      </c>
      <c r="K39" s="160">
        <f>J39*IF(Abandonment!$B$4='Federal Tax'!A39,1,K$5)</f>
        <v>0</v>
      </c>
      <c r="L39" s="160">
        <f t="shared" si="1"/>
        <v>0</v>
      </c>
      <c r="M39" s="160">
        <f>Royalty!AM40</f>
        <v>0</v>
      </c>
      <c r="N39" s="160">
        <f>Development!BG119</f>
        <v>0</v>
      </c>
      <c r="O39" s="160">
        <f t="shared" si="5"/>
        <v>0</v>
      </c>
      <c r="P39" s="160">
        <f>O39*IF(A39=Abandonment!$B$4,1,P$5)</f>
        <v>0</v>
      </c>
      <c r="Q39" s="160">
        <f>Exploration!Z63</f>
        <v>0</v>
      </c>
      <c r="R39" s="160">
        <f t="shared" si="2"/>
        <v>0</v>
      </c>
      <c r="S39" s="160">
        <f t="shared" si="9"/>
        <v>0</v>
      </c>
      <c r="T39" s="160">
        <f t="shared" si="10"/>
        <v>-1.7763568394002505E-15</v>
      </c>
      <c r="U39" s="160">
        <f t="shared" si="6"/>
        <v>-366.53129359560012</v>
      </c>
      <c r="V39" s="160">
        <f>IF(Input!$B$35="Yes",R39,MAX(0,R39+U38)+S39)</f>
        <v>0</v>
      </c>
      <c r="W39" s="250">
        <v>0.19</v>
      </c>
      <c r="X39" s="160">
        <f t="shared" si="7"/>
        <v>0</v>
      </c>
    </row>
    <row r="40" spans="1:24">
      <c r="A40" s="140">
        <f t="shared" si="8"/>
        <v>2044</v>
      </c>
      <c r="B40" s="160">
        <f>Revenue!Q40</f>
        <v>0</v>
      </c>
      <c r="C40" s="160">
        <f>Operations!M48+Abandonment!G45</f>
        <v>0</v>
      </c>
      <c r="D40" s="160">
        <f>Development!BH120</f>
        <v>0</v>
      </c>
      <c r="E40" s="160">
        <f>IF($A40&lt;Production!$B$4,0,IF($A40=Production!$B$4,SUM(D$9:D40),D40))</f>
        <v>0</v>
      </c>
      <c r="F40" s="160">
        <f t="shared" si="3"/>
        <v>0</v>
      </c>
      <c r="G40" s="160">
        <f>F40*IF(A40&gt;=Abandonment!$B$4,1,G$5)</f>
        <v>0</v>
      </c>
      <c r="H40" s="160">
        <f>Development!BI120</f>
        <v>0</v>
      </c>
      <c r="I40" s="160">
        <f>IF($A40&lt;Production!$B$4,0,IF($A40=Production!$B$4,SUM(H$9:H40),H40))</f>
        <v>0</v>
      </c>
      <c r="J40" s="160">
        <f t="shared" si="4"/>
        <v>0</v>
      </c>
      <c r="K40" s="160">
        <f>J40*IF(Abandonment!$B$4='Federal Tax'!A40,1,K$5)</f>
        <v>0</v>
      </c>
      <c r="L40" s="160">
        <f t="shared" si="1"/>
        <v>0</v>
      </c>
      <c r="M40" s="160">
        <f>Royalty!AM41</f>
        <v>0</v>
      </c>
      <c r="N40" s="160">
        <f>Development!BG120</f>
        <v>0</v>
      </c>
      <c r="O40" s="160">
        <f t="shared" si="5"/>
        <v>0</v>
      </c>
      <c r="P40" s="160">
        <f>O40*IF(A40=Abandonment!$B$4,1,P$5)</f>
        <v>0</v>
      </c>
      <c r="Q40" s="160">
        <f>Exploration!Z64</f>
        <v>0</v>
      </c>
      <c r="R40" s="160">
        <f t="shared" si="2"/>
        <v>0</v>
      </c>
      <c r="S40" s="160">
        <f t="shared" si="9"/>
        <v>0</v>
      </c>
      <c r="T40" s="160">
        <f t="shared" si="10"/>
        <v>-1.7763568394002505E-15</v>
      </c>
      <c r="U40" s="160">
        <f t="shared" si="6"/>
        <v>-366.53129359560012</v>
      </c>
      <c r="V40" s="160">
        <f>IF(Input!$B$35="Yes",R40,MAX(0,R40+U39)+S40)</f>
        <v>0</v>
      </c>
      <c r="W40" s="250">
        <v>0.19</v>
      </c>
      <c r="X40" s="160">
        <f t="shared" si="7"/>
        <v>0</v>
      </c>
    </row>
    <row r="41" spans="1:24">
      <c r="A41" s="140">
        <f t="shared" si="8"/>
        <v>2045</v>
      </c>
      <c r="B41" s="160">
        <f>Revenue!Q41</f>
        <v>0</v>
      </c>
      <c r="C41" s="160">
        <f>Operations!M49+Abandonment!G46</f>
        <v>0</v>
      </c>
      <c r="D41" s="160">
        <f>Development!BH121</f>
        <v>0</v>
      </c>
      <c r="E41" s="160">
        <f>IF($A41&lt;Production!$B$4,0,IF($A41=Production!$B$4,SUM(D$9:D41),D41))</f>
        <v>0</v>
      </c>
      <c r="F41" s="160">
        <f t="shared" si="3"/>
        <v>0</v>
      </c>
      <c r="G41" s="160">
        <f>F41*IF(A41&gt;=Abandonment!$B$4,1,G$5)</f>
        <v>0</v>
      </c>
      <c r="H41" s="160">
        <f>Development!BI121</f>
        <v>0</v>
      </c>
      <c r="I41" s="160">
        <f>IF($A41&lt;Production!$B$4,0,IF($A41=Production!$B$4,SUM(H$9:H41),H41))</f>
        <v>0</v>
      </c>
      <c r="J41" s="160">
        <f t="shared" si="4"/>
        <v>0</v>
      </c>
      <c r="K41" s="160">
        <f>J41*IF(Abandonment!$B$4='Federal Tax'!A41,1,K$5)</f>
        <v>0</v>
      </c>
      <c r="L41" s="160">
        <f t="shared" si="1"/>
        <v>0</v>
      </c>
      <c r="M41" s="160">
        <f>Royalty!AM42</f>
        <v>0</v>
      </c>
      <c r="N41" s="160">
        <f>Development!BG121</f>
        <v>0</v>
      </c>
      <c r="O41" s="160">
        <f t="shared" si="5"/>
        <v>0</v>
      </c>
      <c r="P41" s="160">
        <f>O41*IF(A41=Abandonment!$B$4,1,P$5)</f>
        <v>0</v>
      </c>
      <c r="Q41" s="160">
        <f>Exploration!Z65</f>
        <v>0</v>
      </c>
      <c r="R41" s="160">
        <f t="shared" si="2"/>
        <v>0</v>
      </c>
      <c r="S41" s="160">
        <f t="shared" si="9"/>
        <v>0</v>
      </c>
      <c r="T41" s="160">
        <f t="shared" si="10"/>
        <v>-1.7763568394002505E-15</v>
      </c>
      <c r="U41" s="160">
        <f t="shared" si="6"/>
        <v>-366.53129359560012</v>
      </c>
      <c r="V41" s="160">
        <f>IF(Input!$B$35="Yes",R41,MAX(0,R41+U40)+S41)</f>
        <v>0</v>
      </c>
      <c r="W41" s="250">
        <v>0.19</v>
      </c>
      <c r="X41" s="160">
        <f t="shared" si="7"/>
        <v>0</v>
      </c>
    </row>
    <row r="42" spans="1:24">
      <c r="A42" s="140">
        <f t="shared" si="8"/>
        <v>2046</v>
      </c>
      <c r="B42" s="160">
        <f>Revenue!Q42</f>
        <v>0</v>
      </c>
      <c r="C42" s="160">
        <f>Operations!M50+Abandonment!G47</f>
        <v>0</v>
      </c>
      <c r="D42" s="160">
        <f>Development!BH122</f>
        <v>0</v>
      </c>
      <c r="E42" s="160">
        <f>IF($A42&lt;Production!$B$4,0,IF($A42=Production!$B$4,SUM(D$9:D42),D42))</f>
        <v>0</v>
      </c>
      <c r="F42" s="160">
        <f t="shared" si="3"/>
        <v>0</v>
      </c>
      <c r="G42" s="160">
        <f>F42*IF(A42&gt;=Abandonment!$B$4,1,G$5)</f>
        <v>0</v>
      </c>
      <c r="H42" s="160">
        <f>Development!BI122</f>
        <v>0</v>
      </c>
      <c r="I42" s="160">
        <f>IF($A42&lt;Production!$B$4,0,IF($A42=Production!$B$4,SUM(H$9:H42),H42))</f>
        <v>0</v>
      </c>
      <c r="J42" s="160">
        <f t="shared" si="4"/>
        <v>0</v>
      </c>
      <c r="K42" s="160">
        <f>J42*IF(Abandonment!$B$4='Federal Tax'!A42,1,K$5)</f>
        <v>0</v>
      </c>
      <c r="L42" s="160">
        <f t="shared" si="1"/>
        <v>0</v>
      </c>
      <c r="M42" s="160">
        <f>Royalty!AM43</f>
        <v>0</v>
      </c>
      <c r="N42" s="160">
        <f>Development!BG122</f>
        <v>0</v>
      </c>
      <c r="O42" s="160">
        <f t="shared" si="5"/>
        <v>0</v>
      </c>
      <c r="P42" s="160">
        <f>O42*IF(A42=Abandonment!$B$4,1,P$5)</f>
        <v>0</v>
      </c>
      <c r="Q42" s="160">
        <f>Exploration!Z66</f>
        <v>0</v>
      </c>
      <c r="R42" s="160">
        <f t="shared" si="2"/>
        <v>0</v>
      </c>
      <c r="S42" s="160">
        <f t="shared" si="9"/>
        <v>0</v>
      </c>
      <c r="T42" s="160">
        <f t="shared" si="10"/>
        <v>-1.7763568394002505E-15</v>
      </c>
      <c r="U42" s="160">
        <f t="shared" si="6"/>
        <v>-366.53129359560012</v>
      </c>
      <c r="V42" s="160">
        <f>IF(Input!$B$35="Yes",R42,MAX(0,R42+U41)+S42)</f>
        <v>0</v>
      </c>
      <c r="W42" s="250">
        <v>0.19</v>
      </c>
      <c r="X42" s="160">
        <f t="shared" si="7"/>
        <v>0</v>
      </c>
    </row>
    <row r="43" spans="1:24">
      <c r="A43" s="140">
        <f t="shared" si="8"/>
        <v>2047</v>
      </c>
      <c r="B43" s="160">
        <f>Revenue!Q43</f>
        <v>0</v>
      </c>
      <c r="C43" s="160">
        <f>Operations!M51+Abandonment!G48</f>
        <v>0</v>
      </c>
      <c r="D43" s="160">
        <f>Development!BH123</f>
        <v>0</v>
      </c>
      <c r="E43" s="160">
        <f>IF($A43&lt;Production!$B$4,0,IF($A43=Production!$B$4,SUM(D$9:D43),D43))</f>
        <v>0</v>
      </c>
      <c r="F43" s="160">
        <f t="shared" si="3"/>
        <v>0</v>
      </c>
      <c r="G43" s="160">
        <f>F43*IF(A43&gt;=Abandonment!$B$4,1,G$5)</f>
        <v>0</v>
      </c>
      <c r="H43" s="160">
        <f>Development!BI123</f>
        <v>0</v>
      </c>
      <c r="I43" s="160">
        <f>IF($A43&lt;Production!$B$4,0,IF($A43=Production!$B$4,SUM(H$9:H43),H43))</f>
        <v>0</v>
      </c>
      <c r="J43" s="160">
        <f t="shared" si="4"/>
        <v>0</v>
      </c>
      <c r="K43" s="160">
        <f>J43*IF(Abandonment!$B$4='Federal Tax'!A43,1,K$5)</f>
        <v>0</v>
      </c>
      <c r="L43" s="160">
        <f t="shared" si="1"/>
        <v>0</v>
      </c>
      <c r="M43" s="160">
        <f>Royalty!AM44</f>
        <v>0</v>
      </c>
      <c r="N43" s="160">
        <f>Development!BG123</f>
        <v>0</v>
      </c>
      <c r="O43" s="160">
        <f t="shared" si="5"/>
        <v>0</v>
      </c>
      <c r="P43" s="160">
        <f>O43*IF(A43=Abandonment!$B$4,1,P$5)</f>
        <v>0</v>
      </c>
      <c r="Q43" s="160">
        <f>Exploration!Z67</f>
        <v>0</v>
      </c>
      <c r="R43" s="160">
        <f t="shared" si="2"/>
        <v>0</v>
      </c>
      <c r="S43" s="160">
        <f t="shared" si="9"/>
        <v>0</v>
      </c>
      <c r="T43" s="160">
        <f t="shared" si="10"/>
        <v>-1.7763568394002505E-15</v>
      </c>
      <c r="U43" s="160">
        <f t="shared" si="6"/>
        <v>-366.53129359560012</v>
      </c>
      <c r="V43" s="160">
        <f>IF(Input!$B$35="Yes",R43,MAX(0,R43+U42)+S43)</f>
        <v>0</v>
      </c>
      <c r="W43" s="250">
        <v>0.19</v>
      </c>
      <c r="X43" s="160">
        <f t="shared" si="7"/>
        <v>0</v>
      </c>
    </row>
    <row r="44" spans="1:24">
      <c r="A44" s="140">
        <f t="shared" si="8"/>
        <v>2048</v>
      </c>
      <c r="B44" s="160">
        <f>Revenue!Q44</f>
        <v>0</v>
      </c>
      <c r="C44" s="160">
        <f>Operations!M52+Abandonment!G49</f>
        <v>0</v>
      </c>
      <c r="D44" s="160">
        <f>Development!BH124</f>
        <v>0</v>
      </c>
      <c r="E44" s="160">
        <f>IF($A44&lt;Production!$B$4,0,IF($A44=Production!$B$4,SUM(D$9:D44),D44))</f>
        <v>0</v>
      </c>
      <c r="F44" s="160">
        <f t="shared" si="3"/>
        <v>0</v>
      </c>
      <c r="G44" s="160">
        <f>F44*IF(A44&gt;=Abandonment!$B$4,1,G$5)</f>
        <v>0</v>
      </c>
      <c r="H44" s="160">
        <f>Development!BI124</f>
        <v>0</v>
      </c>
      <c r="I44" s="160">
        <f>IF($A44&lt;Production!$B$4,0,IF($A44=Production!$B$4,SUM(H$9:H44),H44))</f>
        <v>0</v>
      </c>
      <c r="J44" s="160">
        <f t="shared" si="4"/>
        <v>0</v>
      </c>
      <c r="K44" s="160">
        <f>J44*IF(Abandonment!$B$4='Federal Tax'!A44,1,K$5)</f>
        <v>0</v>
      </c>
      <c r="L44" s="160">
        <f t="shared" si="1"/>
        <v>0</v>
      </c>
      <c r="M44" s="160">
        <f>Royalty!AM45</f>
        <v>0</v>
      </c>
      <c r="N44" s="160">
        <f>Development!BG124</f>
        <v>0</v>
      </c>
      <c r="O44" s="160">
        <f t="shared" si="5"/>
        <v>0</v>
      </c>
      <c r="P44" s="160">
        <f>O44*IF(A44=Abandonment!$B$4,1,P$5)</f>
        <v>0</v>
      </c>
      <c r="Q44" s="160">
        <f>Exploration!Z68</f>
        <v>0</v>
      </c>
      <c r="R44" s="160">
        <f t="shared" si="2"/>
        <v>0</v>
      </c>
      <c r="S44" s="160">
        <f t="shared" si="9"/>
        <v>0</v>
      </c>
      <c r="T44" s="160">
        <f t="shared" si="10"/>
        <v>-1.7763568394002505E-15</v>
      </c>
      <c r="U44" s="160">
        <f t="shared" si="6"/>
        <v>-366.53129359560012</v>
      </c>
      <c r="V44" s="160">
        <f>IF(Input!$B$35="Yes",R44,MAX(0,R44+U43)+S44)</f>
        <v>0</v>
      </c>
      <c r="W44" s="250">
        <v>0.19</v>
      </c>
      <c r="X44" s="160">
        <f t="shared" si="7"/>
        <v>0</v>
      </c>
    </row>
    <row r="45" spans="1:24">
      <c r="A45" s="140">
        <f t="shared" si="8"/>
        <v>2049</v>
      </c>
      <c r="B45" s="160">
        <f>Revenue!Q45</f>
        <v>0</v>
      </c>
      <c r="C45" s="160">
        <f>Operations!M53+Abandonment!G50</f>
        <v>0</v>
      </c>
      <c r="D45" s="160">
        <f>Development!BH125</f>
        <v>0</v>
      </c>
      <c r="E45" s="160">
        <f>IF($A45&lt;Production!$B$4,0,IF($A45=Production!$B$4,SUM(D$9:D45),D45))</f>
        <v>0</v>
      </c>
      <c r="F45" s="160">
        <f t="shared" si="3"/>
        <v>0</v>
      </c>
      <c r="G45" s="160">
        <f>F45*IF(A45&gt;=Abandonment!$B$4,1,G$5)</f>
        <v>0</v>
      </c>
      <c r="H45" s="160">
        <f>Development!BI125</f>
        <v>0</v>
      </c>
      <c r="I45" s="160">
        <f>IF($A45&lt;Production!$B$4,0,IF($A45=Production!$B$4,SUM(H$9:H45),H45))</f>
        <v>0</v>
      </c>
      <c r="J45" s="160">
        <f t="shared" si="4"/>
        <v>0</v>
      </c>
      <c r="K45" s="160">
        <f>J45*IF(Abandonment!$B$4='Federal Tax'!A45,1,K$5)</f>
        <v>0</v>
      </c>
      <c r="L45" s="160">
        <f t="shared" si="1"/>
        <v>0</v>
      </c>
      <c r="M45" s="160">
        <f>Royalty!AM46</f>
        <v>0</v>
      </c>
      <c r="N45" s="160">
        <f>Development!BG125</f>
        <v>0</v>
      </c>
      <c r="O45" s="160">
        <f t="shared" si="5"/>
        <v>0</v>
      </c>
      <c r="P45" s="160">
        <f>O45*IF(A45=Abandonment!$B$4,1,P$5)</f>
        <v>0</v>
      </c>
      <c r="Q45" s="160">
        <f>Exploration!Z69</f>
        <v>0</v>
      </c>
      <c r="R45" s="160">
        <f t="shared" si="2"/>
        <v>0</v>
      </c>
      <c r="S45" s="160">
        <f t="shared" si="9"/>
        <v>0</v>
      </c>
      <c r="T45" s="160">
        <f t="shared" si="10"/>
        <v>-1.7763568394002505E-15</v>
      </c>
      <c r="U45" s="160">
        <f t="shared" si="6"/>
        <v>-366.53129359560012</v>
      </c>
      <c r="V45" s="160">
        <f>IF(Input!$B$35="Yes",R45,MAX(0,R45+U44)+S45)</f>
        <v>0</v>
      </c>
      <c r="W45" s="250">
        <v>0.19</v>
      </c>
      <c r="X45" s="160">
        <f t="shared" si="7"/>
        <v>0</v>
      </c>
    </row>
    <row r="46" spans="1:24">
      <c r="A46" s="140">
        <f t="shared" si="8"/>
        <v>2050</v>
      </c>
      <c r="B46" s="160">
        <f>Revenue!Q46</f>
        <v>0</v>
      </c>
      <c r="C46" s="160">
        <f>Operations!M54+Abandonment!G51</f>
        <v>0</v>
      </c>
      <c r="D46" s="160">
        <f>Development!BH126</f>
        <v>0</v>
      </c>
      <c r="E46" s="160">
        <f>IF($A46&lt;Production!$B$4,0,IF($A46=Production!$B$4,SUM(D$9:D46),D46))</f>
        <v>0</v>
      </c>
      <c r="F46" s="160">
        <f t="shared" si="3"/>
        <v>0</v>
      </c>
      <c r="G46" s="160">
        <f>F46*IF(A46&gt;=Abandonment!$B$4,1,G$5)</f>
        <v>0</v>
      </c>
      <c r="H46" s="160">
        <f>Development!BI126</f>
        <v>0</v>
      </c>
      <c r="I46" s="160">
        <f>IF($A46&lt;Production!$B$4,0,IF($A46=Production!$B$4,SUM(H$9:H46),H46))</f>
        <v>0</v>
      </c>
      <c r="J46" s="160">
        <f t="shared" si="4"/>
        <v>0</v>
      </c>
      <c r="K46" s="160">
        <f>J46*IF(Abandonment!$B$4='Federal Tax'!A46,1,K$5)</f>
        <v>0</v>
      </c>
      <c r="L46" s="160">
        <f t="shared" si="1"/>
        <v>0</v>
      </c>
      <c r="M46" s="160">
        <f>Royalty!AM47</f>
        <v>0</v>
      </c>
      <c r="N46" s="160">
        <f>Development!BG126</f>
        <v>0</v>
      </c>
      <c r="O46" s="160">
        <f t="shared" si="5"/>
        <v>0</v>
      </c>
      <c r="P46" s="160">
        <f>O46*IF(A46=Abandonment!$B$4,1,P$5)</f>
        <v>0</v>
      </c>
      <c r="Q46" s="160">
        <f>Exploration!Z70</f>
        <v>0</v>
      </c>
      <c r="R46" s="160">
        <f t="shared" si="2"/>
        <v>0</v>
      </c>
      <c r="S46" s="160">
        <f t="shared" si="9"/>
        <v>0</v>
      </c>
      <c r="T46" s="160">
        <f t="shared" si="10"/>
        <v>-1.7763568394002505E-15</v>
      </c>
      <c r="U46" s="160">
        <f t="shared" si="6"/>
        <v>-366.53129359560012</v>
      </c>
      <c r="V46" s="160">
        <f>IF(Input!$B$35="Yes",R46,MAX(0,R46+U45)+S46)</f>
        <v>0</v>
      </c>
      <c r="W46" s="250">
        <v>0.19</v>
      </c>
      <c r="X46" s="160">
        <f t="shared" si="7"/>
        <v>0</v>
      </c>
    </row>
    <row r="47" spans="1:24">
      <c r="A47" s="140">
        <f t="shared" si="8"/>
        <v>2051</v>
      </c>
      <c r="B47" s="160">
        <f>Revenue!Q47</f>
        <v>0</v>
      </c>
      <c r="C47" s="160">
        <f>Operations!M55+Abandonment!G52</f>
        <v>0</v>
      </c>
      <c r="D47" s="160">
        <f>Development!BH127</f>
        <v>0</v>
      </c>
      <c r="E47" s="160">
        <f>IF($A47&lt;Production!$B$4,0,IF($A47=Production!$B$4,SUM(D$9:D47),D47))</f>
        <v>0</v>
      </c>
      <c r="F47" s="160">
        <f t="shared" si="3"/>
        <v>0</v>
      </c>
      <c r="G47" s="160">
        <f>F47*IF(A47&gt;=Abandonment!$B$4,1,G$5)</f>
        <v>0</v>
      </c>
      <c r="H47" s="160">
        <f>Development!BI127</f>
        <v>0</v>
      </c>
      <c r="I47" s="160">
        <f>IF($A47&lt;Production!$B$4,0,IF($A47=Production!$B$4,SUM(H$9:H47),H47))</f>
        <v>0</v>
      </c>
      <c r="J47" s="160">
        <f t="shared" si="4"/>
        <v>0</v>
      </c>
      <c r="K47" s="160">
        <f>J47*IF(Abandonment!$B$4='Federal Tax'!A47,1,K$5)</f>
        <v>0</v>
      </c>
      <c r="L47" s="160">
        <f t="shared" si="1"/>
        <v>0</v>
      </c>
      <c r="M47" s="160">
        <f>Royalty!AM48</f>
        <v>0</v>
      </c>
      <c r="N47" s="160">
        <f>Development!BG127</f>
        <v>0</v>
      </c>
      <c r="O47" s="160">
        <f t="shared" si="5"/>
        <v>0</v>
      </c>
      <c r="P47" s="160">
        <f>O47*IF(A47=Abandonment!$B$4,1,P$5)</f>
        <v>0</v>
      </c>
      <c r="Q47" s="160">
        <f>Exploration!Z71</f>
        <v>0</v>
      </c>
      <c r="R47" s="160">
        <f t="shared" si="2"/>
        <v>0</v>
      </c>
      <c r="S47" s="160">
        <f t="shared" si="9"/>
        <v>0</v>
      </c>
      <c r="T47" s="160">
        <f t="shared" si="10"/>
        <v>-1.7763568394002505E-15</v>
      </c>
      <c r="U47" s="160">
        <f t="shared" si="6"/>
        <v>-366.53129359560012</v>
      </c>
      <c r="V47" s="160">
        <f>IF(Input!$B$35="Yes",R47,MAX(0,R47+U46)+S47)</f>
        <v>0</v>
      </c>
      <c r="W47" s="250">
        <v>0.19</v>
      </c>
      <c r="X47" s="160">
        <f t="shared" si="7"/>
        <v>0</v>
      </c>
    </row>
    <row r="48" spans="1:24">
      <c r="A48" s="140">
        <f t="shared" si="8"/>
        <v>2052</v>
      </c>
      <c r="B48" s="160">
        <f>Revenue!Q48</f>
        <v>0</v>
      </c>
      <c r="C48" s="160">
        <f>Operations!M56+Abandonment!G53</f>
        <v>0</v>
      </c>
      <c r="D48" s="160">
        <f>Development!BH128</f>
        <v>0</v>
      </c>
      <c r="E48" s="160">
        <f>IF($A48&lt;Production!$B$4,0,IF($A48=Production!$B$4,SUM(D$9:D48),D48))</f>
        <v>0</v>
      </c>
      <c r="F48" s="160">
        <f t="shared" si="3"/>
        <v>0</v>
      </c>
      <c r="G48" s="160">
        <f>F48*IF(A48&gt;=Abandonment!$B$4,1,G$5)</f>
        <v>0</v>
      </c>
      <c r="H48" s="160">
        <f>Development!BI128</f>
        <v>0</v>
      </c>
      <c r="I48" s="160">
        <f>IF($A48&lt;Production!$B$4,0,IF($A48=Production!$B$4,SUM(H$9:H48),H48))</f>
        <v>0</v>
      </c>
      <c r="J48" s="160">
        <f t="shared" si="4"/>
        <v>0</v>
      </c>
      <c r="K48" s="160">
        <f>J48*IF(Abandonment!$B$4='Federal Tax'!A48,1,K$5)</f>
        <v>0</v>
      </c>
      <c r="L48" s="160">
        <f t="shared" si="1"/>
        <v>0</v>
      </c>
      <c r="M48" s="160">
        <f>Royalty!AM49</f>
        <v>0</v>
      </c>
      <c r="N48" s="160">
        <f>Development!BG128</f>
        <v>0</v>
      </c>
      <c r="O48" s="160">
        <f t="shared" si="5"/>
        <v>0</v>
      </c>
      <c r="P48" s="160">
        <f>O48*IF(A48=Abandonment!$B$4,1,P$5)</f>
        <v>0</v>
      </c>
      <c r="Q48" s="160">
        <f>Exploration!Z72</f>
        <v>0</v>
      </c>
      <c r="R48" s="160">
        <f t="shared" si="2"/>
        <v>0</v>
      </c>
      <c r="S48" s="160">
        <f t="shared" si="9"/>
        <v>0</v>
      </c>
      <c r="T48" s="160">
        <f t="shared" si="10"/>
        <v>-1.7763568394002505E-15</v>
      </c>
      <c r="U48" s="160">
        <f t="shared" si="6"/>
        <v>-366.53129359560012</v>
      </c>
      <c r="V48" s="160">
        <f>IF(Input!$B$35="Yes",R48,MAX(0,R48+U47)+S48)</f>
        <v>0</v>
      </c>
      <c r="W48" s="250">
        <v>0.19</v>
      </c>
      <c r="X48" s="160">
        <f t="shared" si="7"/>
        <v>0</v>
      </c>
    </row>
    <row r="49" spans="1:24">
      <c r="A49" s="140">
        <f t="shared" si="8"/>
        <v>2053</v>
      </c>
      <c r="B49" s="160">
        <f>Revenue!Q49</f>
        <v>0</v>
      </c>
      <c r="C49" s="160">
        <f>Operations!M57+Abandonment!G54</f>
        <v>0</v>
      </c>
      <c r="D49" s="160">
        <f>Development!BH129</f>
        <v>0</v>
      </c>
      <c r="E49" s="160">
        <f>IF($A49&lt;Production!$B$4,0,IF($A49=Production!$B$4,SUM(D$9:D49),D49))</f>
        <v>0</v>
      </c>
      <c r="F49" s="160">
        <f t="shared" si="3"/>
        <v>0</v>
      </c>
      <c r="G49" s="160">
        <f>F49*IF(A49&gt;=Abandonment!$B$4,1,G$5)</f>
        <v>0</v>
      </c>
      <c r="H49" s="160">
        <f>Development!BI129</f>
        <v>0</v>
      </c>
      <c r="I49" s="160">
        <f>IF($A49&lt;Production!$B$4,0,IF($A49=Production!$B$4,SUM(H$9:H49),H49))</f>
        <v>0</v>
      </c>
      <c r="J49" s="160">
        <f t="shared" si="4"/>
        <v>0</v>
      </c>
      <c r="K49" s="160">
        <f>J49*IF(Abandonment!$B$4='Federal Tax'!A49,1,K$5)</f>
        <v>0</v>
      </c>
      <c r="L49" s="160">
        <f t="shared" si="1"/>
        <v>0</v>
      </c>
      <c r="M49" s="160">
        <f>Royalty!AM50</f>
        <v>0</v>
      </c>
      <c r="N49" s="160">
        <f>Development!BG129</f>
        <v>0</v>
      </c>
      <c r="O49" s="160">
        <f t="shared" si="5"/>
        <v>0</v>
      </c>
      <c r="P49" s="160">
        <f>O49*IF(A49=Abandonment!$B$4,1,P$5)</f>
        <v>0</v>
      </c>
      <c r="Q49" s="160">
        <f>Exploration!Z73</f>
        <v>0</v>
      </c>
      <c r="R49" s="160">
        <f t="shared" si="2"/>
        <v>0</v>
      </c>
      <c r="S49" s="160">
        <f t="shared" si="9"/>
        <v>0</v>
      </c>
      <c r="T49" s="160">
        <f t="shared" si="10"/>
        <v>-1.7763568394002505E-15</v>
      </c>
      <c r="U49" s="160">
        <f t="shared" si="6"/>
        <v>-366.53129359560012</v>
      </c>
      <c r="V49" s="160">
        <f>IF(Input!$B$35="Yes",R49,MAX(0,R49+U48)+S49)</f>
        <v>0</v>
      </c>
      <c r="W49" s="250">
        <v>0.19</v>
      </c>
      <c r="X49" s="160">
        <f t="shared" si="7"/>
        <v>0</v>
      </c>
    </row>
    <row r="50" spans="1:24">
      <c r="A50" s="148">
        <f t="shared" si="8"/>
        <v>2054</v>
      </c>
      <c r="B50" s="162">
        <f>Revenue!Q50</f>
        <v>0</v>
      </c>
      <c r="C50" s="162">
        <f>Operations!M58+Abandonment!G55</f>
        <v>0</v>
      </c>
      <c r="D50" s="162">
        <f>Development!BH130</f>
        <v>0</v>
      </c>
      <c r="E50" s="162">
        <f>IF($A50&lt;Production!$B$4,0,IF($A50=Production!$B$4,SUM(D$9:D50),D50))</f>
        <v>0</v>
      </c>
      <c r="F50" s="162">
        <f t="shared" si="3"/>
        <v>0</v>
      </c>
      <c r="G50" s="162">
        <f>F50*IF(A50&gt;=Abandonment!$B$4,1,G$5)</f>
        <v>0</v>
      </c>
      <c r="H50" s="162">
        <f>Development!BI130</f>
        <v>0</v>
      </c>
      <c r="I50" s="162">
        <f>IF($A50&lt;Production!$B$4,0,IF($A50=Production!$B$4,SUM(H$9:H50),H50))</f>
        <v>0</v>
      </c>
      <c r="J50" s="162">
        <f t="shared" si="4"/>
        <v>0</v>
      </c>
      <c r="K50" s="162">
        <f>J50*IF(Abandonment!$B$4='Federal Tax'!A50,1,K$5)</f>
        <v>0</v>
      </c>
      <c r="L50" s="162">
        <f t="shared" si="1"/>
        <v>0</v>
      </c>
      <c r="M50" s="162">
        <f>Royalty!AM51</f>
        <v>0</v>
      </c>
      <c r="N50" s="162">
        <f>Development!BG130</f>
        <v>0</v>
      </c>
      <c r="O50" s="162">
        <f t="shared" si="5"/>
        <v>0</v>
      </c>
      <c r="P50" s="162">
        <f>O50*IF(A50=Abandonment!$B$4,1,P$5)</f>
        <v>0</v>
      </c>
      <c r="Q50" s="162">
        <f>Exploration!Z74</f>
        <v>0</v>
      </c>
      <c r="R50" s="162">
        <f t="shared" si="2"/>
        <v>0</v>
      </c>
      <c r="S50" s="162">
        <f t="shared" si="9"/>
        <v>0</v>
      </c>
      <c r="T50" s="162">
        <f t="shared" si="10"/>
        <v>-1.7763568394002505E-15</v>
      </c>
      <c r="U50" s="162">
        <f t="shared" si="6"/>
        <v>-366.53129359560012</v>
      </c>
      <c r="V50" s="162">
        <f>IF(Input!$B$35="Yes",R50,MAX(0,R50+U49)+S50)</f>
        <v>0</v>
      </c>
      <c r="W50" s="251">
        <v>0.19</v>
      </c>
      <c r="X50" s="162">
        <f t="shared" si="7"/>
        <v>0</v>
      </c>
    </row>
    <row r="51" spans="1:24">
      <c r="A51" s="93"/>
      <c r="B51" s="173"/>
      <c r="C51" s="93"/>
      <c r="D51" s="93"/>
      <c r="E51" s="93"/>
      <c r="F51" s="93"/>
      <c r="G51" s="173"/>
      <c r="H51" s="93"/>
      <c r="I51" s="93"/>
      <c r="J51" s="93"/>
      <c r="K51" s="93"/>
      <c r="L51" s="93"/>
      <c r="M51" s="93"/>
      <c r="N51" s="93"/>
      <c r="O51" s="93"/>
      <c r="P51" s="93"/>
      <c r="Q51" s="173"/>
      <c r="R51" s="93"/>
      <c r="S51" s="93"/>
      <c r="T51" s="93"/>
      <c r="U51" s="93"/>
      <c r="V51" s="93"/>
      <c r="W51" s="93"/>
      <c r="X51" s="93"/>
    </row>
    <row r="52" spans="1:24">
      <c r="A52" s="93"/>
      <c r="B52" s="173"/>
      <c r="C52" s="93"/>
      <c r="D52" s="93"/>
      <c r="E52" s="93"/>
      <c r="F52" s="93"/>
      <c r="G52" s="173"/>
      <c r="H52" s="93"/>
      <c r="I52" s="93"/>
      <c r="J52" s="93"/>
      <c r="K52" s="93"/>
      <c r="L52" s="93"/>
      <c r="M52" s="93"/>
      <c r="N52" s="93"/>
      <c r="O52" s="93"/>
      <c r="P52" s="93"/>
      <c r="Q52" s="173"/>
      <c r="R52" s="93"/>
      <c r="S52" s="93"/>
      <c r="T52" s="93"/>
      <c r="U52" s="93"/>
      <c r="V52" s="93"/>
      <c r="W52" s="93"/>
      <c r="X52" s="93"/>
    </row>
  </sheetData>
  <sheetProtection algorithmName="SHA-512" hashValue="ePcSlqITMrKIMNousfHA27zw53HAtZbQ8k4/jZnsyAaByr8VPGG3Poo709yZ2vd/s2RKgTzNWsM08jqSnKyd+w==" saltValue="oEl2Daf17Z6WIJLz2UYiVw==" spinCount="100000" sheet="1" objects="1" scenarios="1"/>
  <hyperlinks>
    <hyperlink ref="G1" location="Guide" display="Guide"/>
    <hyperlink ref="G2" location="Input" display="Input"/>
  </hyperlinks>
  <pageMargins left="0.7" right="0.7" top="0.75" bottom="0.75" header="0.3" footer="0.3"/>
  <pageSetup paperSize="9" scale="44" fitToHeight="0" orientation="landscape" horizontalDpi="300" r:id="rId1"/>
  <headerFooter>
    <oddFooter>&amp;LNova Scotia Exploration Economics Model&amp;Rwww.indeva.com</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3" tint="0.79998168889431442"/>
    <pageSetUpPr fitToPage="1"/>
  </sheetPr>
  <dimension ref="A1:Y49"/>
  <sheetViews>
    <sheetView showGridLines="0" showZeros="0" zoomScale="75" zoomScaleNormal="75" workbookViewId="0">
      <pane xSplit="1" ySplit="9" topLeftCell="B10" activePane="bottomRight" state="frozen"/>
      <selection activeCell="D43" sqref="D43"/>
      <selection pane="topRight" activeCell="D43" sqref="D43"/>
      <selection pane="bottomLeft" activeCell="D43" sqref="D43"/>
      <selection pane="bottomRight" activeCell="D8" sqref="D8"/>
    </sheetView>
  </sheetViews>
  <sheetFormatPr defaultRowHeight="14.5"/>
  <cols>
    <col min="1" max="1" width="22.453125" customWidth="1"/>
    <col min="2" max="3" width="14.453125" bestFit="1" customWidth="1"/>
    <col min="4" max="4" width="16" customWidth="1"/>
    <col min="5" max="5" width="14.453125" bestFit="1" customWidth="1"/>
    <col min="6" max="6" width="15.453125" customWidth="1"/>
    <col min="7" max="7" width="14.453125" bestFit="1" customWidth="1"/>
    <col min="8" max="8" width="15.81640625" customWidth="1"/>
    <col min="9" max="10" width="14.453125" bestFit="1" customWidth="1"/>
    <col min="11" max="11" width="13.26953125" bestFit="1" customWidth="1"/>
    <col min="12" max="12" width="15.1796875" bestFit="1" customWidth="1"/>
    <col min="13" max="13" width="15.54296875" customWidth="1"/>
    <col min="15" max="15" width="13.54296875" customWidth="1"/>
    <col min="16" max="16" width="13.26953125" bestFit="1" customWidth="1"/>
    <col min="17" max="17" width="14.453125" bestFit="1" customWidth="1"/>
    <col min="18" max="18" width="18.7265625" customWidth="1"/>
    <col min="19" max="19" width="15.1796875" bestFit="1" customWidth="1"/>
    <col min="20" max="20" width="11.7265625" customWidth="1"/>
    <col min="21" max="21" width="14.26953125" customWidth="1"/>
    <col min="22" max="22" width="18.26953125" customWidth="1"/>
    <col min="23" max="23" width="9.26953125" bestFit="1" customWidth="1"/>
    <col min="24" max="24" width="13.81640625" bestFit="1" customWidth="1"/>
  </cols>
  <sheetData>
    <row r="1" spans="1:25" ht="18.5">
      <c r="A1" s="142" t="str">
        <f>Input!B8</f>
        <v>Prospect X</v>
      </c>
      <c r="B1" s="142" t="s">
        <v>410</v>
      </c>
      <c r="C1" s="93"/>
      <c r="D1" s="93"/>
      <c r="E1" s="93"/>
      <c r="F1" s="143" t="s">
        <v>768</v>
      </c>
      <c r="G1" s="93"/>
      <c r="H1" s="93"/>
      <c r="I1" s="93"/>
      <c r="J1" s="93"/>
      <c r="K1" s="93"/>
      <c r="L1" s="93"/>
      <c r="M1" s="93"/>
      <c r="N1" s="93"/>
      <c r="O1" s="93"/>
      <c r="P1" s="93"/>
      <c r="Q1" s="93"/>
      <c r="R1" s="93"/>
      <c r="S1" s="93"/>
      <c r="T1" s="93"/>
      <c r="U1" s="93"/>
      <c r="V1" s="93"/>
      <c r="W1" s="93"/>
      <c r="X1" s="93"/>
      <c r="Y1" s="93"/>
    </row>
    <row r="2" spans="1:25" ht="18.5">
      <c r="A2" s="93"/>
      <c r="B2" s="93"/>
      <c r="C2" s="93"/>
      <c r="D2" s="93"/>
      <c r="E2" s="93"/>
      <c r="F2" s="143" t="s">
        <v>143</v>
      </c>
      <c r="G2" s="93"/>
      <c r="H2" s="93"/>
      <c r="I2" s="93"/>
      <c r="J2" s="93"/>
      <c r="K2" s="93"/>
      <c r="L2" s="93"/>
      <c r="M2" s="93"/>
      <c r="N2" s="93"/>
      <c r="O2" s="93"/>
      <c r="P2" s="93"/>
      <c r="Q2" s="93"/>
      <c r="R2" s="93"/>
      <c r="S2" s="93"/>
      <c r="T2" s="93"/>
      <c r="U2" s="93"/>
      <c r="V2" s="93"/>
      <c r="W2" s="93"/>
      <c r="X2" s="93"/>
      <c r="Y2" s="93"/>
    </row>
    <row r="3" spans="1:25">
      <c r="A3" s="93"/>
      <c r="B3" s="93"/>
      <c r="C3" s="93"/>
      <c r="D3" s="238"/>
      <c r="E3" s="93"/>
      <c r="F3" s="93"/>
      <c r="G3" s="93"/>
      <c r="H3" s="93"/>
      <c r="I3" s="93"/>
      <c r="J3" s="93"/>
      <c r="K3" s="93"/>
      <c r="L3" s="93"/>
      <c r="M3" s="238"/>
      <c r="N3" s="93"/>
      <c r="O3" s="93"/>
      <c r="P3" s="93"/>
      <c r="Q3" s="93"/>
      <c r="R3" s="93"/>
      <c r="S3" s="93"/>
      <c r="T3" s="93"/>
      <c r="U3" s="93"/>
      <c r="V3" s="93"/>
      <c r="W3" s="93"/>
      <c r="X3" s="93"/>
      <c r="Y3" s="93"/>
    </row>
    <row r="4" spans="1:25">
      <c r="A4" s="139" t="s">
        <v>14</v>
      </c>
      <c r="B4" s="139" t="s">
        <v>15</v>
      </c>
      <c r="C4" s="139" t="s">
        <v>18</v>
      </c>
      <c r="D4" s="139" t="s">
        <v>41</v>
      </c>
      <c r="E4" s="139" t="s">
        <v>390</v>
      </c>
      <c r="F4" s="139"/>
      <c r="G4" s="139" t="s">
        <v>305</v>
      </c>
      <c r="H4" s="139" t="s">
        <v>391</v>
      </c>
      <c r="I4" s="139" t="s">
        <v>390</v>
      </c>
      <c r="J4" s="139" t="s">
        <v>392</v>
      </c>
      <c r="K4" s="139" t="s">
        <v>393</v>
      </c>
      <c r="L4" s="139" t="s">
        <v>394</v>
      </c>
      <c r="M4" s="139" t="s">
        <v>32</v>
      </c>
      <c r="N4" s="139" t="s">
        <v>41</v>
      </c>
      <c r="O4" s="139"/>
      <c r="P4" s="139" t="s">
        <v>304</v>
      </c>
      <c r="Q4" s="139" t="s">
        <v>217</v>
      </c>
      <c r="R4" s="139" t="s">
        <v>395</v>
      </c>
      <c r="S4" s="139" t="s">
        <v>396</v>
      </c>
      <c r="T4" s="139" t="s">
        <v>397</v>
      </c>
      <c r="U4" s="139" t="s">
        <v>398</v>
      </c>
      <c r="V4" s="139" t="s">
        <v>399</v>
      </c>
      <c r="W4" s="139" t="s">
        <v>400</v>
      </c>
      <c r="X4" s="139" t="s">
        <v>401</v>
      </c>
      <c r="Y4" s="93"/>
    </row>
    <row r="5" spans="1:25">
      <c r="A5" s="148"/>
      <c r="B5" s="148"/>
      <c r="C5" s="148" t="s">
        <v>41</v>
      </c>
      <c r="D5" s="148" t="s">
        <v>402</v>
      </c>
      <c r="E5" s="148" t="s">
        <v>403</v>
      </c>
      <c r="F5" s="148" t="s">
        <v>61</v>
      </c>
      <c r="G5" s="240">
        <f>'Federal Tax'!G5</f>
        <v>0.25</v>
      </c>
      <c r="H5" s="148" t="s">
        <v>404</v>
      </c>
      <c r="I5" s="148" t="s">
        <v>403</v>
      </c>
      <c r="J5" s="148" t="s">
        <v>61</v>
      </c>
      <c r="K5" s="240">
        <f>IF(Abandonment!B7&lt;=15,20%,8%)</f>
        <v>0.08</v>
      </c>
      <c r="L5" s="148" t="s">
        <v>405</v>
      </c>
      <c r="M5" s="148"/>
      <c r="N5" s="148" t="s">
        <v>406</v>
      </c>
      <c r="O5" s="148" t="s">
        <v>61</v>
      </c>
      <c r="P5" s="240">
        <f>'Federal Tax'!P5</f>
        <v>0.3</v>
      </c>
      <c r="Q5" s="148"/>
      <c r="R5" s="148" t="s">
        <v>407</v>
      </c>
      <c r="S5" s="148"/>
      <c r="T5" s="148" t="s">
        <v>408</v>
      </c>
      <c r="U5" s="148" t="s">
        <v>409</v>
      </c>
      <c r="V5" s="148" t="s">
        <v>405</v>
      </c>
      <c r="W5" s="148"/>
      <c r="X5" s="140" t="s">
        <v>54</v>
      </c>
      <c r="Y5" s="93"/>
    </row>
    <row r="6" spans="1:25">
      <c r="A6" s="134" t="s">
        <v>13</v>
      </c>
      <c r="B6" s="252">
        <f>SUM(B8:B47)</f>
        <v>37525.364943791363</v>
      </c>
      <c r="C6" s="252">
        <f>SUM(C8:C47)</f>
        <v>7152.9508756605892</v>
      </c>
      <c r="D6" s="252">
        <f>SUM(D8:D47)</f>
        <v>3971.8467165715292</v>
      </c>
      <c r="E6" s="252">
        <f>SUM(E8:E47)</f>
        <v>3971.8467165715292</v>
      </c>
      <c r="F6" s="252"/>
      <c r="G6" s="252">
        <f>SUM(G9:G48)</f>
        <v>3971.8467165715288</v>
      </c>
      <c r="H6" s="252">
        <f t="shared" ref="H6:S6" si="0">SUM(H9:H48)</f>
        <v>0</v>
      </c>
      <c r="I6" s="252">
        <f t="shared" si="0"/>
        <v>0</v>
      </c>
      <c r="J6" s="252"/>
      <c r="K6" s="252">
        <f t="shared" si="0"/>
        <v>0</v>
      </c>
      <c r="L6" s="252">
        <f t="shared" si="0"/>
        <v>26400.567351559257</v>
      </c>
      <c r="M6" s="252">
        <f t="shared" si="0"/>
        <v>7638.9132264515811</v>
      </c>
      <c r="N6" s="252">
        <f t="shared" si="0"/>
        <v>1312.5250088078778</v>
      </c>
      <c r="O6" s="252"/>
      <c r="P6" s="252">
        <f t="shared" si="0"/>
        <v>1458.0554440188548</v>
      </c>
      <c r="Q6" s="252">
        <f t="shared" si="0"/>
        <v>60.700145070325902</v>
      </c>
      <c r="R6" s="252">
        <f t="shared" si="0"/>
        <v>17242.898536018485</v>
      </c>
      <c r="S6" s="252">
        <f t="shared" si="0"/>
        <v>-104.86040976020925</v>
      </c>
      <c r="T6" s="252"/>
      <c r="U6" s="252"/>
      <c r="V6" s="252">
        <f>SUM(V9:V48)</f>
        <v>17303.59868108881</v>
      </c>
      <c r="W6" s="252"/>
      <c r="X6" s="253"/>
      <c r="Y6" s="93"/>
    </row>
    <row r="7" spans="1:25">
      <c r="A7" s="93"/>
      <c r="B7" s="254"/>
      <c r="C7" s="254"/>
      <c r="D7" s="254"/>
      <c r="E7" s="254"/>
      <c r="F7" s="254"/>
      <c r="G7" s="254"/>
      <c r="H7" s="254"/>
      <c r="I7" s="254"/>
      <c r="J7" s="254"/>
      <c r="K7" s="254"/>
      <c r="L7" s="254"/>
      <c r="M7" s="254"/>
      <c r="N7" s="254"/>
      <c r="O7" s="254"/>
      <c r="P7" s="254"/>
      <c r="Q7" s="254"/>
      <c r="R7" s="254"/>
      <c r="S7" s="254"/>
      <c r="T7" s="254"/>
      <c r="U7" s="254"/>
      <c r="V7" s="254"/>
      <c r="W7" s="254"/>
      <c r="X7" s="254"/>
      <c r="Y7" s="214"/>
    </row>
    <row r="8" spans="1:25">
      <c r="A8" s="93"/>
      <c r="B8" s="254"/>
      <c r="C8" s="254"/>
      <c r="D8" s="254"/>
      <c r="E8" s="254"/>
      <c r="F8" s="254"/>
      <c r="G8" s="254"/>
      <c r="H8" s="254"/>
      <c r="I8" s="254"/>
      <c r="J8" s="254"/>
      <c r="K8" s="254"/>
      <c r="L8" s="254"/>
      <c r="M8" s="254"/>
      <c r="N8" s="254"/>
      <c r="O8" s="254"/>
      <c r="P8" s="254"/>
      <c r="Q8" s="254"/>
      <c r="R8" s="254"/>
      <c r="S8" s="254"/>
      <c r="T8" s="254"/>
      <c r="U8" s="254"/>
      <c r="V8" s="254"/>
      <c r="W8" s="254"/>
      <c r="X8" s="254"/>
      <c r="Y8" s="214"/>
    </row>
    <row r="9" spans="1:25">
      <c r="A9" s="134" t="s">
        <v>63</v>
      </c>
      <c r="B9" s="252"/>
      <c r="C9" s="252"/>
      <c r="D9" s="252">
        <f>Exploration!V27</f>
        <v>11.522200000000002</v>
      </c>
      <c r="E9" s="252"/>
      <c r="F9" s="252"/>
      <c r="G9" s="252"/>
      <c r="H9" s="252">
        <v>0</v>
      </c>
      <c r="I9" s="252"/>
      <c r="J9" s="252">
        <v>0</v>
      </c>
      <c r="K9" s="252"/>
      <c r="L9" s="252"/>
      <c r="M9" s="252"/>
      <c r="N9" s="252"/>
      <c r="O9" s="252">
        <f>IF(Overrides!C95=Lists!A37,Overrides!C102,Exploration!V26)</f>
        <v>145.53043521097769</v>
      </c>
      <c r="P9" s="252"/>
      <c r="Q9" s="252">
        <f>IF(Overrides!C95=Lists!A37,Overrides!C103,Exploration!V25)</f>
        <v>60.700145070325902</v>
      </c>
      <c r="R9" s="252">
        <f>-Q9</f>
        <v>-60.700145070325902</v>
      </c>
      <c r="S9" s="252"/>
      <c r="T9" s="252"/>
      <c r="U9" s="252">
        <f>MIN(0,R9+U8-S9)</f>
        <v>-60.700145070325902</v>
      </c>
      <c r="V9" s="252"/>
      <c r="W9" s="252"/>
      <c r="X9" s="252"/>
      <c r="Y9" s="93"/>
    </row>
    <row r="10" spans="1:25">
      <c r="A10" s="157">
        <f>'Success Cash Flow'!A10</f>
        <v>2015</v>
      </c>
      <c r="B10" s="255">
        <f>Revenue!Q11</f>
        <v>0</v>
      </c>
      <c r="C10" s="255">
        <f>Operations!M19+Abandonment!G16</f>
        <v>0</v>
      </c>
      <c r="D10" s="255">
        <f>Development!BH91</f>
        <v>633.95620452669152</v>
      </c>
      <c r="E10" s="255">
        <f>IF($A10&lt;Production!$B$4,0,IF($A10=Production!$B$4,SUM(D$9:D10),D10))</f>
        <v>0</v>
      </c>
      <c r="F10" s="255">
        <f>0.5*E9+0.5*E10+F9-G9</f>
        <v>0</v>
      </c>
      <c r="G10" s="255">
        <f>F10*IF(A10=Abandonment!$B$4,1,G$5)</f>
        <v>0</v>
      </c>
      <c r="H10" s="255">
        <f>Development!BI91</f>
        <v>0</v>
      </c>
      <c r="I10" s="255">
        <f>IF($A10&lt;Production!$B$4,0,IF($A10=Production!$B$4,SUM(H$9:H10),H10))</f>
        <v>0</v>
      </c>
      <c r="J10" s="255">
        <f t="shared" ref="J10:J49" si="1">0.5*I9+0.5*I10+J9-K9</f>
        <v>0</v>
      </c>
      <c r="K10" s="255">
        <f>J10*IF(Abandonment!$B$4='Federal Tax'!A11,1,K$5)</f>
        <v>0</v>
      </c>
      <c r="L10" s="255">
        <f t="shared" ref="L10:L49" si="2">B10-C10-G10-K10</f>
        <v>0</v>
      </c>
      <c r="M10" s="255">
        <f>Royalty!AM12</f>
        <v>0</v>
      </c>
      <c r="N10" s="255">
        <f>Development!BG91</f>
        <v>0</v>
      </c>
      <c r="O10" s="255">
        <f>O9+N10-P9</f>
        <v>145.53043521097769</v>
      </c>
      <c r="P10" s="255">
        <f>O10*IF(A10=Abandonment!$B$4,1,P$5)</f>
        <v>43.659130563293303</v>
      </c>
      <c r="Q10" s="255">
        <f>Exploration!Z35</f>
        <v>0</v>
      </c>
      <c r="R10" s="255">
        <f t="shared" ref="R10:R49" si="3">L10-M10-P10-Q10</f>
        <v>-43.659130563293303</v>
      </c>
      <c r="S10" s="255">
        <f t="shared" ref="S10:S49" si="4">-MIN(-MIN(R10,0),MAX(0,SUM(V7:V9)-SUM(S7:S9)+T9))</f>
        <v>0</v>
      </c>
      <c r="T10" s="255">
        <f>MIN(0,MAX(0,R7)+S10+T9)</f>
        <v>0</v>
      </c>
      <c r="U10" s="255">
        <f t="shared" ref="U10:U49" si="5">MIN(0,R10+U9-S10)</f>
        <v>-104.35927563361921</v>
      </c>
      <c r="V10" s="255">
        <f>IF(Input!$B$35="Yes",R10,MAX(0,R10+U9)+S10)</f>
        <v>-43.659130563293303</v>
      </c>
      <c r="W10" s="256">
        <v>0.16</v>
      </c>
      <c r="X10" s="255">
        <f>W10*V10</f>
        <v>-6.9854608901269284</v>
      </c>
      <c r="Y10" s="93"/>
    </row>
    <row r="11" spans="1:25">
      <c r="A11" s="159">
        <f>A10+1</f>
        <v>2016</v>
      </c>
      <c r="B11" s="257">
        <f>Revenue!Q12</f>
        <v>0</v>
      </c>
      <c r="C11" s="257">
        <f>Operations!M20+Abandonment!G17</f>
        <v>0</v>
      </c>
      <c r="D11" s="257">
        <f>Development!BH92</f>
        <v>2802.4641764631424</v>
      </c>
      <c r="E11" s="257">
        <f>IF($A11&lt;Production!$B$4,0,IF($A11=Production!$B$4,SUM(D$9:D11),D11))</f>
        <v>0</v>
      </c>
      <c r="F11" s="257">
        <f t="shared" ref="F11:F49" si="6">0.5*E10+0.5*E11+F10-G10</f>
        <v>0</v>
      </c>
      <c r="G11" s="257">
        <f>F11*IF(A11=Abandonment!$B$4,1,G$5)</f>
        <v>0</v>
      </c>
      <c r="H11" s="257">
        <f>Development!BI92</f>
        <v>0</v>
      </c>
      <c r="I11" s="257">
        <f>IF($A11&lt;Production!$B$4,0,IF($A11=Production!$B$4,SUM(H$9:H11),H11))</f>
        <v>0</v>
      </c>
      <c r="J11" s="257">
        <f t="shared" si="1"/>
        <v>0</v>
      </c>
      <c r="K11" s="257">
        <f>J11*IF(Abandonment!$B$4='Federal Tax'!A12,1,K$5)</f>
        <v>0</v>
      </c>
      <c r="L11" s="257">
        <f t="shared" si="2"/>
        <v>0</v>
      </c>
      <c r="M11" s="257">
        <f>Royalty!AM13</f>
        <v>0</v>
      </c>
      <c r="N11" s="257">
        <f>Development!BG92</f>
        <v>420.57655460781302</v>
      </c>
      <c r="O11" s="257">
        <f t="shared" ref="O11:O49" si="7">O10+N11-P10</f>
        <v>522.44785925549741</v>
      </c>
      <c r="P11" s="257">
        <f>O11*IF(A11=Abandonment!$B$4,1,P$5)</f>
        <v>156.7343577766492</v>
      </c>
      <c r="Q11" s="257">
        <f>Exploration!Z36</f>
        <v>0</v>
      </c>
      <c r="R11" s="257">
        <f t="shared" si="3"/>
        <v>-156.7343577766492</v>
      </c>
      <c r="S11" s="257">
        <f t="shared" si="4"/>
        <v>0</v>
      </c>
      <c r="T11" s="257">
        <f>MIN(0,MAX(0,R8)+S11+T10)</f>
        <v>0</v>
      </c>
      <c r="U11" s="257">
        <f t="shared" si="5"/>
        <v>-261.09363341026841</v>
      </c>
      <c r="V11" s="257">
        <f>IF(Input!$B$35="Yes",R11,MAX(0,R11+U10)+S11)</f>
        <v>-156.7343577766492</v>
      </c>
      <c r="W11" s="258">
        <v>0.16</v>
      </c>
      <c r="X11" s="257">
        <f t="shared" ref="X11:X49" si="8">W11*V11</f>
        <v>-25.077497244263874</v>
      </c>
      <c r="Y11" s="93"/>
    </row>
    <row r="12" spans="1:25">
      <c r="A12" s="159">
        <f t="shared" ref="A12:A49" si="9">A11+1</f>
        <v>2017</v>
      </c>
      <c r="B12" s="257">
        <f>Revenue!Q13</f>
        <v>2012.6514791633831</v>
      </c>
      <c r="C12" s="257">
        <f>Operations!M21+Abandonment!G18</f>
        <v>274.04317319241773</v>
      </c>
      <c r="D12" s="257">
        <f>Development!BH93</f>
        <v>523.90413558169553</v>
      </c>
      <c r="E12" s="257">
        <f>IF($A12&lt;Production!$B$4,0,IF($A12=Production!$B$4,SUM(D$9:D12),D12))</f>
        <v>3971.8467165715292</v>
      </c>
      <c r="F12" s="257">
        <f t="shared" si="6"/>
        <v>1985.9233582857646</v>
      </c>
      <c r="G12" s="257">
        <f>F12*IF(A12=Abandonment!$B$4,1,G$5)</f>
        <v>496.48083957144115</v>
      </c>
      <c r="H12" s="257">
        <f>Development!BI93</f>
        <v>0</v>
      </c>
      <c r="I12" s="257">
        <f>IF($A12&lt;Production!$B$4,0,IF($A12=Production!$B$4,SUM(H$9:H12),H12))</f>
        <v>0</v>
      </c>
      <c r="J12" s="257">
        <f t="shared" si="1"/>
        <v>0</v>
      </c>
      <c r="K12" s="257">
        <f>J12*IF(Abandonment!$B$4='Federal Tax'!A13,1,K$5)</f>
        <v>0</v>
      </c>
      <c r="L12" s="257">
        <f t="shared" si="2"/>
        <v>1242.1274663995241</v>
      </c>
      <c r="M12" s="257">
        <f>Royalty!AM14</f>
        <v>40.253029583267661</v>
      </c>
      <c r="N12" s="257">
        <f>Development!BG93</f>
        <v>891.9484542000647</v>
      </c>
      <c r="O12" s="257">
        <f t="shared" si="7"/>
        <v>1257.6619556789128</v>
      </c>
      <c r="P12" s="257">
        <f>O12*IF(A12=Abandonment!$B$4,1,P$5)</f>
        <v>377.29858670367383</v>
      </c>
      <c r="Q12" s="257">
        <f>Exploration!Z37</f>
        <v>0</v>
      </c>
      <c r="R12" s="257">
        <f t="shared" si="3"/>
        <v>824.57585011258266</v>
      </c>
      <c r="S12" s="257">
        <f t="shared" si="4"/>
        <v>0</v>
      </c>
      <c r="T12" s="257">
        <f>MIN(0,MAX(0,R9)+S12+T11)</f>
        <v>0</v>
      </c>
      <c r="U12" s="257">
        <f t="shared" si="5"/>
        <v>0</v>
      </c>
      <c r="V12" s="257">
        <f>IF(Input!$B$35="Yes",R12,MAX(0,R12+U11)+S12)</f>
        <v>824.57585011258266</v>
      </c>
      <c r="W12" s="258">
        <v>0.16</v>
      </c>
      <c r="X12" s="257">
        <f t="shared" si="8"/>
        <v>131.93213601801324</v>
      </c>
      <c r="Y12" s="93"/>
    </row>
    <row r="13" spans="1:25">
      <c r="A13" s="159">
        <f t="shared" si="9"/>
        <v>2018</v>
      </c>
      <c r="B13" s="257">
        <f>Revenue!Q14</f>
        <v>3086.9816592345874</v>
      </c>
      <c r="C13" s="257">
        <f>Operations!M22+Abandonment!G19</f>
        <v>346.03421619318482</v>
      </c>
      <c r="D13" s="257">
        <f>Development!BH94</f>
        <v>0</v>
      </c>
      <c r="E13" s="257">
        <f>IF($A13&lt;Production!$B$4,0,IF($A13=Production!$B$4,SUM(D$9:D13),D13))</f>
        <v>0</v>
      </c>
      <c r="F13" s="257">
        <f t="shared" si="6"/>
        <v>3475.3658770000879</v>
      </c>
      <c r="G13" s="257">
        <f>F13*IF(A13=Abandonment!$B$4,1,G$5)</f>
        <v>868.84146925002199</v>
      </c>
      <c r="H13" s="257">
        <f>Development!BI94</f>
        <v>0</v>
      </c>
      <c r="I13" s="257">
        <f>IF($A13&lt;Production!$B$4,0,IF($A13=Production!$B$4,SUM(H$9:H13),H13))</f>
        <v>0</v>
      </c>
      <c r="J13" s="257">
        <f t="shared" si="1"/>
        <v>0</v>
      </c>
      <c r="K13" s="257">
        <f>J13*IF(Abandonment!$B$4='Federal Tax'!A14,1,K$5)</f>
        <v>0</v>
      </c>
      <c r="L13" s="257">
        <f t="shared" si="2"/>
        <v>1872.1059737913806</v>
      </c>
      <c r="M13" s="257">
        <f>Royalty!AM15</f>
        <v>61.739633184691748</v>
      </c>
      <c r="N13" s="257">
        <f>Development!BG94</f>
        <v>0</v>
      </c>
      <c r="O13" s="257">
        <f t="shared" si="7"/>
        <v>880.36336897523893</v>
      </c>
      <c r="P13" s="257">
        <f>O13*IF(A13=Abandonment!$B$4,1,P$5)</f>
        <v>264.10901069257164</v>
      </c>
      <c r="Q13" s="257">
        <f>Exploration!Z38</f>
        <v>0</v>
      </c>
      <c r="R13" s="257">
        <f t="shared" si="3"/>
        <v>1546.2573299141172</v>
      </c>
      <c r="S13" s="257">
        <f t="shared" si="4"/>
        <v>0</v>
      </c>
      <c r="T13" s="257">
        <f>MIN(0,MAX(0,R10)+S13+T12)</f>
        <v>0</v>
      </c>
      <c r="U13" s="257">
        <f t="shared" si="5"/>
        <v>0</v>
      </c>
      <c r="V13" s="257">
        <f>IF(Input!$B$35="Yes",R13,MAX(0,R13+U12)+S13)</f>
        <v>1546.2573299141172</v>
      </c>
      <c r="W13" s="258">
        <v>0.16</v>
      </c>
      <c r="X13" s="257">
        <f t="shared" si="8"/>
        <v>247.40117278625877</v>
      </c>
      <c r="Y13" s="93"/>
    </row>
    <row r="14" spans="1:25">
      <c r="A14" s="159">
        <f t="shared" si="9"/>
        <v>2019</v>
      </c>
      <c r="B14" s="257">
        <f>Revenue!Q15</f>
        <v>3360.4565535348706</v>
      </c>
      <c r="C14" s="257">
        <f>Operations!M23+Abandonment!G20</f>
        <v>354.68507159801442</v>
      </c>
      <c r="D14" s="257">
        <f>Development!BH95</f>
        <v>0</v>
      </c>
      <c r="E14" s="257">
        <f>IF($A14&lt;Production!$B$4,0,IF($A14=Production!$B$4,SUM(D$9:D14),D14))</f>
        <v>0</v>
      </c>
      <c r="F14" s="257">
        <f t="shared" si="6"/>
        <v>2606.5244077500661</v>
      </c>
      <c r="G14" s="257">
        <f>F14*IF(A14=Abandonment!$B$4,1,G$5)</f>
        <v>651.63110193751652</v>
      </c>
      <c r="H14" s="257">
        <f>Development!BI95</f>
        <v>0</v>
      </c>
      <c r="I14" s="257">
        <f>IF($A14&lt;Production!$B$4,0,IF($A14=Production!$B$4,SUM(H$9:H14),H14))</f>
        <v>0</v>
      </c>
      <c r="J14" s="257">
        <f t="shared" si="1"/>
        <v>0</v>
      </c>
      <c r="K14" s="257">
        <f>J14*IF(Abandonment!$B$4='Federal Tax'!A15,1,K$5)</f>
        <v>0</v>
      </c>
      <c r="L14" s="257">
        <f t="shared" si="2"/>
        <v>2354.1403799993395</v>
      </c>
      <c r="M14" s="257">
        <f>Royalty!AM16</f>
        <v>105.01426729796469</v>
      </c>
      <c r="N14" s="257">
        <f>Development!BG95</f>
        <v>0</v>
      </c>
      <c r="O14" s="257">
        <f t="shared" si="7"/>
        <v>616.25435828266723</v>
      </c>
      <c r="P14" s="257">
        <f>O14*IF(A14=Abandonment!$B$4,1,P$5)</f>
        <v>184.87630748480015</v>
      </c>
      <c r="Q14" s="257">
        <f>Exploration!Z39</f>
        <v>0</v>
      </c>
      <c r="R14" s="257">
        <f t="shared" si="3"/>
        <v>2064.2498052165747</v>
      </c>
      <c r="S14" s="257">
        <f t="shared" si="4"/>
        <v>0</v>
      </c>
      <c r="T14" s="257">
        <f t="shared" ref="T14:T49" si="10">MIN(0,MAX(0,R11)+S14+T13)</f>
        <v>0</v>
      </c>
      <c r="U14" s="257">
        <f t="shared" si="5"/>
        <v>0</v>
      </c>
      <c r="V14" s="257">
        <f>IF(Input!$B$35="Yes",R14,MAX(0,R14+U13)+S14)</f>
        <v>2064.2498052165747</v>
      </c>
      <c r="W14" s="258">
        <v>0.16</v>
      </c>
      <c r="X14" s="257">
        <f t="shared" si="8"/>
        <v>330.27996883465198</v>
      </c>
      <c r="Y14" s="93"/>
    </row>
    <row r="15" spans="1:25">
      <c r="A15" s="159">
        <f t="shared" si="9"/>
        <v>2020</v>
      </c>
      <c r="B15" s="257">
        <f>Revenue!Q16</f>
        <v>3489.6300537107768</v>
      </c>
      <c r="C15" s="257">
        <f>Operations!M24+Abandonment!G21</f>
        <v>363.79041406237747</v>
      </c>
      <c r="D15" s="257">
        <f>Development!BH96</f>
        <v>0</v>
      </c>
      <c r="E15" s="257">
        <f>IF($A15&lt;Production!$B$4,0,IF($A15=Production!$B$4,SUM(D$9:D15),D15))</f>
        <v>0</v>
      </c>
      <c r="F15" s="257">
        <f t="shared" si="6"/>
        <v>1954.8933058125494</v>
      </c>
      <c r="G15" s="257">
        <f>F15*IF(A15=Abandonment!$B$4,1,G$5)</f>
        <v>488.72332645313736</v>
      </c>
      <c r="H15" s="257">
        <f>Development!BI96</f>
        <v>0</v>
      </c>
      <c r="I15" s="257">
        <f>IF($A15&lt;Production!$B$4,0,IF($A15=Production!$B$4,SUM(H$9:H15),H15))</f>
        <v>0</v>
      </c>
      <c r="J15" s="257">
        <f t="shared" si="1"/>
        <v>0</v>
      </c>
      <c r="K15" s="257">
        <f>J15*IF(Abandonment!$B$4='Federal Tax'!A16,1,K$5)</f>
        <v>0</v>
      </c>
      <c r="L15" s="257">
        <f t="shared" si="2"/>
        <v>2637.1163131952621</v>
      </c>
      <c r="M15" s="257">
        <f>Royalty!AM17</f>
        <v>620.3931787451113</v>
      </c>
      <c r="N15" s="257">
        <f>Development!BG96</f>
        <v>0</v>
      </c>
      <c r="O15" s="257">
        <f t="shared" si="7"/>
        <v>431.3780507978671</v>
      </c>
      <c r="P15" s="257">
        <f>O15*IF(A15=Abandonment!$B$4,1,P$5)</f>
        <v>129.41341523936012</v>
      </c>
      <c r="Q15" s="257">
        <f>Exploration!Z40</f>
        <v>0</v>
      </c>
      <c r="R15" s="257">
        <f t="shared" si="3"/>
        <v>1887.3097192107907</v>
      </c>
      <c r="S15" s="257">
        <f t="shared" si="4"/>
        <v>0</v>
      </c>
      <c r="T15" s="257">
        <f t="shared" si="10"/>
        <v>0</v>
      </c>
      <c r="U15" s="257">
        <f t="shared" si="5"/>
        <v>0</v>
      </c>
      <c r="V15" s="257">
        <f>IF(Input!$B$35="Yes",R15,MAX(0,R15+U14)+S15)</f>
        <v>1887.3097192107907</v>
      </c>
      <c r="W15" s="258">
        <v>0.16</v>
      </c>
      <c r="X15" s="257">
        <f t="shared" si="8"/>
        <v>301.9695550737265</v>
      </c>
      <c r="Y15" s="93"/>
    </row>
    <row r="16" spans="1:25">
      <c r="A16" s="159">
        <f t="shared" si="9"/>
        <v>2021</v>
      </c>
      <c r="B16" s="257">
        <f>Revenue!Q17</f>
        <v>3437.9023569650776</v>
      </c>
      <c r="C16" s="257">
        <f>Operations!M25+Abandonment!G22</f>
        <v>363.82209040646165</v>
      </c>
      <c r="D16" s="257">
        <f>Development!BH97</f>
        <v>0</v>
      </c>
      <c r="E16" s="257">
        <f>IF($A16&lt;Production!$B$4,0,IF($A16=Production!$B$4,SUM(D$9:D16),D16))</f>
        <v>0</v>
      </c>
      <c r="F16" s="257">
        <f t="shared" si="6"/>
        <v>1466.1699793594121</v>
      </c>
      <c r="G16" s="257">
        <f>F16*IF(A16=Abandonment!$B$4,1,G$5)</f>
        <v>366.54249483985302</v>
      </c>
      <c r="H16" s="257">
        <f>Development!BI97</f>
        <v>0</v>
      </c>
      <c r="I16" s="257">
        <f>IF($A16&lt;Production!$B$4,0,IF($A16=Production!$B$4,SUM(H$9:H16),H16))</f>
        <v>0</v>
      </c>
      <c r="J16" s="257">
        <f t="shared" si="1"/>
        <v>0</v>
      </c>
      <c r="K16" s="257">
        <f>J16*IF(Abandonment!$B$4='Federal Tax'!A17,1,K$5)</f>
        <v>0</v>
      </c>
      <c r="L16" s="257">
        <f t="shared" si="2"/>
        <v>2707.537771718763</v>
      </c>
      <c r="M16" s="257">
        <f>Royalty!AM18</f>
        <v>1063.1943201312893</v>
      </c>
      <c r="N16" s="257">
        <f>Development!BG97</f>
        <v>0</v>
      </c>
      <c r="O16" s="257">
        <f t="shared" si="7"/>
        <v>301.96463555850698</v>
      </c>
      <c r="P16" s="257">
        <f>O16*IF(A16=Abandonment!$B$4,1,P$5)</f>
        <v>90.589390667552095</v>
      </c>
      <c r="Q16" s="257">
        <f>Exploration!Z41</f>
        <v>0</v>
      </c>
      <c r="R16" s="257">
        <f t="shared" si="3"/>
        <v>1553.7540609199216</v>
      </c>
      <c r="S16" s="257">
        <f t="shared" si="4"/>
        <v>0</v>
      </c>
      <c r="T16" s="257">
        <f t="shared" si="10"/>
        <v>0</v>
      </c>
      <c r="U16" s="257">
        <f t="shared" si="5"/>
        <v>0</v>
      </c>
      <c r="V16" s="257">
        <f>IF(Input!$B$35="Yes",R16,MAX(0,R16+U15)+S16)</f>
        <v>1553.7540609199216</v>
      </c>
      <c r="W16" s="258">
        <v>0.16</v>
      </c>
      <c r="X16" s="257">
        <f t="shared" si="8"/>
        <v>248.60064974718745</v>
      </c>
      <c r="Y16" s="93"/>
    </row>
    <row r="17" spans="1:25">
      <c r="A17" s="159">
        <f t="shared" si="9"/>
        <v>2022</v>
      </c>
      <c r="B17" s="257">
        <f>Revenue!Q18</f>
        <v>3027.8338255937306</v>
      </c>
      <c r="C17" s="257">
        <f>Operations!M26+Abandonment!G23</f>
        <v>341.8115434672556</v>
      </c>
      <c r="D17" s="257">
        <f>Development!BH98</f>
        <v>0</v>
      </c>
      <c r="E17" s="257">
        <f>IF($A17&lt;Production!$B$4,0,IF($A17=Production!$B$4,SUM(D$9:D17),D17))</f>
        <v>0</v>
      </c>
      <c r="F17" s="257">
        <f t="shared" si="6"/>
        <v>1099.6274845195589</v>
      </c>
      <c r="G17" s="257">
        <f>F17*IF(A17=Abandonment!$B$4,1,G$5)</f>
        <v>274.90687112988974</v>
      </c>
      <c r="H17" s="257">
        <f>Development!BI98</f>
        <v>0</v>
      </c>
      <c r="I17" s="257">
        <f>IF($A17&lt;Production!$B$4,0,IF($A17=Production!$B$4,SUM(H$9:H17),H17))</f>
        <v>0</v>
      </c>
      <c r="J17" s="257">
        <f t="shared" si="1"/>
        <v>0</v>
      </c>
      <c r="K17" s="257">
        <f>J17*IF(Abandonment!$B$4='Federal Tax'!A18,1,K$5)</f>
        <v>0</v>
      </c>
      <c r="L17" s="257">
        <f t="shared" si="2"/>
        <v>2411.1154109965855</v>
      </c>
      <c r="M17" s="257">
        <f>Royalty!AM19</f>
        <v>928.14439472291224</v>
      </c>
      <c r="N17" s="257">
        <f>Development!BG98</f>
        <v>0</v>
      </c>
      <c r="O17" s="257">
        <f t="shared" si="7"/>
        <v>211.37524489095489</v>
      </c>
      <c r="P17" s="257">
        <f>O17*IF(A17=Abandonment!$B$4,1,P$5)</f>
        <v>63.412573467286464</v>
      </c>
      <c r="Q17" s="257">
        <f>Exploration!Z42</f>
        <v>0</v>
      </c>
      <c r="R17" s="257">
        <f t="shared" si="3"/>
        <v>1419.5584428063869</v>
      </c>
      <c r="S17" s="257">
        <f t="shared" si="4"/>
        <v>0</v>
      </c>
      <c r="T17" s="257">
        <f t="shared" si="10"/>
        <v>0</v>
      </c>
      <c r="U17" s="257">
        <f t="shared" si="5"/>
        <v>0</v>
      </c>
      <c r="V17" s="257">
        <f>IF(Input!$B$35="Yes",R17,MAX(0,R17+U16)+S17)</f>
        <v>1419.5584428063869</v>
      </c>
      <c r="W17" s="258">
        <v>0.16</v>
      </c>
      <c r="X17" s="257">
        <f t="shared" si="8"/>
        <v>227.1293508490219</v>
      </c>
      <c r="Y17" s="93"/>
    </row>
    <row r="18" spans="1:25">
      <c r="A18" s="159">
        <f t="shared" si="9"/>
        <v>2023</v>
      </c>
      <c r="B18" s="257">
        <f>Revenue!Q19</f>
        <v>2647.9554072804549</v>
      </c>
      <c r="C18" s="257">
        <f>Operations!M27+Abandonment!G24</f>
        <v>321.96168807165367</v>
      </c>
      <c r="D18" s="257">
        <f>Development!BH99</f>
        <v>0</v>
      </c>
      <c r="E18" s="257">
        <f>IF($A18&lt;Production!$B$4,0,IF($A18=Production!$B$4,SUM(D$9:D18),D18))</f>
        <v>0</v>
      </c>
      <c r="F18" s="257">
        <f t="shared" si="6"/>
        <v>824.72061338966921</v>
      </c>
      <c r="G18" s="257">
        <f>F18*IF(A18=Abandonment!$B$4,1,G$5)</f>
        <v>206.1801533474173</v>
      </c>
      <c r="H18" s="257">
        <f>Development!BI99</f>
        <v>0</v>
      </c>
      <c r="I18" s="257">
        <f>IF($A18&lt;Production!$B$4,0,IF($A18=Production!$B$4,SUM(H$9:H18),H18))</f>
        <v>0</v>
      </c>
      <c r="J18" s="257">
        <f t="shared" si="1"/>
        <v>0</v>
      </c>
      <c r="K18" s="257">
        <f>J18*IF(Abandonment!$B$4='Federal Tax'!A19,1,K$5)</f>
        <v>0</v>
      </c>
      <c r="L18" s="257">
        <f t="shared" si="2"/>
        <v>2119.8135658613842</v>
      </c>
      <c r="M18" s="257">
        <f>Royalty!AM20</f>
        <v>802.82914264057251</v>
      </c>
      <c r="N18" s="257">
        <f>Development!BG99</f>
        <v>0</v>
      </c>
      <c r="O18" s="257">
        <f t="shared" si="7"/>
        <v>147.96267142366844</v>
      </c>
      <c r="P18" s="257">
        <f>O18*IF(A18=Abandonment!$B$4,1,P$5)</f>
        <v>44.388801427100532</v>
      </c>
      <c r="Q18" s="257">
        <f>Exploration!Z43</f>
        <v>0</v>
      </c>
      <c r="R18" s="257">
        <f t="shared" si="3"/>
        <v>1272.595621793711</v>
      </c>
      <c r="S18" s="257">
        <f t="shared" si="4"/>
        <v>0</v>
      </c>
      <c r="T18" s="257">
        <f t="shared" si="10"/>
        <v>0</v>
      </c>
      <c r="U18" s="257">
        <f t="shared" si="5"/>
        <v>0</v>
      </c>
      <c r="V18" s="257">
        <f>IF(Input!$B$35="Yes",R18,MAX(0,R18+U17)+S18)</f>
        <v>1272.595621793711</v>
      </c>
      <c r="W18" s="258">
        <v>0.16</v>
      </c>
      <c r="X18" s="257">
        <f t="shared" si="8"/>
        <v>203.61529948699376</v>
      </c>
      <c r="Y18" s="93"/>
    </row>
    <row r="19" spans="1:25">
      <c r="A19" s="159">
        <f t="shared" si="9"/>
        <v>2024</v>
      </c>
      <c r="B19" s="257">
        <f>Revenue!Q20</f>
        <v>2321.1571385541019</v>
      </c>
      <c r="C19" s="257">
        <f>Operations!M28+Abandonment!G25</f>
        <v>305.39712227991697</v>
      </c>
      <c r="D19" s="257">
        <f>Development!BH100</f>
        <v>0</v>
      </c>
      <c r="E19" s="257">
        <f>IF($A19&lt;Production!$B$4,0,IF($A19=Production!$B$4,SUM(D$9:D19),D19))</f>
        <v>0</v>
      </c>
      <c r="F19" s="257">
        <f t="shared" si="6"/>
        <v>618.54046004225188</v>
      </c>
      <c r="G19" s="257">
        <f>F19*IF(A19=Abandonment!$B$4,1,G$5)</f>
        <v>154.63511501056297</v>
      </c>
      <c r="H19" s="257">
        <f>Development!BI100</f>
        <v>0</v>
      </c>
      <c r="I19" s="257">
        <f>IF($A19&lt;Production!$B$4,0,IF($A19=Production!$B$4,SUM(H$9:H19),H19))</f>
        <v>0</v>
      </c>
      <c r="J19" s="257">
        <f t="shared" si="1"/>
        <v>0</v>
      </c>
      <c r="K19" s="257">
        <f>J19*IF(Abandonment!$B$4='Federal Tax'!A20,1,K$5)</f>
        <v>0</v>
      </c>
      <c r="L19" s="257">
        <f t="shared" si="2"/>
        <v>1861.1249012636222</v>
      </c>
      <c r="M19" s="257">
        <f>Royalty!AM21</f>
        <v>694.82710641616757</v>
      </c>
      <c r="N19" s="257">
        <f>Development!BG100</f>
        <v>0</v>
      </c>
      <c r="O19" s="257">
        <f t="shared" si="7"/>
        <v>103.57386999656791</v>
      </c>
      <c r="P19" s="257">
        <f>O19*IF(A19=Abandonment!$B$4,1,P$5)</f>
        <v>31.072160998970372</v>
      </c>
      <c r="Q19" s="257">
        <f>Exploration!Z44</f>
        <v>0</v>
      </c>
      <c r="R19" s="257">
        <f t="shared" si="3"/>
        <v>1135.2256338484842</v>
      </c>
      <c r="S19" s="257">
        <f t="shared" si="4"/>
        <v>0</v>
      </c>
      <c r="T19" s="257">
        <f t="shared" si="10"/>
        <v>0</v>
      </c>
      <c r="U19" s="257">
        <f t="shared" si="5"/>
        <v>0</v>
      </c>
      <c r="V19" s="257">
        <f>IF(Input!$B$35="Yes",R19,MAX(0,R19+U18)+S19)</f>
        <v>1135.2256338484842</v>
      </c>
      <c r="W19" s="258">
        <v>0.16</v>
      </c>
      <c r="X19" s="257">
        <f t="shared" si="8"/>
        <v>181.63610141575748</v>
      </c>
      <c r="Y19" s="93"/>
    </row>
    <row r="20" spans="1:25">
      <c r="A20" s="159">
        <f t="shared" si="9"/>
        <v>2025</v>
      </c>
      <c r="B20" s="257">
        <f>Revenue!Q21</f>
        <v>2023.2050824565088</v>
      </c>
      <c r="C20" s="257">
        <f>Operations!M29+Abandonment!G26</f>
        <v>291.29478776809464</v>
      </c>
      <c r="D20" s="257">
        <f>Development!BH101</f>
        <v>0</v>
      </c>
      <c r="E20" s="257">
        <f>IF($A20&lt;Production!$B$4,0,IF($A20=Production!$B$4,SUM(D$9:D20),D20))</f>
        <v>0</v>
      </c>
      <c r="F20" s="257">
        <f t="shared" si="6"/>
        <v>463.90534503168891</v>
      </c>
      <c r="G20" s="257">
        <f>F20*IF(A20=Abandonment!$B$4,1,G$5)</f>
        <v>115.97633625792223</v>
      </c>
      <c r="H20" s="257">
        <f>Development!BI101</f>
        <v>0</v>
      </c>
      <c r="I20" s="257">
        <f>IF($A20&lt;Production!$B$4,0,IF($A20=Production!$B$4,SUM(H$9:H20),H20))</f>
        <v>0</v>
      </c>
      <c r="J20" s="257">
        <f t="shared" si="1"/>
        <v>0</v>
      </c>
      <c r="K20" s="257">
        <f>J20*IF(Abandonment!$B$4='Federal Tax'!A21,1,K$5)</f>
        <v>0</v>
      </c>
      <c r="L20" s="257">
        <f t="shared" si="2"/>
        <v>1615.9339584304919</v>
      </c>
      <c r="M20" s="257">
        <f>Royalty!AM22</f>
        <v>595.97328556906155</v>
      </c>
      <c r="N20" s="257">
        <f>Development!BG101</f>
        <v>0</v>
      </c>
      <c r="O20" s="257">
        <f t="shared" si="7"/>
        <v>72.501708997597532</v>
      </c>
      <c r="P20" s="257">
        <f>O20*IF(A20=Abandonment!$B$4,1,P$5)</f>
        <v>21.750512699279259</v>
      </c>
      <c r="Q20" s="257">
        <f>Exploration!Z45</f>
        <v>0</v>
      </c>
      <c r="R20" s="257">
        <f t="shared" si="3"/>
        <v>998.21016016215106</v>
      </c>
      <c r="S20" s="257">
        <f t="shared" si="4"/>
        <v>0</v>
      </c>
      <c r="T20" s="257">
        <f t="shared" si="10"/>
        <v>0</v>
      </c>
      <c r="U20" s="257">
        <f t="shared" si="5"/>
        <v>0</v>
      </c>
      <c r="V20" s="257">
        <f>IF(Input!$B$35="Yes",R20,MAX(0,R20+U19)+S20)</f>
        <v>998.21016016215106</v>
      </c>
      <c r="W20" s="258">
        <v>0.16</v>
      </c>
      <c r="X20" s="257">
        <f t="shared" si="8"/>
        <v>159.71362562594416</v>
      </c>
      <c r="Y20" s="93"/>
    </row>
    <row r="21" spans="1:25">
      <c r="A21" s="159">
        <f t="shared" si="9"/>
        <v>2026</v>
      </c>
      <c r="B21" s="257">
        <f>Revenue!Q22</f>
        <v>1767.8099434506107</v>
      </c>
      <c r="C21" s="257">
        <f>Operations!M30+Abandonment!G27</f>
        <v>279.80651766944408</v>
      </c>
      <c r="D21" s="257">
        <f>Development!BH102</f>
        <v>0</v>
      </c>
      <c r="E21" s="257">
        <f>IF($A21&lt;Production!$B$4,0,IF($A21=Production!$B$4,SUM(D$9:D21),D21))</f>
        <v>0</v>
      </c>
      <c r="F21" s="257">
        <f t="shared" si="6"/>
        <v>347.92900877376667</v>
      </c>
      <c r="G21" s="257">
        <f>F21*IF(A21=Abandonment!$B$4,1,G$5)</f>
        <v>86.982252193441667</v>
      </c>
      <c r="H21" s="257">
        <f>Development!BI102</f>
        <v>0</v>
      </c>
      <c r="I21" s="257">
        <f>IF($A21&lt;Production!$B$4,0,IF($A21=Production!$B$4,SUM(H$9:H21),H21))</f>
        <v>0</v>
      </c>
      <c r="J21" s="257">
        <f t="shared" si="1"/>
        <v>0</v>
      </c>
      <c r="K21" s="257">
        <f>J21*IF(Abandonment!$B$4='Federal Tax'!A22,1,K$5)</f>
        <v>0</v>
      </c>
      <c r="L21" s="257">
        <f t="shared" si="2"/>
        <v>1401.0211735877251</v>
      </c>
      <c r="M21" s="257">
        <f>Royalty!AM23</f>
        <v>511.00797090497775</v>
      </c>
      <c r="N21" s="257">
        <f>Development!BG102</f>
        <v>0</v>
      </c>
      <c r="O21" s="257">
        <f t="shared" si="7"/>
        <v>50.751196298318277</v>
      </c>
      <c r="P21" s="257">
        <f>O21*IF(A21=Abandonment!$B$4,1,P$5)</f>
        <v>15.225358889495482</v>
      </c>
      <c r="Q21" s="257">
        <f>Exploration!Z46</f>
        <v>0</v>
      </c>
      <c r="R21" s="257">
        <f t="shared" si="3"/>
        <v>874.7878437932518</v>
      </c>
      <c r="S21" s="257">
        <f t="shared" si="4"/>
        <v>0</v>
      </c>
      <c r="T21" s="257">
        <f t="shared" si="10"/>
        <v>0</v>
      </c>
      <c r="U21" s="257">
        <f t="shared" si="5"/>
        <v>0</v>
      </c>
      <c r="V21" s="257">
        <f>IF(Input!$B$35="Yes",R21,MAX(0,R21+U20)+S21)</f>
        <v>874.7878437932518</v>
      </c>
      <c r="W21" s="258">
        <v>0.16</v>
      </c>
      <c r="X21" s="257">
        <f t="shared" si="8"/>
        <v>139.9660550069203</v>
      </c>
      <c r="Y21" s="93"/>
    </row>
    <row r="22" spans="1:25">
      <c r="A22" s="159">
        <f t="shared" si="9"/>
        <v>2027</v>
      </c>
      <c r="B22" s="257">
        <f>Revenue!Q23</f>
        <v>1544.4019252787746</v>
      </c>
      <c r="C22" s="257">
        <f>Operations!M31+Abandonment!G28</f>
        <v>270.44776069165704</v>
      </c>
      <c r="D22" s="257">
        <f>Development!BH103</f>
        <v>0</v>
      </c>
      <c r="E22" s="257">
        <f>IF($A22&lt;Production!$B$4,0,IF($A22=Production!$B$4,SUM(D$9:D22),D22))</f>
        <v>0</v>
      </c>
      <c r="F22" s="257">
        <f t="shared" si="6"/>
        <v>260.94675658032497</v>
      </c>
      <c r="G22" s="257">
        <f>F22*IF(A22=Abandonment!$B$4,1,G$5)</f>
        <v>65.236689145081243</v>
      </c>
      <c r="H22" s="257">
        <f>Development!BI103</f>
        <v>0</v>
      </c>
      <c r="I22" s="257">
        <f>IF($A22&lt;Production!$B$4,0,IF($A22=Production!$B$4,SUM(H$9:H22),H22))</f>
        <v>0</v>
      </c>
      <c r="J22" s="257">
        <f t="shared" si="1"/>
        <v>0</v>
      </c>
      <c r="K22" s="257">
        <f>J22*IF(Abandonment!$B$4='Federal Tax'!A23,1,K$5)</f>
        <v>0</v>
      </c>
      <c r="L22" s="257">
        <f t="shared" si="2"/>
        <v>1208.7174754420362</v>
      </c>
      <c r="M22" s="257">
        <f>Royalty!AM24</f>
        <v>436.41828598128313</v>
      </c>
      <c r="N22" s="257">
        <f>Development!BG103</f>
        <v>0</v>
      </c>
      <c r="O22" s="257">
        <f t="shared" si="7"/>
        <v>35.525837408822795</v>
      </c>
      <c r="P22" s="257">
        <f>O22*IF(A22=Abandonment!$B$4,1,P$5)</f>
        <v>10.657751222646839</v>
      </c>
      <c r="Q22" s="257">
        <f>Exploration!Z47</f>
        <v>0</v>
      </c>
      <c r="R22" s="257">
        <f t="shared" si="3"/>
        <v>761.64143823810616</v>
      </c>
      <c r="S22" s="257">
        <f t="shared" si="4"/>
        <v>0</v>
      </c>
      <c r="T22" s="257">
        <f t="shared" si="10"/>
        <v>0</v>
      </c>
      <c r="U22" s="257">
        <f t="shared" si="5"/>
        <v>0</v>
      </c>
      <c r="V22" s="257">
        <f>IF(Input!$B$35="Yes",R22,MAX(0,R22+U21)+S22)</f>
        <v>761.64143823810616</v>
      </c>
      <c r="W22" s="258">
        <v>0.16</v>
      </c>
      <c r="X22" s="257">
        <f t="shared" si="8"/>
        <v>121.86263011809699</v>
      </c>
      <c r="Y22" s="93"/>
    </row>
    <row r="23" spans="1:25">
      <c r="A23" s="159">
        <f t="shared" si="9"/>
        <v>2028</v>
      </c>
      <c r="B23" s="257">
        <f>Revenue!Q24</f>
        <v>1352.4154734421593</v>
      </c>
      <c r="C23" s="257">
        <f>Operations!M32+Abandonment!G29</f>
        <v>263.03297538277047</v>
      </c>
      <c r="D23" s="257">
        <f>Development!BH104</f>
        <v>0</v>
      </c>
      <c r="E23" s="257">
        <f>IF($A23&lt;Production!$B$4,0,IF($A23=Production!$B$4,SUM(D$9:D23),D23))</f>
        <v>0</v>
      </c>
      <c r="F23" s="257">
        <f t="shared" si="6"/>
        <v>195.71006743524373</v>
      </c>
      <c r="G23" s="257">
        <f>F23*IF(A23=Abandonment!$B$4,1,G$5)</f>
        <v>48.927516858810932</v>
      </c>
      <c r="H23" s="257">
        <f>Development!BI104</f>
        <v>0</v>
      </c>
      <c r="I23" s="257">
        <f>IF($A23&lt;Production!$B$4,0,IF($A23=Production!$B$4,SUM(H$9:H23),H23))</f>
        <v>0</v>
      </c>
      <c r="J23" s="257">
        <f t="shared" si="1"/>
        <v>0</v>
      </c>
      <c r="K23" s="257">
        <f>J23*IF(Abandonment!$B$4='Federal Tax'!A24,1,K$5)</f>
        <v>0</v>
      </c>
      <c r="L23" s="257">
        <f t="shared" si="2"/>
        <v>1040.4549812005778</v>
      </c>
      <c r="M23" s="257">
        <f>Royalty!AM25</f>
        <v>372.0777201823891</v>
      </c>
      <c r="N23" s="257">
        <f>Development!BG104</f>
        <v>0</v>
      </c>
      <c r="O23" s="257">
        <f t="shared" si="7"/>
        <v>24.868086186175958</v>
      </c>
      <c r="P23" s="257">
        <f>O23*IF(A23=Abandonment!$B$4,1,P$5)</f>
        <v>7.4604258558527867</v>
      </c>
      <c r="Q23" s="257">
        <f>Exploration!Z48</f>
        <v>0</v>
      </c>
      <c r="R23" s="257">
        <f t="shared" si="3"/>
        <v>660.91683516233581</v>
      </c>
      <c r="S23" s="257">
        <f t="shared" si="4"/>
        <v>0</v>
      </c>
      <c r="T23" s="257">
        <f t="shared" si="10"/>
        <v>0</v>
      </c>
      <c r="U23" s="257">
        <f t="shared" si="5"/>
        <v>0</v>
      </c>
      <c r="V23" s="257">
        <f>IF(Input!$B$35="Yes",R23,MAX(0,R23+U22)+S23)</f>
        <v>660.91683516233581</v>
      </c>
      <c r="W23" s="258">
        <v>0.16</v>
      </c>
      <c r="X23" s="257">
        <f t="shared" si="8"/>
        <v>105.74669362597373</v>
      </c>
      <c r="Y23" s="93"/>
    </row>
    <row r="24" spans="1:25">
      <c r="A24" s="159">
        <f t="shared" si="9"/>
        <v>2029</v>
      </c>
      <c r="B24" s="257">
        <f>Revenue!Q25</f>
        <v>1177.6353605502084</v>
      </c>
      <c r="C24" s="257">
        <f>Operations!M33+Abandonment!G30</f>
        <v>257.0894249213473</v>
      </c>
      <c r="D24" s="257">
        <f>Development!BH105</f>
        <v>0</v>
      </c>
      <c r="E24" s="257">
        <f>IF($A24&lt;Production!$B$4,0,IF($A24=Production!$B$4,SUM(D$9:D24),D24))</f>
        <v>0</v>
      </c>
      <c r="F24" s="257">
        <f t="shared" si="6"/>
        <v>146.78255057643281</v>
      </c>
      <c r="G24" s="257">
        <f>F24*IF(A24=Abandonment!$B$4,1,G$5)</f>
        <v>36.695637644108203</v>
      </c>
      <c r="H24" s="257">
        <f>Development!BI105</f>
        <v>0</v>
      </c>
      <c r="I24" s="257">
        <f>IF($A24&lt;Production!$B$4,0,IF($A24=Production!$B$4,SUM(H$9:H24),H24))</f>
        <v>0</v>
      </c>
      <c r="J24" s="257">
        <f t="shared" si="1"/>
        <v>0</v>
      </c>
      <c r="K24" s="257">
        <f>J24*IF(Abandonment!$B$4='Federal Tax'!A25,1,K$5)</f>
        <v>0</v>
      </c>
      <c r="L24" s="257">
        <f t="shared" si="2"/>
        <v>883.85029798475296</v>
      </c>
      <c r="M24" s="257">
        <f>Royalty!AM26</f>
        <v>313.19294759785419</v>
      </c>
      <c r="N24" s="257">
        <f>Development!BG105</f>
        <v>0</v>
      </c>
      <c r="O24" s="257">
        <f t="shared" si="7"/>
        <v>17.407660330323171</v>
      </c>
      <c r="P24" s="257">
        <f>O24*IF(A24=Abandonment!$B$4,1,P$5)</f>
        <v>5.2222980990969514</v>
      </c>
      <c r="Q24" s="257">
        <f>Exploration!Z49</f>
        <v>0</v>
      </c>
      <c r="R24" s="257">
        <f t="shared" si="3"/>
        <v>565.4350522878018</v>
      </c>
      <c r="S24" s="257">
        <f t="shared" si="4"/>
        <v>0</v>
      </c>
      <c r="T24" s="257">
        <f t="shared" si="10"/>
        <v>0</v>
      </c>
      <c r="U24" s="257">
        <f t="shared" si="5"/>
        <v>0</v>
      </c>
      <c r="V24" s="257">
        <f>IF(Input!$B$35="Yes",R24,MAX(0,R24+U23)+S24)</f>
        <v>565.4350522878018</v>
      </c>
      <c r="W24" s="258">
        <v>0.16</v>
      </c>
      <c r="X24" s="257">
        <f t="shared" si="8"/>
        <v>90.469608366048291</v>
      </c>
      <c r="Y24" s="93"/>
    </row>
    <row r="25" spans="1:25">
      <c r="A25" s="159">
        <f t="shared" si="9"/>
        <v>2030</v>
      </c>
      <c r="B25" s="257">
        <f>Revenue!Q26</f>
        <v>1028.3319276316436</v>
      </c>
      <c r="C25" s="257">
        <f>Operations!M34+Abandonment!G31</f>
        <v>252.70588458205219</v>
      </c>
      <c r="D25" s="257">
        <f>Development!BH106</f>
        <v>0</v>
      </c>
      <c r="E25" s="257">
        <f>IF($A25&lt;Production!$B$4,0,IF($A25=Production!$B$4,SUM(D$9:D25),D25))</f>
        <v>0</v>
      </c>
      <c r="F25" s="257">
        <f t="shared" si="6"/>
        <v>110.08691293232461</v>
      </c>
      <c r="G25" s="257">
        <f>F25*IF(A25=Abandonment!$B$4,1,G$5)</f>
        <v>27.521728233081152</v>
      </c>
      <c r="H25" s="257">
        <f>Development!BI106</f>
        <v>0</v>
      </c>
      <c r="I25" s="257">
        <f>IF($A25&lt;Production!$B$4,0,IF($A25=Production!$B$4,SUM(H$9:H25),H25))</f>
        <v>0</v>
      </c>
      <c r="J25" s="257">
        <f t="shared" si="1"/>
        <v>0</v>
      </c>
      <c r="K25" s="257">
        <f>J25*IF(Abandonment!$B$4='Federal Tax'!A26,1,K$5)</f>
        <v>0</v>
      </c>
      <c r="L25" s="257">
        <f t="shared" si="2"/>
        <v>748.10431481651017</v>
      </c>
      <c r="M25" s="257">
        <f>Royalty!AM27</f>
        <v>262.62440910698518</v>
      </c>
      <c r="N25" s="257">
        <f>Development!BG106</f>
        <v>0</v>
      </c>
      <c r="O25" s="257">
        <f t="shared" si="7"/>
        <v>12.18536223122622</v>
      </c>
      <c r="P25" s="257">
        <f>O25*IF(A25=Abandonment!$B$4,1,P$5)</f>
        <v>3.655608669367866</v>
      </c>
      <c r="Q25" s="257">
        <f>Exploration!Z50</f>
        <v>0</v>
      </c>
      <c r="R25" s="257">
        <f t="shared" si="3"/>
        <v>481.82429704015709</v>
      </c>
      <c r="S25" s="257">
        <f t="shared" si="4"/>
        <v>0</v>
      </c>
      <c r="T25" s="257">
        <f t="shared" si="10"/>
        <v>0</v>
      </c>
      <c r="U25" s="257">
        <f t="shared" si="5"/>
        <v>0</v>
      </c>
      <c r="V25" s="257">
        <f>IF(Input!$B$35="Yes",R25,MAX(0,R25+U24)+S25)</f>
        <v>481.82429704015709</v>
      </c>
      <c r="W25" s="258">
        <v>0.16</v>
      </c>
      <c r="X25" s="257">
        <f t="shared" si="8"/>
        <v>77.09188752642514</v>
      </c>
      <c r="Y25" s="93"/>
    </row>
    <row r="26" spans="1:25">
      <c r="A26" s="159">
        <f t="shared" si="9"/>
        <v>2031</v>
      </c>
      <c r="B26" s="257">
        <f>Revenue!Q27</f>
        <v>897.82489223453922</v>
      </c>
      <c r="C26" s="257">
        <f>Operations!M35+Abandonment!G32</f>
        <v>249.60464313942458</v>
      </c>
      <c r="D26" s="257">
        <f>Development!BH107</f>
        <v>0</v>
      </c>
      <c r="E26" s="257">
        <f>IF($A26&lt;Production!$B$4,0,IF($A26=Production!$B$4,SUM(D$9:D26),D26))</f>
        <v>0</v>
      </c>
      <c r="F26" s="257">
        <f t="shared" si="6"/>
        <v>82.56518469924346</v>
      </c>
      <c r="G26" s="257">
        <f>F26*IF(A26=Abandonment!$B$4,1,G$5)</f>
        <v>20.641296174810865</v>
      </c>
      <c r="H26" s="257">
        <f>Development!BI107</f>
        <v>0</v>
      </c>
      <c r="I26" s="257">
        <f>IF($A26&lt;Production!$B$4,0,IF($A26=Production!$B$4,SUM(H$9:H26),H26))</f>
        <v>0</v>
      </c>
      <c r="J26" s="257">
        <f t="shared" si="1"/>
        <v>0</v>
      </c>
      <c r="K26" s="257">
        <f>J26*IF(Abandonment!$B$4='Federal Tax'!A27,1,K$5)</f>
        <v>0</v>
      </c>
      <c r="L26" s="257">
        <f t="shared" si="2"/>
        <v>627.57895292030378</v>
      </c>
      <c r="M26" s="257">
        <f>Royalty!AM28</f>
        <v>218.14092467341024</v>
      </c>
      <c r="N26" s="257">
        <f>Development!BG107</f>
        <v>0</v>
      </c>
      <c r="O26" s="257">
        <f t="shared" si="7"/>
        <v>8.5297535618583531</v>
      </c>
      <c r="P26" s="257">
        <f>O26*IF(A26=Abandonment!$B$4,1,P$5)</f>
        <v>2.5589260685575059</v>
      </c>
      <c r="Q26" s="257">
        <f>Exploration!Z51</f>
        <v>0</v>
      </c>
      <c r="R26" s="257">
        <f t="shared" si="3"/>
        <v>406.87910217833598</v>
      </c>
      <c r="S26" s="257">
        <f t="shared" si="4"/>
        <v>0</v>
      </c>
      <c r="T26" s="257">
        <f t="shared" si="10"/>
        <v>0</v>
      </c>
      <c r="U26" s="257">
        <f t="shared" si="5"/>
        <v>0</v>
      </c>
      <c r="V26" s="257">
        <f>IF(Input!$B$35="Yes",R26,MAX(0,R26+U25)+S26)</f>
        <v>406.87910217833598</v>
      </c>
      <c r="W26" s="258">
        <v>0.16</v>
      </c>
      <c r="X26" s="257">
        <f t="shared" si="8"/>
        <v>65.100656348533761</v>
      </c>
      <c r="Y26" s="93"/>
    </row>
    <row r="27" spans="1:25">
      <c r="A27" s="159">
        <f t="shared" si="9"/>
        <v>2032</v>
      </c>
      <c r="B27" s="257">
        <f>Revenue!Q28</f>
        <v>785.74476337553085</v>
      </c>
      <c r="C27" s="257">
        <f>Operations!M36+Abandonment!G33</f>
        <v>247.68023535334459</v>
      </c>
      <c r="D27" s="257">
        <f>Development!BH108</f>
        <v>0</v>
      </c>
      <c r="E27" s="257">
        <f>IF($A27&lt;Production!$B$4,0,IF($A27=Production!$B$4,SUM(D$9:D27),D27))</f>
        <v>0</v>
      </c>
      <c r="F27" s="257">
        <f t="shared" si="6"/>
        <v>61.923888524432599</v>
      </c>
      <c r="G27" s="257">
        <f>F27*IF(A27=Abandonment!$B$4,1,G$5)</f>
        <v>15.48097213110815</v>
      </c>
      <c r="H27" s="257">
        <f>Development!BI108</f>
        <v>0</v>
      </c>
      <c r="I27" s="257">
        <f>IF($A27&lt;Production!$B$4,0,IF($A27=Production!$B$4,SUM(H$9:H27),H27))</f>
        <v>0</v>
      </c>
      <c r="J27" s="257">
        <f t="shared" si="1"/>
        <v>0</v>
      </c>
      <c r="K27" s="257">
        <f>J27*IF(Abandonment!$B$4='Federal Tax'!A28,1,K$5)</f>
        <v>0</v>
      </c>
      <c r="L27" s="257">
        <f t="shared" si="2"/>
        <v>522.58355589107816</v>
      </c>
      <c r="M27" s="257">
        <f>Royalty!AM29</f>
        <v>179.65377657039809</v>
      </c>
      <c r="N27" s="257">
        <f>Development!BG108</f>
        <v>0</v>
      </c>
      <c r="O27" s="257">
        <f t="shared" si="7"/>
        <v>5.9708274933008472</v>
      </c>
      <c r="P27" s="257">
        <f>O27*IF(A27=Abandonment!$B$4,1,P$5)</f>
        <v>1.7912482479902541</v>
      </c>
      <c r="Q27" s="257">
        <f>Exploration!Z52</f>
        <v>0</v>
      </c>
      <c r="R27" s="257">
        <f t="shared" si="3"/>
        <v>341.13853107268977</v>
      </c>
      <c r="S27" s="257">
        <f t="shared" si="4"/>
        <v>0</v>
      </c>
      <c r="T27" s="257">
        <f t="shared" si="10"/>
        <v>0</v>
      </c>
      <c r="U27" s="257">
        <f t="shared" si="5"/>
        <v>0</v>
      </c>
      <c r="V27" s="257">
        <f>IF(Input!$B$35="Yes",R27,MAX(0,R27+U26)+S27)</f>
        <v>341.13853107268977</v>
      </c>
      <c r="W27" s="258">
        <v>0.16</v>
      </c>
      <c r="X27" s="257">
        <f t="shared" si="8"/>
        <v>54.582164971630363</v>
      </c>
      <c r="Y27" s="93"/>
    </row>
    <row r="28" spans="1:25">
      <c r="A28" s="159">
        <f t="shared" si="9"/>
        <v>2033</v>
      </c>
      <c r="B28" s="257">
        <f>Revenue!Q29</f>
        <v>683.79909324241123</v>
      </c>
      <c r="C28" s="257">
        <f>Operations!M37+Abandonment!G34</f>
        <v>246.661823364263</v>
      </c>
      <c r="D28" s="257">
        <f>Development!BH109</f>
        <v>0</v>
      </c>
      <c r="E28" s="257">
        <f>IF($A28&lt;Production!$B$4,0,IF($A28=Production!$B$4,SUM(D$9:D28),D28))</f>
        <v>0</v>
      </c>
      <c r="F28" s="257">
        <f t="shared" si="6"/>
        <v>46.442916393324452</v>
      </c>
      <c r="G28" s="257">
        <f>F28*IF(A28=Abandonment!$B$4,1,G$5)</f>
        <v>11.610729098331113</v>
      </c>
      <c r="H28" s="257">
        <f>Development!BI109</f>
        <v>0</v>
      </c>
      <c r="I28" s="257">
        <f>IF($A28&lt;Production!$B$4,0,IF($A28=Production!$B$4,SUM(H$9:H28),H28))</f>
        <v>0</v>
      </c>
      <c r="J28" s="257">
        <f t="shared" si="1"/>
        <v>0</v>
      </c>
      <c r="K28" s="257">
        <f>J28*IF(Abandonment!$B$4='Federal Tax'!A29,1,K$5)</f>
        <v>0</v>
      </c>
      <c r="L28" s="257">
        <f t="shared" si="2"/>
        <v>425.52654077981714</v>
      </c>
      <c r="M28" s="257">
        <f>Royalty!AM30</f>
        <v>144.36488063960266</v>
      </c>
      <c r="N28" s="257">
        <f>Development!BG109</f>
        <v>0</v>
      </c>
      <c r="O28" s="257">
        <f t="shared" si="7"/>
        <v>4.1795792453105935</v>
      </c>
      <c r="P28" s="257">
        <f>O28*IF(A28=Abandonment!$B$4,1,P$5)</f>
        <v>1.253873773593178</v>
      </c>
      <c r="Q28" s="257">
        <f>Exploration!Z53</f>
        <v>0</v>
      </c>
      <c r="R28" s="257">
        <f t="shared" si="3"/>
        <v>279.90778636662134</v>
      </c>
      <c r="S28" s="257">
        <f t="shared" si="4"/>
        <v>0</v>
      </c>
      <c r="T28" s="257">
        <f t="shared" si="10"/>
        <v>0</v>
      </c>
      <c r="U28" s="257">
        <f t="shared" si="5"/>
        <v>0</v>
      </c>
      <c r="V28" s="257">
        <f>IF(Input!$B$35="Yes",R28,MAX(0,R28+U27)+S28)</f>
        <v>279.90778636662134</v>
      </c>
      <c r="W28" s="258">
        <v>0.16</v>
      </c>
      <c r="X28" s="257">
        <f t="shared" si="8"/>
        <v>44.785245818659412</v>
      </c>
      <c r="Y28" s="93"/>
    </row>
    <row r="29" spans="1:25">
      <c r="A29" s="159">
        <f t="shared" si="9"/>
        <v>2034</v>
      </c>
      <c r="B29" s="257">
        <f>Revenue!Q30</f>
        <v>596.76502233232452</v>
      </c>
      <c r="C29" s="257">
        <f>Operations!M38+Abandonment!G35</f>
        <v>246.60200276173768</v>
      </c>
      <c r="D29" s="257">
        <f>Development!BH110</f>
        <v>0</v>
      </c>
      <c r="E29" s="257">
        <f>IF($A29&lt;Production!$B$4,0,IF($A29=Production!$B$4,SUM(D$9:D29),D29))</f>
        <v>0</v>
      </c>
      <c r="F29" s="257">
        <f t="shared" si="6"/>
        <v>34.832187294993339</v>
      </c>
      <c r="G29" s="257">
        <f>F29*IF(A29=Abandonment!$B$4,1,G$5)</f>
        <v>8.7080468237483348</v>
      </c>
      <c r="H29" s="257">
        <f>Development!BI110</f>
        <v>0</v>
      </c>
      <c r="I29" s="257">
        <f>IF($A29&lt;Production!$B$4,0,IF($A29=Production!$B$4,SUM(H$9:H29),H29))</f>
        <v>0</v>
      </c>
      <c r="J29" s="257">
        <f t="shared" si="1"/>
        <v>0</v>
      </c>
      <c r="K29" s="257">
        <f>J29*IF(Abandonment!$B$4='Federal Tax'!A30,1,K$5)</f>
        <v>0</v>
      </c>
      <c r="L29" s="257">
        <f t="shared" si="2"/>
        <v>341.45497274683845</v>
      </c>
      <c r="M29" s="257">
        <f>Royalty!AM31</f>
        <v>113.92598675304457</v>
      </c>
      <c r="N29" s="257">
        <f>Development!BG110</f>
        <v>0</v>
      </c>
      <c r="O29" s="257">
        <f t="shared" si="7"/>
        <v>2.9257054717174156</v>
      </c>
      <c r="P29" s="257">
        <f>O29*IF(A29=Abandonment!$B$4,1,P$5)</f>
        <v>0.87771164151522463</v>
      </c>
      <c r="Q29" s="257">
        <f>Exploration!Z54</f>
        <v>0</v>
      </c>
      <c r="R29" s="257">
        <f t="shared" si="3"/>
        <v>226.65127435227865</v>
      </c>
      <c r="S29" s="257">
        <f t="shared" si="4"/>
        <v>0</v>
      </c>
      <c r="T29" s="257">
        <f t="shared" si="10"/>
        <v>0</v>
      </c>
      <c r="U29" s="257">
        <f t="shared" si="5"/>
        <v>0</v>
      </c>
      <c r="V29" s="257">
        <f>IF(Input!$B$35="Yes",R29,MAX(0,R29+U28)+S29)</f>
        <v>226.65127435227865</v>
      </c>
      <c r="W29" s="258">
        <v>0.16</v>
      </c>
      <c r="X29" s="257">
        <f t="shared" si="8"/>
        <v>36.264203896364585</v>
      </c>
      <c r="Y29" s="93"/>
    </row>
    <row r="30" spans="1:25">
      <c r="A30" s="159">
        <f t="shared" si="9"/>
        <v>2035</v>
      </c>
      <c r="B30" s="257">
        <f>Revenue!Q31</f>
        <v>520.73871336508751</v>
      </c>
      <c r="C30" s="257">
        <f>Operations!M39+Abandonment!G36</f>
        <v>247.34233129067826</v>
      </c>
      <c r="D30" s="257">
        <f>Development!BH111</f>
        <v>0</v>
      </c>
      <c r="E30" s="257">
        <f>IF($A30&lt;Production!$B$4,0,IF($A30=Production!$B$4,SUM(D$9:D30),D30))</f>
        <v>0</v>
      </c>
      <c r="F30" s="257">
        <f t="shared" si="6"/>
        <v>26.124140471245006</v>
      </c>
      <c r="G30" s="257">
        <f>F30*IF(A30=Abandonment!$B$4,1,G$5)</f>
        <v>6.5310351178112516</v>
      </c>
      <c r="H30" s="257">
        <f>Development!BI111</f>
        <v>0</v>
      </c>
      <c r="I30" s="257">
        <f>IF($A30&lt;Production!$B$4,0,IF($A30=Production!$B$4,SUM(H$9:H30),H30))</f>
        <v>0</v>
      </c>
      <c r="J30" s="257">
        <f t="shared" si="1"/>
        <v>0</v>
      </c>
      <c r="K30" s="257">
        <f>J30*IF(Abandonment!$B$4='Federal Tax'!A31,1,K$5)</f>
        <v>0</v>
      </c>
      <c r="L30" s="257">
        <f t="shared" si="2"/>
        <v>266.86534695659799</v>
      </c>
      <c r="M30" s="257">
        <f>Royalty!AM32</f>
        <v>87.031752130869492</v>
      </c>
      <c r="N30" s="257">
        <f>Development!BG111</f>
        <v>0</v>
      </c>
      <c r="O30" s="257">
        <f t="shared" si="7"/>
        <v>2.0479938302021909</v>
      </c>
      <c r="P30" s="257">
        <f>O30*IF(A30=Abandonment!$B$4,1,P$5)</f>
        <v>0.61439814906065726</v>
      </c>
      <c r="Q30" s="257">
        <f>Exploration!Z55</f>
        <v>0</v>
      </c>
      <c r="R30" s="257">
        <f t="shared" si="3"/>
        <v>179.21919667666782</v>
      </c>
      <c r="S30" s="257">
        <f t="shared" si="4"/>
        <v>0</v>
      </c>
      <c r="T30" s="257">
        <f t="shared" si="10"/>
        <v>0</v>
      </c>
      <c r="U30" s="257">
        <f t="shared" si="5"/>
        <v>0</v>
      </c>
      <c r="V30" s="257">
        <f>IF(Input!$B$35="Yes",R30,MAX(0,R30+U29)+S30)</f>
        <v>179.21919667666782</v>
      </c>
      <c r="W30" s="258">
        <v>0.16</v>
      </c>
      <c r="X30" s="257">
        <f t="shared" si="8"/>
        <v>28.67507146826685</v>
      </c>
      <c r="Y30" s="93"/>
    </row>
    <row r="31" spans="1:25">
      <c r="A31" s="159">
        <f t="shared" si="9"/>
        <v>2036</v>
      </c>
      <c r="B31" s="257">
        <f>Revenue!Q32</f>
        <v>455.48441890446168</v>
      </c>
      <c r="C31" s="257">
        <f>Operations!M40+Abandonment!G37</f>
        <v>248.82360774808626</v>
      </c>
      <c r="D31" s="257">
        <f>Development!BH112</f>
        <v>0</v>
      </c>
      <c r="E31" s="257">
        <f>IF($A31&lt;Production!$B$4,0,IF($A31=Production!$B$4,SUM(D$9:D31),D31))</f>
        <v>0</v>
      </c>
      <c r="F31" s="257">
        <f t="shared" si="6"/>
        <v>19.593105353433756</v>
      </c>
      <c r="G31" s="257">
        <f>F31*IF(A31=Abandonment!$B$4,1,G$5)</f>
        <v>4.8982763383584391</v>
      </c>
      <c r="H31" s="257">
        <f>Development!BI112</f>
        <v>0</v>
      </c>
      <c r="I31" s="257">
        <f>IF($A31&lt;Production!$B$4,0,IF($A31=Production!$B$4,SUM(H$9:H31),H31))</f>
        <v>0</v>
      </c>
      <c r="J31" s="257">
        <f t="shared" si="1"/>
        <v>0</v>
      </c>
      <c r="K31" s="257">
        <f>J31*IF(Abandonment!$B$4='Federal Tax'!A32,1,K$5)</f>
        <v>0</v>
      </c>
      <c r="L31" s="257">
        <f t="shared" si="2"/>
        <v>201.76253481801697</v>
      </c>
      <c r="M31" s="257">
        <f>Royalty!AM33</f>
        <v>63.622457633548358</v>
      </c>
      <c r="N31" s="257">
        <f>Development!BG112</f>
        <v>0</v>
      </c>
      <c r="O31" s="257">
        <f t="shared" si="7"/>
        <v>1.4335956811415338</v>
      </c>
      <c r="P31" s="257">
        <f>O31*IF(A31=Abandonment!$B$4,1,P$5)</f>
        <v>0.43007870434246015</v>
      </c>
      <c r="Q31" s="257">
        <f>Exploration!Z56</f>
        <v>0</v>
      </c>
      <c r="R31" s="257">
        <f t="shared" si="3"/>
        <v>137.70999848012616</v>
      </c>
      <c r="S31" s="257">
        <f>-MIN(-MIN(R31,0),MAX(0,SUM(V28:V30)-SUM(S28:S30)+T30))</f>
        <v>0</v>
      </c>
      <c r="T31" s="257">
        <f t="shared" si="10"/>
        <v>0</v>
      </c>
      <c r="U31" s="257">
        <f t="shared" si="5"/>
        <v>0</v>
      </c>
      <c r="V31" s="257">
        <f>IF(Input!$B$35="Yes",R31,MAX(0,R31+U30)+S31)</f>
        <v>137.70999848012616</v>
      </c>
      <c r="W31" s="258">
        <v>0.16</v>
      </c>
      <c r="X31" s="257">
        <f t="shared" si="8"/>
        <v>22.033599756820188</v>
      </c>
      <c r="Y31" s="93"/>
    </row>
    <row r="32" spans="1:25">
      <c r="A32" s="159">
        <f t="shared" si="9"/>
        <v>2037</v>
      </c>
      <c r="B32" s="257">
        <f>Revenue!Q33</f>
        <v>396.17748104059569</v>
      </c>
      <c r="C32" s="257">
        <f>Operations!M41+Abandonment!G38</f>
        <v>250.89142461711268</v>
      </c>
      <c r="D32" s="257">
        <f>Development!BH113</f>
        <v>0</v>
      </c>
      <c r="E32" s="257">
        <f>IF($A32&lt;Production!$B$4,0,IF($A32=Production!$B$4,SUM(D$9:D32),D32))</f>
        <v>0</v>
      </c>
      <c r="F32" s="257">
        <f t="shared" si="6"/>
        <v>14.694829015075317</v>
      </c>
      <c r="G32" s="257">
        <f>F32*IF(A32=Abandonment!$B$4,1,G$5)</f>
        <v>3.6737072537688293</v>
      </c>
      <c r="H32" s="257">
        <f>Development!BI113</f>
        <v>0</v>
      </c>
      <c r="I32" s="257">
        <f>IF($A32&lt;Production!$B$4,0,IF($A32=Production!$B$4,SUM(H$9:H32),H32))</f>
        <v>0</v>
      </c>
      <c r="J32" s="257">
        <f t="shared" si="1"/>
        <v>0</v>
      </c>
      <c r="K32" s="257">
        <f>J32*IF(Abandonment!$B$4='Federal Tax'!A33,1,K$5)</f>
        <v>0</v>
      </c>
      <c r="L32" s="257">
        <f t="shared" si="2"/>
        <v>141.61234916971418</v>
      </c>
      <c r="M32" s="257">
        <f>Royalty!AM34</f>
        <v>42.068919886620094</v>
      </c>
      <c r="N32" s="257">
        <f>Development!BG113</f>
        <v>0</v>
      </c>
      <c r="O32" s="257">
        <f t="shared" si="7"/>
        <v>1.0035169767990737</v>
      </c>
      <c r="P32" s="257">
        <f>O32*IF(A32=Abandonment!$B$4,1,P$5)</f>
        <v>0.30105509303972211</v>
      </c>
      <c r="Q32" s="257">
        <f>Exploration!Z57</f>
        <v>0</v>
      </c>
      <c r="R32" s="257">
        <f t="shared" si="3"/>
        <v>99.242374190054363</v>
      </c>
      <c r="S32" s="257">
        <f t="shared" si="4"/>
        <v>0</v>
      </c>
      <c r="T32" s="257">
        <f t="shared" si="10"/>
        <v>0</v>
      </c>
      <c r="U32" s="257">
        <f t="shared" si="5"/>
        <v>0</v>
      </c>
      <c r="V32" s="257">
        <f>IF(Input!$B$35="Yes",R32,MAX(0,R32+U31)+S32)</f>
        <v>99.242374190054363</v>
      </c>
      <c r="W32" s="258">
        <v>0.16</v>
      </c>
      <c r="X32" s="257">
        <f t="shared" si="8"/>
        <v>15.878779870408698</v>
      </c>
      <c r="Y32" s="93"/>
    </row>
    <row r="33" spans="1:25">
      <c r="A33" s="159">
        <f t="shared" si="9"/>
        <v>2038</v>
      </c>
      <c r="B33" s="257">
        <f>Revenue!Q34</f>
        <v>345.57244559477238</v>
      </c>
      <c r="C33" s="257">
        <f>Operations!M42+Abandonment!G39</f>
        <v>253.57769235323914</v>
      </c>
      <c r="D33" s="257">
        <f>Development!BH114</f>
        <v>0</v>
      </c>
      <c r="E33" s="257">
        <f>IF($A33&lt;Production!$B$4,0,IF($A33=Production!$B$4,SUM(D$9:D33),D33))</f>
        <v>0</v>
      </c>
      <c r="F33" s="257">
        <f t="shared" si="6"/>
        <v>11.021121761306489</v>
      </c>
      <c r="G33" s="257">
        <f>F33*IF(A33=Abandonment!$B$4,1,G$5)</f>
        <v>2.7552804403266222</v>
      </c>
      <c r="H33" s="257">
        <f>Development!BI114</f>
        <v>0</v>
      </c>
      <c r="I33" s="257">
        <f>IF($A33&lt;Production!$B$4,0,IF($A33=Production!$B$4,SUM(H$9:H33),H33))</f>
        <v>0</v>
      </c>
      <c r="J33" s="257">
        <f t="shared" si="1"/>
        <v>0</v>
      </c>
      <c r="K33" s="257">
        <f>J33*IF(Abandonment!$B$4='Federal Tax'!A34,1,K$5)</f>
        <v>0</v>
      </c>
      <c r="L33" s="257">
        <f t="shared" si="2"/>
        <v>89.239472801206603</v>
      </c>
      <c r="M33" s="257">
        <f>Royalty!AM35</f>
        <v>23.322944402173245</v>
      </c>
      <c r="N33" s="257">
        <f>Development!BG114</f>
        <v>0</v>
      </c>
      <c r="O33" s="257">
        <f t="shared" si="7"/>
        <v>0.70246188375935159</v>
      </c>
      <c r="P33" s="257">
        <f>O33*IF(A33=Abandonment!$B$4,1,P$5)</f>
        <v>0.21073856512780548</v>
      </c>
      <c r="Q33" s="257">
        <f>Exploration!Z58</f>
        <v>0</v>
      </c>
      <c r="R33" s="257">
        <f t="shared" si="3"/>
        <v>65.705789833905541</v>
      </c>
      <c r="S33" s="257">
        <f t="shared" si="4"/>
        <v>0</v>
      </c>
      <c r="T33" s="257">
        <f t="shared" si="10"/>
        <v>0</v>
      </c>
      <c r="U33" s="257">
        <f t="shared" si="5"/>
        <v>0</v>
      </c>
      <c r="V33" s="257">
        <f>IF(Input!$B$35="Yes",R33,MAX(0,R33+U32)+S33)</f>
        <v>65.705789833905541</v>
      </c>
      <c r="W33" s="258">
        <v>0.16</v>
      </c>
      <c r="X33" s="257">
        <f t="shared" si="8"/>
        <v>10.512926373424888</v>
      </c>
      <c r="Y33" s="93"/>
    </row>
    <row r="34" spans="1:25">
      <c r="A34" s="159">
        <f t="shared" si="9"/>
        <v>2039</v>
      </c>
      <c r="B34" s="257">
        <f>Revenue!Q35</f>
        <v>301.39438727693158</v>
      </c>
      <c r="C34" s="257">
        <f>Operations!M43+Abandonment!G40</f>
        <v>256.79281658472883</v>
      </c>
      <c r="D34" s="257">
        <f>Development!BH115</f>
        <v>0</v>
      </c>
      <c r="E34" s="257">
        <f>IF($A34&lt;Production!$B$4,0,IF($A34=Production!$B$4,SUM(D$9:D34),D34))</f>
        <v>0</v>
      </c>
      <c r="F34" s="257">
        <f t="shared" si="6"/>
        <v>8.2658413209798667</v>
      </c>
      <c r="G34" s="257">
        <f>F34*IF(A34=Abandonment!$B$4,1,G$5)</f>
        <v>2.0664603302449667</v>
      </c>
      <c r="H34" s="257">
        <f>Development!BI115</f>
        <v>0</v>
      </c>
      <c r="I34" s="257">
        <f>IF($A34&lt;Production!$B$4,0,IF($A34=Production!$B$4,SUM(H$9:H34),H34))</f>
        <v>0</v>
      </c>
      <c r="J34" s="257">
        <f t="shared" si="1"/>
        <v>0</v>
      </c>
      <c r="K34" s="257">
        <f>J34*IF(Abandonment!$B$4='Federal Tax'!A35,1,K$5)</f>
        <v>0</v>
      </c>
      <c r="L34" s="257">
        <f t="shared" si="2"/>
        <v>42.535110361957791</v>
      </c>
      <c r="M34" s="257">
        <f>Royalty!AM36</f>
        <v>15.069719363846581</v>
      </c>
      <c r="N34" s="257">
        <f>Development!BG115</f>
        <v>0</v>
      </c>
      <c r="O34" s="257">
        <f t="shared" si="7"/>
        <v>0.49172331863154611</v>
      </c>
      <c r="P34" s="257">
        <f>O34*IF(A34=Abandonment!$B$4,1,P$5)</f>
        <v>0.14751699558946382</v>
      </c>
      <c r="Q34" s="257">
        <f>Exploration!Z59</f>
        <v>0</v>
      </c>
      <c r="R34" s="257">
        <f t="shared" si="3"/>
        <v>27.317874002521748</v>
      </c>
      <c r="S34" s="257">
        <f t="shared" si="4"/>
        <v>0</v>
      </c>
      <c r="T34" s="257">
        <f t="shared" si="10"/>
        <v>0</v>
      </c>
      <c r="U34" s="257">
        <f t="shared" si="5"/>
        <v>0</v>
      </c>
      <c r="V34" s="257">
        <f>IF(Input!$B$35="Yes",R34,MAX(0,R34+U33)+S34)</f>
        <v>27.317874002521748</v>
      </c>
      <c r="W34" s="258">
        <v>0.16</v>
      </c>
      <c r="X34" s="257">
        <f t="shared" si="8"/>
        <v>4.3708598404034795</v>
      </c>
      <c r="Y34" s="93"/>
    </row>
    <row r="35" spans="1:25">
      <c r="A35" s="159">
        <f t="shared" si="9"/>
        <v>2040</v>
      </c>
      <c r="B35" s="257">
        <f>Revenue!Q36</f>
        <v>263.49553957782268</v>
      </c>
      <c r="C35" s="257">
        <f>Operations!M44+Abandonment!G41</f>
        <v>260.50440137811717</v>
      </c>
      <c r="D35" s="257">
        <f>Development!BH116</f>
        <v>0</v>
      </c>
      <c r="E35" s="257">
        <f>IF($A35&lt;Production!$B$4,0,IF($A35=Production!$B$4,SUM(D$9:D35),D35))</f>
        <v>0</v>
      </c>
      <c r="F35" s="257">
        <f t="shared" si="6"/>
        <v>6.1993809907349</v>
      </c>
      <c r="G35" s="257">
        <f>F35*IF(A35=Abandonment!$B$4,1,G$5)</f>
        <v>1.549845247683725</v>
      </c>
      <c r="H35" s="257">
        <f>Development!BI116</f>
        <v>0</v>
      </c>
      <c r="I35" s="257">
        <f>IF($A35&lt;Production!$B$4,0,IF($A35=Production!$B$4,SUM(H$9:H35),H35))</f>
        <v>0</v>
      </c>
      <c r="J35" s="257">
        <f t="shared" si="1"/>
        <v>0</v>
      </c>
      <c r="K35" s="257">
        <f>J35*IF(Abandonment!$B$4='Federal Tax'!A36,1,K$5)</f>
        <v>0</v>
      </c>
      <c r="L35" s="257">
        <f t="shared" si="2"/>
        <v>1.4412929520217923</v>
      </c>
      <c r="M35" s="257">
        <f>Royalty!AM37</f>
        <v>13.174776978891137</v>
      </c>
      <c r="N35" s="257">
        <f>Development!BG116</f>
        <v>0</v>
      </c>
      <c r="O35" s="257">
        <f t="shared" si="7"/>
        <v>0.34420632304208232</v>
      </c>
      <c r="P35" s="257">
        <f>O35*IF(A35=Abandonment!$B$4,1,P$5)</f>
        <v>0.10326189691262469</v>
      </c>
      <c r="Q35" s="257">
        <f>Exploration!Z60</f>
        <v>0</v>
      </c>
      <c r="R35" s="257">
        <f t="shared" si="3"/>
        <v>-11.836745923781969</v>
      </c>
      <c r="S35" s="257">
        <f t="shared" si="4"/>
        <v>-11.836745923781969</v>
      </c>
      <c r="T35" s="257">
        <f t="shared" si="10"/>
        <v>0</v>
      </c>
      <c r="U35" s="257">
        <f t="shared" si="5"/>
        <v>0</v>
      </c>
      <c r="V35" s="257">
        <f>IF(Input!$B$35="Yes",R35,MAX(0,R35+U34)+S35)</f>
        <v>-11.836745923781969</v>
      </c>
      <c r="W35" s="258">
        <v>0.16</v>
      </c>
      <c r="X35" s="257">
        <f t="shared" si="8"/>
        <v>-1.893879347805115</v>
      </c>
      <c r="Y35" s="93"/>
    </row>
    <row r="36" spans="1:25">
      <c r="A36" s="159">
        <f t="shared" si="9"/>
        <v>2041</v>
      </c>
      <c r="B36" s="257">
        <f>Revenue!Q37</f>
        <v>0</v>
      </c>
      <c r="C36" s="257">
        <f>Operations!M45+Abandonment!G42</f>
        <v>358.54722678320917</v>
      </c>
      <c r="D36" s="257">
        <f>Development!BH117</f>
        <v>0</v>
      </c>
      <c r="E36" s="257">
        <f>IF($A36&lt;Production!$B$4,0,IF($A36=Production!$B$4,SUM(D$9:D36),D36))</f>
        <v>0</v>
      </c>
      <c r="F36" s="257">
        <f t="shared" si="6"/>
        <v>4.6495357430511746</v>
      </c>
      <c r="G36" s="257">
        <f>F36*IF(A36=Abandonment!$B$4,1,G$5)</f>
        <v>4.6495357430511746</v>
      </c>
      <c r="H36" s="257">
        <f>Development!BI117</f>
        <v>0</v>
      </c>
      <c r="I36" s="257">
        <f>IF($A36&lt;Production!$B$4,0,IF($A36=Production!$B$4,SUM(H$9:H36),H36))</f>
        <v>0</v>
      </c>
      <c r="J36" s="257">
        <f t="shared" si="1"/>
        <v>0</v>
      </c>
      <c r="K36" s="257">
        <f>J36*IF(Abandonment!$B$4='Federal Tax'!A37,1,K$5)</f>
        <v>0</v>
      </c>
      <c r="L36" s="257">
        <f t="shared" si="2"/>
        <v>-363.19676252626033</v>
      </c>
      <c r="M36" s="257">
        <f>Royalty!AM38</f>
        <v>-69.152604645350209</v>
      </c>
      <c r="N36" s="257">
        <f>Development!BG117</f>
        <v>0</v>
      </c>
      <c r="O36" s="257">
        <f t="shared" si="7"/>
        <v>0.24094442612945763</v>
      </c>
      <c r="P36" s="257">
        <f>O36*IF(A36=Abandonment!$B$4,1,P$5)</f>
        <v>0.24094442612945763</v>
      </c>
      <c r="Q36" s="257">
        <f>Exploration!Z61</f>
        <v>0</v>
      </c>
      <c r="R36" s="257">
        <f t="shared" si="3"/>
        <v>-294.28510230703955</v>
      </c>
      <c r="S36" s="257">
        <f t="shared" si="4"/>
        <v>-93.023663836427289</v>
      </c>
      <c r="T36" s="257">
        <f t="shared" si="10"/>
        <v>-27.317874002521748</v>
      </c>
      <c r="U36" s="257">
        <f t="shared" si="5"/>
        <v>-201.26143847061226</v>
      </c>
      <c r="V36" s="257">
        <f>IF(Input!$B$35="Yes",R36,MAX(0,R36+U35)+S36)</f>
        <v>-294.28510230703955</v>
      </c>
      <c r="W36" s="258">
        <v>0.16</v>
      </c>
      <c r="X36" s="257">
        <f t="shared" si="8"/>
        <v>-47.085616369126328</v>
      </c>
      <c r="Y36" s="93"/>
    </row>
    <row r="37" spans="1:25">
      <c r="A37" s="159">
        <f t="shared" si="9"/>
        <v>2042</v>
      </c>
      <c r="B37" s="257">
        <f>Revenue!Q38</f>
        <v>0</v>
      </c>
      <c r="C37" s="257">
        <f>Operations!M46+Abandonment!G43</f>
        <v>0</v>
      </c>
      <c r="D37" s="257">
        <f>Development!BH118</f>
        <v>0</v>
      </c>
      <c r="E37" s="257">
        <f>IF($A37&lt;Production!$B$4,0,IF($A37=Production!$B$4,SUM(D$9:D37),D37))</f>
        <v>0</v>
      </c>
      <c r="F37" s="257">
        <f t="shared" si="6"/>
        <v>0</v>
      </c>
      <c r="G37" s="257">
        <f>F37*IF(A37=Abandonment!$B$4,1,G$5)</f>
        <v>0</v>
      </c>
      <c r="H37" s="257">
        <f>Development!BI118</f>
        <v>0</v>
      </c>
      <c r="I37" s="257">
        <f>IF($A37&lt;Production!$B$4,0,IF($A37=Production!$B$4,SUM(H$9:H37),H37))</f>
        <v>0</v>
      </c>
      <c r="J37" s="257">
        <f t="shared" si="1"/>
        <v>0</v>
      </c>
      <c r="K37" s="257">
        <f>J37*IF(Abandonment!$B$4='Federal Tax'!A38,1,K$5)</f>
        <v>0</v>
      </c>
      <c r="L37" s="257">
        <f t="shared" si="2"/>
        <v>0</v>
      </c>
      <c r="M37" s="257">
        <f>Royalty!AM39</f>
        <v>0</v>
      </c>
      <c r="N37" s="257">
        <f>Development!BG118</f>
        <v>0</v>
      </c>
      <c r="O37" s="257">
        <f t="shared" si="7"/>
        <v>0</v>
      </c>
      <c r="P37" s="257">
        <f>O37*IF(A37=Abandonment!$B$4,1,P$5)</f>
        <v>0</v>
      </c>
      <c r="Q37" s="257">
        <f>Exploration!Z62</f>
        <v>0</v>
      </c>
      <c r="R37" s="257">
        <f t="shared" si="3"/>
        <v>0</v>
      </c>
      <c r="S37" s="257">
        <f t="shared" si="4"/>
        <v>0</v>
      </c>
      <c r="T37" s="257">
        <f t="shared" si="10"/>
        <v>0</v>
      </c>
      <c r="U37" s="257">
        <f t="shared" si="5"/>
        <v>-201.26143847061226</v>
      </c>
      <c r="V37" s="257">
        <f>IF(Input!$B$35="Yes",R37,MAX(0,R37+U36)+S37)</f>
        <v>0</v>
      </c>
      <c r="W37" s="258">
        <v>0.16</v>
      </c>
      <c r="X37" s="257">
        <f t="shared" si="8"/>
        <v>0</v>
      </c>
      <c r="Y37" s="93"/>
    </row>
    <row r="38" spans="1:25">
      <c r="A38" s="159">
        <f t="shared" si="9"/>
        <v>2043</v>
      </c>
      <c r="B38" s="257">
        <f>Revenue!Q39</f>
        <v>0</v>
      </c>
      <c r="C38" s="257">
        <f>Operations!M47+Abandonment!G44</f>
        <v>0</v>
      </c>
      <c r="D38" s="257">
        <f>Development!BH119</f>
        <v>0</v>
      </c>
      <c r="E38" s="257">
        <f>IF($A38&lt;Production!$B$4,0,IF($A38=Production!$B$4,SUM(D$9:D38),D38))</f>
        <v>0</v>
      </c>
      <c r="F38" s="257">
        <f t="shared" si="6"/>
        <v>0</v>
      </c>
      <c r="G38" s="257">
        <f>F38*IF(A38=Abandonment!$B$4,1,G$5)</f>
        <v>0</v>
      </c>
      <c r="H38" s="257">
        <f>Development!BI119</f>
        <v>0</v>
      </c>
      <c r="I38" s="257">
        <f>IF($A38&lt;Production!$B$4,0,IF($A38=Production!$B$4,SUM(H$9:H38),H38))</f>
        <v>0</v>
      </c>
      <c r="J38" s="257">
        <f t="shared" si="1"/>
        <v>0</v>
      </c>
      <c r="K38" s="257">
        <f>J38*IF(Abandonment!$B$4='Federal Tax'!A39,1,K$5)</f>
        <v>0</v>
      </c>
      <c r="L38" s="257">
        <f t="shared" si="2"/>
        <v>0</v>
      </c>
      <c r="M38" s="257">
        <f>Royalty!AM40</f>
        <v>0</v>
      </c>
      <c r="N38" s="257">
        <f>Development!BG119</f>
        <v>0</v>
      </c>
      <c r="O38" s="257">
        <f t="shared" si="7"/>
        <v>0</v>
      </c>
      <c r="P38" s="257">
        <f>O38*IF(A38=Abandonment!$B$4,1,P$5)</f>
        <v>0</v>
      </c>
      <c r="Q38" s="257">
        <f>Exploration!Z63</f>
        <v>0</v>
      </c>
      <c r="R38" s="257">
        <f t="shared" si="3"/>
        <v>0</v>
      </c>
      <c r="S38" s="257">
        <f t="shared" si="4"/>
        <v>0</v>
      </c>
      <c r="T38" s="257">
        <f t="shared" si="10"/>
        <v>0</v>
      </c>
      <c r="U38" s="257">
        <f t="shared" si="5"/>
        <v>-201.26143847061226</v>
      </c>
      <c r="V38" s="257">
        <f>IF(Input!$B$35="Yes",R38,MAX(0,R38+U37)+S38)</f>
        <v>0</v>
      </c>
      <c r="W38" s="258">
        <v>0.16</v>
      </c>
      <c r="X38" s="257">
        <f t="shared" si="8"/>
        <v>0</v>
      </c>
      <c r="Y38" s="93"/>
    </row>
    <row r="39" spans="1:25">
      <c r="A39" s="159">
        <f t="shared" si="9"/>
        <v>2044</v>
      </c>
      <c r="B39" s="257">
        <f>Revenue!Q40</f>
        <v>0</v>
      </c>
      <c r="C39" s="257">
        <f>Operations!M48+Abandonment!G45</f>
        <v>0</v>
      </c>
      <c r="D39" s="257">
        <f>Development!BH120</f>
        <v>0</v>
      </c>
      <c r="E39" s="257">
        <f>IF($A39&lt;Production!$B$4,0,IF($A39=Production!$B$4,SUM(D$9:D39),D39))</f>
        <v>0</v>
      </c>
      <c r="F39" s="257">
        <f t="shared" si="6"/>
        <v>0</v>
      </c>
      <c r="G39" s="257">
        <f>F39*IF(A39=Abandonment!$B$4,1,G$5)</f>
        <v>0</v>
      </c>
      <c r="H39" s="257">
        <f>Development!BI120</f>
        <v>0</v>
      </c>
      <c r="I39" s="257">
        <f>IF($A39&lt;Production!$B$4,0,IF($A39=Production!$B$4,SUM(H$9:H39),H39))</f>
        <v>0</v>
      </c>
      <c r="J39" s="257">
        <f t="shared" si="1"/>
        <v>0</v>
      </c>
      <c r="K39" s="257">
        <f>J39*IF(Abandonment!$B$4='Federal Tax'!A40,1,K$5)</f>
        <v>0</v>
      </c>
      <c r="L39" s="257">
        <f t="shared" si="2"/>
        <v>0</v>
      </c>
      <c r="M39" s="257">
        <f>Royalty!AM41</f>
        <v>0</v>
      </c>
      <c r="N39" s="257">
        <f>Development!BG120</f>
        <v>0</v>
      </c>
      <c r="O39" s="257">
        <f t="shared" si="7"/>
        <v>0</v>
      </c>
      <c r="P39" s="257">
        <f>O39*IF(A39=Abandonment!$B$4,1,P$5)</f>
        <v>0</v>
      </c>
      <c r="Q39" s="257">
        <f>Exploration!Z64</f>
        <v>0</v>
      </c>
      <c r="R39" s="257">
        <f t="shared" si="3"/>
        <v>0</v>
      </c>
      <c r="S39" s="257">
        <f t="shared" si="4"/>
        <v>0</v>
      </c>
      <c r="T39" s="257">
        <f t="shared" si="10"/>
        <v>0</v>
      </c>
      <c r="U39" s="257">
        <f t="shared" si="5"/>
        <v>-201.26143847061226</v>
      </c>
      <c r="V39" s="257">
        <f>IF(Input!$B$35="Yes",R39,MAX(0,R39+U38)+S39)</f>
        <v>0</v>
      </c>
      <c r="W39" s="258">
        <v>0.16</v>
      </c>
      <c r="X39" s="257">
        <f t="shared" si="8"/>
        <v>0</v>
      </c>
      <c r="Y39" s="93"/>
    </row>
    <row r="40" spans="1:25">
      <c r="A40" s="159">
        <f t="shared" si="9"/>
        <v>2045</v>
      </c>
      <c r="B40" s="257">
        <f>Revenue!Q41</f>
        <v>0</v>
      </c>
      <c r="C40" s="257">
        <f>Operations!M49+Abandonment!G46</f>
        <v>0</v>
      </c>
      <c r="D40" s="257">
        <f>Development!BH121</f>
        <v>0</v>
      </c>
      <c r="E40" s="257">
        <f>IF($A40&lt;Production!$B$4,0,IF($A40=Production!$B$4,SUM(D$9:D40),D40))</f>
        <v>0</v>
      </c>
      <c r="F40" s="257">
        <f t="shared" si="6"/>
        <v>0</v>
      </c>
      <c r="G40" s="257">
        <f>F40*IF(A40=Abandonment!$B$4,1,G$5)</f>
        <v>0</v>
      </c>
      <c r="H40" s="257">
        <f>Development!BI121</f>
        <v>0</v>
      </c>
      <c r="I40" s="257">
        <f>IF($A40&lt;Production!$B$4,0,IF($A40=Production!$B$4,SUM(H$9:H40),H40))</f>
        <v>0</v>
      </c>
      <c r="J40" s="257">
        <f t="shared" si="1"/>
        <v>0</v>
      </c>
      <c r="K40" s="257">
        <f>J40*IF(Abandonment!$B$4='Federal Tax'!A41,1,K$5)</f>
        <v>0</v>
      </c>
      <c r="L40" s="257">
        <f t="shared" si="2"/>
        <v>0</v>
      </c>
      <c r="M40" s="257">
        <f>Royalty!AM42</f>
        <v>0</v>
      </c>
      <c r="N40" s="257">
        <f>Development!BG121</f>
        <v>0</v>
      </c>
      <c r="O40" s="257">
        <f t="shared" si="7"/>
        <v>0</v>
      </c>
      <c r="P40" s="257">
        <f>O40*IF(A40=Abandonment!$B$4,1,P$5)</f>
        <v>0</v>
      </c>
      <c r="Q40" s="257">
        <f>Exploration!Z65</f>
        <v>0</v>
      </c>
      <c r="R40" s="257">
        <f t="shared" si="3"/>
        <v>0</v>
      </c>
      <c r="S40" s="257">
        <f t="shared" si="4"/>
        <v>0</v>
      </c>
      <c r="T40" s="257">
        <f t="shared" si="10"/>
        <v>0</v>
      </c>
      <c r="U40" s="257">
        <f t="shared" si="5"/>
        <v>-201.26143847061226</v>
      </c>
      <c r="V40" s="257">
        <f>IF(Input!$B$35="Yes",R40,MAX(0,R40+U39)+S40)</f>
        <v>0</v>
      </c>
      <c r="W40" s="258">
        <v>0.16</v>
      </c>
      <c r="X40" s="257">
        <f t="shared" si="8"/>
        <v>0</v>
      </c>
      <c r="Y40" s="93"/>
    </row>
    <row r="41" spans="1:25">
      <c r="A41" s="159">
        <f t="shared" si="9"/>
        <v>2046</v>
      </c>
      <c r="B41" s="257">
        <f>Revenue!Q42</f>
        <v>0</v>
      </c>
      <c r="C41" s="257">
        <f>Operations!M50+Abandonment!G47</f>
        <v>0</v>
      </c>
      <c r="D41" s="257">
        <f>Development!BH122</f>
        <v>0</v>
      </c>
      <c r="E41" s="257">
        <f>IF($A41&lt;Production!$B$4,0,IF($A41=Production!$B$4,SUM(D$9:D41),D41))</f>
        <v>0</v>
      </c>
      <c r="F41" s="257">
        <f t="shared" si="6"/>
        <v>0</v>
      </c>
      <c r="G41" s="257">
        <f>F41*IF(A41=Abandonment!$B$4,1,G$5)</f>
        <v>0</v>
      </c>
      <c r="H41" s="257">
        <f>Development!BI122</f>
        <v>0</v>
      </c>
      <c r="I41" s="257">
        <f>IF($A41&lt;Production!$B$4,0,IF($A41=Production!$B$4,SUM(H$9:H41),H41))</f>
        <v>0</v>
      </c>
      <c r="J41" s="257">
        <f t="shared" si="1"/>
        <v>0</v>
      </c>
      <c r="K41" s="257">
        <f>J41*IF(Abandonment!$B$4='Federal Tax'!A42,1,K$5)</f>
        <v>0</v>
      </c>
      <c r="L41" s="257">
        <f t="shared" si="2"/>
        <v>0</v>
      </c>
      <c r="M41" s="257">
        <f>Royalty!AM43</f>
        <v>0</v>
      </c>
      <c r="N41" s="257">
        <f>Development!BG122</f>
        <v>0</v>
      </c>
      <c r="O41" s="257">
        <f t="shared" si="7"/>
        <v>0</v>
      </c>
      <c r="P41" s="257">
        <f>O41*IF(A41=Abandonment!$B$4,1,P$5)</f>
        <v>0</v>
      </c>
      <c r="Q41" s="257">
        <f>Exploration!Z66</f>
        <v>0</v>
      </c>
      <c r="R41" s="257">
        <f t="shared" si="3"/>
        <v>0</v>
      </c>
      <c r="S41" s="257">
        <f t="shared" si="4"/>
        <v>0</v>
      </c>
      <c r="T41" s="257">
        <f t="shared" si="10"/>
        <v>0</v>
      </c>
      <c r="U41" s="257">
        <f t="shared" si="5"/>
        <v>-201.26143847061226</v>
      </c>
      <c r="V41" s="257">
        <f>IF(Input!$B$35="Yes",R41,MAX(0,R41+U40)+S41)</f>
        <v>0</v>
      </c>
      <c r="W41" s="258">
        <v>0.16</v>
      </c>
      <c r="X41" s="257">
        <f t="shared" si="8"/>
        <v>0</v>
      </c>
      <c r="Y41" s="93"/>
    </row>
    <row r="42" spans="1:25">
      <c r="A42" s="159">
        <f t="shared" si="9"/>
        <v>2047</v>
      </c>
      <c r="B42" s="257">
        <f>Revenue!Q43</f>
        <v>0</v>
      </c>
      <c r="C42" s="257">
        <f>Operations!M51+Abandonment!G48</f>
        <v>0</v>
      </c>
      <c r="D42" s="257">
        <f>Development!BH123</f>
        <v>0</v>
      </c>
      <c r="E42" s="257">
        <f>IF($A42&lt;Production!$B$4,0,IF($A42=Production!$B$4,SUM(D$9:D42),D42))</f>
        <v>0</v>
      </c>
      <c r="F42" s="257">
        <f t="shared" si="6"/>
        <v>0</v>
      </c>
      <c r="G42" s="257">
        <f>F42*IF(A42=Abandonment!$B$4,1,G$5)</f>
        <v>0</v>
      </c>
      <c r="H42" s="257">
        <f>Development!BI123</f>
        <v>0</v>
      </c>
      <c r="I42" s="257">
        <f>IF($A42&lt;Production!$B$4,0,IF($A42=Production!$B$4,SUM(H$9:H42),H42))</f>
        <v>0</v>
      </c>
      <c r="J42" s="257">
        <f t="shared" si="1"/>
        <v>0</v>
      </c>
      <c r="K42" s="257">
        <f>J42*IF(Abandonment!$B$4='Federal Tax'!A43,1,K$5)</f>
        <v>0</v>
      </c>
      <c r="L42" s="257">
        <f t="shared" si="2"/>
        <v>0</v>
      </c>
      <c r="M42" s="257">
        <f>Royalty!AM44</f>
        <v>0</v>
      </c>
      <c r="N42" s="257">
        <f>Development!BG123</f>
        <v>0</v>
      </c>
      <c r="O42" s="257">
        <f t="shared" si="7"/>
        <v>0</v>
      </c>
      <c r="P42" s="257">
        <f>O42*IF(A42=Abandonment!$B$4,1,P$5)</f>
        <v>0</v>
      </c>
      <c r="Q42" s="257">
        <f>Exploration!Z67</f>
        <v>0</v>
      </c>
      <c r="R42" s="257">
        <f t="shared" si="3"/>
        <v>0</v>
      </c>
      <c r="S42" s="257">
        <f t="shared" si="4"/>
        <v>0</v>
      </c>
      <c r="T42" s="257">
        <f t="shared" si="10"/>
        <v>0</v>
      </c>
      <c r="U42" s="257">
        <f t="shared" si="5"/>
        <v>-201.26143847061226</v>
      </c>
      <c r="V42" s="257">
        <f>IF(Input!$B$35="Yes",R42,MAX(0,R42+U41)+S42)</f>
        <v>0</v>
      </c>
      <c r="W42" s="258">
        <v>0.16</v>
      </c>
      <c r="X42" s="257">
        <f t="shared" si="8"/>
        <v>0</v>
      </c>
      <c r="Y42" s="93"/>
    </row>
    <row r="43" spans="1:25">
      <c r="A43" s="159">
        <f t="shared" si="9"/>
        <v>2048</v>
      </c>
      <c r="B43" s="257">
        <f>Revenue!Q44</f>
        <v>0</v>
      </c>
      <c r="C43" s="257">
        <f>Operations!M52+Abandonment!G49</f>
        <v>0</v>
      </c>
      <c r="D43" s="257">
        <f>Development!BH124</f>
        <v>0</v>
      </c>
      <c r="E43" s="257">
        <f>IF($A43&lt;Production!$B$4,0,IF($A43=Production!$B$4,SUM(D$9:D43),D43))</f>
        <v>0</v>
      </c>
      <c r="F43" s="257">
        <f t="shared" si="6"/>
        <v>0</v>
      </c>
      <c r="G43" s="257">
        <f>F43*IF(A43=Abandonment!$B$4,1,G$5)</f>
        <v>0</v>
      </c>
      <c r="H43" s="257">
        <f>Development!BI124</f>
        <v>0</v>
      </c>
      <c r="I43" s="257">
        <f>IF($A43&lt;Production!$B$4,0,IF($A43=Production!$B$4,SUM(H$9:H43),H43))</f>
        <v>0</v>
      </c>
      <c r="J43" s="257">
        <f t="shared" si="1"/>
        <v>0</v>
      </c>
      <c r="K43" s="257">
        <f>J43*IF(Abandonment!$B$4='Federal Tax'!A44,1,K$5)</f>
        <v>0</v>
      </c>
      <c r="L43" s="257">
        <f t="shared" si="2"/>
        <v>0</v>
      </c>
      <c r="M43" s="257">
        <f>Royalty!AM45</f>
        <v>0</v>
      </c>
      <c r="N43" s="257">
        <f>Development!BG124</f>
        <v>0</v>
      </c>
      <c r="O43" s="257">
        <f t="shared" si="7"/>
        <v>0</v>
      </c>
      <c r="P43" s="257">
        <f>O43*IF(A43=Abandonment!$B$4,1,P$5)</f>
        <v>0</v>
      </c>
      <c r="Q43" s="257">
        <f>Exploration!Z68</f>
        <v>0</v>
      </c>
      <c r="R43" s="257">
        <f t="shared" si="3"/>
        <v>0</v>
      </c>
      <c r="S43" s="257">
        <f t="shared" si="4"/>
        <v>0</v>
      </c>
      <c r="T43" s="257">
        <f t="shared" si="10"/>
        <v>0</v>
      </c>
      <c r="U43" s="257">
        <f t="shared" si="5"/>
        <v>-201.26143847061226</v>
      </c>
      <c r="V43" s="257">
        <f>IF(Input!$B$35="Yes",R43,MAX(0,R43+U42)+S43)</f>
        <v>0</v>
      </c>
      <c r="W43" s="258">
        <v>0.16</v>
      </c>
      <c r="X43" s="257">
        <f t="shared" si="8"/>
        <v>0</v>
      </c>
      <c r="Y43" s="93"/>
    </row>
    <row r="44" spans="1:25">
      <c r="A44" s="159">
        <f t="shared" si="9"/>
        <v>2049</v>
      </c>
      <c r="B44" s="257">
        <f>Revenue!Q45</f>
        <v>0</v>
      </c>
      <c r="C44" s="257">
        <f>Operations!M53+Abandonment!G50</f>
        <v>0</v>
      </c>
      <c r="D44" s="257">
        <f>Development!BH125</f>
        <v>0</v>
      </c>
      <c r="E44" s="257">
        <f>IF($A44&lt;Production!$B$4,0,IF($A44=Production!$B$4,SUM(D$9:D44),D44))</f>
        <v>0</v>
      </c>
      <c r="F44" s="257">
        <f t="shared" si="6"/>
        <v>0</v>
      </c>
      <c r="G44" s="257">
        <f>F44*IF(A44=Abandonment!$B$4,1,G$5)</f>
        <v>0</v>
      </c>
      <c r="H44" s="257">
        <f>Development!BI125</f>
        <v>0</v>
      </c>
      <c r="I44" s="257">
        <f>IF($A44&lt;Production!$B$4,0,IF($A44=Production!$B$4,SUM(H$9:H44),H44))</f>
        <v>0</v>
      </c>
      <c r="J44" s="257">
        <f t="shared" si="1"/>
        <v>0</v>
      </c>
      <c r="K44" s="257">
        <f>J44*IF(Abandonment!$B$4='Federal Tax'!A45,1,K$5)</f>
        <v>0</v>
      </c>
      <c r="L44" s="257">
        <f t="shared" si="2"/>
        <v>0</v>
      </c>
      <c r="M44" s="257">
        <f>Royalty!AM46</f>
        <v>0</v>
      </c>
      <c r="N44" s="257">
        <f>Development!BG125</f>
        <v>0</v>
      </c>
      <c r="O44" s="257">
        <f t="shared" si="7"/>
        <v>0</v>
      </c>
      <c r="P44" s="257">
        <f>O44*IF(A44=Abandonment!$B$4,1,P$5)</f>
        <v>0</v>
      </c>
      <c r="Q44" s="257">
        <f>Exploration!Z69</f>
        <v>0</v>
      </c>
      <c r="R44" s="257">
        <f t="shared" si="3"/>
        <v>0</v>
      </c>
      <c r="S44" s="257">
        <f t="shared" si="4"/>
        <v>0</v>
      </c>
      <c r="T44" s="257">
        <f t="shared" si="10"/>
        <v>0</v>
      </c>
      <c r="U44" s="257">
        <f t="shared" si="5"/>
        <v>-201.26143847061226</v>
      </c>
      <c r="V44" s="257">
        <f>IF(Input!$B$35="Yes",R44,MAX(0,R44+U43)+S44)</f>
        <v>0</v>
      </c>
      <c r="W44" s="258">
        <v>0.16</v>
      </c>
      <c r="X44" s="257">
        <f t="shared" si="8"/>
        <v>0</v>
      </c>
      <c r="Y44" s="93"/>
    </row>
    <row r="45" spans="1:25">
      <c r="A45" s="159">
        <f t="shared" si="9"/>
        <v>2050</v>
      </c>
      <c r="B45" s="257">
        <f>Revenue!Q46</f>
        <v>0</v>
      </c>
      <c r="C45" s="257">
        <f>Operations!M54+Abandonment!G51</f>
        <v>0</v>
      </c>
      <c r="D45" s="257">
        <f>Development!BH126</f>
        <v>0</v>
      </c>
      <c r="E45" s="257">
        <f>IF($A45&lt;Production!$B$4,0,IF($A45=Production!$B$4,SUM(D$9:D45),D45))</f>
        <v>0</v>
      </c>
      <c r="F45" s="257">
        <f t="shared" si="6"/>
        <v>0</v>
      </c>
      <c r="G45" s="257">
        <f>F45*IF(A45=Abandonment!$B$4,1,G$5)</f>
        <v>0</v>
      </c>
      <c r="H45" s="257">
        <f>Development!BI126</f>
        <v>0</v>
      </c>
      <c r="I45" s="257">
        <f>IF($A45&lt;Production!$B$4,0,IF($A45=Production!$B$4,SUM(H$9:H45),H45))</f>
        <v>0</v>
      </c>
      <c r="J45" s="257">
        <f t="shared" si="1"/>
        <v>0</v>
      </c>
      <c r="K45" s="257">
        <f>J45*IF(Abandonment!$B$4='Federal Tax'!A46,1,K$5)</f>
        <v>0</v>
      </c>
      <c r="L45" s="257">
        <f t="shared" si="2"/>
        <v>0</v>
      </c>
      <c r="M45" s="257">
        <f>Royalty!AM47</f>
        <v>0</v>
      </c>
      <c r="N45" s="257">
        <f>Development!BG126</f>
        <v>0</v>
      </c>
      <c r="O45" s="257">
        <f t="shared" si="7"/>
        <v>0</v>
      </c>
      <c r="P45" s="257">
        <f>O45*IF(A45=Abandonment!$B$4,1,P$5)</f>
        <v>0</v>
      </c>
      <c r="Q45" s="257">
        <f>Exploration!Z70</f>
        <v>0</v>
      </c>
      <c r="R45" s="257">
        <f t="shared" si="3"/>
        <v>0</v>
      </c>
      <c r="S45" s="257">
        <f t="shared" si="4"/>
        <v>0</v>
      </c>
      <c r="T45" s="257">
        <f t="shared" si="10"/>
        <v>0</v>
      </c>
      <c r="U45" s="257">
        <f t="shared" si="5"/>
        <v>-201.26143847061226</v>
      </c>
      <c r="V45" s="257">
        <f>IF(Input!$B$35="Yes",R45,MAX(0,R45+U44)+S45)</f>
        <v>0</v>
      </c>
      <c r="W45" s="258">
        <v>0.16</v>
      </c>
      <c r="X45" s="257">
        <f t="shared" si="8"/>
        <v>0</v>
      </c>
      <c r="Y45" s="93"/>
    </row>
    <row r="46" spans="1:25">
      <c r="A46" s="159">
        <f t="shared" si="9"/>
        <v>2051</v>
      </c>
      <c r="B46" s="257">
        <f>Revenue!Q47</f>
        <v>0</v>
      </c>
      <c r="C46" s="257">
        <f>Operations!M55+Abandonment!G52</f>
        <v>0</v>
      </c>
      <c r="D46" s="257">
        <f>Development!BH127</f>
        <v>0</v>
      </c>
      <c r="E46" s="257">
        <f>IF($A46&lt;Production!$B$4,0,IF($A46=Production!$B$4,SUM(D$9:D46),D46))</f>
        <v>0</v>
      </c>
      <c r="F46" s="257">
        <f t="shared" si="6"/>
        <v>0</v>
      </c>
      <c r="G46" s="257">
        <f>F46*IF(A46=Abandonment!$B$4,1,G$5)</f>
        <v>0</v>
      </c>
      <c r="H46" s="257">
        <f>Development!BI127</f>
        <v>0</v>
      </c>
      <c r="I46" s="257">
        <f>IF($A46&lt;Production!$B$4,0,IF($A46=Production!$B$4,SUM(H$9:H46),H46))</f>
        <v>0</v>
      </c>
      <c r="J46" s="257">
        <f t="shared" si="1"/>
        <v>0</v>
      </c>
      <c r="K46" s="257">
        <f>J46*IF(Abandonment!$B$4='Federal Tax'!A47,1,K$5)</f>
        <v>0</v>
      </c>
      <c r="L46" s="257">
        <f t="shared" si="2"/>
        <v>0</v>
      </c>
      <c r="M46" s="257">
        <f>Royalty!AM48</f>
        <v>0</v>
      </c>
      <c r="N46" s="257">
        <f>Development!BG127</f>
        <v>0</v>
      </c>
      <c r="O46" s="257">
        <f t="shared" si="7"/>
        <v>0</v>
      </c>
      <c r="P46" s="257">
        <f>O46*IF(A46=Abandonment!$B$4,1,P$5)</f>
        <v>0</v>
      </c>
      <c r="Q46" s="257">
        <f>Exploration!Z71</f>
        <v>0</v>
      </c>
      <c r="R46" s="257">
        <f t="shared" si="3"/>
        <v>0</v>
      </c>
      <c r="S46" s="257">
        <f t="shared" si="4"/>
        <v>0</v>
      </c>
      <c r="T46" s="257">
        <f t="shared" si="10"/>
        <v>0</v>
      </c>
      <c r="U46" s="257">
        <f t="shared" si="5"/>
        <v>-201.26143847061226</v>
      </c>
      <c r="V46" s="257">
        <f>IF(Input!$B$35="Yes",R46,MAX(0,R46+U45)+S46)</f>
        <v>0</v>
      </c>
      <c r="W46" s="258">
        <v>0.16</v>
      </c>
      <c r="X46" s="257">
        <f t="shared" si="8"/>
        <v>0</v>
      </c>
      <c r="Y46" s="93"/>
    </row>
    <row r="47" spans="1:25">
      <c r="A47" s="159">
        <f t="shared" si="9"/>
        <v>2052</v>
      </c>
      <c r="B47" s="257">
        <f>Revenue!Q48</f>
        <v>0</v>
      </c>
      <c r="C47" s="257">
        <f>Operations!M56+Abandonment!G53</f>
        <v>0</v>
      </c>
      <c r="D47" s="257">
        <f>Development!BH128</f>
        <v>0</v>
      </c>
      <c r="E47" s="257">
        <f>IF($A47&lt;Production!$B$4,0,IF($A47=Production!$B$4,SUM(D$9:D47),D47))</f>
        <v>0</v>
      </c>
      <c r="F47" s="257">
        <f t="shared" si="6"/>
        <v>0</v>
      </c>
      <c r="G47" s="257">
        <f>F47*IF(A47=Abandonment!$B$4,1,G$5)</f>
        <v>0</v>
      </c>
      <c r="H47" s="257">
        <f>Development!BI128</f>
        <v>0</v>
      </c>
      <c r="I47" s="257">
        <f>IF($A47&lt;Production!$B$4,0,IF($A47=Production!$B$4,SUM(H$9:H47),H47))</f>
        <v>0</v>
      </c>
      <c r="J47" s="257">
        <f t="shared" si="1"/>
        <v>0</v>
      </c>
      <c r="K47" s="257">
        <f>J47*IF(Abandonment!$B$4='Federal Tax'!A48,1,K$5)</f>
        <v>0</v>
      </c>
      <c r="L47" s="257">
        <f t="shared" si="2"/>
        <v>0</v>
      </c>
      <c r="M47" s="257">
        <f>Royalty!AM49</f>
        <v>0</v>
      </c>
      <c r="N47" s="257">
        <f>Development!BG128</f>
        <v>0</v>
      </c>
      <c r="O47" s="257">
        <f t="shared" si="7"/>
        <v>0</v>
      </c>
      <c r="P47" s="257">
        <f>O47*IF(A47=Abandonment!$B$4,1,P$5)</f>
        <v>0</v>
      </c>
      <c r="Q47" s="257">
        <f>Exploration!Z72</f>
        <v>0</v>
      </c>
      <c r="R47" s="257">
        <f t="shared" si="3"/>
        <v>0</v>
      </c>
      <c r="S47" s="257">
        <f t="shared" si="4"/>
        <v>0</v>
      </c>
      <c r="T47" s="257">
        <f t="shared" si="10"/>
        <v>0</v>
      </c>
      <c r="U47" s="257">
        <f t="shared" si="5"/>
        <v>-201.26143847061226</v>
      </c>
      <c r="V47" s="257">
        <f>IF(Input!$B$35="Yes",R47,MAX(0,R47+U46)+S47)</f>
        <v>0</v>
      </c>
      <c r="W47" s="258">
        <v>0.16</v>
      </c>
      <c r="X47" s="257">
        <f t="shared" si="8"/>
        <v>0</v>
      </c>
      <c r="Y47" s="93"/>
    </row>
    <row r="48" spans="1:25">
      <c r="A48" s="159">
        <f t="shared" si="9"/>
        <v>2053</v>
      </c>
      <c r="B48" s="257">
        <f>Revenue!Q49</f>
        <v>0</v>
      </c>
      <c r="C48" s="257">
        <f>Operations!M57+Abandonment!G54</f>
        <v>0</v>
      </c>
      <c r="D48" s="257">
        <f>Development!BH129</f>
        <v>0</v>
      </c>
      <c r="E48" s="257">
        <f>IF($A48&lt;Production!$B$4,0,IF($A48=Production!$B$4,SUM(D$9:D48),D48))</f>
        <v>0</v>
      </c>
      <c r="F48" s="257">
        <f t="shared" si="6"/>
        <v>0</v>
      </c>
      <c r="G48" s="257">
        <f>F48*IF(A48=Abandonment!$B$4,1,G$5)</f>
        <v>0</v>
      </c>
      <c r="H48" s="257">
        <f>Development!BI129</f>
        <v>0</v>
      </c>
      <c r="I48" s="257">
        <f>IF($A48&lt;Production!$B$4,0,IF($A48=Production!$B$4,SUM(H$9:H48),H48))</f>
        <v>0</v>
      </c>
      <c r="J48" s="257">
        <f t="shared" si="1"/>
        <v>0</v>
      </c>
      <c r="K48" s="257">
        <f>J48*IF(Abandonment!$B$4='Federal Tax'!A49,1,K$5)</f>
        <v>0</v>
      </c>
      <c r="L48" s="257">
        <f t="shared" si="2"/>
        <v>0</v>
      </c>
      <c r="M48" s="257">
        <f>Royalty!AM50</f>
        <v>0</v>
      </c>
      <c r="N48" s="257">
        <f>Development!BG129</f>
        <v>0</v>
      </c>
      <c r="O48" s="257">
        <f t="shared" si="7"/>
        <v>0</v>
      </c>
      <c r="P48" s="257">
        <f>O48*IF(A48=Abandonment!$B$4,1,P$5)</f>
        <v>0</v>
      </c>
      <c r="Q48" s="257">
        <f>Exploration!Z73</f>
        <v>0</v>
      </c>
      <c r="R48" s="257">
        <f t="shared" si="3"/>
        <v>0</v>
      </c>
      <c r="S48" s="257">
        <f t="shared" si="4"/>
        <v>0</v>
      </c>
      <c r="T48" s="257">
        <f t="shared" si="10"/>
        <v>0</v>
      </c>
      <c r="U48" s="257">
        <f t="shared" si="5"/>
        <v>-201.26143847061226</v>
      </c>
      <c r="V48" s="257">
        <f>IF(Input!$B$35="Yes",R48,MAX(0,R48+U47)+S48)</f>
        <v>0</v>
      </c>
      <c r="W48" s="258">
        <v>0.16</v>
      </c>
      <c r="X48" s="257">
        <f t="shared" si="8"/>
        <v>0</v>
      </c>
      <c r="Y48" s="93"/>
    </row>
    <row r="49" spans="1:25">
      <c r="A49" s="161">
        <f t="shared" si="9"/>
        <v>2054</v>
      </c>
      <c r="B49" s="259">
        <f>Revenue!Q50</f>
        <v>0</v>
      </c>
      <c r="C49" s="259">
        <f>Operations!M58+Abandonment!G55</f>
        <v>0</v>
      </c>
      <c r="D49" s="259">
        <f>Development!BH130</f>
        <v>0</v>
      </c>
      <c r="E49" s="259">
        <f>IF($A49&lt;Production!$B$4,0,IF($A49=Production!$B$4,SUM(D$9:D49),D49))</f>
        <v>0</v>
      </c>
      <c r="F49" s="259">
        <f t="shared" si="6"/>
        <v>0</v>
      </c>
      <c r="G49" s="259">
        <f>F49*IF(A49=Abandonment!$B$4,1,G$5)</f>
        <v>0</v>
      </c>
      <c r="H49" s="259">
        <f>Development!BI130</f>
        <v>0</v>
      </c>
      <c r="I49" s="259">
        <f>IF($A49&lt;Production!$B$4,0,IF($A49=Production!$B$4,SUM(H$9:H49),H49))</f>
        <v>0</v>
      </c>
      <c r="J49" s="259">
        <f t="shared" si="1"/>
        <v>0</v>
      </c>
      <c r="K49" s="259">
        <f>J49*IF(Abandonment!$B$4='Federal Tax'!A50,1,K$5)</f>
        <v>0</v>
      </c>
      <c r="L49" s="259">
        <f t="shared" si="2"/>
        <v>0</v>
      </c>
      <c r="M49" s="259">
        <f>Royalty!AM51</f>
        <v>0</v>
      </c>
      <c r="N49" s="259">
        <f>Development!BG130</f>
        <v>0</v>
      </c>
      <c r="O49" s="259">
        <f t="shared" si="7"/>
        <v>0</v>
      </c>
      <c r="P49" s="259">
        <f>O49*IF(A49=Abandonment!$B$4,1,P$5)</f>
        <v>0</v>
      </c>
      <c r="Q49" s="259">
        <f>Exploration!Z74</f>
        <v>0</v>
      </c>
      <c r="R49" s="259">
        <f t="shared" si="3"/>
        <v>0</v>
      </c>
      <c r="S49" s="259">
        <f t="shared" si="4"/>
        <v>0</v>
      </c>
      <c r="T49" s="259">
        <f t="shared" si="10"/>
        <v>0</v>
      </c>
      <c r="U49" s="259">
        <f t="shared" si="5"/>
        <v>-201.26143847061226</v>
      </c>
      <c r="V49" s="259">
        <f>IF(Input!$B$35="Yes",R49,MAX(0,R49+U48)+S49)</f>
        <v>0</v>
      </c>
      <c r="W49" s="260">
        <v>0.16</v>
      </c>
      <c r="X49" s="259">
        <f t="shared" si="8"/>
        <v>0</v>
      </c>
      <c r="Y49" s="93"/>
    </row>
  </sheetData>
  <hyperlinks>
    <hyperlink ref="F1" location="Guide" display="Guide"/>
    <hyperlink ref="F2" location="Input" display="Input"/>
  </hyperlinks>
  <pageMargins left="0.7" right="0.7" top="0.75" bottom="0.75" header="0.3" footer="0.3"/>
  <pageSetup paperSize="9" scale="36" fitToHeight="0" orientation="landscape" r:id="rId1"/>
  <headerFooter>
    <oddFooter>&amp;LNova Scotia Exploration Economics Model&amp;Rwww.indeva.com</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3" tint="0.79998168889431442"/>
    <pageSetUpPr fitToPage="1"/>
  </sheetPr>
  <dimension ref="A1:CB64"/>
  <sheetViews>
    <sheetView showGridLines="0" showZeros="0" zoomScale="75" zoomScaleNormal="75" workbookViewId="0">
      <pane xSplit="1" ySplit="9" topLeftCell="B10" activePane="bottomRight" state="frozen"/>
      <selection activeCell="D43" sqref="D43"/>
      <selection pane="topRight" activeCell="D43" sqref="D43"/>
      <selection pane="bottomLeft" activeCell="D43" sqref="D43"/>
      <selection pane="bottomRight" activeCell="B10" sqref="B10"/>
    </sheetView>
  </sheetViews>
  <sheetFormatPr defaultRowHeight="14.5"/>
  <cols>
    <col min="1" max="1" width="21.1796875" customWidth="1"/>
    <col min="2" max="2" width="11.26953125" customWidth="1"/>
    <col min="3" max="4" width="12.1796875" customWidth="1"/>
    <col min="5" max="6" width="11.453125" customWidth="1"/>
    <col min="7" max="7" width="10" customWidth="1"/>
    <col min="8" max="8" width="9.26953125" customWidth="1"/>
    <col min="9" max="9" width="10.26953125" customWidth="1"/>
    <col min="10" max="10" width="12" customWidth="1"/>
    <col min="11" max="11" width="13.81640625" bestFit="1" customWidth="1"/>
    <col min="12" max="12" width="11.7265625" customWidth="1"/>
    <col min="13" max="15" width="11.1796875" customWidth="1"/>
    <col min="16" max="16" width="13.81640625" customWidth="1"/>
    <col min="17" max="20" width="13.7265625" customWidth="1"/>
    <col min="25" max="26" width="12.1796875" customWidth="1"/>
    <col min="27" max="27" width="12.1796875" bestFit="1" customWidth="1"/>
    <col min="31" max="31" width="10.453125" bestFit="1" customWidth="1"/>
    <col min="32" max="32" width="10.54296875" bestFit="1" customWidth="1"/>
  </cols>
  <sheetData>
    <row r="1" spans="1:80" ht="18.5">
      <c r="A1" s="142" t="str">
        <f>Input!B8</f>
        <v>Prospect X</v>
      </c>
      <c r="B1" s="261" t="str">
        <f>"Success Case"&amp;" Project Cash Flow ($Millions)"</f>
        <v>Success Case Project Cash Flow ($Millions)</v>
      </c>
      <c r="C1" s="93"/>
      <c r="D1" s="93"/>
      <c r="E1" s="93"/>
      <c r="F1" s="93"/>
      <c r="G1" s="143" t="s">
        <v>768</v>
      </c>
      <c r="H1" s="93"/>
      <c r="I1" s="93"/>
      <c r="J1" s="93"/>
      <c r="K1" s="93"/>
      <c r="L1" s="93"/>
      <c r="M1" s="93"/>
      <c r="N1" s="93"/>
      <c r="O1" s="93"/>
      <c r="P1" s="93"/>
      <c r="Q1" s="93"/>
      <c r="R1" s="93"/>
      <c r="S1" s="93"/>
      <c r="T1" s="93"/>
      <c r="U1" s="93"/>
      <c r="V1" s="93"/>
      <c r="W1" s="93"/>
      <c r="X1" s="93"/>
      <c r="Y1" s="93"/>
      <c r="Z1" s="93"/>
      <c r="AA1" s="172"/>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c r="BV1" s="93"/>
      <c r="BW1" s="93"/>
      <c r="BX1" s="93"/>
      <c r="BY1" s="93"/>
      <c r="BZ1" s="93"/>
      <c r="CA1" s="93"/>
      <c r="CB1" s="93"/>
    </row>
    <row r="2" spans="1:80" ht="18.5">
      <c r="A2" s="93">
        <f>YEAR(Input!B10)</f>
        <v>2015</v>
      </c>
      <c r="B2" s="93"/>
      <c r="C2" s="93"/>
      <c r="D2" s="93"/>
      <c r="E2" s="93"/>
      <c r="F2" s="93"/>
      <c r="G2" s="143" t="s">
        <v>143</v>
      </c>
      <c r="H2" s="93"/>
      <c r="I2" s="93"/>
      <c r="J2" s="93"/>
      <c r="K2" s="93"/>
      <c r="L2" s="93"/>
      <c r="M2" s="93"/>
      <c r="N2" s="93"/>
      <c r="O2" s="93"/>
      <c r="P2" s="93"/>
      <c r="Q2" s="93"/>
      <c r="R2" s="93"/>
      <c r="S2" s="93"/>
      <c r="T2" s="93"/>
      <c r="U2" s="93"/>
      <c r="V2" s="93"/>
      <c r="W2" s="93"/>
      <c r="X2" s="93"/>
      <c r="Y2" s="93"/>
      <c r="Z2" s="93"/>
      <c r="AA2" s="93"/>
      <c r="AB2" s="93"/>
      <c r="AC2" s="93"/>
      <c r="AD2" s="93"/>
      <c r="AE2" s="93"/>
      <c r="AF2" s="262"/>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c r="CA2" s="93"/>
      <c r="CB2" s="93"/>
    </row>
    <row r="3" spans="1:80">
      <c r="A3" s="93"/>
      <c r="B3" s="93"/>
      <c r="C3" s="93"/>
      <c r="D3" s="93"/>
      <c r="E3" s="93"/>
      <c r="F3" s="93"/>
      <c r="G3" s="93"/>
      <c r="H3" s="93"/>
      <c r="I3" s="93"/>
      <c r="J3" s="93"/>
      <c r="K3" s="93"/>
      <c r="L3" s="93"/>
      <c r="M3" s="93"/>
      <c r="N3" s="93"/>
      <c r="O3" s="93"/>
      <c r="P3" s="93"/>
      <c r="Q3" s="93"/>
      <c r="R3" s="93"/>
      <c r="S3" s="93"/>
      <c r="T3" s="93"/>
      <c r="U3" s="93"/>
      <c r="V3" s="93"/>
      <c r="W3" s="93"/>
      <c r="X3" s="93"/>
      <c r="Y3" s="93"/>
      <c r="Z3" s="93"/>
      <c r="AA3" s="93"/>
      <c r="AB3" s="93"/>
      <c r="AC3" s="93"/>
      <c r="AD3" s="93"/>
      <c r="AE3" s="93"/>
      <c r="AF3" s="262"/>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c r="BV3" s="93"/>
      <c r="BW3" s="93"/>
      <c r="BX3" s="93"/>
      <c r="BY3" s="93"/>
      <c r="BZ3" s="93"/>
      <c r="CA3" s="93"/>
      <c r="CB3" s="93"/>
    </row>
    <row r="4" spans="1:80">
      <c r="A4" s="157" t="s">
        <v>14</v>
      </c>
      <c r="B4" s="139" t="s">
        <v>340</v>
      </c>
      <c r="C4" s="139" t="s">
        <v>647</v>
      </c>
      <c r="D4" s="139" t="s">
        <v>1053</v>
      </c>
      <c r="E4" s="139" t="s">
        <v>13</v>
      </c>
      <c r="F4" s="263" t="s">
        <v>226</v>
      </c>
      <c r="G4" s="263" t="s">
        <v>17</v>
      </c>
      <c r="H4" s="263" t="s">
        <v>59</v>
      </c>
      <c r="I4" s="263" t="s">
        <v>18</v>
      </c>
      <c r="J4" s="139" t="s">
        <v>13</v>
      </c>
      <c r="K4" s="139" t="s">
        <v>137</v>
      </c>
      <c r="L4" s="263" t="s">
        <v>38</v>
      </c>
      <c r="M4" s="263" t="s">
        <v>411</v>
      </c>
      <c r="N4" s="263" t="s">
        <v>412</v>
      </c>
      <c r="O4" s="139" t="s">
        <v>13</v>
      </c>
      <c r="P4" s="139" t="s">
        <v>137</v>
      </c>
      <c r="Q4" s="222"/>
      <c r="R4" s="222"/>
      <c r="S4" s="139" t="s">
        <v>413</v>
      </c>
      <c r="T4" s="139" t="s">
        <v>414</v>
      </c>
      <c r="U4" s="93"/>
      <c r="V4" s="93"/>
      <c r="W4" s="93"/>
      <c r="X4" s="93"/>
      <c r="Y4" s="166"/>
      <c r="Z4" s="166"/>
      <c r="AA4" s="166"/>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c r="BV4" s="93"/>
      <c r="BW4" s="93"/>
      <c r="BX4" s="93"/>
      <c r="BY4" s="93"/>
      <c r="BZ4" s="93"/>
      <c r="CA4" s="93"/>
      <c r="CB4" s="93"/>
    </row>
    <row r="5" spans="1:80">
      <c r="A5" s="161"/>
      <c r="B5" s="148" t="s">
        <v>15</v>
      </c>
      <c r="C5" s="148" t="s">
        <v>15</v>
      </c>
      <c r="D5" s="148" t="s">
        <v>15</v>
      </c>
      <c r="E5" s="148" t="s">
        <v>15</v>
      </c>
      <c r="F5" s="148" t="s">
        <v>42</v>
      </c>
      <c r="G5" s="148" t="s">
        <v>41</v>
      </c>
      <c r="H5" s="148" t="s">
        <v>42</v>
      </c>
      <c r="I5" s="148" t="s">
        <v>42</v>
      </c>
      <c r="J5" s="148" t="s">
        <v>41</v>
      </c>
      <c r="K5" s="148" t="s">
        <v>415</v>
      </c>
      <c r="L5" s="148"/>
      <c r="M5" s="148" t="s">
        <v>416</v>
      </c>
      <c r="N5" s="148" t="s">
        <v>416</v>
      </c>
      <c r="O5" s="148" t="s">
        <v>417</v>
      </c>
      <c r="P5" s="148" t="s">
        <v>418</v>
      </c>
      <c r="Q5" s="222"/>
      <c r="R5" s="222"/>
      <c r="S5" s="148" t="s">
        <v>387</v>
      </c>
      <c r="T5" s="148" t="s">
        <v>419</v>
      </c>
      <c r="U5" s="93"/>
      <c r="V5" s="93"/>
      <c r="W5" s="93"/>
      <c r="X5" s="93"/>
      <c r="Y5" s="166"/>
      <c r="Z5" s="166"/>
      <c r="AA5" s="166"/>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c r="BT5" s="93"/>
      <c r="BU5" s="93"/>
      <c r="BV5" s="93"/>
      <c r="BW5" s="93"/>
      <c r="BX5" s="93"/>
      <c r="BY5" s="93"/>
      <c r="BZ5" s="93"/>
      <c r="CA5" s="93"/>
      <c r="CB5" s="93"/>
    </row>
    <row r="6" spans="1:80">
      <c r="A6" s="159"/>
      <c r="B6" s="139"/>
      <c r="C6" s="139"/>
      <c r="D6" s="139"/>
      <c r="E6" s="139"/>
      <c r="F6" s="139"/>
      <c r="G6" s="139"/>
      <c r="H6" s="139"/>
      <c r="I6" s="139"/>
      <c r="J6" s="139"/>
      <c r="K6" s="139"/>
      <c r="L6" s="139"/>
      <c r="M6" s="139"/>
      <c r="N6" s="139"/>
      <c r="O6" s="139"/>
      <c r="P6" s="139"/>
      <c r="Q6" s="222"/>
      <c r="R6" s="222"/>
      <c r="S6" s="222"/>
      <c r="T6" s="176">
        <f>MAX(T10:T49)</f>
        <v>43800.560407698009</v>
      </c>
      <c r="U6" s="93"/>
      <c r="V6" s="93"/>
      <c r="W6" s="93"/>
      <c r="X6" s="93"/>
      <c r="Y6" s="93"/>
      <c r="Z6" s="93"/>
      <c r="AA6" s="214"/>
      <c r="AB6" s="214"/>
      <c r="AC6" s="264"/>
      <c r="AD6" s="264"/>
      <c r="AE6" s="264"/>
      <c r="AF6" s="264"/>
      <c r="AG6" s="264"/>
      <c r="AH6" s="264"/>
      <c r="AI6" s="264"/>
      <c r="AJ6" s="264"/>
      <c r="AK6" s="264"/>
      <c r="AL6" s="264"/>
      <c r="AM6" s="264"/>
      <c r="AN6" s="264"/>
      <c r="AO6" s="264"/>
      <c r="AP6" s="264"/>
      <c r="AQ6" s="264"/>
      <c r="AR6" s="264"/>
      <c r="AS6" s="264"/>
      <c r="AT6" s="264"/>
      <c r="AU6" s="264"/>
      <c r="AV6" s="264"/>
      <c r="AW6" s="264"/>
      <c r="AX6" s="264"/>
      <c r="AY6" s="264"/>
      <c r="AZ6" s="264"/>
      <c r="BA6" s="264"/>
      <c r="BB6" s="264"/>
      <c r="BC6" s="264"/>
      <c r="BD6" s="264"/>
      <c r="BE6" s="264"/>
      <c r="BF6" s="264"/>
      <c r="BG6" s="264"/>
      <c r="BH6" s="264"/>
      <c r="BI6" s="264"/>
      <c r="BJ6" s="264"/>
      <c r="BK6" s="264"/>
      <c r="BL6" s="264"/>
      <c r="BM6" s="264"/>
      <c r="BN6" s="264"/>
      <c r="BO6" s="264"/>
      <c r="BP6" s="264"/>
      <c r="BQ6" s="264"/>
      <c r="BR6" s="264"/>
      <c r="BS6" s="264"/>
      <c r="BT6" s="264"/>
      <c r="BU6" s="264"/>
      <c r="BV6" s="264"/>
      <c r="BW6" s="264"/>
      <c r="BX6" s="264"/>
      <c r="BY6" s="264"/>
      <c r="BZ6" s="264"/>
      <c r="CA6" s="264"/>
      <c r="CB6" s="264"/>
    </row>
    <row r="7" spans="1:80">
      <c r="A7" s="134" t="s">
        <v>13</v>
      </c>
      <c r="B7" s="151">
        <f t="shared" ref="B7:P7" si="0">SUM(B10:B50)</f>
        <v>5965.9355881603187</v>
      </c>
      <c r="C7" s="151">
        <f t="shared" si="0"/>
        <v>31559.429355631044</v>
      </c>
      <c r="D7" s="151">
        <f>SUM(D10:D50)</f>
        <v>0</v>
      </c>
      <c r="E7" s="257">
        <f t="shared" si="0"/>
        <v>37525.364943791363</v>
      </c>
      <c r="F7" s="257">
        <f t="shared" si="0"/>
        <v>0</v>
      </c>
      <c r="G7" s="257">
        <f t="shared" si="0"/>
        <v>5272.8495253794072</v>
      </c>
      <c r="H7" s="257">
        <f t="shared" si="0"/>
        <v>358.54722678320917</v>
      </c>
      <c r="I7" s="257">
        <f t="shared" si="0"/>
        <v>6794.40364887738</v>
      </c>
      <c r="J7" s="257">
        <f t="shared" si="0"/>
        <v>12425.800401039995</v>
      </c>
      <c r="K7" s="257">
        <f t="shared" si="0"/>
        <v>25099.56454275137</v>
      </c>
      <c r="L7" s="257">
        <f t="shared" si="0"/>
        <v>7638.9132264515811</v>
      </c>
      <c r="M7" s="257">
        <f t="shared" si="0"/>
        <v>2768.5757889742094</v>
      </c>
      <c r="N7" s="257">
        <f t="shared" si="0"/>
        <v>3292.2163276677743</v>
      </c>
      <c r="O7" s="257">
        <f t="shared" si="0"/>
        <v>13699.705343093568</v>
      </c>
      <c r="P7" s="257">
        <f t="shared" si="0"/>
        <v>11399.859199657807</v>
      </c>
      <c r="Q7" s="265"/>
      <c r="R7" s="266"/>
      <c r="S7" s="257"/>
      <c r="T7" s="217"/>
      <c r="U7" s="93"/>
      <c r="V7" s="93"/>
      <c r="W7" s="93"/>
      <c r="X7" s="93"/>
      <c r="Y7" s="174"/>
      <c r="Z7" s="174"/>
      <c r="AA7" s="262"/>
      <c r="AB7" s="262"/>
      <c r="AC7" s="262"/>
      <c r="AD7" s="262"/>
      <c r="AE7" s="262"/>
      <c r="AF7" s="262"/>
      <c r="AG7" s="262"/>
      <c r="AH7" s="262"/>
      <c r="AI7" s="262"/>
      <c r="AJ7" s="262"/>
      <c r="AK7" s="262"/>
      <c r="AL7" s="262"/>
      <c r="AM7" s="262"/>
      <c r="AN7" s="262"/>
      <c r="AO7" s="262"/>
      <c r="AP7" s="262"/>
      <c r="AQ7" s="262"/>
      <c r="AR7" s="262"/>
      <c r="AS7" s="262"/>
      <c r="AT7" s="262"/>
      <c r="AU7" s="262"/>
      <c r="AV7" s="262"/>
      <c r="AW7" s="262"/>
      <c r="AX7" s="262"/>
      <c r="AY7" s="262"/>
      <c r="AZ7" s="262"/>
      <c r="BA7" s="262"/>
      <c r="BB7" s="262"/>
      <c r="BC7" s="262"/>
      <c r="BD7" s="262"/>
      <c r="BE7" s="262"/>
      <c r="BF7" s="262"/>
      <c r="BG7" s="262"/>
      <c r="BH7" s="262"/>
      <c r="BI7" s="262"/>
      <c r="BJ7" s="262"/>
      <c r="BK7" s="262"/>
      <c r="BL7" s="262"/>
      <c r="BM7" s="262"/>
      <c r="BN7" s="262"/>
      <c r="BO7" s="262"/>
      <c r="BP7" s="262"/>
      <c r="BQ7" s="262"/>
      <c r="BR7" s="262"/>
      <c r="BS7" s="262"/>
      <c r="BT7" s="262"/>
      <c r="BU7" s="262"/>
      <c r="BV7" s="262"/>
      <c r="BW7" s="262"/>
      <c r="BX7" s="262"/>
      <c r="BY7" s="262"/>
      <c r="BZ7" s="262"/>
      <c r="CA7" s="262"/>
      <c r="CB7" s="262"/>
    </row>
    <row r="8" spans="1:80">
      <c r="A8" s="134" t="str">
        <f>"Discounted @ "&amp;FIXED(Input!B3*100,1)&amp;" %"</f>
        <v>Discounted @ 10.0 %</v>
      </c>
      <c r="B8" s="151">
        <f t="shared" ref="B8:P8" si="1">SUMPRODUCT(B10:B50,$AA$10:$AA$50)</f>
        <v>0</v>
      </c>
      <c r="C8" s="151">
        <f t="shared" si="1"/>
        <v>0</v>
      </c>
      <c r="D8" s="151">
        <f>SUMPRODUCT(D10:D50,$AA$10:$AA$50)</f>
        <v>0</v>
      </c>
      <c r="E8" s="257">
        <f t="shared" si="1"/>
        <v>0</v>
      </c>
      <c r="F8" s="257">
        <f t="shared" si="1"/>
        <v>0</v>
      </c>
      <c r="G8" s="257">
        <f t="shared" si="1"/>
        <v>0</v>
      </c>
      <c r="H8" s="257">
        <f t="shared" si="1"/>
        <v>0</v>
      </c>
      <c r="I8" s="257">
        <f t="shared" si="1"/>
        <v>0</v>
      </c>
      <c r="J8" s="257">
        <f t="shared" si="1"/>
        <v>0</v>
      </c>
      <c r="K8" s="257">
        <f t="shared" si="1"/>
        <v>0</v>
      </c>
      <c r="L8" s="257">
        <f t="shared" si="1"/>
        <v>0</v>
      </c>
      <c r="M8" s="257">
        <f t="shared" si="1"/>
        <v>0</v>
      </c>
      <c r="N8" s="257">
        <f t="shared" si="1"/>
        <v>0</v>
      </c>
      <c r="O8" s="257">
        <f t="shared" si="1"/>
        <v>0</v>
      </c>
      <c r="P8" s="257">
        <f t="shared" si="1"/>
        <v>0</v>
      </c>
      <c r="Q8" s="265"/>
      <c r="R8" s="266"/>
      <c r="S8" s="257"/>
      <c r="T8" s="217"/>
      <c r="U8" s="173"/>
      <c r="V8" s="173"/>
      <c r="W8" s="173"/>
      <c r="X8" s="173"/>
      <c r="Y8" s="174"/>
      <c r="Z8" s="174"/>
      <c r="AA8" s="93"/>
      <c r="AB8" s="93"/>
      <c r="AC8" s="93"/>
      <c r="AD8" s="93"/>
      <c r="AE8" s="93"/>
      <c r="AF8" s="93"/>
      <c r="AG8" s="93"/>
      <c r="AH8" s="93"/>
      <c r="AI8" s="93"/>
      <c r="AJ8" s="93"/>
      <c r="AK8" s="93"/>
      <c r="AL8" s="93"/>
      <c r="AM8" s="93"/>
      <c r="AN8" s="93"/>
      <c r="AO8" s="93"/>
      <c r="AP8" s="93"/>
      <c r="AQ8" s="93"/>
      <c r="AR8" s="93"/>
      <c r="AS8" s="93"/>
      <c r="AT8" s="93"/>
      <c r="AU8" s="93"/>
      <c r="AV8" s="93"/>
      <c r="AW8" s="93"/>
      <c r="AX8" s="93"/>
      <c r="AY8" s="93"/>
      <c r="AZ8" s="93"/>
      <c r="BA8" s="93"/>
      <c r="BB8" s="93"/>
      <c r="BC8" s="93"/>
      <c r="BD8" s="93"/>
      <c r="BE8" s="93"/>
      <c r="BF8" s="93"/>
      <c r="BG8" s="93"/>
      <c r="BH8" s="93"/>
      <c r="BI8" s="93"/>
      <c r="BJ8" s="93"/>
      <c r="BK8" s="93"/>
      <c r="BL8" s="93"/>
      <c r="BM8" s="93"/>
      <c r="BN8" s="93"/>
      <c r="BO8" s="93"/>
      <c r="BP8" s="93"/>
      <c r="BQ8" s="93"/>
      <c r="BR8" s="93"/>
      <c r="BS8" s="93"/>
      <c r="BT8" s="93"/>
      <c r="BU8" s="93"/>
      <c r="BV8" s="93"/>
      <c r="BW8" s="93"/>
      <c r="BX8" s="93"/>
      <c r="BY8" s="93"/>
      <c r="BZ8" s="93"/>
      <c r="CA8" s="93"/>
      <c r="CB8" s="93"/>
    </row>
    <row r="9" spans="1:80">
      <c r="A9" s="93"/>
      <c r="B9" s="156"/>
      <c r="C9" s="156"/>
      <c r="D9" s="156"/>
      <c r="E9" s="257"/>
      <c r="F9" s="257"/>
      <c r="G9" s="257"/>
      <c r="H9" s="257"/>
      <c r="I9" s="257"/>
      <c r="J9" s="257"/>
      <c r="K9" s="257"/>
      <c r="L9" s="257"/>
      <c r="M9" s="257"/>
      <c r="N9" s="257"/>
      <c r="O9" s="257"/>
      <c r="P9" s="257"/>
      <c r="Q9" s="265"/>
      <c r="R9" s="266"/>
      <c r="S9" s="257">
        <f>-Exploration!V23</f>
        <v>-217.75278028130359</v>
      </c>
      <c r="T9" s="173"/>
      <c r="U9" s="173"/>
      <c r="V9" s="173"/>
      <c r="W9" s="173"/>
      <c r="X9" s="173"/>
      <c r="Y9" s="173"/>
      <c r="Z9" s="173"/>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93"/>
      <c r="CB9" s="93"/>
    </row>
    <row r="10" spans="1:80">
      <c r="A10" s="157">
        <f>A2</f>
        <v>2015</v>
      </c>
      <c r="B10" s="158">
        <f>Revenue!N11</f>
        <v>0</v>
      </c>
      <c r="C10" s="158">
        <f>Revenue!O11</f>
        <v>0</v>
      </c>
      <c r="D10" s="158">
        <f>Revenue!P11</f>
        <v>0</v>
      </c>
      <c r="E10" s="257">
        <f>SUM(B10:D10)</f>
        <v>0</v>
      </c>
      <c r="F10" s="257">
        <f>Exploration!S35</f>
        <v>0</v>
      </c>
      <c r="G10" s="257">
        <f>Development!BE91</f>
        <v>633.95620452669152</v>
      </c>
      <c r="H10" s="257">
        <f>Abandonment!G16</f>
        <v>0</v>
      </c>
      <c r="I10" s="257">
        <f>Operations!M19</f>
        <v>0</v>
      </c>
      <c r="J10" s="257">
        <f t="shared" ref="J10:J49" si="2">SUM(F10:I10)</f>
        <v>633.95620452669152</v>
      </c>
      <c r="K10" s="257">
        <f t="shared" ref="K10:K49" si="3">E10-J10</f>
        <v>-633.95620452669152</v>
      </c>
      <c r="L10" s="257">
        <f>Royalty!AM12</f>
        <v>0</v>
      </c>
      <c r="M10" s="257">
        <f>'Provincial Tax'!X10</f>
        <v>-6.9854608901269284</v>
      </c>
      <c r="N10" s="257">
        <f>'Federal Tax'!X11</f>
        <v>-9.6573996806004789</v>
      </c>
      <c r="O10" s="257">
        <f t="shared" ref="O10:O49" si="4">SUM(L10:N10)</f>
        <v>-16.642860570727407</v>
      </c>
      <c r="P10" s="257">
        <f t="shared" ref="P10:P49" si="5">K10-O10</f>
        <v>-617.31334395596411</v>
      </c>
      <c r="Q10" s="265"/>
      <c r="R10" s="266"/>
      <c r="S10" s="257">
        <f>S9+P10</f>
        <v>-835.06612423726767</v>
      </c>
      <c r="T10" s="267">
        <f t="shared" ref="T10:T16" si="6">IF(S10&gt;0,IF(S9&lt;0,DATE(A10,1,1)-S9/(S10-S9)*365,0),0)</f>
        <v>0</v>
      </c>
      <c r="U10" s="93"/>
      <c r="V10" s="173"/>
      <c r="W10" s="93"/>
      <c r="X10" s="268"/>
      <c r="Y10" s="174"/>
      <c r="Z10" s="174"/>
      <c r="AA10" s="262"/>
      <c r="AB10" s="262"/>
      <c r="AC10" s="262"/>
      <c r="AD10" s="262"/>
      <c r="AE10" s="262"/>
      <c r="AF10" s="262"/>
      <c r="AG10" s="262"/>
      <c r="AH10" s="262"/>
      <c r="AI10" s="262"/>
      <c r="AJ10" s="262"/>
      <c r="AK10" s="262"/>
      <c r="AL10" s="262"/>
      <c r="AM10" s="262"/>
      <c r="AN10" s="262"/>
      <c r="AO10" s="262"/>
      <c r="AP10" s="262"/>
      <c r="AQ10" s="262"/>
      <c r="AR10" s="262"/>
      <c r="AS10" s="262"/>
      <c r="AT10" s="262"/>
      <c r="AU10" s="262"/>
      <c r="AV10" s="262"/>
      <c r="AW10" s="262"/>
      <c r="AX10" s="262"/>
      <c r="AY10" s="262"/>
      <c r="AZ10" s="262"/>
      <c r="BA10" s="262"/>
      <c r="BB10" s="262"/>
      <c r="BC10" s="262"/>
      <c r="BD10" s="262"/>
      <c r="BE10" s="262"/>
      <c r="BF10" s="262"/>
      <c r="BG10" s="262"/>
      <c r="BH10" s="262"/>
      <c r="BI10" s="262"/>
      <c r="BJ10" s="262"/>
      <c r="BK10" s="262"/>
      <c r="BL10" s="262"/>
      <c r="BM10" s="262"/>
      <c r="BN10" s="262"/>
      <c r="BO10" s="262"/>
      <c r="BP10" s="262"/>
      <c r="BQ10" s="262"/>
      <c r="BR10" s="262"/>
      <c r="BS10" s="262"/>
      <c r="BT10" s="262"/>
      <c r="BU10" s="262"/>
      <c r="BV10" s="262"/>
      <c r="BW10" s="262"/>
      <c r="BX10" s="262"/>
      <c r="BY10" s="262"/>
      <c r="BZ10" s="262"/>
      <c r="CA10" s="262"/>
      <c r="CB10" s="262"/>
    </row>
    <row r="11" spans="1:80">
      <c r="A11" s="159">
        <f>IF(OR(A10=Abandonment!$B$4,A10=""),"",'Success Cash Flow'!A10+1)</f>
        <v>2016</v>
      </c>
      <c r="B11" s="160">
        <f>Revenue!N12</f>
        <v>0</v>
      </c>
      <c r="C11" s="160">
        <f>Revenue!O12</f>
        <v>0</v>
      </c>
      <c r="D11" s="160">
        <f>Revenue!P12</f>
        <v>0</v>
      </c>
      <c r="E11" s="257">
        <f>SUM(B11:D11)</f>
        <v>0</v>
      </c>
      <c r="F11" s="257">
        <f>Exploration!S36</f>
        <v>0</v>
      </c>
      <c r="G11" s="257">
        <f>Development!BE92</f>
        <v>3223.0407310709552</v>
      </c>
      <c r="H11" s="257">
        <f>Abandonment!G17</f>
        <v>0</v>
      </c>
      <c r="I11" s="257">
        <f>Operations!M20</f>
        <v>0</v>
      </c>
      <c r="J11" s="257">
        <f t="shared" si="2"/>
        <v>3223.0407310709552</v>
      </c>
      <c r="K11" s="257">
        <f t="shared" si="3"/>
        <v>-3223.0407310709552</v>
      </c>
      <c r="L11" s="257">
        <f>Royalty!AM13</f>
        <v>0</v>
      </c>
      <c r="M11" s="257">
        <f>'Provincial Tax'!X11</f>
        <v>-25.077497244263874</v>
      </c>
      <c r="N11" s="257">
        <f>'Federal Tax'!X12</f>
        <v>-32.130543344213088</v>
      </c>
      <c r="O11" s="257">
        <f t="shared" si="4"/>
        <v>-57.208040588476962</v>
      </c>
      <c r="P11" s="257">
        <f t="shared" si="5"/>
        <v>-3165.832690482478</v>
      </c>
      <c r="Q11" s="265"/>
      <c r="R11" s="266"/>
      <c r="S11" s="257">
        <f t="shared" ref="S11:S49" si="7">S10+P11</f>
        <v>-4000.8988147197456</v>
      </c>
      <c r="T11" s="269">
        <f t="shared" si="6"/>
        <v>0</v>
      </c>
      <c r="U11" s="93"/>
      <c r="V11" s="173"/>
      <c r="W11" s="93"/>
      <c r="X11" s="214"/>
      <c r="Y11" s="174"/>
      <c r="Z11" s="174"/>
      <c r="AA11" s="262"/>
      <c r="AB11" s="262"/>
      <c r="AC11" s="262"/>
      <c r="AD11" s="262"/>
      <c r="AE11" s="262"/>
      <c r="AF11" s="262"/>
      <c r="AG11" s="262"/>
      <c r="AH11" s="262"/>
      <c r="AI11" s="262"/>
      <c r="AJ11" s="262"/>
      <c r="AK11" s="262"/>
      <c r="AL11" s="262"/>
      <c r="AM11" s="262"/>
      <c r="AN11" s="262"/>
      <c r="AO11" s="262"/>
      <c r="AP11" s="262"/>
      <c r="AQ11" s="262"/>
      <c r="AR11" s="262"/>
      <c r="AS11" s="262"/>
      <c r="AT11" s="262"/>
      <c r="AU11" s="262"/>
      <c r="AV11" s="262"/>
      <c r="AW11" s="262"/>
      <c r="AX11" s="262"/>
      <c r="AY11" s="262"/>
      <c r="AZ11" s="262"/>
      <c r="BA11" s="262"/>
      <c r="BB11" s="262"/>
      <c r="BC11" s="262"/>
      <c r="BD11" s="262"/>
      <c r="BE11" s="262"/>
      <c r="BF11" s="262"/>
      <c r="BG11" s="262"/>
      <c r="BH11" s="262"/>
      <c r="BI11" s="262"/>
      <c r="BJ11" s="262"/>
      <c r="BK11" s="262"/>
      <c r="BL11" s="262"/>
      <c r="BM11" s="262"/>
      <c r="BN11" s="262"/>
      <c r="BO11" s="262"/>
      <c r="BP11" s="262"/>
      <c r="BQ11" s="262"/>
      <c r="BR11" s="262"/>
      <c r="BS11" s="262"/>
      <c r="BT11" s="262"/>
      <c r="BU11" s="262"/>
      <c r="BV11" s="262"/>
      <c r="BW11" s="262"/>
      <c r="BX11" s="262"/>
      <c r="BY11" s="262"/>
      <c r="BZ11" s="262"/>
      <c r="CA11" s="262"/>
      <c r="CB11" s="262"/>
    </row>
    <row r="12" spans="1:80">
      <c r="A12" s="159">
        <f>IF(OR(A11=Abandonment!$B$4,A11=""),"",'Success Cash Flow'!A11+1)</f>
        <v>2017</v>
      </c>
      <c r="B12" s="160">
        <f>Revenue!N13</f>
        <v>286.56373974729763</v>
      </c>
      <c r="C12" s="160">
        <f>Revenue!O13</f>
        <v>1726.0877394160855</v>
      </c>
      <c r="D12" s="160">
        <f>Revenue!P13</f>
        <v>0</v>
      </c>
      <c r="E12" s="257">
        <f t="shared" ref="E12:E49" si="8">SUM(B12:D12)</f>
        <v>2012.6514791633831</v>
      </c>
      <c r="F12" s="257">
        <f>Exploration!S37</f>
        <v>0</v>
      </c>
      <c r="G12" s="257">
        <f>Development!BE93</f>
        <v>1415.8525897817603</v>
      </c>
      <c r="H12" s="257">
        <f>Abandonment!G18</f>
        <v>0</v>
      </c>
      <c r="I12" s="257">
        <f>Operations!M21</f>
        <v>274.04317319241773</v>
      </c>
      <c r="J12" s="257">
        <f t="shared" si="2"/>
        <v>1689.8957629741781</v>
      </c>
      <c r="K12" s="257">
        <f t="shared" si="3"/>
        <v>322.75571618920503</v>
      </c>
      <c r="L12" s="257">
        <f>Royalty!AM14</f>
        <v>40.253029583267661</v>
      </c>
      <c r="M12" s="257">
        <f>'Provincial Tax'!X12</f>
        <v>131.93213601801324</v>
      </c>
      <c r="N12" s="257">
        <f>'Federal Tax'!X13</f>
        <v>164.91517002251655</v>
      </c>
      <c r="O12" s="257">
        <f t="shared" si="4"/>
        <v>337.10033562379749</v>
      </c>
      <c r="P12" s="257">
        <f t="shared" si="5"/>
        <v>-14.34461943459246</v>
      </c>
      <c r="Q12" s="265"/>
      <c r="R12" s="266"/>
      <c r="S12" s="257">
        <f t="shared" si="7"/>
        <v>-4015.243434154338</v>
      </c>
      <c r="T12" s="269">
        <f t="shared" si="6"/>
        <v>0</v>
      </c>
      <c r="U12" s="93"/>
      <c r="V12" s="173"/>
      <c r="W12" s="93"/>
      <c r="X12" s="93"/>
      <c r="Y12" s="174"/>
      <c r="Z12" s="174"/>
      <c r="AA12" s="262"/>
      <c r="AB12" s="262"/>
      <c r="AC12" s="262"/>
      <c r="AD12" s="262"/>
      <c r="AE12" s="262"/>
      <c r="AF12" s="262"/>
      <c r="AG12" s="262"/>
      <c r="AH12" s="262"/>
      <c r="AI12" s="262"/>
      <c r="AJ12" s="262"/>
      <c r="AK12" s="262"/>
      <c r="AL12" s="262"/>
      <c r="AM12" s="262"/>
      <c r="AN12" s="262"/>
      <c r="AO12" s="262"/>
      <c r="AP12" s="262"/>
      <c r="AQ12" s="262"/>
      <c r="AR12" s="262"/>
      <c r="AS12" s="262"/>
      <c r="AT12" s="262"/>
      <c r="AU12" s="262"/>
      <c r="AV12" s="262"/>
      <c r="AW12" s="262"/>
      <c r="AX12" s="262"/>
      <c r="AY12" s="262"/>
      <c r="AZ12" s="262"/>
      <c r="BA12" s="262"/>
      <c r="BB12" s="262"/>
      <c r="BC12" s="262"/>
      <c r="BD12" s="262"/>
      <c r="BE12" s="262"/>
      <c r="BF12" s="262"/>
      <c r="BG12" s="262"/>
      <c r="BH12" s="262"/>
      <c r="BI12" s="262"/>
      <c r="BJ12" s="262"/>
      <c r="BK12" s="262"/>
      <c r="BL12" s="262"/>
      <c r="BM12" s="262"/>
      <c r="BN12" s="262"/>
      <c r="BO12" s="262"/>
      <c r="BP12" s="262"/>
      <c r="BQ12" s="262"/>
      <c r="BR12" s="262"/>
      <c r="BS12" s="262"/>
      <c r="BT12" s="262"/>
      <c r="BU12" s="262"/>
      <c r="BV12" s="262"/>
      <c r="BW12" s="262"/>
      <c r="BX12" s="262"/>
      <c r="BY12" s="262"/>
      <c r="BZ12" s="262"/>
      <c r="CA12" s="262"/>
      <c r="CB12" s="262"/>
    </row>
    <row r="13" spans="1:80">
      <c r="A13" s="159">
        <f>IF(OR(A12=Abandonment!$B$4,A12=""),"",'Success Cash Flow'!A12+1)</f>
        <v>2018</v>
      </c>
      <c r="B13" s="160">
        <f>Revenue!N14</f>
        <v>463.76533570517643</v>
      </c>
      <c r="C13" s="160">
        <f>Revenue!O14</f>
        <v>2623.2163235294111</v>
      </c>
      <c r="D13" s="160">
        <f>Revenue!P14</f>
        <v>0</v>
      </c>
      <c r="E13" s="257">
        <f t="shared" si="8"/>
        <v>3086.9816592345874</v>
      </c>
      <c r="F13" s="257">
        <f>Exploration!S38</f>
        <v>0</v>
      </c>
      <c r="G13" s="257">
        <f>Development!BE94</f>
        <v>0</v>
      </c>
      <c r="H13" s="257">
        <f>Abandonment!G19</f>
        <v>0</v>
      </c>
      <c r="I13" s="257">
        <f>Operations!M22</f>
        <v>346.03421619318482</v>
      </c>
      <c r="J13" s="257">
        <f t="shared" si="2"/>
        <v>346.03421619318482</v>
      </c>
      <c r="K13" s="257">
        <f t="shared" si="3"/>
        <v>2740.9474430414025</v>
      </c>
      <c r="L13" s="257">
        <f>Royalty!AM15</f>
        <v>61.739633184691748</v>
      </c>
      <c r="M13" s="257">
        <f>'Provincial Tax'!X13</f>
        <v>247.40117278625877</v>
      </c>
      <c r="N13" s="257">
        <f>'Federal Tax'!X14</f>
        <v>364.53741232261257</v>
      </c>
      <c r="O13" s="257">
        <f t="shared" si="4"/>
        <v>673.67821829356308</v>
      </c>
      <c r="P13" s="257">
        <f t="shared" si="5"/>
        <v>2067.2692247478394</v>
      </c>
      <c r="Q13" s="265"/>
      <c r="R13" s="266"/>
      <c r="S13" s="257">
        <f t="shared" si="7"/>
        <v>-1947.9742094064986</v>
      </c>
      <c r="T13" s="269">
        <f t="shared" si="6"/>
        <v>0</v>
      </c>
      <c r="U13" s="93"/>
      <c r="V13" s="173"/>
      <c r="W13" s="93"/>
      <c r="X13" s="93"/>
      <c r="Y13" s="174"/>
      <c r="Z13" s="174"/>
      <c r="AA13" s="262"/>
      <c r="AB13" s="262"/>
      <c r="AC13" s="262"/>
      <c r="AD13" s="262"/>
      <c r="AE13" s="262"/>
      <c r="AF13" s="262"/>
      <c r="AG13" s="262"/>
      <c r="AH13" s="262"/>
      <c r="AI13" s="262"/>
      <c r="AJ13" s="262"/>
      <c r="AK13" s="262"/>
      <c r="AL13" s="262"/>
      <c r="AM13" s="262"/>
      <c r="AN13" s="262"/>
      <c r="AO13" s="262"/>
      <c r="AP13" s="262"/>
      <c r="AQ13" s="262"/>
      <c r="AR13" s="262"/>
      <c r="AS13" s="262"/>
      <c r="AT13" s="262"/>
      <c r="AU13" s="262"/>
      <c r="AV13" s="262"/>
      <c r="AW13" s="262"/>
      <c r="AX13" s="262"/>
      <c r="AY13" s="262"/>
      <c r="AZ13" s="262"/>
      <c r="BA13" s="262"/>
      <c r="BB13" s="262"/>
      <c r="BC13" s="262"/>
      <c r="BD13" s="262"/>
      <c r="BE13" s="262"/>
      <c r="BF13" s="262"/>
      <c r="BG13" s="262"/>
      <c r="BH13" s="262"/>
      <c r="BI13" s="262"/>
      <c r="BJ13" s="262"/>
      <c r="BK13" s="262"/>
      <c r="BL13" s="262"/>
      <c r="BM13" s="262"/>
      <c r="BN13" s="262"/>
      <c r="BO13" s="262"/>
      <c r="BP13" s="262"/>
      <c r="BQ13" s="262"/>
      <c r="BR13" s="262"/>
      <c r="BS13" s="262"/>
      <c r="BT13" s="262"/>
      <c r="BU13" s="262"/>
      <c r="BV13" s="262"/>
      <c r="BW13" s="262"/>
      <c r="BX13" s="262"/>
      <c r="BY13" s="262"/>
      <c r="BZ13" s="262"/>
      <c r="CA13" s="262"/>
      <c r="CB13" s="262"/>
    </row>
    <row r="14" spans="1:80">
      <c r="A14" s="159">
        <f>IF(OR(A13=Abandonment!$B$4,A13=""),"",'Success Cash Flow'!A13+1)</f>
        <v>2019</v>
      </c>
      <c r="B14" s="160">
        <f>Revenue!N15</f>
        <v>527.30374985840115</v>
      </c>
      <c r="C14" s="160">
        <f>Revenue!O15</f>
        <v>2833.1528036764694</v>
      </c>
      <c r="D14" s="160">
        <f>Revenue!P15</f>
        <v>0</v>
      </c>
      <c r="E14" s="257">
        <f t="shared" si="8"/>
        <v>3360.4565535348706</v>
      </c>
      <c r="F14" s="257">
        <f>Exploration!S39</f>
        <v>0</v>
      </c>
      <c r="G14" s="257">
        <f>Development!BE95</f>
        <v>0</v>
      </c>
      <c r="H14" s="257">
        <f>Abandonment!G20</f>
        <v>0</v>
      </c>
      <c r="I14" s="257">
        <f>Operations!M23</f>
        <v>354.68507159801442</v>
      </c>
      <c r="J14" s="257">
        <f t="shared" si="2"/>
        <v>354.68507159801442</v>
      </c>
      <c r="K14" s="257">
        <f t="shared" si="3"/>
        <v>3005.7714819368562</v>
      </c>
      <c r="L14" s="257">
        <f>Royalty!AM16</f>
        <v>105.01426729796469</v>
      </c>
      <c r="M14" s="257">
        <f>'Provincial Tax'!X14</f>
        <v>330.27996883465198</v>
      </c>
      <c r="N14" s="257">
        <f>'Federal Tax'!X15</f>
        <v>445.26885272034707</v>
      </c>
      <c r="O14" s="257">
        <f t="shared" si="4"/>
        <v>880.5630888529638</v>
      </c>
      <c r="P14" s="257">
        <f t="shared" si="5"/>
        <v>2125.2083930838926</v>
      </c>
      <c r="Q14" s="265"/>
      <c r="R14" s="266"/>
      <c r="S14" s="257">
        <f t="shared" si="7"/>
        <v>177.23418367739396</v>
      </c>
      <c r="T14" s="269">
        <f t="shared" si="6"/>
        <v>43800.560407698009</v>
      </c>
      <c r="U14" s="93"/>
      <c r="V14" s="173"/>
      <c r="W14" s="93"/>
      <c r="X14" s="93"/>
      <c r="Y14" s="174"/>
      <c r="Z14" s="174"/>
      <c r="AA14" s="262"/>
      <c r="AB14" s="262"/>
      <c r="AC14" s="262"/>
      <c r="AD14" s="262"/>
      <c r="AE14" s="262"/>
      <c r="AF14" s="262"/>
      <c r="AG14" s="262"/>
      <c r="AH14" s="262"/>
      <c r="AI14" s="262"/>
      <c r="AJ14" s="262"/>
      <c r="AK14" s="262"/>
      <c r="AL14" s="262"/>
      <c r="AM14" s="262"/>
      <c r="AN14" s="262"/>
      <c r="AO14" s="262"/>
      <c r="AP14" s="262"/>
      <c r="AQ14" s="262"/>
      <c r="AR14" s="262"/>
      <c r="AS14" s="262"/>
      <c r="AT14" s="262"/>
      <c r="AU14" s="262"/>
      <c r="AV14" s="262"/>
      <c r="AW14" s="262"/>
      <c r="AX14" s="262"/>
      <c r="AY14" s="262"/>
      <c r="AZ14" s="262"/>
      <c r="BA14" s="262"/>
      <c r="BB14" s="262"/>
      <c r="BC14" s="262"/>
      <c r="BD14" s="262"/>
      <c r="BE14" s="262"/>
      <c r="BF14" s="262"/>
      <c r="BG14" s="262"/>
      <c r="BH14" s="262"/>
      <c r="BI14" s="262"/>
      <c r="BJ14" s="262"/>
      <c r="BK14" s="262"/>
      <c r="BL14" s="262"/>
      <c r="BM14" s="262"/>
      <c r="BN14" s="262"/>
      <c r="BO14" s="262"/>
      <c r="BP14" s="262"/>
      <c r="BQ14" s="262"/>
      <c r="BR14" s="262"/>
      <c r="BS14" s="262"/>
      <c r="BT14" s="262"/>
      <c r="BU14" s="262"/>
      <c r="BV14" s="262"/>
      <c r="BW14" s="262"/>
      <c r="BX14" s="262"/>
      <c r="BY14" s="262"/>
      <c r="BZ14" s="262"/>
      <c r="CA14" s="262"/>
      <c r="CB14" s="262"/>
    </row>
    <row r="15" spans="1:80">
      <c r="A15" s="159">
        <f>IF(OR(A14=Abandonment!$B$4,A14=""),"",'Success Cash Flow'!A14+1)</f>
        <v>2020</v>
      </c>
      <c r="B15" s="160">
        <f>Revenue!N16</f>
        <v>565.0481204888406</v>
      </c>
      <c r="C15" s="160">
        <f>Revenue!O16</f>
        <v>2924.5819332219362</v>
      </c>
      <c r="D15" s="160">
        <f>Revenue!P16</f>
        <v>0</v>
      </c>
      <c r="E15" s="257">
        <f t="shared" si="8"/>
        <v>3489.6300537107768</v>
      </c>
      <c r="F15" s="257">
        <f>Exploration!S40</f>
        <v>0</v>
      </c>
      <c r="G15" s="257">
        <f>Development!BE96</f>
        <v>0</v>
      </c>
      <c r="H15" s="257">
        <f>Abandonment!G21</f>
        <v>0</v>
      </c>
      <c r="I15" s="257">
        <f>Operations!M24</f>
        <v>363.79041406237747</v>
      </c>
      <c r="J15" s="257">
        <f t="shared" si="2"/>
        <v>363.79041406237747</v>
      </c>
      <c r="K15" s="257">
        <f t="shared" si="3"/>
        <v>3125.8396396483995</v>
      </c>
      <c r="L15" s="257">
        <f>Royalty!AM17</f>
        <v>620.3931787451113</v>
      </c>
      <c r="M15" s="257">
        <f>'Provincial Tax'!X15</f>
        <v>301.9695550737265</v>
      </c>
      <c r="N15" s="257">
        <f>'Federal Tax'!X16</f>
        <v>380.69775903721597</v>
      </c>
      <c r="O15" s="257">
        <f t="shared" si="4"/>
        <v>1303.0604928560538</v>
      </c>
      <c r="P15" s="257">
        <f t="shared" si="5"/>
        <v>1822.7791467923457</v>
      </c>
      <c r="Q15" s="265"/>
      <c r="R15" s="266"/>
      <c r="S15" s="257">
        <f t="shared" si="7"/>
        <v>2000.0133304697397</v>
      </c>
      <c r="T15" s="269">
        <f t="shared" si="6"/>
        <v>0</v>
      </c>
      <c r="U15" s="93"/>
      <c r="V15" s="173"/>
      <c r="W15" s="93"/>
      <c r="X15" s="93"/>
      <c r="Y15" s="174"/>
      <c r="Z15" s="174"/>
      <c r="AA15" s="262"/>
      <c r="AB15" s="262"/>
      <c r="AC15" s="262"/>
      <c r="AD15" s="262"/>
      <c r="AE15" s="262"/>
      <c r="AF15" s="262"/>
      <c r="AG15" s="262"/>
      <c r="AH15" s="262"/>
      <c r="AI15" s="262"/>
      <c r="AJ15" s="262"/>
      <c r="AK15" s="262"/>
      <c r="AL15" s="262"/>
      <c r="AM15" s="262"/>
      <c r="AN15" s="262"/>
      <c r="AO15" s="262"/>
      <c r="AP15" s="262"/>
      <c r="AQ15" s="262"/>
      <c r="AR15" s="262"/>
      <c r="AS15" s="262"/>
      <c r="AT15" s="262"/>
      <c r="AU15" s="262"/>
      <c r="AV15" s="262"/>
      <c r="AW15" s="262"/>
      <c r="AX15" s="262"/>
      <c r="AY15" s="262"/>
      <c r="AZ15" s="262"/>
      <c r="BA15" s="262"/>
      <c r="BB15" s="262"/>
      <c r="BC15" s="262"/>
      <c r="BD15" s="262"/>
      <c r="BE15" s="262"/>
      <c r="BF15" s="262"/>
      <c r="BG15" s="262"/>
      <c r="BH15" s="262"/>
      <c r="BI15" s="262"/>
      <c r="BJ15" s="262"/>
      <c r="BK15" s="262"/>
      <c r="BL15" s="262"/>
      <c r="BM15" s="262"/>
      <c r="BN15" s="262"/>
      <c r="BO15" s="262"/>
      <c r="BP15" s="262"/>
      <c r="BQ15" s="262"/>
      <c r="BR15" s="262"/>
      <c r="BS15" s="262"/>
      <c r="BT15" s="262"/>
      <c r="BU15" s="262"/>
      <c r="BV15" s="262"/>
      <c r="BW15" s="262"/>
      <c r="BX15" s="262"/>
      <c r="BY15" s="262"/>
      <c r="BZ15" s="262"/>
      <c r="CA15" s="262"/>
      <c r="CB15" s="262"/>
    </row>
    <row r="16" spans="1:80">
      <c r="A16" s="159">
        <f>IF(OR(A15=Abandonment!$B$4,A15=""),"",'Success Cash Flow'!A15+1)</f>
        <v>2021</v>
      </c>
      <c r="B16" s="160">
        <f>Revenue!N17</f>
        <v>556.69975403970841</v>
      </c>
      <c r="C16" s="160">
        <f>Revenue!O17</f>
        <v>2881.2026029253693</v>
      </c>
      <c r="D16" s="160">
        <f>Revenue!P17</f>
        <v>0</v>
      </c>
      <c r="E16" s="257">
        <f t="shared" si="8"/>
        <v>3437.9023569650776</v>
      </c>
      <c r="F16" s="257">
        <f>Exploration!S41</f>
        <v>0</v>
      </c>
      <c r="G16" s="257">
        <f>Development!BE97</f>
        <v>0</v>
      </c>
      <c r="H16" s="257">
        <f>Abandonment!G22</f>
        <v>0</v>
      </c>
      <c r="I16" s="257">
        <f>Operations!M25</f>
        <v>363.82209040646165</v>
      </c>
      <c r="J16" s="257">
        <f t="shared" si="2"/>
        <v>363.82209040646165</v>
      </c>
      <c r="K16" s="257">
        <f t="shared" si="3"/>
        <v>3074.0802665586161</v>
      </c>
      <c r="L16" s="257">
        <f>Royalty!AM18</f>
        <v>1063.1943201312893</v>
      </c>
      <c r="M16" s="257">
        <f>'Provincial Tax'!X16</f>
        <v>248.60064974718745</v>
      </c>
      <c r="N16" s="257">
        <f>'Federal Tax'!X17</f>
        <v>311.79495586515947</v>
      </c>
      <c r="O16" s="257">
        <f t="shared" si="4"/>
        <v>1623.5899257436361</v>
      </c>
      <c r="P16" s="257">
        <f t="shared" si="5"/>
        <v>1450.4903408149801</v>
      </c>
      <c r="Q16" s="265"/>
      <c r="R16" s="266"/>
      <c r="S16" s="257">
        <f t="shared" si="7"/>
        <v>3450.5036712847195</v>
      </c>
      <c r="T16" s="269">
        <f t="shared" si="6"/>
        <v>0</v>
      </c>
      <c r="U16" s="93"/>
      <c r="V16" s="173"/>
      <c r="W16" s="93"/>
      <c r="X16" s="93"/>
      <c r="Y16" s="174"/>
      <c r="Z16" s="174"/>
      <c r="AA16" s="262"/>
      <c r="AB16" s="262"/>
      <c r="AC16" s="262"/>
      <c r="AD16" s="262"/>
      <c r="AE16" s="262"/>
      <c r="AF16" s="262"/>
      <c r="AG16" s="262"/>
      <c r="AH16" s="262"/>
      <c r="AI16" s="262"/>
      <c r="AJ16" s="262"/>
      <c r="AK16" s="262"/>
      <c r="AL16" s="262"/>
      <c r="AM16" s="262"/>
      <c r="AN16" s="262"/>
      <c r="AO16" s="262"/>
      <c r="AP16" s="262"/>
      <c r="AQ16" s="262"/>
      <c r="AR16" s="262"/>
      <c r="AS16" s="262"/>
      <c r="AT16" s="262"/>
      <c r="AU16" s="262"/>
      <c r="AV16" s="262"/>
      <c r="AW16" s="262"/>
      <c r="AX16" s="262"/>
      <c r="AY16" s="262"/>
      <c r="AZ16" s="262"/>
      <c r="BA16" s="262"/>
      <c r="BB16" s="262"/>
      <c r="BC16" s="262"/>
      <c r="BD16" s="262"/>
      <c r="BE16" s="262"/>
      <c r="BF16" s="262"/>
      <c r="BG16" s="262"/>
      <c r="BH16" s="262"/>
      <c r="BI16" s="262"/>
      <c r="BJ16" s="262"/>
      <c r="BK16" s="262"/>
      <c r="BL16" s="262"/>
      <c r="BM16" s="262"/>
      <c r="BN16" s="262"/>
      <c r="BO16" s="262"/>
      <c r="BP16" s="262"/>
      <c r="BQ16" s="262"/>
      <c r="BR16" s="262"/>
      <c r="BS16" s="262"/>
      <c r="BT16" s="262"/>
      <c r="BU16" s="262"/>
      <c r="BV16" s="262"/>
      <c r="BW16" s="262"/>
      <c r="BX16" s="262"/>
      <c r="BY16" s="262"/>
      <c r="BZ16" s="262"/>
      <c r="CA16" s="262"/>
      <c r="CB16" s="262"/>
    </row>
    <row r="17" spans="1:80">
      <c r="A17" s="159">
        <f>IF(OR(A16=Abandonment!$B$4,A16=""),"",'Success Cash Flow'!A16+1)</f>
        <v>2022</v>
      </c>
      <c r="B17" s="160">
        <f>Revenue!N18</f>
        <v>490.32087867216188</v>
      </c>
      <c r="C17" s="160">
        <f>Revenue!O18</f>
        <v>2537.5129469215685</v>
      </c>
      <c r="D17" s="160">
        <f>Revenue!P18</f>
        <v>0</v>
      </c>
      <c r="E17" s="257">
        <f t="shared" si="8"/>
        <v>3027.8338255937306</v>
      </c>
      <c r="F17" s="257">
        <f>Exploration!S42</f>
        <v>0</v>
      </c>
      <c r="G17" s="257">
        <f>Development!BE98</f>
        <v>0</v>
      </c>
      <c r="H17" s="257">
        <f>Abandonment!G23</f>
        <v>0</v>
      </c>
      <c r="I17" s="257">
        <f>Operations!M26</f>
        <v>341.8115434672556</v>
      </c>
      <c r="J17" s="257">
        <f t="shared" si="2"/>
        <v>341.8115434672556</v>
      </c>
      <c r="K17" s="257">
        <f t="shared" si="3"/>
        <v>2686.0222821264751</v>
      </c>
      <c r="L17" s="257">
        <f>Royalty!AM19</f>
        <v>928.14439472291224</v>
      </c>
      <c r="M17" s="257">
        <f>'Provincial Tax'!X17</f>
        <v>227.1293508490219</v>
      </c>
      <c r="N17" s="257">
        <f>'Federal Tax'!X18</f>
        <v>268.88701991869476</v>
      </c>
      <c r="O17" s="257">
        <f t="shared" si="4"/>
        <v>1424.1607654906288</v>
      </c>
      <c r="P17" s="257">
        <f t="shared" si="5"/>
        <v>1261.8615166358463</v>
      </c>
      <c r="Q17" s="265"/>
      <c r="R17" s="266"/>
      <c r="S17" s="257">
        <f t="shared" si="7"/>
        <v>4712.3651879205663</v>
      </c>
      <c r="T17" s="269">
        <f>IF(S17&gt;0,IF(S16&lt;0,DATE(A17,1,1)-S16/(S17-S16)*365,0),0)</f>
        <v>0</v>
      </c>
      <c r="U17" s="93"/>
      <c r="V17" s="173"/>
      <c r="W17" s="93"/>
      <c r="X17" s="93"/>
      <c r="Y17" s="174"/>
      <c r="Z17" s="174"/>
      <c r="AA17" s="262"/>
      <c r="AB17" s="262"/>
      <c r="AC17" s="262"/>
      <c r="AD17" s="262"/>
      <c r="AE17" s="262"/>
      <c r="AF17" s="262"/>
      <c r="AG17" s="262"/>
      <c r="AH17" s="262"/>
      <c r="AI17" s="262"/>
      <c r="AJ17" s="262"/>
      <c r="AK17" s="262"/>
      <c r="AL17" s="262"/>
      <c r="AM17" s="262"/>
      <c r="AN17" s="262"/>
      <c r="AO17" s="262"/>
      <c r="AP17" s="262"/>
      <c r="AQ17" s="262"/>
      <c r="AR17" s="262"/>
      <c r="AS17" s="262"/>
      <c r="AT17" s="262"/>
      <c r="AU17" s="262"/>
      <c r="AV17" s="262"/>
      <c r="AW17" s="262"/>
      <c r="AX17" s="262"/>
      <c r="AY17" s="262"/>
      <c r="AZ17" s="262"/>
      <c r="BA17" s="262"/>
      <c r="BB17" s="262"/>
      <c r="BC17" s="262"/>
      <c r="BD17" s="262"/>
      <c r="BE17" s="262"/>
      <c r="BF17" s="262"/>
      <c r="BG17" s="262"/>
      <c r="BH17" s="262"/>
      <c r="BI17" s="262"/>
      <c r="BJ17" s="262"/>
      <c r="BK17" s="262"/>
      <c r="BL17" s="262"/>
      <c r="BM17" s="262"/>
      <c r="BN17" s="262"/>
      <c r="BO17" s="262"/>
      <c r="BP17" s="262"/>
      <c r="BQ17" s="262"/>
      <c r="BR17" s="262"/>
      <c r="BS17" s="262"/>
      <c r="BT17" s="262"/>
      <c r="BU17" s="262"/>
      <c r="BV17" s="262"/>
      <c r="BW17" s="262"/>
      <c r="BX17" s="262"/>
      <c r="BY17" s="262"/>
      <c r="BZ17" s="262"/>
      <c r="CA17" s="262"/>
      <c r="CB17" s="262"/>
    </row>
    <row r="18" spans="1:80">
      <c r="A18" s="159">
        <f>IF(OR(A17=Abandonment!$B$4,A17=""),"",'Success Cash Flow'!A17+1)</f>
        <v>2023</v>
      </c>
      <c r="B18" s="160">
        <f>Revenue!N19</f>
        <v>428.82422614565854</v>
      </c>
      <c r="C18" s="160">
        <f>Revenue!O19</f>
        <v>2219.1311811347964</v>
      </c>
      <c r="D18" s="160">
        <f>Revenue!P19</f>
        <v>0</v>
      </c>
      <c r="E18" s="257">
        <f t="shared" si="8"/>
        <v>2647.9554072804549</v>
      </c>
      <c r="F18" s="257">
        <f>Exploration!S43</f>
        <v>0</v>
      </c>
      <c r="G18" s="257">
        <f>Development!BE99</f>
        <v>0</v>
      </c>
      <c r="H18" s="257">
        <f>Abandonment!G24</f>
        <v>0</v>
      </c>
      <c r="I18" s="257">
        <f>Operations!M27</f>
        <v>321.96168807165367</v>
      </c>
      <c r="J18" s="257">
        <f t="shared" si="2"/>
        <v>321.96168807165367</v>
      </c>
      <c r="K18" s="257">
        <f t="shared" si="3"/>
        <v>2325.9937192088014</v>
      </c>
      <c r="L18" s="257">
        <f>Royalty!AM20</f>
        <v>802.82914264057251</v>
      </c>
      <c r="M18" s="257">
        <f>'Provincial Tax'!X18</f>
        <v>203.61529948699376</v>
      </c>
      <c r="N18" s="257">
        <f>'Federal Tax'!X19</f>
        <v>241.171354979916</v>
      </c>
      <c r="O18" s="257">
        <f t="shared" si="4"/>
        <v>1247.6157971074822</v>
      </c>
      <c r="P18" s="257">
        <f t="shared" si="5"/>
        <v>1078.3779221013192</v>
      </c>
      <c r="Q18" s="265"/>
      <c r="R18" s="266"/>
      <c r="S18" s="257">
        <f t="shared" si="7"/>
        <v>5790.7431100218855</v>
      </c>
      <c r="T18" s="269">
        <f t="shared" ref="T18:T49" si="9">IF(S18&gt;0,IF(S17&lt;0,DATE(A18,1,1)-S17/(S18-S17)*365,0),0)</f>
        <v>0</v>
      </c>
      <c r="U18" s="93"/>
      <c r="V18" s="173"/>
      <c r="W18" s="93"/>
      <c r="X18" s="93"/>
      <c r="Y18" s="174"/>
      <c r="Z18" s="174"/>
      <c r="AA18" s="262"/>
      <c r="AB18" s="262"/>
      <c r="AC18" s="262"/>
      <c r="AD18" s="262"/>
      <c r="AE18" s="262"/>
      <c r="AF18" s="262"/>
      <c r="AG18" s="262"/>
      <c r="AH18" s="262"/>
      <c r="AI18" s="262"/>
      <c r="AJ18" s="262"/>
      <c r="AK18" s="262"/>
      <c r="AL18" s="262"/>
      <c r="AM18" s="262"/>
      <c r="AN18" s="262"/>
      <c r="AO18" s="262"/>
      <c r="AP18" s="262"/>
      <c r="AQ18" s="262"/>
      <c r="AR18" s="262"/>
      <c r="AS18" s="262"/>
      <c r="AT18" s="262"/>
      <c r="AU18" s="262"/>
      <c r="AV18" s="262"/>
      <c r="AW18" s="262"/>
      <c r="AX18" s="262"/>
      <c r="AY18" s="262"/>
      <c r="AZ18" s="262"/>
      <c r="BA18" s="262"/>
      <c r="BB18" s="262"/>
      <c r="BC18" s="262"/>
      <c r="BD18" s="262"/>
      <c r="BE18" s="262"/>
      <c r="BF18" s="262"/>
      <c r="BG18" s="262"/>
      <c r="BH18" s="262"/>
      <c r="BI18" s="262"/>
      <c r="BJ18" s="262"/>
      <c r="BK18" s="262"/>
      <c r="BL18" s="262"/>
      <c r="BM18" s="262"/>
      <c r="BN18" s="262"/>
      <c r="BO18" s="262"/>
      <c r="BP18" s="262"/>
      <c r="BQ18" s="262"/>
      <c r="BR18" s="262"/>
      <c r="BS18" s="262"/>
      <c r="BT18" s="262"/>
      <c r="BU18" s="262"/>
      <c r="BV18" s="262"/>
      <c r="BW18" s="262"/>
      <c r="BX18" s="262"/>
      <c r="BY18" s="262"/>
      <c r="BZ18" s="262"/>
      <c r="CA18" s="262"/>
      <c r="CB18" s="262"/>
    </row>
    <row r="19" spans="1:80">
      <c r="A19" s="159">
        <f>IF(OR(A18=Abandonment!$B$4,A18=""),"",'Success Cash Flow'!A18+1)</f>
        <v>2024</v>
      </c>
      <c r="B19" s="160">
        <f>Revenue!N20</f>
        <v>375.91784503028794</v>
      </c>
      <c r="C19" s="160">
        <f>Revenue!O20</f>
        <v>1945.2392935238142</v>
      </c>
      <c r="D19" s="160">
        <f>Revenue!P20</f>
        <v>0</v>
      </c>
      <c r="E19" s="257">
        <f t="shared" si="8"/>
        <v>2321.1571385541019</v>
      </c>
      <c r="F19" s="257">
        <f>Exploration!S44</f>
        <v>0</v>
      </c>
      <c r="G19" s="257">
        <f>Development!BE100</f>
        <v>0</v>
      </c>
      <c r="H19" s="257">
        <f>Abandonment!G25</f>
        <v>0</v>
      </c>
      <c r="I19" s="257">
        <f>Operations!M28</f>
        <v>305.39712227991697</v>
      </c>
      <c r="J19" s="257">
        <f t="shared" si="2"/>
        <v>305.39712227991697</v>
      </c>
      <c r="K19" s="257">
        <f t="shared" si="3"/>
        <v>2015.7600162741851</v>
      </c>
      <c r="L19" s="257">
        <f>Royalty!AM21</f>
        <v>694.82710641616757</v>
      </c>
      <c r="M19" s="257">
        <f>'Provincial Tax'!X19</f>
        <v>181.63610141575748</v>
      </c>
      <c r="N19" s="257">
        <f>'Federal Tax'!X20</f>
        <v>205.27749998632061</v>
      </c>
      <c r="O19" s="257">
        <f t="shared" si="4"/>
        <v>1081.7407078182457</v>
      </c>
      <c r="P19" s="257">
        <f t="shared" si="5"/>
        <v>934.01930845593938</v>
      </c>
      <c r="Q19" s="265"/>
      <c r="R19" s="266"/>
      <c r="S19" s="257">
        <f t="shared" si="7"/>
        <v>6724.7624184778251</v>
      </c>
      <c r="T19" s="269">
        <f t="shared" si="9"/>
        <v>0</v>
      </c>
      <c r="U19" s="93"/>
      <c r="V19" s="173"/>
      <c r="W19" s="93"/>
      <c r="X19" s="93"/>
      <c r="Y19" s="174"/>
      <c r="Z19" s="174"/>
      <c r="AA19" s="262"/>
      <c r="AB19" s="262"/>
      <c r="AC19" s="262"/>
      <c r="AD19" s="262"/>
      <c r="AE19" s="262"/>
      <c r="AF19" s="262"/>
      <c r="AG19" s="262"/>
      <c r="AH19" s="262"/>
      <c r="AI19" s="262"/>
      <c r="AJ19" s="262"/>
      <c r="AK19" s="262"/>
      <c r="AL19" s="262"/>
      <c r="AM19" s="262"/>
      <c r="AN19" s="262"/>
      <c r="AO19" s="262"/>
      <c r="AP19" s="262"/>
      <c r="AQ19" s="262"/>
      <c r="AR19" s="262"/>
      <c r="AS19" s="262"/>
      <c r="AT19" s="262"/>
      <c r="AU19" s="262"/>
      <c r="AV19" s="262"/>
      <c r="AW19" s="262"/>
      <c r="AX19" s="262"/>
      <c r="AY19" s="262"/>
      <c r="AZ19" s="262"/>
      <c r="BA19" s="262"/>
      <c r="BB19" s="262"/>
      <c r="BC19" s="262"/>
      <c r="BD19" s="262"/>
      <c r="BE19" s="262"/>
      <c r="BF19" s="262"/>
      <c r="BG19" s="262"/>
      <c r="BH19" s="262"/>
      <c r="BI19" s="262"/>
      <c r="BJ19" s="262"/>
      <c r="BK19" s="262"/>
      <c r="BL19" s="262"/>
      <c r="BM19" s="262"/>
      <c r="BN19" s="262"/>
      <c r="BO19" s="262"/>
      <c r="BP19" s="262"/>
      <c r="BQ19" s="262"/>
      <c r="BR19" s="262"/>
      <c r="BS19" s="262"/>
      <c r="BT19" s="262"/>
      <c r="BU19" s="262"/>
      <c r="BV19" s="262"/>
      <c r="BW19" s="262"/>
      <c r="BX19" s="262"/>
      <c r="BY19" s="262"/>
      <c r="BZ19" s="262"/>
      <c r="CA19" s="262"/>
      <c r="CB19" s="262"/>
    </row>
    <row r="20" spans="1:80">
      <c r="A20" s="159">
        <f>IF(OR(A19=Abandonment!$B$4,A19=""),"",'Success Cash Flow'!A19+1)</f>
        <v>2025</v>
      </c>
      <c r="B20" s="160">
        <f>Revenue!N21</f>
        <v>327.67819472135534</v>
      </c>
      <c r="C20" s="160">
        <f>Revenue!O21</f>
        <v>1695.5268877351534</v>
      </c>
      <c r="D20" s="160">
        <f>Revenue!P21</f>
        <v>0</v>
      </c>
      <c r="E20" s="257">
        <f t="shared" si="8"/>
        <v>2023.2050824565088</v>
      </c>
      <c r="F20" s="257">
        <f>Exploration!S45</f>
        <v>0</v>
      </c>
      <c r="G20" s="257">
        <f>Development!BE101</f>
        <v>0</v>
      </c>
      <c r="H20" s="257">
        <f>Abandonment!G26</f>
        <v>0</v>
      </c>
      <c r="I20" s="257">
        <f>Operations!M29</f>
        <v>291.29478776809464</v>
      </c>
      <c r="J20" s="257">
        <f t="shared" si="2"/>
        <v>291.29478776809464</v>
      </c>
      <c r="K20" s="257">
        <f t="shared" si="3"/>
        <v>1731.9102946884141</v>
      </c>
      <c r="L20" s="257">
        <f>Royalty!AM22</f>
        <v>595.97328556906155</v>
      </c>
      <c r="M20" s="257">
        <f>'Provincial Tax'!X20</f>
        <v>159.71362562594416</v>
      </c>
      <c r="N20" s="257">
        <f>'Federal Tax'!X21</f>
        <v>181.84840259714016</v>
      </c>
      <c r="O20" s="257">
        <f t="shared" si="4"/>
        <v>937.53531379214587</v>
      </c>
      <c r="P20" s="257">
        <f t="shared" si="5"/>
        <v>794.3749808962682</v>
      </c>
      <c r="Q20" s="265"/>
      <c r="R20" s="266"/>
      <c r="S20" s="257">
        <f t="shared" si="7"/>
        <v>7519.1373993740935</v>
      </c>
      <c r="T20" s="269">
        <f t="shared" si="9"/>
        <v>0</v>
      </c>
      <c r="U20" s="93"/>
      <c r="V20" s="173"/>
      <c r="W20" s="93"/>
      <c r="X20" s="93"/>
      <c r="Y20" s="174"/>
      <c r="Z20" s="174"/>
      <c r="AA20" s="262"/>
      <c r="AB20" s="262"/>
      <c r="AC20" s="262"/>
      <c r="AD20" s="262"/>
      <c r="AE20" s="262"/>
      <c r="AF20" s="262"/>
      <c r="AG20" s="262"/>
      <c r="AH20" s="262"/>
      <c r="AI20" s="262"/>
      <c r="AJ20" s="262"/>
      <c r="AK20" s="262"/>
      <c r="AL20" s="262"/>
      <c r="AM20" s="262"/>
      <c r="AN20" s="262"/>
      <c r="AO20" s="262"/>
      <c r="AP20" s="262"/>
      <c r="AQ20" s="262"/>
      <c r="AR20" s="262"/>
      <c r="AS20" s="262"/>
      <c r="AT20" s="262"/>
      <c r="AU20" s="262"/>
      <c r="AV20" s="262"/>
      <c r="AW20" s="262"/>
      <c r="AX20" s="262"/>
      <c r="AY20" s="262"/>
      <c r="AZ20" s="262"/>
      <c r="BA20" s="262"/>
      <c r="BB20" s="262"/>
      <c r="BC20" s="262"/>
      <c r="BD20" s="262"/>
      <c r="BE20" s="262"/>
      <c r="BF20" s="262"/>
      <c r="BG20" s="262"/>
      <c r="BH20" s="262"/>
      <c r="BI20" s="262"/>
      <c r="BJ20" s="262"/>
      <c r="BK20" s="262"/>
      <c r="BL20" s="262"/>
      <c r="BM20" s="262"/>
      <c r="BN20" s="262"/>
      <c r="BO20" s="262"/>
      <c r="BP20" s="262"/>
      <c r="BQ20" s="262"/>
      <c r="BR20" s="262"/>
      <c r="BS20" s="262"/>
      <c r="BT20" s="262"/>
      <c r="BU20" s="262"/>
      <c r="BV20" s="262"/>
      <c r="BW20" s="262"/>
      <c r="BX20" s="262"/>
      <c r="BY20" s="262"/>
      <c r="BZ20" s="262"/>
      <c r="CA20" s="262"/>
      <c r="CB20" s="262"/>
    </row>
    <row r="21" spans="1:80">
      <c r="A21" s="159">
        <f>IF(OR(A20=Abandonment!$B$4,A20=""),"",'Success Cash Flow'!A20+1)</f>
        <v>2026</v>
      </c>
      <c r="B21" s="160">
        <f>Revenue!N22</f>
        <v>285.80677753834584</v>
      </c>
      <c r="C21" s="160">
        <f>Revenue!O22</f>
        <v>1482.0031659122649</v>
      </c>
      <c r="D21" s="160">
        <f>Revenue!P22</f>
        <v>0</v>
      </c>
      <c r="E21" s="257">
        <f t="shared" si="8"/>
        <v>1767.8099434506107</v>
      </c>
      <c r="F21" s="257">
        <f>Exploration!S46</f>
        <v>0</v>
      </c>
      <c r="G21" s="257">
        <f>Development!BE102</f>
        <v>0</v>
      </c>
      <c r="H21" s="257">
        <f>Abandonment!G27</f>
        <v>0</v>
      </c>
      <c r="I21" s="257">
        <f>Operations!M30</f>
        <v>279.80651766944408</v>
      </c>
      <c r="J21" s="257">
        <f t="shared" si="2"/>
        <v>279.80651766944408</v>
      </c>
      <c r="K21" s="257">
        <f t="shared" si="3"/>
        <v>1488.0034257811667</v>
      </c>
      <c r="L21" s="257">
        <f>Royalty!AM23</f>
        <v>511.00797090497775</v>
      </c>
      <c r="M21" s="257">
        <f>'Provincial Tax'!X21</f>
        <v>139.9660550069203</v>
      </c>
      <c r="N21" s="257">
        <f>'Federal Tax'!X22</f>
        <v>152.88928651479799</v>
      </c>
      <c r="O21" s="257">
        <f t="shared" si="4"/>
        <v>803.86331242669598</v>
      </c>
      <c r="P21" s="257">
        <f t="shared" si="5"/>
        <v>684.14011335447071</v>
      </c>
      <c r="Q21" s="265"/>
      <c r="R21" s="266"/>
      <c r="S21" s="257">
        <f t="shared" si="7"/>
        <v>8203.277512728564</v>
      </c>
      <c r="T21" s="269">
        <f t="shared" si="9"/>
        <v>0</v>
      </c>
      <c r="U21" s="93"/>
      <c r="V21" s="173"/>
      <c r="W21" s="93"/>
      <c r="X21" s="93"/>
      <c r="Y21" s="174"/>
      <c r="Z21" s="174"/>
      <c r="AA21" s="262"/>
      <c r="AB21" s="262"/>
      <c r="AC21" s="262"/>
      <c r="AD21" s="262"/>
      <c r="AE21" s="262"/>
      <c r="AF21" s="262"/>
      <c r="AG21" s="262"/>
      <c r="AH21" s="262"/>
      <c r="AI21" s="262"/>
      <c r="AJ21" s="262"/>
      <c r="AK21" s="262"/>
      <c r="AL21" s="262"/>
      <c r="AM21" s="262"/>
      <c r="AN21" s="262"/>
      <c r="AO21" s="262"/>
      <c r="AP21" s="262"/>
      <c r="AQ21" s="262"/>
      <c r="AR21" s="262"/>
      <c r="AS21" s="262"/>
      <c r="AT21" s="262"/>
      <c r="AU21" s="262"/>
      <c r="AV21" s="262"/>
      <c r="AW21" s="262"/>
      <c r="AX21" s="262"/>
      <c r="AY21" s="262"/>
      <c r="AZ21" s="262"/>
      <c r="BA21" s="262"/>
      <c r="BB21" s="262"/>
      <c r="BC21" s="262"/>
      <c r="BD21" s="262"/>
      <c r="BE21" s="262"/>
      <c r="BF21" s="262"/>
      <c r="BG21" s="262"/>
      <c r="BH21" s="262"/>
      <c r="BI21" s="262"/>
      <c r="BJ21" s="262"/>
      <c r="BK21" s="262"/>
      <c r="BL21" s="262"/>
      <c r="BM21" s="262"/>
      <c r="BN21" s="262"/>
      <c r="BO21" s="262"/>
      <c r="BP21" s="262"/>
      <c r="BQ21" s="262"/>
      <c r="BR21" s="262"/>
      <c r="BS21" s="262"/>
      <c r="BT21" s="262"/>
      <c r="BU21" s="262"/>
      <c r="BV21" s="262"/>
      <c r="BW21" s="262"/>
      <c r="BX21" s="262"/>
      <c r="BY21" s="262"/>
      <c r="BZ21" s="262"/>
      <c r="CA21" s="262"/>
      <c r="CB21" s="262"/>
    </row>
    <row r="22" spans="1:80">
      <c r="A22" s="159">
        <f>IF(OR(A21=Abandonment!$B$4,A21=""),"",'Success Cash Flow'!A21+1)</f>
        <v>2027</v>
      </c>
      <c r="B22" s="160">
        <f>Revenue!N23</f>
        <v>249.24981326715647</v>
      </c>
      <c r="C22" s="160">
        <f>Revenue!O23</f>
        <v>1295.1521120116181</v>
      </c>
      <c r="D22" s="160">
        <f>Revenue!P23</f>
        <v>0</v>
      </c>
      <c r="E22" s="257">
        <f t="shared" si="8"/>
        <v>1544.4019252787746</v>
      </c>
      <c r="F22" s="257">
        <f>Exploration!S47</f>
        <v>0</v>
      </c>
      <c r="G22" s="257">
        <f>Development!BE103</f>
        <v>0</v>
      </c>
      <c r="H22" s="257">
        <f>Abandonment!G28</f>
        <v>0</v>
      </c>
      <c r="I22" s="257">
        <f>Operations!M31</f>
        <v>270.44776069165704</v>
      </c>
      <c r="J22" s="257">
        <f t="shared" si="2"/>
        <v>270.44776069165704</v>
      </c>
      <c r="K22" s="257">
        <f t="shared" si="3"/>
        <v>1273.9541645871175</v>
      </c>
      <c r="L22" s="257">
        <f>Royalty!AM24</f>
        <v>436.41828598128313</v>
      </c>
      <c r="M22" s="257">
        <f>'Provincial Tax'!X22</f>
        <v>121.86263011809699</v>
      </c>
      <c r="N22" s="257">
        <f>'Federal Tax'!X23</f>
        <v>134.7215704108003</v>
      </c>
      <c r="O22" s="257">
        <f t="shared" si="4"/>
        <v>693.00248651018035</v>
      </c>
      <c r="P22" s="257">
        <f t="shared" si="5"/>
        <v>580.95167807693713</v>
      </c>
      <c r="Q22" s="265"/>
      <c r="R22" s="266"/>
      <c r="S22" s="257">
        <f t="shared" si="7"/>
        <v>8784.2291908055013</v>
      </c>
      <c r="T22" s="269">
        <f t="shared" si="9"/>
        <v>0</v>
      </c>
      <c r="U22" s="93"/>
      <c r="V22" s="173"/>
      <c r="W22" s="93"/>
      <c r="X22" s="93"/>
      <c r="Y22" s="174"/>
      <c r="Z22" s="174"/>
      <c r="AA22" s="262"/>
      <c r="AB22" s="262"/>
      <c r="AC22" s="262"/>
      <c r="AD22" s="262"/>
      <c r="AE22" s="262"/>
      <c r="AF22" s="262"/>
      <c r="AG22" s="262"/>
      <c r="AH22" s="262"/>
      <c r="AI22" s="262"/>
      <c r="AJ22" s="262"/>
      <c r="AK22" s="262"/>
      <c r="AL22" s="262"/>
      <c r="AM22" s="262"/>
      <c r="AN22" s="262"/>
      <c r="AO22" s="262"/>
      <c r="AP22" s="262"/>
      <c r="AQ22" s="262"/>
      <c r="AR22" s="262"/>
      <c r="AS22" s="262"/>
      <c r="AT22" s="262"/>
      <c r="AU22" s="262"/>
      <c r="AV22" s="262"/>
      <c r="AW22" s="262"/>
      <c r="AX22" s="262"/>
      <c r="AY22" s="262"/>
      <c r="AZ22" s="262"/>
      <c r="BA22" s="262"/>
      <c r="BB22" s="262"/>
      <c r="BC22" s="262"/>
      <c r="BD22" s="262"/>
      <c r="BE22" s="262"/>
      <c r="BF22" s="262"/>
      <c r="BG22" s="262"/>
      <c r="BH22" s="262"/>
      <c r="BI22" s="262"/>
      <c r="BJ22" s="262"/>
      <c r="BK22" s="262"/>
      <c r="BL22" s="262"/>
      <c r="BM22" s="262"/>
      <c r="BN22" s="262"/>
      <c r="BO22" s="262"/>
      <c r="BP22" s="262"/>
      <c r="BQ22" s="262"/>
      <c r="BR22" s="262"/>
      <c r="BS22" s="262"/>
      <c r="BT22" s="262"/>
      <c r="BU22" s="262"/>
      <c r="BV22" s="262"/>
      <c r="BW22" s="262"/>
      <c r="BX22" s="262"/>
      <c r="BY22" s="262"/>
      <c r="BZ22" s="262"/>
      <c r="CA22" s="262"/>
      <c r="CB22" s="262"/>
    </row>
    <row r="23" spans="1:80">
      <c r="A23" s="159">
        <f>IF(OR(A22=Abandonment!$B$4,A22=""),"",'Success Cash Flow'!A22+1)</f>
        <v>2028</v>
      </c>
      <c r="B23" s="160">
        <f>Revenue!N24</f>
        <v>217.88640813216116</v>
      </c>
      <c r="C23" s="160">
        <f>Revenue!O24</f>
        <v>1134.529065309998</v>
      </c>
      <c r="D23" s="160">
        <f>Revenue!P24</f>
        <v>0</v>
      </c>
      <c r="E23" s="257">
        <f t="shared" si="8"/>
        <v>1352.4154734421593</v>
      </c>
      <c r="F23" s="257">
        <f>Exploration!S48</f>
        <v>0</v>
      </c>
      <c r="G23" s="257">
        <f>Development!BE104</f>
        <v>0</v>
      </c>
      <c r="H23" s="257">
        <f>Abandonment!G29</f>
        <v>0</v>
      </c>
      <c r="I23" s="257">
        <f>Operations!M32</f>
        <v>263.03297538277047</v>
      </c>
      <c r="J23" s="257">
        <f t="shared" si="2"/>
        <v>263.03297538277047</v>
      </c>
      <c r="K23" s="257">
        <f t="shared" si="3"/>
        <v>1089.3824980593888</v>
      </c>
      <c r="L23" s="257">
        <f>Royalty!AM25</f>
        <v>372.0777201823891</v>
      </c>
      <c r="M23" s="257">
        <f>'Provincial Tax'!X23</f>
        <v>105.74669362597373</v>
      </c>
      <c r="N23" s="257">
        <f>'Federal Tax'!X24</f>
        <v>112.48515309201258</v>
      </c>
      <c r="O23" s="257">
        <f t="shared" si="4"/>
        <v>590.30956690037533</v>
      </c>
      <c r="P23" s="257">
        <f t="shared" si="5"/>
        <v>499.07293115901348</v>
      </c>
      <c r="Q23" s="265"/>
      <c r="R23" s="266"/>
      <c r="S23" s="257">
        <f t="shared" si="7"/>
        <v>9283.3021219645143</v>
      </c>
      <c r="T23" s="269">
        <f t="shared" si="9"/>
        <v>0</v>
      </c>
      <c r="U23" s="93"/>
      <c r="V23" s="173"/>
      <c r="W23" s="93"/>
      <c r="X23" s="93"/>
      <c r="Y23" s="174"/>
      <c r="Z23" s="174"/>
      <c r="AA23" s="262"/>
      <c r="AB23" s="262"/>
      <c r="AC23" s="262"/>
      <c r="AD23" s="262"/>
      <c r="AE23" s="262"/>
      <c r="AF23" s="262"/>
      <c r="AG23" s="262"/>
      <c r="AH23" s="262"/>
      <c r="AI23" s="262"/>
      <c r="AJ23" s="262"/>
      <c r="AK23" s="262"/>
      <c r="AL23" s="262"/>
      <c r="AM23" s="262"/>
      <c r="AN23" s="262"/>
      <c r="AO23" s="262"/>
      <c r="AP23" s="262"/>
      <c r="AQ23" s="262"/>
      <c r="AR23" s="262"/>
      <c r="AS23" s="262"/>
      <c r="AT23" s="262"/>
      <c r="AU23" s="262"/>
      <c r="AV23" s="262"/>
      <c r="AW23" s="262"/>
      <c r="AX23" s="262"/>
      <c r="AY23" s="262"/>
      <c r="AZ23" s="262"/>
      <c r="BA23" s="262"/>
      <c r="BB23" s="262"/>
      <c r="BC23" s="262"/>
      <c r="BD23" s="262"/>
      <c r="BE23" s="262"/>
      <c r="BF23" s="262"/>
      <c r="BG23" s="262"/>
      <c r="BH23" s="262"/>
      <c r="BI23" s="262"/>
      <c r="BJ23" s="262"/>
      <c r="BK23" s="262"/>
      <c r="BL23" s="262"/>
      <c r="BM23" s="262"/>
      <c r="BN23" s="262"/>
      <c r="BO23" s="262"/>
      <c r="BP23" s="262"/>
      <c r="BQ23" s="262"/>
      <c r="BR23" s="262"/>
      <c r="BS23" s="262"/>
      <c r="BT23" s="262"/>
      <c r="BU23" s="262"/>
      <c r="BV23" s="262"/>
      <c r="BW23" s="262"/>
      <c r="BX23" s="262"/>
      <c r="BY23" s="262"/>
      <c r="BZ23" s="262"/>
      <c r="CA23" s="262"/>
      <c r="CB23" s="262"/>
    </row>
    <row r="24" spans="1:80">
      <c r="A24" s="159">
        <f>IF(OR(A23=Abandonment!$B$4,A23=""),"",'Success Cash Flow'!A23+1)</f>
        <v>2029</v>
      </c>
      <c r="B24" s="160">
        <f>Revenue!N25</f>
        <v>189.40176036674904</v>
      </c>
      <c r="C24" s="160">
        <f>Revenue!O25</f>
        <v>988.23360018345932</v>
      </c>
      <c r="D24" s="160">
        <f>Revenue!P25</f>
        <v>0</v>
      </c>
      <c r="E24" s="257">
        <f t="shared" si="8"/>
        <v>1177.6353605502084</v>
      </c>
      <c r="F24" s="257">
        <f>Exploration!S49</f>
        <v>0</v>
      </c>
      <c r="G24" s="257">
        <f>Development!BE105</f>
        <v>0</v>
      </c>
      <c r="H24" s="257">
        <f>Abandonment!G30</f>
        <v>0</v>
      </c>
      <c r="I24" s="257">
        <f>Operations!M33</f>
        <v>257.0894249213473</v>
      </c>
      <c r="J24" s="257">
        <f t="shared" si="2"/>
        <v>257.0894249213473</v>
      </c>
      <c r="K24" s="257">
        <f t="shared" si="3"/>
        <v>920.54593562886112</v>
      </c>
      <c r="L24" s="257">
        <f>Royalty!AM26</f>
        <v>313.19294759785419</v>
      </c>
      <c r="M24" s="257">
        <f>'Provincial Tax'!X24</f>
        <v>90.469608366048291</v>
      </c>
      <c r="N24" s="257">
        <f>'Federal Tax'!X25</f>
        <v>97.615875743058922</v>
      </c>
      <c r="O24" s="257">
        <f t="shared" si="4"/>
        <v>501.27843170696144</v>
      </c>
      <c r="P24" s="257">
        <f t="shared" si="5"/>
        <v>419.26750392189967</v>
      </c>
      <c r="Q24" s="265"/>
      <c r="R24" s="266"/>
      <c r="S24" s="257">
        <f t="shared" si="7"/>
        <v>9702.5696258864136</v>
      </c>
      <c r="T24" s="269">
        <f t="shared" si="9"/>
        <v>0</v>
      </c>
      <c r="U24" s="93"/>
      <c r="V24" s="173"/>
      <c r="W24" s="93"/>
      <c r="X24" s="93"/>
      <c r="Y24" s="174"/>
      <c r="Z24" s="174"/>
      <c r="AA24" s="262"/>
      <c r="AB24" s="262"/>
      <c r="AC24" s="262"/>
      <c r="AD24" s="262"/>
      <c r="AE24" s="262"/>
      <c r="AF24" s="262"/>
      <c r="AG24" s="262"/>
      <c r="AH24" s="262"/>
      <c r="AI24" s="262"/>
      <c r="AJ24" s="262"/>
      <c r="AK24" s="262"/>
      <c r="AL24" s="262"/>
      <c r="AM24" s="262"/>
      <c r="AN24" s="262"/>
      <c r="AO24" s="262"/>
      <c r="AP24" s="262"/>
      <c r="AQ24" s="262"/>
      <c r="AR24" s="262"/>
      <c r="AS24" s="262"/>
      <c r="AT24" s="262"/>
      <c r="AU24" s="262"/>
      <c r="AV24" s="262"/>
      <c r="AW24" s="262"/>
      <c r="AX24" s="262"/>
      <c r="AY24" s="262"/>
      <c r="AZ24" s="262"/>
      <c r="BA24" s="262"/>
      <c r="BB24" s="262"/>
      <c r="BC24" s="262"/>
      <c r="BD24" s="262"/>
      <c r="BE24" s="262"/>
      <c r="BF24" s="262"/>
      <c r="BG24" s="262"/>
      <c r="BH24" s="262"/>
      <c r="BI24" s="262"/>
      <c r="BJ24" s="262"/>
      <c r="BK24" s="262"/>
      <c r="BL24" s="262"/>
      <c r="BM24" s="262"/>
      <c r="BN24" s="262"/>
      <c r="BO24" s="262"/>
      <c r="BP24" s="262"/>
      <c r="BQ24" s="262"/>
      <c r="BR24" s="262"/>
      <c r="BS24" s="262"/>
      <c r="BT24" s="262"/>
      <c r="BU24" s="262"/>
      <c r="BV24" s="262"/>
      <c r="BW24" s="262"/>
      <c r="BX24" s="262"/>
      <c r="BY24" s="262"/>
      <c r="BZ24" s="262"/>
      <c r="CA24" s="262"/>
      <c r="CB24" s="262"/>
    </row>
    <row r="25" spans="1:80">
      <c r="A25" s="159">
        <f>IF(OR(A24=Abandonment!$B$4,A24=""),"",'Success Cash Flow'!A24+1)</f>
        <v>2030</v>
      </c>
      <c r="B25" s="160">
        <f>Revenue!N26</f>
        <v>165.10759610244205</v>
      </c>
      <c r="C25" s="160">
        <f>Revenue!O26</f>
        <v>863.22433152920155</v>
      </c>
      <c r="D25" s="160">
        <f>Revenue!P26</f>
        <v>0</v>
      </c>
      <c r="E25" s="257">
        <f t="shared" si="8"/>
        <v>1028.3319276316436</v>
      </c>
      <c r="F25" s="257">
        <f>Exploration!S50</f>
        <v>0</v>
      </c>
      <c r="G25" s="257">
        <f>Development!BE106</f>
        <v>0</v>
      </c>
      <c r="H25" s="257">
        <f>Abandonment!G31</f>
        <v>0</v>
      </c>
      <c r="I25" s="257">
        <f>Operations!M34</f>
        <v>252.70588458205219</v>
      </c>
      <c r="J25" s="257">
        <f t="shared" si="2"/>
        <v>252.70588458205219</v>
      </c>
      <c r="K25" s="257">
        <f t="shared" si="3"/>
        <v>775.62604304959132</v>
      </c>
      <c r="L25" s="257">
        <f>Royalty!AM27</f>
        <v>262.62440910698518</v>
      </c>
      <c r="M25" s="257">
        <f>'Provincial Tax'!X25</f>
        <v>77.09188752642514</v>
      </c>
      <c r="N25" s="257">
        <f>'Federal Tax'!X26</f>
        <v>79.986789457911286</v>
      </c>
      <c r="O25" s="257">
        <f t="shared" si="4"/>
        <v>419.70308609132161</v>
      </c>
      <c r="P25" s="257">
        <f t="shared" si="5"/>
        <v>355.92295695826971</v>
      </c>
      <c r="Q25" s="265"/>
      <c r="R25" s="266"/>
      <c r="S25" s="257">
        <f t="shared" si="7"/>
        <v>10058.492582844683</v>
      </c>
      <c r="T25" s="269">
        <f t="shared" si="9"/>
        <v>0</v>
      </c>
      <c r="U25" s="93"/>
      <c r="V25" s="173"/>
      <c r="W25" s="93"/>
      <c r="X25" s="93"/>
      <c r="Y25" s="174"/>
      <c r="Z25" s="174"/>
      <c r="AA25" s="262"/>
      <c r="AB25" s="262"/>
      <c r="AC25" s="262"/>
      <c r="AD25" s="262"/>
      <c r="AE25" s="262"/>
      <c r="AF25" s="262"/>
      <c r="AG25" s="262"/>
      <c r="AH25" s="262"/>
      <c r="AI25" s="262"/>
      <c r="AJ25" s="262"/>
      <c r="AK25" s="262"/>
      <c r="AL25" s="262"/>
      <c r="AM25" s="262"/>
      <c r="AN25" s="262"/>
      <c r="AO25" s="262"/>
      <c r="AP25" s="262"/>
      <c r="AQ25" s="262"/>
      <c r="AR25" s="262"/>
      <c r="AS25" s="262"/>
      <c r="AT25" s="262"/>
      <c r="AU25" s="262"/>
      <c r="AV25" s="262"/>
      <c r="AW25" s="262"/>
      <c r="AX25" s="262"/>
      <c r="AY25" s="262"/>
      <c r="AZ25" s="262"/>
      <c r="BA25" s="262"/>
      <c r="BB25" s="262"/>
      <c r="BC25" s="262"/>
      <c r="BD25" s="262"/>
      <c r="BE25" s="262"/>
      <c r="BF25" s="262"/>
      <c r="BG25" s="262"/>
      <c r="BH25" s="262"/>
      <c r="BI25" s="262"/>
      <c r="BJ25" s="262"/>
      <c r="BK25" s="262"/>
      <c r="BL25" s="262"/>
      <c r="BM25" s="262"/>
      <c r="BN25" s="262"/>
      <c r="BO25" s="262"/>
      <c r="BP25" s="262"/>
      <c r="BQ25" s="262"/>
      <c r="BR25" s="262"/>
      <c r="BS25" s="262"/>
      <c r="BT25" s="262"/>
      <c r="BU25" s="262"/>
      <c r="BV25" s="262"/>
      <c r="BW25" s="262"/>
      <c r="BX25" s="262"/>
      <c r="BY25" s="262"/>
      <c r="BZ25" s="262"/>
      <c r="CA25" s="262"/>
      <c r="CB25" s="262"/>
    </row>
    <row r="26" spans="1:80">
      <c r="A26" s="159">
        <f>IF(OR(A25=Abandonment!$B$4,A25=""),"",'Success Cash Flow'!A25+1)</f>
        <v>2031</v>
      </c>
      <c r="B26" s="160">
        <f>Revenue!N27</f>
        <v>143.91069732205821</v>
      </c>
      <c r="C26" s="160">
        <f>Revenue!O27</f>
        <v>753.91419491248098</v>
      </c>
      <c r="D26" s="160">
        <f>Revenue!P27</f>
        <v>0</v>
      </c>
      <c r="E26" s="257">
        <f t="shared" si="8"/>
        <v>897.82489223453922</v>
      </c>
      <c r="F26" s="257">
        <f>Exploration!S51</f>
        <v>0</v>
      </c>
      <c r="G26" s="257">
        <f>Development!BE107</f>
        <v>0</v>
      </c>
      <c r="H26" s="257">
        <f>Abandonment!G32</f>
        <v>0</v>
      </c>
      <c r="I26" s="257">
        <f>Operations!M35</f>
        <v>249.60464313942458</v>
      </c>
      <c r="J26" s="257">
        <f t="shared" si="2"/>
        <v>249.60464313942458</v>
      </c>
      <c r="K26" s="257">
        <f t="shared" si="3"/>
        <v>648.2202490951147</v>
      </c>
      <c r="L26" s="257">
        <f>Royalty!AM28</f>
        <v>218.14092467341024</v>
      </c>
      <c r="M26" s="257">
        <f>'Provincial Tax'!X26</f>
        <v>65.100656348533761</v>
      </c>
      <c r="N26" s="257">
        <f>'Federal Tax'!X27</f>
        <v>68.637159179094908</v>
      </c>
      <c r="O26" s="257">
        <f t="shared" si="4"/>
        <v>351.87874020103891</v>
      </c>
      <c r="P26" s="257">
        <f t="shared" si="5"/>
        <v>296.34150889407579</v>
      </c>
      <c r="Q26" s="265"/>
      <c r="R26" s="266"/>
      <c r="S26" s="257">
        <f t="shared" si="7"/>
        <v>10354.83409173876</v>
      </c>
      <c r="T26" s="269">
        <f t="shared" si="9"/>
        <v>0</v>
      </c>
      <c r="U26" s="93"/>
      <c r="V26" s="173"/>
      <c r="W26" s="93"/>
      <c r="X26" s="93"/>
      <c r="Y26" s="174"/>
      <c r="Z26" s="174"/>
      <c r="AA26" s="262"/>
      <c r="AB26" s="262"/>
      <c r="AC26" s="262"/>
      <c r="AD26" s="262"/>
      <c r="AE26" s="262"/>
      <c r="AF26" s="262"/>
      <c r="AG26" s="262"/>
      <c r="AH26" s="262"/>
      <c r="AI26" s="262"/>
      <c r="AJ26" s="262"/>
      <c r="AK26" s="262"/>
      <c r="AL26" s="262"/>
      <c r="AM26" s="262"/>
      <c r="AN26" s="262"/>
      <c r="AO26" s="262"/>
      <c r="AP26" s="262"/>
      <c r="AQ26" s="262"/>
      <c r="AR26" s="262"/>
      <c r="AS26" s="262"/>
      <c r="AT26" s="262"/>
      <c r="AU26" s="262"/>
      <c r="AV26" s="262"/>
      <c r="AW26" s="262"/>
      <c r="AX26" s="262"/>
      <c r="AY26" s="262"/>
      <c r="AZ26" s="262"/>
      <c r="BA26" s="262"/>
      <c r="BB26" s="262"/>
      <c r="BC26" s="262"/>
      <c r="BD26" s="262"/>
      <c r="BE26" s="262"/>
      <c r="BF26" s="262"/>
      <c r="BG26" s="262"/>
      <c r="BH26" s="262"/>
      <c r="BI26" s="262"/>
      <c r="BJ26" s="262"/>
      <c r="BK26" s="262"/>
      <c r="BL26" s="262"/>
      <c r="BM26" s="262"/>
      <c r="BN26" s="262"/>
      <c r="BO26" s="262"/>
      <c r="BP26" s="262"/>
      <c r="BQ26" s="262"/>
      <c r="BR26" s="262"/>
      <c r="BS26" s="262"/>
      <c r="BT26" s="262"/>
      <c r="BU26" s="262"/>
      <c r="BV26" s="262"/>
      <c r="BW26" s="262"/>
      <c r="BX26" s="262"/>
      <c r="BY26" s="262"/>
      <c r="BZ26" s="262"/>
      <c r="CA26" s="262"/>
      <c r="CB26" s="262"/>
    </row>
    <row r="27" spans="1:80">
      <c r="A27" s="159">
        <f>IF(OR(A26=Abandonment!$B$4,A26=""),"",'Success Cash Flow'!A26+1)</f>
        <v>2032</v>
      </c>
      <c r="B27" s="160">
        <f>Revenue!N28</f>
        <v>125.73538873833603</v>
      </c>
      <c r="C27" s="160">
        <f>Revenue!O28</f>
        <v>660.00937463719481</v>
      </c>
      <c r="D27" s="160">
        <f>Revenue!P28</f>
        <v>0</v>
      </c>
      <c r="E27" s="257">
        <f t="shared" si="8"/>
        <v>785.74476337553085</v>
      </c>
      <c r="F27" s="257">
        <f>Exploration!S52</f>
        <v>0</v>
      </c>
      <c r="G27" s="257">
        <f>Development!BE108</f>
        <v>0</v>
      </c>
      <c r="H27" s="257">
        <f>Abandonment!G33</f>
        <v>0</v>
      </c>
      <c r="I27" s="257">
        <f>Operations!M36</f>
        <v>247.68023535334459</v>
      </c>
      <c r="J27" s="257">
        <f t="shared" si="2"/>
        <v>247.68023535334459</v>
      </c>
      <c r="K27" s="257">
        <f t="shared" si="3"/>
        <v>538.06452802218632</v>
      </c>
      <c r="L27" s="257">
        <f>Royalty!AM29</f>
        <v>179.65377657039809</v>
      </c>
      <c r="M27" s="257">
        <f>'Provincial Tax'!X27</f>
        <v>54.582164971630363</v>
      </c>
      <c r="N27" s="257">
        <f>'Federal Tax'!X28</f>
        <v>55.165989100718633</v>
      </c>
      <c r="O27" s="257">
        <f t="shared" si="4"/>
        <v>289.40193064274706</v>
      </c>
      <c r="P27" s="257">
        <f t="shared" si="5"/>
        <v>248.66259737943926</v>
      </c>
      <c r="Q27" s="265"/>
      <c r="R27" s="266"/>
      <c r="S27" s="257">
        <f t="shared" si="7"/>
        <v>10603.496689118199</v>
      </c>
      <c r="T27" s="269">
        <f t="shared" si="9"/>
        <v>0</v>
      </c>
      <c r="U27" s="93"/>
      <c r="V27" s="173"/>
      <c r="W27" s="93"/>
      <c r="X27" s="93"/>
      <c r="Y27" s="174"/>
      <c r="Z27" s="174"/>
      <c r="AA27" s="262"/>
      <c r="AB27" s="262"/>
      <c r="AC27" s="262"/>
      <c r="AD27" s="262"/>
      <c r="AE27" s="262"/>
      <c r="AF27" s="262"/>
      <c r="AG27" s="262"/>
      <c r="AH27" s="262"/>
      <c r="AI27" s="262"/>
      <c r="AJ27" s="262"/>
      <c r="AK27" s="262"/>
      <c r="AL27" s="262"/>
      <c r="AM27" s="262"/>
      <c r="AN27" s="262"/>
      <c r="AO27" s="262"/>
      <c r="AP27" s="262"/>
      <c r="AQ27" s="262"/>
      <c r="AR27" s="262"/>
      <c r="AS27" s="262"/>
      <c r="AT27" s="262"/>
      <c r="AU27" s="262"/>
      <c r="AV27" s="262"/>
      <c r="AW27" s="262"/>
      <c r="AX27" s="262"/>
      <c r="AY27" s="262"/>
      <c r="AZ27" s="262"/>
      <c r="BA27" s="262"/>
      <c r="BB27" s="262"/>
      <c r="BC27" s="262"/>
      <c r="BD27" s="262"/>
      <c r="BE27" s="262"/>
      <c r="BF27" s="262"/>
      <c r="BG27" s="262"/>
      <c r="BH27" s="262"/>
      <c r="BI27" s="262"/>
      <c r="BJ27" s="262"/>
      <c r="BK27" s="262"/>
      <c r="BL27" s="262"/>
      <c r="BM27" s="262"/>
      <c r="BN27" s="262"/>
      <c r="BO27" s="262"/>
      <c r="BP27" s="262"/>
      <c r="BQ27" s="262"/>
      <c r="BR27" s="262"/>
      <c r="BS27" s="262"/>
      <c r="BT27" s="262"/>
      <c r="BU27" s="262"/>
      <c r="BV27" s="262"/>
      <c r="BW27" s="262"/>
      <c r="BX27" s="262"/>
      <c r="BY27" s="262"/>
      <c r="BZ27" s="262"/>
      <c r="CA27" s="93"/>
      <c r="CB27" s="93"/>
    </row>
    <row r="28" spans="1:80">
      <c r="A28" s="159">
        <f>IF(OR(A27=Abandonment!$B$4,A27=""),"",'Success Cash Flow'!A27+1)</f>
        <v>2033</v>
      </c>
      <c r="B28" s="160">
        <f>Revenue!N29</f>
        <v>109.24103758522877</v>
      </c>
      <c r="C28" s="160">
        <f>Revenue!O29</f>
        <v>574.55805565718242</v>
      </c>
      <c r="D28" s="160">
        <f>Revenue!P29</f>
        <v>0</v>
      </c>
      <c r="E28" s="257">
        <f t="shared" si="8"/>
        <v>683.79909324241123</v>
      </c>
      <c r="F28" s="257">
        <f>Exploration!S53</f>
        <v>0</v>
      </c>
      <c r="G28" s="257">
        <f>Development!BE109</f>
        <v>0</v>
      </c>
      <c r="H28" s="257">
        <f>Abandonment!G34</f>
        <v>0</v>
      </c>
      <c r="I28" s="257">
        <f>Operations!M37</f>
        <v>246.661823364263</v>
      </c>
      <c r="J28" s="257">
        <f t="shared" si="2"/>
        <v>246.661823364263</v>
      </c>
      <c r="K28" s="257">
        <f t="shared" si="3"/>
        <v>437.13726987814823</v>
      </c>
      <c r="L28" s="257">
        <f>Royalty!AM30</f>
        <v>144.36488063960266</v>
      </c>
      <c r="M28" s="257">
        <f>'Provincial Tax'!X28</f>
        <v>44.785245818659412</v>
      </c>
      <c r="N28" s="257">
        <f>'Federal Tax'!X29</f>
        <v>45.944730557338715</v>
      </c>
      <c r="O28" s="257">
        <f t="shared" si="4"/>
        <v>235.09485701560078</v>
      </c>
      <c r="P28" s="257">
        <f t="shared" si="5"/>
        <v>202.04241286254745</v>
      </c>
      <c r="Q28" s="265"/>
      <c r="R28" s="266"/>
      <c r="S28" s="257">
        <f t="shared" si="7"/>
        <v>10805.539101980747</v>
      </c>
      <c r="T28" s="269">
        <f t="shared" si="9"/>
        <v>0</v>
      </c>
      <c r="U28" s="93"/>
      <c r="V28" s="173"/>
      <c r="W28" s="93"/>
      <c r="X28" s="93"/>
      <c r="Y28" s="174"/>
      <c r="Z28" s="174"/>
      <c r="AA28" s="262"/>
      <c r="AB28" s="262"/>
      <c r="AC28" s="262"/>
      <c r="AD28" s="262"/>
      <c r="AE28" s="262"/>
      <c r="AF28" s="262"/>
      <c r="AG28" s="262"/>
      <c r="AH28" s="262"/>
      <c r="AI28" s="262"/>
      <c r="AJ28" s="262"/>
      <c r="AK28" s="262"/>
      <c r="AL28" s="262"/>
      <c r="AM28" s="262"/>
      <c r="AN28" s="262"/>
      <c r="AO28" s="262"/>
      <c r="AP28" s="262"/>
      <c r="AQ28" s="262"/>
      <c r="AR28" s="262"/>
      <c r="AS28" s="262"/>
      <c r="AT28" s="262"/>
      <c r="AU28" s="262"/>
      <c r="AV28" s="262"/>
      <c r="AW28" s="262"/>
      <c r="AX28" s="262"/>
      <c r="AY28" s="262"/>
      <c r="AZ28" s="262"/>
      <c r="BA28" s="262"/>
      <c r="BB28" s="262"/>
      <c r="BC28" s="262"/>
      <c r="BD28" s="262"/>
      <c r="BE28" s="262"/>
      <c r="BF28" s="262"/>
      <c r="BG28" s="262"/>
      <c r="BH28" s="262"/>
      <c r="BI28" s="262"/>
      <c r="BJ28" s="262"/>
      <c r="BK28" s="262"/>
      <c r="BL28" s="262"/>
      <c r="BM28" s="262"/>
      <c r="BN28" s="262"/>
      <c r="BO28" s="262"/>
      <c r="BP28" s="262"/>
      <c r="BQ28" s="262"/>
      <c r="BR28" s="262"/>
      <c r="BS28" s="262"/>
      <c r="BT28" s="262"/>
      <c r="BU28" s="262"/>
      <c r="BV28" s="262"/>
      <c r="BW28" s="262"/>
      <c r="BX28" s="262"/>
      <c r="BY28" s="262"/>
      <c r="BZ28" s="262"/>
      <c r="CA28" s="93"/>
      <c r="CB28" s="93"/>
    </row>
    <row r="29" spans="1:80">
      <c r="A29" s="159">
        <f>IF(OR(A28=Abandonment!$B$4,A28=""),"",'Success Cash Flow'!A28+1)</f>
        <v>2034</v>
      </c>
      <c r="B29" s="160">
        <f>Revenue!N30</f>
        <v>95.180583093773336</v>
      </c>
      <c r="C29" s="160">
        <f>Revenue!O30</f>
        <v>501.58443923855123</v>
      </c>
      <c r="D29" s="160">
        <f>Revenue!P30</f>
        <v>0</v>
      </c>
      <c r="E29" s="257">
        <f t="shared" si="8"/>
        <v>596.76502233232452</v>
      </c>
      <c r="F29" s="257">
        <f>Exploration!S54</f>
        <v>0</v>
      </c>
      <c r="G29" s="257">
        <f>Development!BE110</f>
        <v>0</v>
      </c>
      <c r="H29" s="257">
        <f>Abandonment!G35</f>
        <v>0</v>
      </c>
      <c r="I29" s="257">
        <f>Operations!M38</f>
        <v>246.60200276173768</v>
      </c>
      <c r="J29" s="257">
        <f t="shared" si="2"/>
        <v>246.60200276173768</v>
      </c>
      <c r="K29" s="257">
        <f t="shared" si="3"/>
        <v>350.16301957058681</v>
      </c>
      <c r="L29" s="257">
        <f>Royalty!AM31</f>
        <v>113.92598675304457</v>
      </c>
      <c r="M29" s="257">
        <f>'Provincial Tax'!X29</f>
        <v>36.264203896364585</v>
      </c>
      <c r="N29" s="257">
        <f>'Federal Tax'!X30</f>
        <v>35.274483642442895</v>
      </c>
      <c r="O29" s="257">
        <f t="shared" si="4"/>
        <v>185.46467429185205</v>
      </c>
      <c r="P29" s="257">
        <f t="shared" si="5"/>
        <v>164.69834527873476</v>
      </c>
      <c r="Q29" s="265"/>
      <c r="R29" s="266"/>
      <c r="S29" s="257">
        <f t="shared" si="7"/>
        <v>10970.237447259482</v>
      </c>
      <c r="T29" s="269">
        <f t="shared" si="9"/>
        <v>0</v>
      </c>
      <c r="U29" s="93"/>
      <c r="V29" s="93"/>
      <c r="W29" s="93"/>
      <c r="X29" s="93"/>
      <c r="Y29" s="174"/>
      <c r="Z29" s="174"/>
      <c r="AA29" s="262"/>
      <c r="AB29" s="262"/>
      <c r="AC29" s="262"/>
      <c r="AD29" s="262"/>
      <c r="AE29" s="262"/>
      <c r="AF29" s="262"/>
      <c r="AG29" s="262"/>
      <c r="AH29" s="262"/>
      <c r="AI29" s="262"/>
      <c r="AJ29" s="262"/>
      <c r="AK29" s="262"/>
      <c r="AL29" s="262"/>
      <c r="AM29" s="262"/>
      <c r="AN29" s="262"/>
      <c r="AO29" s="262"/>
      <c r="AP29" s="262"/>
      <c r="AQ29" s="262"/>
      <c r="AR29" s="262"/>
      <c r="AS29" s="262"/>
      <c r="AT29" s="262"/>
      <c r="AU29" s="262"/>
      <c r="AV29" s="262"/>
      <c r="AW29" s="262"/>
      <c r="AX29" s="262"/>
      <c r="AY29" s="262"/>
      <c r="AZ29" s="262"/>
      <c r="BA29" s="262"/>
      <c r="BB29" s="262"/>
      <c r="BC29" s="262"/>
      <c r="BD29" s="262"/>
      <c r="BE29" s="262"/>
      <c r="BF29" s="262"/>
      <c r="BG29" s="262"/>
      <c r="BH29" s="262"/>
      <c r="BI29" s="262"/>
      <c r="BJ29" s="262"/>
      <c r="BK29" s="262"/>
      <c r="BL29" s="262"/>
      <c r="BM29" s="262"/>
      <c r="BN29" s="262"/>
      <c r="BO29" s="262"/>
      <c r="BP29" s="262"/>
      <c r="BQ29" s="262"/>
      <c r="BR29" s="262"/>
      <c r="BS29" s="262"/>
      <c r="BT29" s="262"/>
      <c r="BU29" s="262"/>
      <c r="BV29" s="262"/>
      <c r="BW29" s="262"/>
      <c r="BX29" s="262"/>
      <c r="BY29" s="262"/>
      <c r="BZ29" s="262"/>
      <c r="CA29" s="93"/>
      <c r="CB29" s="93"/>
    </row>
    <row r="30" spans="1:80">
      <c r="A30" s="159">
        <f>IF(OR(A29=Abandonment!$B$4,A29=""),"",'Success Cash Flow'!A29+1)</f>
        <v>2035</v>
      </c>
      <c r="B30" s="160">
        <f>Revenue!N31</f>
        <v>82.919906121572268</v>
      </c>
      <c r="C30" s="160">
        <f>Revenue!O31</f>
        <v>437.81880724351527</v>
      </c>
      <c r="D30" s="160">
        <f>Revenue!P31</f>
        <v>0</v>
      </c>
      <c r="E30" s="257">
        <f t="shared" si="8"/>
        <v>520.73871336508751</v>
      </c>
      <c r="F30" s="257">
        <f>Exploration!S55</f>
        <v>0</v>
      </c>
      <c r="G30" s="257">
        <f>Development!BE111</f>
        <v>0</v>
      </c>
      <c r="H30" s="257">
        <f>Abandonment!G36</f>
        <v>0</v>
      </c>
      <c r="I30" s="257">
        <f>Operations!M39</f>
        <v>247.34233129067826</v>
      </c>
      <c r="J30" s="257">
        <f t="shared" si="2"/>
        <v>247.34233129067826</v>
      </c>
      <c r="K30" s="257">
        <f t="shared" si="3"/>
        <v>273.39638207440925</v>
      </c>
      <c r="L30" s="257">
        <f>Royalty!AM32</f>
        <v>87.031752130869492</v>
      </c>
      <c r="M30" s="257">
        <f>'Provincial Tax'!X30</f>
        <v>28.67507146826685</v>
      </c>
      <c r="N30" s="257">
        <f>'Federal Tax'!X31</f>
        <v>28.209703505199339</v>
      </c>
      <c r="O30" s="257">
        <f t="shared" si="4"/>
        <v>143.91652710433567</v>
      </c>
      <c r="P30" s="257">
        <f t="shared" si="5"/>
        <v>129.47985497007357</v>
      </c>
      <c r="Q30" s="265"/>
      <c r="R30" s="266"/>
      <c r="S30" s="257">
        <f t="shared" si="7"/>
        <v>11099.717302229556</v>
      </c>
      <c r="T30" s="269">
        <f t="shared" si="9"/>
        <v>0</v>
      </c>
      <c r="U30" s="93"/>
      <c r="V30" s="93"/>
      <c r="W30" s="93"/>
      <c r="X30" s="93"/>
      <c r="Y30" s="174"/>
      <c r="Z30" s="174"/>
      <c r="AA30" s="262"/>
      <c r="AB30" s="262"/>
      <c r="AC30" s="262"/>
      <c r="AD30" s="262"/>
      <c r="AE30" s="262"/>
      <c r="AF30" s="262"/>
      <c r="AG30" s="262"/>
      <c r="AH30" s="262"/>
      <c r="AI30" s="262"/>
      <c r="AJ30" s="262"/>
      <c r="AK30" s="262"/>
      <c r="AL30" s="262"/>
      <c r="AM30" s="262"/>
      <c r="AN30" s="262"/>
      <c r="AO30" s="262"/>
      <c r="AP30" s="262"/>
      <c r="AQ30" s="262"/>
      <c r="AR30" s="262"/>
      <c r="AS30" s="262"/>
      <c r="AT30" s="262"/>
      <c r="AU30" s="262"/>
      <c r="AV30" s="262"/>
      <c r="AW30" s="262"/>
      <c r="AX30" s="262"/>
      <c r="AY30" s="262"/>
      <c r="AZ30" s="262"/>
      <c r="BA30" s="262"/>
      <c r="BB30" s="262"/>
      <c r="BC30" s="262"/>
      <c r="BD30" s="262"/>
      <c r="BE30" s="262"/>
      <c r="BF30" s="262"/>
      <c r="BG30" s="262"/>
      <c r="BH30" s="262"/>
      <c r="BI30" s="262"/>
      <c r="BJ30" s="262"/>
      <c r="BK30" s="262"/>
      <c r="BL30" s="262"/>
      <c r="BM30" s="262"/>
      <c r="BN30" s="262"/>
      <c r="BO30" s="262"/>
      <c r="BP30" s="262"/>
      <c r="BQ30" s="262"/>
      <c r="BR30" s="262"/>
      <c r="BS30" s="262"/>
      <c r="BT30" s="262"/>
      <c r="BU30" s="262"/>
      <c r="BV30" s="262"/>
      <c r="BW30" s="262"/>
      <c r="BX30" s="262"/>
      <c r="BY30" s="262"/>
      <c r="BZ30" s="262"/>
      <c r="CA30" s="93"/>
      <c r="CB30" s="93"/>
    </row>
    <row r="31" spans="1:80">
      <c r="A31" s="159">
        <f>IF(OR(A30=Abandonment!$B$4,A30=""),"",'Success Cash Flow'!A30+1)</f>
        <v>2036</v>
      </c>
      <c r="B31" s="160">
        <f>Revenue!N32</f>
        <v>72.412313743199348</v>
      </c>
      <c r="C31" s="160">
        <f>Revenue!O32</f>
        <v>383.0721051612623</v>
      </c>
      <c r="D31" s="160">
        <f>Revenue!P32</f>
        <v>0</v>
      </c>
      <c r="E31" s="257">
        <f t="shared" si="8"/>
        <v>455.48441890446168</v>
      </c>
      <c r="F31" s="257">
        <f>Exploration!S56</f>
        <v>0</v>
      </c>
      <c r="G31" s="257">
        <f>Development!BE112</f>
        <v>0</v>
      </c>
      <c r="H31" s="257">
        <f>Abandonment!G37</f>
        <v>0</v>
      </c>
      <c r="I31" s="257">
        <f>Operations!M40</f>
        <v>248.82360774808626</v>
      </c>
      <c r="J31" s="257">
        <f t="shared" si="2"/>
        <v>248.82360774808626</v>
      </c>
      <c r="K31" s="257">
        <f t="shared" si="3"/>
        <v>206.66081115637542</v>
      </c>
      <c r="L31" s="257">
        <f>Royalty!AM33</f>
        <v>63.622457633548358</v>
      </c>
      <c r="M31" s="257">
        <f>'Provincial Tax'!X31</f>
        <v>22.033599756820188</v>
      </c>
      <c r="N31" s="257">
        <f>'Federal Tax'!X32</f>
        <v>20.012731679760392</v>
      </c>
      <c r="O31" s="257">
        <f t="shared" si="4"/>
        <v>105.66878907012894</v>
      </c>
      <c r="P31" s="257">
        <f t="shared" si="5"/>
        <v>100.99202208624648</v>
      </c>
      <c r="Q31" s="265"/>
      <c r="R31" s="266"/>
      <c r="S31" s="257">
        <f t="shared" si="7"/>
        <v>11200.709324315801</v>
      </c>
      <c r="T31" s="269">
        <f t="shared" si="9"/>
        <v>0</v>
      </c>
      <c r="U31" s="93"/>
      <c r="V31" s="93"/>
      <c r="W31" s="93"/>
      <c r="X31" s="93"/>
      <c r="Y31" s="174"/>
      <c r="Z31" s="174"/>
      <c r="AA31" s="262"/>
      <c r="AB31" s="262"/>
      <c r="AC31" s="262"/>
      <c r="AD31" s="262"/>
      <c r="AE31" s="262"/>
      <c r="AF31" s="262"/>
      <c r="AG31" s="262"/>
      <c r="AH31" s="262"/>
      <c r="AI31" s="262"/>
      <c r="AJ31" s="262"/>
      <c r="AK31" s="262"/>
      <c r="AL31" s="262"/>
      <c r="AM31" s="262"/>
      <c r="AN31" s="262"/>
      <c r="AO31" s="262"/>
      <c r="AP31" s="262"/>
      <c r="AQ31" s="262"/>
      <c r="AR31" s="262"/>
      <c r="AS31" s="262"/>
      <c r="AT31" s="262"/>
      <c r="AU31" s="262"/>
      <c r="AV31" s="262"/>
      <c r="AW31" s="262"/>
      <c r="AX31" s="262"/>
      <c r="AY31" s="262"/>
      <c r="AZ31" s="262"/>
      <c r="BA31" s="262"/>
      <c r="BB31" s="262"/>
      <c r="BC31" s="262"/>
      <c r="BD31" s="262"/>
      <c r="BE31" s="262"/>
      <c r="BF31" s="262"/>
      <c r="BG31" s="262"/>
      <c r="BH31" s="262"/>
      <c r="BI31" s="262"/>
      <c r="BJ31" s="262"/>
      <c r="BK31" s="262"/>
      <c r="BL31" s="262"/>
      <c r="BM31" s="262"/>
      <c r="BN31" s="262"/>
      <c r="BO31" s="262"/>
      <c r="BP31" s="262"/>
      <c r="BQ31" s="262"/>
      <c r="BR31" s="262"/>
      <c r="BS31" s="262"/>
      <c r="BT31" s="262"/>
      <c r="BU31" s="262"/>
      <c r="BV31" s="262"/>
      <c r="BW31" s="262"/>
      <c r="BX31" s="262"/>
      <c r="BY31" s="262"/>
      <c r="BZ31" s="262"/>
      <c r="CA31" s="93"/>
      <c r="CB31" s="93"/>
    </row>
    <row r="32" spans="1:80">
      <c r="A32" s="159">
        <f>IF(OR(A31=Abandonment!$B$4,A31=""),"",'Success Cash Flow'!A31+1)</f>
        <v>2037</v>
      </c>
      <c r="B32" s="160">
        <f>Revenue!N33</f>
        <v>62.883178074228596</v>
      </c>
      <c r="C32" s="160">
        <f>Revenue!O33</f>
        <v>333.29430296636707</v>
      </c>
      <c r="D32" s="160">
        <f>Revenue!P33</f>
        <v>0</v>
      </c>
      <c r="E32" s="257">
        <f t="shared" si="8"/>
        <v>396.17748104059569</v>
      </c>
      <c r="F32" s="257">
        <f>Exploration!S57</f>
        <v>0</v>
      </c>
      <c r="G32" s="257">
        <f>Development!BE113</f>
        <v>0</v>
      </c>
      <c r="H32" s="257">
        <f>Abandonment!G38</f>
        <v>0</v>
      </c>
      <c r="I32" s="257">
        <f>Operations!M41</f>
        <v>250.89142461711268</v>
      </c>
      <c r="J32" s="257">
        <f t="shared" si="2"/>
        <v>250.89142461711268</v>
      </c>
      <c r="K32" s="257">
        <f t="shared" si="3"/>
        <v>145.28605642348302</v>
      </c>
      <c r="L32" s="257">
        <f>Royalty!AM34</f>
        <v>42.068919886620094</v>
      </c>
      <c r="M32" s="257">
        <f>'Provincial Tax'!X32</f>
        <v>15.878779870408698</v>
      </c>
      <c r="N32" s="257">
        <f>'Federal Tax'!X33</f>
        <v>14.241925072512648</v>
      </c>
      <c r="O32" s="257">
        <f t="shared" si="4"/>
        <v>72.189624829541444</v>
      </c>
      <c r="P32" s="257">
        <f t="shared" si="5"/>
        <v>73.096431593941574</v>
      </c>
      <c r="Q32" s="265"/>
      <c r="R32" s="266"/>
      <c r="S32" s="257">
        <f t="shared" si="7"/>
        <v>11273.805755909743</v>
      </c>
      <c r="T32" s="269">
        <f t="shared" si="9"/>
        <v>0</v>
      </c>
      <c r="U32" s="93"/>
      <c r="V32" s="93"/>
      <c r="W32" s="93"/>
      <c r="X32" s="93"/>
      <c r="Y32" s="174"/>
      <c r="Z32" s="174"/>
      <c r="AA32" s="262"/>
      <c r="AB32" s="262"/>
      <c r="AC32" s="262"/>
      <c r="AD32" s="262"/>
      <c r="AE32" s="262"/>
      <c r="AF32" s="262"/>
      <c r="AG32" s="262"/>
      <c r="AH32" s="262"/>
      <c r="AI32" s="262"/>
      <c r="AJ32" s="262"/>
      <c r="AK32" s="262"/>
      <c r="AL32" s="262"/>
      <c r="AM32" s="262"/>
      <c r="AN32" s="262"/>
      <c r="AO32" s="262"/>
      <c r="AP32" s="262"/>
      <c r="AQ32" s="262"/>
      <c r="AR32" s="262"/>
      <c r="AS32" s="262"/>
      <c r="AT32" s="262"/>
      <c r="AU32" s="262"/>
      <c r="AV32" s="262"/>
      <c r="AW32" s="262"/>
      <c r="AX32" s="262"/>
      <c r="AY32" s="262"/>
      <c r="AZ32" s="262"/>
      <c r="BA32" s="262"/>
      <c r="BB32" s="262"/>
      <c r="BC32" s="262"/>
      <c r="BD32" s="262"/>
      <c r="BE32" s="262"/>
      <c r="BF32" s="262"/>
      <c r="BG32" s="262"/>
      <c r="BH32" s="262"/>
      <c r="BI32" s="262"/>
      <c r="BJ32" s="262"/>
      <c r="BK32" s="262"/>
      <c r="BL32" s="262"/>
      <c r="BM32" s="262"/>
      <c r="BN32" s="262"/>
      <c r="BO32" s="262"/>
      <c r="BP32" s="262"/>
      <c r="BQ32" s="262"/>
      <c r="BR32" s="262"/>
      <c r="BS32" s="262"/>
      <c r="BT32" s="262"/>
      <c r="BU32" s="262"/>
      <c r="BV32" s="262"/>
      <c r="BW32" s="262"/>
      <c r="BX32" s="262"/>
      <c r="BY32" s="262"/>
      <c r="BZ32" s="262"/>
      <c r="CA32" s="93"/>
      <c r="CB32" s="93"/>
    </row>
    <row r="33" spans="1:80">
      <c r="A33" s="159">
        <f>IF(OR(A32=Abandonment!$B$4,A32=""),"",'Success Cash Flow'!A32+1)</f>
        <v>2038</v>
      </c>
      <c r="B33" s="160">
        <f>Revenue!N34</f>
        <v>54.76401091916869</v>
      </c>
      <c r="C33" s="160">
        <f>Revenue!O34</f>
        <v>290.80843467560368</v>
      </c>
      <c r="D33" s="160">
        <f>Revenue!P34</f>
        <v>0</v>
      </c>
      <c r="E33" s="257">
        <f t="shared" si="8"/>
        <v>345.57244559477238</v>
      </c>
      <c r="F33" s="257">
        <f>Exploration!S58</f>
        <v>0</v>
      </c>
      <c r="G33" s="257">
        <f>Development!BE114</f>
        <v>0</v>
      </c>
      <c r="H33" s="257">
        <f>Abandonment!G39</f>
        <v>0</v>
      </c>
      <c r="I33" s="257">
        <f>Operations!M42</f>
        <v>253.57769235323914</v>
      </c>
      <c r="J33" s="257">
        <f t="shared" si="2"/>
        <v>253.57769235323914</v>
      </c>
      <c r="K33" s="257">
        <f t="shared" si="3"/>
        <v>91.994753241533232</v>
      </c>
      <c r="L33" s="257">
        <f>Royalty!AM35</f>
        <v>23.322944402173245</v>
      </c>
      <c r="M33" s="257">
        <f>'Provincial Tax'!X33</f>
        <v>10.512926373424888</v>
      </c>
      <c r="N33" s="257">
        <f>'Federal Tax'!X34</f>
        <v>7.6954729502903536</v>
      </c>
      <c r="O33" s="257">
        <f t="shared" si="4"/>
        <v>41.531343725888483</v>
      </c>
      <c r="P33" s="257">
        <f t="shared" si="5"/>
        <v>50.463409515644749</v>
      </c>
      <c r="Q33" s="265"/>
      <c r="R33" s="266"/>
      <c r="S33" s="257">
        <f t="shared" si="7"/>
        <v>11324.269165425389</v>
      </c>
      <c r="T33" s="269">
        <f t="shared" si="9"/>
        <v>0</v>
      </c>
      <c r="U33" s="93"/>
      <c r="V33" s="93"/>
      <c r="W33" s="93"/>
      <c r="X33" s="93"/>
      <c r="Y33" s="174"/>
      <c r="Z33" s="174"/>
      <c r="AA33" s="262"/>
      <c r="AB33" s="262"/>
      <c r="AC33" s="262"/>
      <c r="AD33" s="262"/>
      <c r="AE33" s="262"/>
      <c r="AF33" s="262"/>
      <c r="AG33" s="262"/>
      <c r="AH33" s="262"/>
      <c r="AI33" s="262"/>
      <c r="AJ33" s="262"/>
      <c r="AK33" s="262"/>
      <c r="AL33" s="262"/>
      <c r="AM33" s="262"/>
      <c r="AN33" s="262"/>
      <c r="AO33" s="262"/>
      <c r="AP33" s="262"/>
      <c r="AQ33" s="262"/>
      <c r="AR33" s="262"/>
      <c r="AS33" s="262"/>
      <c r="AT33" s="262"/>
      <c r="AU33" s="262"/>
      <c r="AV33" s="262"/>
      <c r="AW33" s="262"/>
      <c r="AX33" s="262"/>
      <c r="AY33" s="262"/>
      <c r="AZ33" s="262"/>
      <c r="BA33" s="262"/>
      <c r="BB33" s="262"/>
      <c r="BC33" s="262"/>
      <c r="BD33" s="262"/>
      <c r="BE33" s="262"/>
      <c r="BF33" s="262"/>
      <c r="BG33" s="262"/>
      <c r="BH33" s="262"/>
      <c r="BI33" s="262"/>
      <c r="BJ33" s="262"/>
      <c r="BK33" s="262"/>
      <c r="BL33" s="262"/>
      <c r="BM33" s="262"/>
      <c r="BN33" s="262"/>
      <c r="BO33" s="262"/>
      <c r="BP33" s="262"/>
      <c r="BQ33" s="262"/>
      <c r="BR33" s="262"/>
      <c r="BS33" s="262"/>
      <c r="BT33" s="262"/>
      <c r="BU33" s="262"/>
      <c r="BV33" s="262"/>
      <c r="BW33" s="262"/>
      <c r="BX33" s="262"/>
      <c r="BY33" s="262"/>
      <c r="BZ33" s="262"/>
      <c r="CA33" s="93"/>
      <c r="CB33" s="93"/>
    </row>
    <row r="34" spans="1:80">
      <c r="A34" s="159">
        <f>IF(OR(A33=Abandonment!$B$4,A33=""),"",'Success Cash Flow'!A33+1)</f>
        <v>2039</v>
      </c>
      <c r="B34" s="160">
        <f>Revenue!N35</f>
        <v>47.687902309300036</v>
      </c>
      <c r="C34" s="160">
        <f>Revenue!O35</f>
        <v>253.70648496763155</v>
      </c>
      <c r="D34" s="160">
        <f>Revenue!P35</f>
        <v>0</v>
      </c>
      <c r="E34" s="257">
        <f t="shared" si="8"/>
        <v>301.39438727693158</v>
      </c>
      <c r="F34" s="257">
        <f>Exploration!S59</f>
        <v>0</v>
      </c>
      <c r="G34" s="257">
        <f>Development!BE115</f>
        <v>0</v>
      </c>
      <c r="H34" s="257">
        <f>Abandonment!G40</f>
        <v>0</v>
      </c>
      <c r="I34" s="257">
        <f>Operations!M43</f>
        <v>256.79281658472883</v>
      </c>
      <c r="J34" s="257">
        <f t="shared" si="2"/>
        <v>256.79281658472883</v>
      </c>
      <c r="K34" s="257">
        <f t="shared" si="3"/>
        <v>44.601570692202756</v>
      </c>
      <c r="L34" s="257">
        <f>Royalty!AM36</f>
        <v>15.069719363846581</v>
      </c>
      <c r="M34" s="257">
        <f>'Provincial Tax'!X34</f>
        <v>4.3708598404034795</v>
      </c>
      <c r="N34" s="257">
        <f>'Federal Tax'!X35</f>
        <v>1.5989257218653543</v>
      </c>
      <c r="O34" s="257">
        <f t="shared" si="4"/>
        <v>21.039504926115413</v>
      </c>
      <c r="P34" s="257">
        <f t="shared" si="5"/>
        <v>23.562065766087343</v>
      </c>
      <c r="Q34" s="265"/>
      <c r="R34" s="266"/>
      <c r="S34" s="257">
        <f t="shared" si="7"/>
        <v>11347.831231191476</v>
      </c>
      <c r="T34" s="269">
        <f t="shared" si="9"/>
        <v>0</v>
      </c>
      <c r="U34" s="93"/>
      <c r="V34" s="93"/>
      <c r="W34" s="93"/>
      <c r="X34" s="93"/>
      <c r="Y34" s="174"/>
      <c r="Z34" s="174"/>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c r="AX34" s="262"/>
      <c r="AY34" s="262"/>
      <c r="AZ34" s="262"/>
      <c r="BA34" s="262"/>
      <c r="BB34" s="262"/>
      <c r="BC34" s="262"/>
      <c r="BD34" s="262"/>
      <c r="BE34" s="262"/>
      <c r="BF34" s="262"/>
      <c r="BG34" s="262"/>
      <c r="BH34" s="262"/>
      <c r="BI34" s="262"/>
      <c r="BJ34" s="262"/>
      <c r="BK34" s="262"/>
      <c r="BL34" s="262"/>
      <c r="BM34" s="262"/>
      <c r="BN34" s="262"/>
      <c r="BO34" s="262"/>
      <c r="BP34" s="262"/>
      <c r="BQ34" s="262"/>
      <c r="BR34" s="262"/>
      <c r="BS34" s="262"/>
      <c r="BT34" s="262"/>
      <c r="BU34" s="262"/>
      <c r="BV34" s="262"/>
      <c r="BW34" s="262"/>
      <c r="BX34" s="262"/>
      <c r="BY34" s="262"/>
      <c r="BZ34" s="262"/>
      <c r="CA34" s="93"/>
      <c r="CB34" s="93"/>
    </row>
    <row r="35" spans="1:80">
      <c r="A35" s="159">
        <f>IF(OR(A34=Abandonment!$B$4,A34=""),"",'Success Cash Flow'!A34+1)</f>
        <v>2040</v>
      </c>
      <c r="B35" s="160">
        <f>Revenue!N36</f>
        <v>41.626370437711444</v>
      </c>
      <c r="C35" s="160">
        <f>Revenue!O36</f>
        <v>221.86916914011121</v>
      </c>
      <c r="D35" s="160">
        <f>Revenue!P36</f>
        <v>0</v>
      </c>
      <c r="E35" s="257">
        <f t="shared" si="8"/>
        <v>263.49553957782268</v>
      </c>
      <c r="F35" s="257">
        <f>Exploration!S60</f>
        <v>0</v>
      </c>
      <c r="G35" s="257">
        <f>Development!BB116</f>
        <v>0</v>
      </c>
      <c r="H35" s="257">
        <f>Abandonment!G41</f>
        <v>0</v>
      </c>
      <c r="I35" s="257">
        <f>Operations!M44</f>
        <v>260.50440137811717</v>
      </c>
      <c r="J35" s="257">
        <f t="shared" si="2"/>
        <v>260.50440137811717</v>
      </c>
      <c r="K35" s="257">
        <f t="shared" si="3"/>
        <v>2.9911381997055173</v>
      </c>
      <c r="L35" s="257">
        <f>Royalty!AM37</f>
        <v>13.174776978891137</v>
      </c>
      <c r="M35" s="257">
        <f>'Provincial Tax'!X35</f>
        <v>-1.893879347805115</v>
      </c>
      <c r="N35" s="257">
        <f>'Federal Tax'!X36</f>
        <v>-5.9386089298189875</v>
      </c>
      <c r="O35" s="257">
        <f t="shared" si="4"/>
        <v>5.3422887012670346</v>
      </c>
      <c r="P35" s="257">
        <f t="shared" si="5"/>
        <v>-2.3511505015615173</v>
      </c>
      <c r="Q35" s="265"/>
      <c r="R35" s="266"/>
      <c r="S35" s="257">
        <f t="shared" si="7"/>
        <v>11345.480080689915</v>
      </c>
      <c r="T35" s="269">
        <f t="shared" si="9"/>
        <v>0</v>
      </c>
      <c r="U35" s="93"/>
      <c r="V35" s="93"/>
      <c r="W35" s="93"/>
      <c r="X35" s="93"/>
      <c r="Y35" s="174"/>
      <c r="Z35" s="174"/>
      <c r="AA35" s="262"/>
      <c r="AB35" s="262"/>
      <c r="AC35" s="262"/>
      <c r="AD35" s="262"/>
      <c r="AE35" s="262"/>
      <c r="AF35" s="262"/>
      <c r="AG35" s="262"/>
      <c r="AH35" s="262"/>
      <c r="AI35" s="262"/>
      <c r="AJ35" s="262"/>
      <c r="AK35" s="262"/>
      <c r="AL35" s="262"/>
      <c r="AM35" s="262"/>
      <c r="AN35" s="262"/>
      <c r="AO35" s="262"/>
      <c r="AP35" s="262"/>
      <c r="AQ35" s="262"/>
      <c r="AR35" s="262"/>
      <c r="AS35" s="262"/>
      <c r="AT35" s="262"/>
      <c r="AU35" s="262"/>
      <c r="AV35" s="262"/>
      <c r="AW35" s="262"/>
      <c r="AX35" s="262"/>
      <c r="AY35" s="262"/>
      <c r="AZ35" s="262"/>
      <c r="BA35" s="262"/>
      <c r="BB35" s="262"/>
      <c r="BC35" s="262"/>
      <c r="BD35" s="262"/>
      <c r="BE35" s="262"/>
      <c r="BF35" s="262"/>
      <c r="BG35" s="262"/>
      <c r="BH35" s="262"/>
      <c r="BI35" s="262"/>
      <c r="BJ35" s="262"/>
      <c r="BK35" s="262"/>
      <c r="BL35" s="262"/>
      <c r="BM35" s="262"/>
      <c r="BN35" s="262"/>
      <c r="BO35" s="262"/>
      <c r="BP35" s="262"/>
      <c r="BQ35" s="262"/>
      <c r="BR35" s="262"/>
      <c r="BS35" s="262"/>
      <c r="BT35" s="262"/>
      <c r="BU35" s="262"/>
      <c r="BV35" s="262"/>
      <c r="BW35" s="262"/>
      <c r="BX35" s="262"/>
      <c r="BY35" s="262"/>
      <c r="BZ35" s="262"/>
      <c r="CA35" s="93"/>
      <c r="CB35" s="93"/>
    </row>
    <row r="36" spans="1:80">
      <c r="A36" s="159">
        <f>IF(OR(A35=Abandonment!$B$4,A35=""),"",'Success Cash Flow'!A35+1)</f>
        <v>2041</v>
      </c>
      <c r="B36" s="160">
        <f>Revenue!N37</f>
        <v>0</v>
      </c>
      <c r="C36" s="160">
        <f>Revenue!O37</f>
        <v>0</v>
      </c>
      <c r="D36" s="160">
        <f>Revenue!P37</f>
        <v>0</v>
      </c>
      <c r="E36" s="257">
        <f t="shared" si="8"/>
        <v>0</v>
      </c>
      <c r="F36" s="257">
        <f>Exploration!S61</f>
        <v>0</v>
      </c>
      <c r="G36" s="257">
        <f>Development!BA117</f>
        <v>0</v>
      </c>
      <c r="H36" s="257">
        <f>Abandonment!G42</f>
        <v>358.54722678320917</v>
      </c>
      <c r="I36" s="257">
        <f>Operations!M45</f>
        <v>0</v>
      </c>
      <c r="J36" s="257">
        <f t="shared" si="2"/>
        <v>358.54722678320917</v>
      </c>
      <c r="K36" s="257">
        <f t="shared" si="3"/>
        <v>-358.54722678320917</v>
      </c>
      <c r="L36" s="257">
        <f>Royalty!AM38</f>
        <v>-69.152604645350209</v>
      </c>
      <c r="M36" s="257">
        <f>'Provincial Tax'!X36</f>
        <v>-47.085616369126328</v>
      </c>
      <c r="N36" s="257">
        <f>'Federal Tax'!X37</f>
        <v>-66.98305105123876</v>
      </c>
      <c r="O36" s="257">
        <f t="shared" si="4"/>
        <v>-183.22127206571531</v>
      </c>
      <c r="P36" s="257">
        <f t="shared" si="5"/>
        <v>-175.32595471749386</v>
      </c>
      <c r="Q36" s="265"/>
      <c r="R36" s="266"/>
      <c r="S36" s="257">
        <f t="shared" si="7"/>
        <v>11170.154125972422</v>
      </c>
      <c r="T36" s="269">
        <f t="shared" si="9"/>
        <v>0</v>
      </c>
      <c r="U36" s="93"/>
      <c r="V36" s="93"/>
      <c r="W36" s="93"/>
      <c r="X36" s="93"/>
      <c r="Y36" s="174"/>
      <c r="Z36" s="174"/>
      <c r="AA36" s="262"/>
      <c r="AB36" s="262"/>
      <c r="AC36" s="262"/>
      <c r="AD36" s="262"/>
      <c r="AE36" s="262"/>
      <c r="AF36" s="262"/>
      <c r="AG36" s="262"/>
      <c r="AH36" s="262"/>
      <c r="AI36" s="262"/>
      <c r="AJ36" s="262"/>
      <c r="AK36" s="262"/>
      <c r="AL36" s="262"/>
      <c r="AM36" s="262"/>
      <c r="AN36" s="262"/>
      <c r="AO36" s="262"/>
      <c r="AP36" s="262"/>
      <c r="AQ36" s="262"/>
      <c r="AR36" s="262"/>
      <c r="AS36" s="262"/>
      <c r="AT36" s="262"/>
      <c r="AU36" s="262"/>
      <c r="AV36" s="262"/>
      <c r="AW36" s="262"/>
      <c r="AX36" s="262"/>
      <c r="AY36" s="262"/>
      <c r="AZ36" s="262"/>
      <c r="BA36" s="262"/>
      <c r="BB36" s="262"/>
      <c r="BC36" s="262"/>
      <c r="BD36" s="262"/>
      <c r="BE36" s="262"/>
      <c r="BF36" s="262"/>
      <c r="BG36" s="262"/>
      <c r="BH36" s="262"/>
      <c r="BI36" s="262"/>
      <c r="BJ36" s="262"/>
      <c r="BK36" s="262"/>
      <c r="BL36" s="262"/>
      <c r="BM36" s="262"/>
      <c r="BN36" s="262"/>
      <c r="BO36" s="262"/>
      <c r="BP36" s="262"/>
      <c r="BQ36" s="262"/>
      <c r="BR36" s="262"/>
      <c r="BS36" s="262"/>
      <c r="BT36" s="262"/>
      <c r="BU36" s="262"/>
      <c r="BV36" s="262"/>
      <c r="BW36" s="262"/>
      <c r="BX36" s="262"/>
      <c r="BY36" s="262"/>
      <c r="BZ36" s="262"/>
      <c r="CA36" s="93"/>
      <c r="CB36" s="93"/>
    </row>
    <row r="37" spans="1:80">
      <c r="A37" s="159" t="str">
        <f>IF(OR(A36=Abandonment!$B$4,A36=""),"",'Success Cash Flow'!A36+1)</f>
        <v/>
      </c>
      <c r="B37" s="160">
        <f>Revenue!N38</f>
        <v>0</v>
      </c>
      <c r="C37" s="160">
        <f>Revenue!O38</f>
        <v>0</v>
      </c>
      <c r="D37" s="160">
        <f>Revenue!P38</f>
        <v>0</v>
      </c>
      <c r="E37" s="257">
        <f t="shared" si="8"/>
        <v>0</v>
      </c>
      <c r="F37" s="257">
        <f>Exploration!S62</f>
        <v>0</v>
      </c>
      <c r="G37" s="257">
        <f>Development!BA118</f>
        <v>0</v>
      </c>
      <c r="H37" s="257">
        <f>Abandonment!G43</f>
        <v>0</v>
      </c>
      <c r="I37" s="257">
        <f>Operations!M46</f>
        <v>0</v>
      </c>
      <c r="J37" s="257">
        <f t="shared" si="2"/>
        <v>0</v>
      </c>
      <c r="K37" s="257">
        <f t="shared" si="3"/>
        <v>0</v>
      </c>
      <c r="L37" s="257">
        <f>Royalty!AM39</f>
        <v>0</v>
      </c>
      <c r="M37" s="257">
        <f>'Provincial Tax'!X37</f>
        <v>0</v>
      </c>
      <c r="N37" s="257">
        <f>'Federal Tax'!X38</f>
        <v>-11.952293404080963</v>
      </c>
      <c r="O37" s="257">
        <f t="shared" si="4"/>
        <v>-11.952293404080963</v>
      </c>
      <c r="P37" s="257">
        <f t="shared" si="5"/>
        <v>11.952293404080963</v>
      </c>
      <c r="Q37" s="265"/>
      <c r="R37" s="266"/>
      <c r="S37" s="257">
        <f t="shared" si="7"/>
        <v>11182.106419376503</v>
      </c>
      <c r="T37" s="269">
        <f t="shared" si="9"/>
        <v>0</v>
      </c>
      <c r="U37" s="93"/>
      <c r="V37" s="93"/>
      <c r="W37" s="93"/>
      <c r="X37" s="93"/>
      <c r="Y37" s="174"/>
      <c r="Z37" s="174"/>
      <c r="AA37" s="262"/>
      <c r="AB37" s="262"/>
      <c r="AC37" s="262"/>
      <c r="AD37" s="262"/>
      <c r="AE37" s="262"/>
      <c r="AF37" s="262"/>
      <c r="AG37" s="262"/>
      <c r="AH37" s="262"/>
      <c r="AI37" s="262"/>
      <c r="AJ37" s="262"/>
      <c r="AK37" s="262"/>
      <c r="AL37" s="262"/>
      <c r="AM37" s="262"/>
      <c r="AN37" s="262"/>
      <c r="AO37" s="262"/>
      <c r="AP37" s="262"/>
      <c r="AQ37" s="262"/>
      <c r="AR37" s="262"/>
      <c r="AS37" s="262"/>
      <c r="AT37" s="262"/>
      <c r="AU37" s="262"/>
      <c r="AV37" s="262"/>
      <c r="AW37" s="262"/>
      <c r="AX37" s="262"/>
      <c r="AY37" s="262"/>
      <c r="AZ37" s="262"/>
      <c r="BA37" s="262"/>
      <c r="BB37" s="262"/>
      <c r="BC37" s="262"/>
      <c r="BD37" s="262"/>
      <c r="BE37" s="262"/>
      <c r="BF37" s="262"/>
      <c r="BG37" s="262"/>
      <c r="BH37" s="262"/>
      <c r="BI37" s="262"/>
      <c r="BJ37" s="262"/>
      <c r="BK37" s="262"/>
      <c r="BL37" s="262"/>
      <c r="BM37" s="262"/>
      <c r="BN37" s="262"/>
      <c r="BO37" s="262"/>
      <c r="BP37" s="262"/>
      <c r="BQ37" s="262"/>
      <c r="BR37" s="262"/>
      <c r="BS37" s="262"/>
      <c r="BT37" s="262"/>
      <c r="BU37" s="262"/>
      <c r="BV37" s="262"/>
      <c r="BW37" s="262"/>
      <c r="BX37" s="262"/>
      <c r="BY37" s="262"/>
      <c r="BZ37" s="262"/>
      <c r="CA37" s="93"/>
      <c r="CB37" s="93"/>
    </row>
    <row r="38" spans="1:80">
      <c r="A38" s="159" t="str">
        <f>IF(OR(A37=Abandonment!$B$4,A37=""),"",'Success Cash Flow'!A37+1)</f>
        <v/>
      </c>
      <c r="B38" s="160">
        <f>Revenue!N39</f>
        <v>0</v>
      </c>
      <c r="C38" s="160">
        <f>Revenue!O39</f>
        <v>0</v>
      </c>
      <c r="D38" s="160">
        <f>Revenue!P39</f>
        <v>0</v>
      </c>
      <c r="E38" s="257">
        <f t="shared" si="8"/>
        <v>0</v>
      </c>
      <c r="F38" s="257">
        <f>Exploration!S63</f>
        <v>0</v>
      </c>
      <c r="G38" s="257">
        <f>Development!BA119</f>
        <v>0</v>
      </c>
      <c r="H38" s="257">
        <f>Abandonment!G44</f>
        <v>0</v>
      </c>
      <c r="I38" s="257">
        <f>Operations!M47</f>
        <v>0</v>
      </c>
      <c r="J38" s="257">
        <f t="shared" si="2"/>
        <v>0</v>
      </c>
      <c r="K38" s="257">
        <f t="shared" si="3"/>
        <v>0</v>
      </c>
      <c r="L38" s="257">
        <f>Royalty!AM40</f>
        <v>0</v>
      </c>
      <c r="M38" s="257">
        <f>'Provincial Tax'!X38</f>
        <v>0</v>
      </c>
      <c r="N38" s="257">
        <f>'Federal Tax'!X39</f>
        <v>0</v>
      </c>
      <c r="O38" s="257">
        <f t="shared" si="4"/>
        <v>0</v>
      </c>
      <c r="P38" s="257">
        <f t="shared" si="5"/>
        <v>0</v>
      </c>
      <c r="Q38" s="265"/>
      <c r="R38" s="266"/>
      <c r="S38" s="257">
        <f t="shared" si="7"/>
        <v>11182.106419376503</v>
      </c>
      <c r="T38" s="269">
        <f t="shared" si="9"/>
        <v>0</v>
      </c>
      <c r="U38" s="93"/>
      <c r="V38" s="93"/>
      <c r="W38" s="93"/>
      <c r="X38" s="93"/>
      <c r="Y38" s="174"/>
      <c r="Z38" s="174"/>
      <c r="AA38" s="262"/>
      <c r="AB38" s="262"/>
      <c r="AC38" s="262"/>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62"/>
      <c r="BB38" s="262"/>
      <c r="BC38" s="262"/>
      <c r="BD38" s="262"/>
      <c r="BE38" s="262"/>
      <c r="BF38" s="262"/>
      <c r="BG38" s="262"/>
      <c r="BH38" s="262"/>
      <c r="BI38" s="262"/>
      <c r="BJ38" s="262"/>
      <c r="BK38" s="262"/>
      <c r="BL38" s="262"/>
      <c r="BM38" s="262"/>
      <c r="BN38" s="262"/>
      <c r="BO38" s="262"/>
      <c r="BP38" s="262"/>
      <c r="BQ38" s="262"/>
      <c r="BR38" s="262"/>
      <c r="BS38" s="262"/>
      <c r="BT38" s="262"/>
      <c r="BU38" s="262"/>
      <c r="BV38" s="262"/>
      <c r="BW38" s="262"/>
      <c r="BX38" s="262"/>
      <c r="BY38" s="262"/>
      <c r="BZ38" s="262"/>
      <c r="CA38" s="93"/>
      <c r="CB38" s="93"/>
    </row>
    <row r="39" spans="1:80">
      <c r="A39" s="159" t="str">
        <f>IF(OR(A38=Abandonment!$B$4,A38=""),"",'Success Cash Flow'!A38+1)</f>
        <v/>
      </c>
      <c r="B39" s="160">
        <f>Revenue!N40</f>
        <v>0</v>
      </c>
      <c r="C39" s="160">
        <f>Revenue!O40</f>
        <v>0</v>
      </c>
      <c r="D39" s="160">
        <f>Revenue!P40</f>
        <v>0</v>
      </c>
      <c r="E39" s="257">
        <f t="shared" si="8"/>
        <v>0</v>
      </c>
      <c r="F39" s="257">
        <f>Exploration!S64</f>
        <v>0</v>
      </c>
      <c r="G39" s="257">
        <f>Development!BA120</f>
        <v>0</v>
      </c>
      <c r="H39" s="257">
        <f>Abandonment!G45</f>
        <v>0</v>
      </c>
      <c r="I39" s="257">
        <f>Operations!M48</f>
        <v>0</v>
      </c>
      <c r="J39" s="257">
        <f t="shared" si="2"/>
        <v>0</v>
      </c>
      <c r="K39" s="257">
        <f t="shared" si="3"/>
        <v>0</v>
      </c>
      <c r="L39" s="257">
        <f>Royalty!AM41</f>
        <v>0</v>
      </c>
      <c r="M39" s="257">
        <f>'Provincial Tax'!X39</f>
        <v>0</v>
      </c>
      <c r="N39" s="257">
        <f>'Federal Tax'!X40</f>
        <v>0</v>
      </c>
      <c r="O39" s="257">
        <f t="shared" si="4"/>
        <v>0</v>
      </c>
      <c r="P39" s="257">
        <f t="shared" si="5"/>
        <v>0</v>
      </c>
      <c r="Q39" s="265"/>
      <c r="R39" s="266"/>
      <c r="S39" s="257">
        <f t="shared" si="7"/>
        <v>11182.106419376503</v>
      </c>
      <c r="T39" s="269">
        <f t="shared" si="9"/>
        <v>0</v>
      </c>
      <c r="U39" s="93"/>
      <c r="V39" s="93"/>
      <c r="W39" s="93"/>
      <c r="X39" s="93"/>
      <c r="Y39" s="174"/>
      <c r="Z39" s="174"/>
      <c r="AA39" s="262"/>
      <c r="AB39" s="262"/>
      <c r="AC39" s="262"/>
      <c r="AD39" s="262"/>
      <c r="AE39" s="262"/>
      <c r="AF39" s="262"/>
      <c r="AG39" s="262"/>
      <c r="AH39" s="262"/>
      <c r="AI39" s="262"/>
      <c r="AJ39" s="262"/>
      <c r="AK39" s="262"/>
      <c r="AL39" s="262"/>
      <c r="AM39" s="262"/>
      <c r="AN39" s="262"/>
      <c r="AO39" s="262"/>
      <c r="AP39" s="262"/>
      <c r="AQ39" s="262"/>
      <c r="AR39" s="262"/>
      <c r="AS39" s="262"/>
      <c r="AT39" s="262"/>
      <c r="AU39" s="262"/>
      <c r="AV39" s="262"/>
      <c r="AW39" s="262"/>
      <c r="AX39" s="262"/>
      <c r="AY39" s="262"/>
      <c r="AZ39" s="262"/>
      <c r="BA39" s="262"/>
      <c r="BB39" s="262"/>
      <c r="BC39" s="262"/>
      <c r="BD39" s="262"/>
      <c r="BE39" s="262"/>
      <c r="BF39" s="262"/>
      <c r="BG39" s="262"/>
      <c r="BH39" s="262"/>
      <c r="BI39" s="262"/>
      <c r="BJ39" s="262"/>
      <c r="BK39" s="262"/>
      <c r="BL39" s="262"/>
      <c r="BM39" s="262"/>
      <c r="BN39" s="262"/>
      <c r="BO39" s="262"/>
      <c r="BP39" s="262"/>
      <c r="BQ39" s="262"/>
      <c r="BR39" s="262"/>
      <c r="BS39" s="262"/>
      <c r="BT39" s="262"/>
      <c r="BU39" s="262"/>
      <c r="BV39" s="262"/>
      <c r="BW39" s="262"/>
      <c r="BX39" s="262"/>
      <c r="BY39" s="262"/>
      <c r="BZ39" s="262"/>
      <c r="CA39" s="93"/>
      <c r="CB39" s="93"/>
    </row>
    <row r="40" spans="1:80">
      <c r="A40" s="159" t="str">
        <f>IF(OR(A39=Abandonment!$B$4,A39=""),"",'Success Cash Flow'!A39+1)</f>
        <v/>
      </c>
      <c r="B40" s="160">
        <f>Revenue!N41</f>
        <v>0</v>
      </c>
      <c r="C40" s="160">
        <f>Revenue!O41</f>
        <v>0</v>
      </c>
      <c r="D40" s="160">
        <f>Revenue!P41</f>
        <v>0</v>
      </c>
      <c r="E40" s="257">
        <f t="shared" si="8"/>
        <v>0</v>
      </c>
      <c r="F40" s="257">
        <f>Exploration!S65</f>
        <v>0</v>
      </c>
      <c r="G40" s="257">
        <f>Development!BA121</f>
        <v>0</v>
      </c>
      <c r="H40" s="257">
        <f>Abandonment!G46</f>
        <v>0</v>
      </c>
      <c r="I40" s="257">
        <f>Operations!M49</f>
        <v>0</v>
      </c>
      <c r="J40" s="257">
        <f t="shared" si="2"/>
        <v>0</v>
      </c>
      <c r="K40" s="257">
        <f t="shared" si="3"/>
        <v>0</v>
      </c>
      <c r="L40" s="257">
        <f>Royalty!AM42</f>
        <v>0</v>
      </c>
      <c r="M40" s="257">
        <f>'Provincial Tax'!X40</f>
        <v>0</v>
      </c>
      <c r="N40" s="257">
        <f>'Federal Tax'!X41</f>
        <v>0</v>
      </c>
      <c r="O40" s="257">
        <f t="shared" si="4"/>
        <v>0</v>
      </c>
      <c r="P40" s="257">
        <f t="shared" si="5"/>
        <v>0</v>
      </c>
      <c r="Q40" s="265"/>
      <c r="R40" s="266"/>
      <c r="S40" s="257">
        <f t="shared" si="7"/>
        <v>11182.106419376503</v>
      </c>
      <c r="T40" s="269">
        <f t="shared" si="9"/>
        <v>0</v>
      </c>
      <c r="U40" s="93"/>
      <c r="V40" s="93"/>
      <c r="W40" s="93"/>
      <c r="X40" s="93"/>
      <c r="Y40" s="174"/>
      <c r="Z40" s="174"/>
      <c r="AA40" s="262"/>
      <c r="AB40" s="262"/>
      <c r="AC40" s="262"/>
      <c r="AD40" s="262"/>
      <c r="AE40" s="262"/>
      <c r="AF40" s="262"/>
      <c r="AG40" s="262"/>
      <c r="AH40" s="262"/>
      <c r="AI40" s="262"/>
      <c r="AJ40" s="262"/>
      <c r="AK40" s="262"/>
      <c r="AL40" s="262"/>
      <c r="AM40" s="262"/>
      <c r="AN40" s="262"/>
      <c r="AO40" s="262"/>
      <c r="AP40" s="262"/>
      <c r="AQ40" s="262"/>
      <c r="AR40" s="262"/>
      <c r="AS40" s="262"/>
      <c r="AT40" s="262"/>
      <c r="AU40" s="262"/>
      <c r="AV40" s="262"/>
      <c r="AW40" s="262"/>
      <c r="AX40" s="262"/>
      <c r="AY40" s="262"/>
      <c r="AZ40" s="262"/>
      <c r="BA40" s="262"/>
      <c r="BB40" s="262"/>
      <c r="BC40" s="262"/>
      <c r="BD40" s="262"/>
      <c r="BE40" s="262"/>
      <c r="BF40" s="262"/>
      <c r="BG40" s="262"/>
      <c r="BH40" s="262"/>
      <c r="BI40" s="262"/>
      <c r="BJ40" s="262"/>
      <c r="BK40" s="262"/>
      <c r="BL40" s="262"/>
      <c r="BM40" s="262"/>
      <c r="BN40" s="262"/>
      <c r="BO40" s="262"/>
      <c r="BP40" s="262"/>
      <c r="BQ40" s="262"/>
      <c r="BR40" s="262"/>
      <c r="BS40" s="262"/>
      <c r="BT40" s="262"/>
      <c r="BU40" s="262"/>
      <c r="BV40" s="262"/>
      <c r="BW40" s="262"/>
      <c r="BX40" s="262"/>
      <c r="BY40" s="262"/>
      <c r="BZ40" s="262"/>
      <c r="CA40" s="93"/>
      <c r="CB40" s="93"/>
    </row>
    <row r="41" spans="1:80">
      <c r="A41" s="159" t="str">
        <f>IF(OR(A40=Abandonment!$B$4,A40=""),"",'Success Cash Flow'!A40+1)</f>
        <v/>
      </c>
      <c r="B41" s="160">
        <f>Revenue!N42</f>
        <v>0</v>
      </c>
      <c r="C41" s="160">
        <f>Revenue!O42</f>
        <v>0</v>
      </c>
      <c r="D41" s="160">
        <f>Revenue!P42</f>
        <v>0</v>
      </c>
      <c r="E41" s="257">
        <f t="shared" si="8"/>
        <v>0</v>
      </c>
      <c r="F41" s="257">
        <f>Exploration!S66</f>
        <v>0</v>
      </c>
      <c r="G41" s="257">
        <f>Development!BA122</f>
        <v>0</v>
      </c>
      <c r="H41" s="257">
        <f>Abandonment!G47</f>
        <v>0</v>
      </c>
      <c r="I41" s="257">
        <f>Operations!M50</f>
        <v>0</v>
      </c>
      <c r="J41" s="257">
        <f t="shared" si="2"/>
        <v>0</v>
      </c>
      <c r="K41" s="257">
        <f t="shared" si="3"/>
        <v>0</v>
      </c>
      <c r="L41" s="257">
        <f>Royalty!AM43</f>
        <v>0</v>
      </c>
      <c r="M41" s="257">
        <f>'Provincial Tax'!X41</f>
        <v>0</v>
      </c>
      <c r="N41" s="257">
        <f>'Federal Tax'!X42</f>
        <v>0</v>
      </c>
      <c r="O41" s="257">
        <f t="shared" si="4"/>
        <v>0</v>
      </c>
      <c r="P41" s="257">
        <f t="shared" si="5"/>
        <v>0</v>
      </c>
      <c r="Q41" s="265"/>
      <c r="R41" s="266"/>
      <c r="S41" s="257">
        <f t="shared" si="7"/>
        <v>11182.106419376503</v>
      </c>
      <c r="T41" s="269">
        <f t="shared" si="9"/>
        <v>0</v>
      </c>
      <c r="U41" s="93"/>
      <c r="V41" s="93"/>
      <c r="W41" s="93"/>
      <c r="X41" s="93"/>
      <c r="Y41" s="174"/>
      <c r="Z41" s="174"/>
      <c r="AA41" s="262"/>
      <c r="AB41" s="262"/>
      <c r="AC41" s="262"/>
      <c r="AD41" s="262"/>
      <c r="AE41" s="262"/>
      <c r="AF41" s="262"/>
      <c r="AG41" s="262"/>
      <c r="AH41" s="262"/>
      <c r="AI41" s="262"/>
      <c r="AJ41" s="262"/>
      <c r="AK41" s="262"/>
      <c r="AL41" s="262"/>
      <c r="AM41" s="262"/>
      <c r="AN41" s="262"/>
      <c r="AO41" s="262"/>
      <c r="AP41" s="262"/>
      <c r="AQ41" s="262"/>
      <c r="AR41" s="262"/>
      <c r="AS41" s="262"/>
      <c r="AT41" s="262"/>
      <c r="AU41" s="262"/>
      <c r="AV41" s="262"/>
      <c r="AW41" s="262"/>
      <c r="AX41" s="262"/>
      <c r="AY41" s="262"/>
      <c r="AZ41" s="262"/>
      <c r="BA41" s="262"/>
      <c r="BB41" s="262"/>
      <c r="BC41" s="262"/>
      <c r="BD41" s="262"/>
      <c r="BE41" s="262"/>
      <c r="BF41" s="262"/>
      <c r="BG41" s="262"/>
      <c r="BH41" s="262"/>
      <c r="BI41" s="262"/>
      <c r="BJ41" s="262"/>
      <c r="BK41" s="262"/>
      <c r="BL41" s="262"/>
      <c r="BM41" s="262"/>
      <c r="BN41" s="262"/>
      <c r="BO41" s="262"/>
      <c r="BP41" s="262"/>
      <c r="BQ41" s="262"/>
      <c r="BR41" s="262"/>
      <c r="BS41" s="262"/>
      <c r="BT41" s="262"/>
      <c r="BU41" s="262"/>
      <c r="BV41" s="262"/>
      <c r="BW41" s="262"/>
      <c r="BX41" s="262"/>
      <c r="BY41" s="262"/>
      <c r="BZ41" s="262"/>
      <c r="CA41" s="93"/>
      <c r="CB41" s="93"/>
    </row>
    <row r="42" spans="1:80">
      <c r="A42" s="159" t="str">
        <f>IF(OR(A41=Abandonment!$B$4,A41=""),"",'Success Cash Flow'!A41+1)</f>
        <v/>
      </c>
      <c r="B42" s="160">
        <f>Revenue!N43</f>
        <v>0</v>
      </c>
      <c r="C42" s="160">
        <f>Revenue!O43</f>
        <v>0</v>
      </c>
      <c r="D42" s="160">
        <f>Revenue!P43</f>
        <v>0</v>
      </c>
      <c r="E42" s="257">
        <f t="shared" si="8"/>
        <v>0</v>
      </c>
      <c r="F42" s="257">
        <f>Exploration!S67</f>
        <v>0</v>
      </c>
      <c r="G42" s="257">
        <f>Development!BA123</f>
        <v>0</v>
      </c>
      <c r="H42" s="257">
        <f>Abandonment!G48</f>
        <v>0</v>
      </c>
      <c r="I42" s="257">
        <f>Operations!M51</f>
        <v>0</v>
      </c>
      <c r="J42" s="257">
        <f t="shared" si="2"/>
        <v>0</v>
      </c>
      <c r="K42" s="257">
        <f t="shared" si="3"/>
        <v>0</v>
      </c>
      <c r="L42" s="257">
        <f>Royalty!AM44</f>
        <v>0</v>
      </c>
      <c r="M42" s="257">
        <f>'Provincial Tax'!X42</f>
        <v>0</v>
      </c>
      <c r="N42" s="257">
        <f>'Federal Tax'!X43</f>
        <v>0</v>
      </c>
      <c r="O42" s="257">
        <f t="shared" si="4"/>
        <v>0</v>
      </c>
      <c r="P42" s="257">
        <f t="shared" si="5"/>
        <v>0</v>
      </c>
      <c r="Q42" s="265"/>
      <c r="R42" s="266"/>
      <c r="S42" s="257">
        <f t="shared" si="7"/>
        <v>11182.106419376503</v>
      </c>
      <c r="T42" s="269">
        <f t="shared" si="9"/>
        <v>0</v>
      </c>
      <c r="U42" s="93"/>
      <c r="V42" s="93"/>
      <c r="W42" s="93"/>
      <c r="X42" s="93"/>
      <c r="Y42" s="174"/>
      <c r="Z42" s="174"/>
      <c r="AA42" s="262"/>
      <c r="AB42" s="262"/>
      <c r="AC42" s="262"/>
      <c r="AD42" s="262"/>
      <c r="AE42" s="262"/>
      <c r="AF42" s="262"/>
      <c r="AG42" s="262"/>
      <c r="AH42" s="262"/>
      <c r="AI42" s="262"/>
      <c r="AJ42" s="262"/>
      <c r="AK42" s="262"/>
      <c r="AL42" s="262"/>
      <c r="AM42" s="262"/>
      <c r="AN42" s="262"/>
      <c r="AO42" s="262"/>
      <c r="AP42" s="262"/>
      <c r="AQ42" s="262"/>
      <c r="AR42" s="262"/>
      <c r="AS42" s="262"/>
      <c r="AT42" s="262"/>
      <c r="AU42" s="262"/>
      <c r="AV42" s="262"/>
      <c r="AW42" s="262"/>
      <c r="AX42" s="262"/>
      <c r="AY42" s="262"/>
      <c r="AZ42" s="262"/>
      <c r="BA42" s="262"/>
      <c r="BB42" s="262"/>
      <c r="BC42" s="262"/>
      <c r="BD42" s="262"/>
      <c r="BE42" s="262"/>
      <c r="BF42" s="262"/>
      <c r="BG42" s="262"/>
      <c r="BH42" s="262"/>
      <c r="BI42" s="262"/>
      <c r="BJ42" s="262"/>
      <c r="BK42" s="262"/>
      <c r="BL42" s="262"/>
      <c r="BM42" s="262"/>
      <c r="BN42" s="262"/>
      <c r="BO42" s="262"/>
      <c r="BP42" s="262"/>
      <c r="BQ42" s="262"/>
      <c r="BR42" s="262"/>
      <c r="BS42" s="262"/>
      <c r="BT42" s="262"/>
      <c r="BU42" s="262"/>
      <c r="BV42" s="262"/>
      <c r="BW42" s="262"/>
      <c r="BX42" s="262"/>
      <c r="BY42" s="262"/>
      <c r="BZ42" s="262"/>
      <c r="CA42" s="93"/>
      <c r="CB42" s="93"/>
    </row>
    <row r="43" spans="1:80">
      <c r="A43" s="159" t="str">
        <f>IF(OR(A42=Abandonment!$B$4,A42=""),"",'Success Cash Flow'!A42+1)</f>
        <v/>
      </c>
      <c r="B43" s="160">
        <f>Revenue!N44</f>
        <v>0</v>
      </c>
      <c r="C43" s="160">
        <f>Revenue!O44</f>
        <v>0</v>
      </c>
      <c r="D43" s="160">
        <f>Revenue!P44</f>
        <v>0</v>
      </c>
      <c r="E43" s="257">
        <f t="shared" si="8"/>
        <v>0</v>
      </c>
      <c r="F43" s="257">
        <f>Exploration!S68</f>
        <v>0</v>
      </c>
      <c r="G43" s="257">
        <f>Development!BA124</f>
        <v>0</v>
      </c>
      <c r="H43" s="257">
        <f>Abandonment!G49</f>
        <v>0</v>
      </c>
      <c r="I43" s="257">
        <f>Operations!M52</f>
        <v>0</v>
      </c>
      <c r="J43" s="257">
        <f t="shared" si="2"/>
        <v>0</v>
      </c>
      <c r="K43" s="257">
        <f t="shared" si="3"/>
        <v>0</v>
      </c>
      <c r="L43" s="257">
        <f>Royalty!AM45</f>
        <v>0</v>
      </c>
      <c r="M43" s="257">
        <f>'Provincial Tax'!X43</f>
        <v>0</v>
      </c>
      <c r="N43" s="257">
        <f>'Federal Tax'!X44</f>
        <v>0</v>
      </c>
      <c r="O43" s="257">
        <f t="shared" si="4"/>
        <v>0</v>
      </c>
      <c r="P43" s="257">
        <f t="shared" si="5"/>
        <v>0</v>
      </c>
      <c r="Q43" s="265"/>
      <c r="R43" s="266"/>
      <c r="S43" s="257">
        <f t="shared" si="7"/>
        <v>11182.106419376503</v>
      </c>
      <c r="T43" s="269">
        <f t="shared" si="9"/>
        <v>0</v>
      </c>
      <c r="U43" s="93"/>
      <c r="V43" s="93"/>
      <c r="W43" s="93"/>
      <c r="X43" s="93"/>
      <c r="Y43" s="174"/>
      <c r="Z43" s="174"/>
      <c r="AA43" s="262"/>
      <c r="AB43" s="262"/>
      <c r="AC43" s="262"/>
      <c r="AD43" s="262"/>
      <c r="AE43" s="262"/>
      <c r="AF43" s="262"/>
      <c r="AG43" s="262"/>
      <c r="AH43" s="262"/>
      <c r="AI43" s="262"/>
      <c r="AJ43" s="262"/>
      <c r="AK43" s="262"/>
      <c r="AL43" s="262"/>
      <c r="AM43" s="262"/>
      <c r="AN43" s="262"/>
      <c r="AO43" s="262"/>
      <c r="AP43" s="262"/>
      <c r="AQ43" s="262"/>
      <c r="AR43" s="262"/>
      <c r="AS43" s="262"/>
      <c r="AT43" s="262"/>
      <c r="AU43" s="262"/>
      <c r="AV43" s="262"/>
      <c r="AW43" s="262"/>
      <c r="AX43" s="262"/>
      <c r="AY43" s="262"/>
      <c r="AZ43" s="262"/>
      <c r="BA43" s="262"/>
      <c r="BB43" s="262"/>
      <c r="BC43" s="262"/>
      <c r="BD43" s="262"/>
      <c r="BE43" s="262"/>
      <c r="BF43" s="262"/>
      <c r="BG43" s="262"/>
      <c r="BH43" s="262"/>
      <c r="BI43" s="262"/>
      <c r="BJ43" s="262"/>
      <c r="BK43" s="262"/>
      <c r="BL43" s="262"/>
      <c r="BM43" s="262"/>
      <c r="BN43" s="262"/>
      <c r="BO43" s="262"/>
      <c r="BP43" s="262"/>
      <c r="BQ43" s="262"/>
      <c r="BR43" s="262"/>
      <c r="BS43" s="262"/>
      <c r="BT43" s="262"/>
      <c r="BU43" s="262"/>
      <c r="BV43" s="262"/>
      <c r="BW43" s="262"/>
      <c r="BX43" s="262"/>
      <c r="BY43" s="262"/>
      <c r="BZ43" s="262"/>
      <c r="CA43" s="93"/>
      <c r="CB43" s="93"/>
    </row>
    <row r="44" spans="1:80">
      <c r="A44" s="159" t="str">
        <f>IF(OR(A43=Abandonment!$B$4,A43=""),"",'Success Cash Flow'!A43+1)</f>
        <v/>
      </c>
      <c r="B44" s="160">
        <f>Revenue!N45</f>
        <v>0</v>
      </c>
      <c r="C44" s="160">
        <f>Revenue!O45</f>
        <v>0</v>
      </c>
      <c r="D44" s="160">
        <f>Revenue!P45</f>
        <v>0</v>
      </c>
      <c r="E44" s="257">
        <f t="shared" si="8"/>
        <v>0</v>
      </c>
      <c r="F44" s="257">
        <f>Exploration!S69</f>
        <v>0</v>
      </c>
      <c r="G44" s="257">
        <f>Development!BA125</f>
        <v>0</v>
      </c>
      <c r="H44" s="257">
        <f>Abandonment!G50</f>
        <v>0</v>
      </c>
      <c r="I44" s="257">
        <f>Operations!M53</f>
        <v>0</v>
      </c>
      <c r="J44" s="257">
        <f t="shared" si="2"/>
        <v>0</v>
      </c>
      <c r="K44" s="257">
        <f t="shared" si="3"/>
        <v>0</v>
      </c>
      <c r="L44" s="257">
        <f>Royalty!AM46</f>
        <v>0</v>
      </c>
      <c r="M44" s="257">
        <f>'Provincial Tax'!X44</f>
        <v>0</v>
      </c>
      <c r="N44" s="257">
        <f>'Federal Tax'!X45</f>
        <v>0</v>
      </c>
      <c r="O44" s="257">
        <f t="shared" si="4"/>
        <v>0</v>
      </c>
      <c r="P44" s="257">
        <f t="shared" si="5"/>
        <v>0</v>
      </c>
      <c r="Q44" s="265"/>
      <c r="R44" s="266"/>
      <c r="S44" s="257">
        <f t="shared" si="7"/>
        <v>11182.106419376503</v>
      </c>
      <c r="T44" s="269">
        <f t="shared" si="9"/>
        <v>0</v>
      </c>
      <c r="U44" s="93"/>
      <c r="V44" s="93"/>
      <c r="W44" s="93"/>
      <c r="X44" s="93"/>
      <c r="Y44" s="174"/>
      <c r="Z44" s="174"/>
      <c r="AA44" s="262"/>
      <c r="AB44" s="262"/>
      <c r="AC44" s="262"/>
      <c r="AD44" s="262"/>
      <c r="AE44" s="262"/>
      <c r="AF44" s="262"/>
      <c r="AG44" s="262"/>
      <c r="AH44" s="262"/>
      <c r="AI44" s="262"/>
      <c r="AJ44" s="262"/>
      <c r="AK44" s="262"/>
      <c r="AL44" s="262"/>
      <c r="AM44" s="262"/>
      <c r="AN44" s="262"/>
      <c r="AO44" s="262"/>
      <c r="AP44" s="262"/>
      <c r="AQ44" s="262"/>
      <c r="AR44" s="262"/>
      <c r="AS44" s="262"/>
      <c r="AT44" s="262"/>
      <c r="AU44" s="262"/>
      <c r="AV44" s="262"/>
      <c r="AW44" s="262"/>
      <c r="AX44" s="262"/>
      <c r="AY44" s="262"/>
      <c r="AZ44" s="262"/>
      <c r="BA44" s="262"/>
      <c r="BB44" s="262"/>
      <c r="BC44" s="262"/>
      <c r="BD44" s="262"/>
      <c r="BE44" s="262"/>
      <c r="BF44" s="262"/>
      <c r="BG44" s="262"/>
      <c r="BH44" s="262"/>
      <c r="BI44" s="262"/>
      <c r="BJ44" s="262"/>
      <c r="BK44" s="262"/>
      <c r="BL44" s="262"/>
      <c r="BM44" s="262"/>
      <c r="BN44" s="262"/>
      <c r="BO44" s="262"/>
      <c r="BP44" s="262"/>
      <c r="BQ44" s="262"/>
      <c r="BR44" s="262"/>
      <c r="BS44" s="262"/>
      <c r="BT44" s="262"/>
      <c r="BU44" s="262"/>
      <c r="BV44" s="262"/>
      <c r="BW44" s="262"/>
      <c r="BX44" s="262"/>
      <c r="BY44" s="262"/>
      <c r="BZ44" s="262"/>
      <c r="CA44" s="93"/>
      <c r="CB44" s="93"/>
    </row>
    <row r="45" spans="1:80">
      <c r="A45" s="159" t="str">
        <f>IF(OR(A44=Abandonment!$B$4,A44=""),"",'Success Cash Flow'!A44+1)</f>
        <v/>
      </c>
      <c r="B45" s="160">
        <f>Revenue!N46</f>
        <v>0</v>
      </c>
      <c r="C45" s="160">
        <f>Revenue!O46</f>
        <v>0</v>
      </c>
      <c r="D45" s="160">
        <f>Revenue!P46</f>
        <v>0</v>
      </c>
      <c r="E45" s="257">
        <f t="shared" si="8"/>
        <v>0</v>
      </c>
      <c r="F45" s="257">
        <f>Exploration!S70</f>
        <v>0</v>
      </c>
      <c r="G45" s="257">
        <f>Development!BA126</f>
        <v>0</v>
      </c>
      <c r="H45" s="257">
        <f>Abandonment!G51</f>
        <v>0</v>
      </c>
      <c r="I45" s="257">
        <f>Operations!M54</f>
        <v>0</v>
      </c>
      <c r="J45" s="257">
        <f t="shared" si="2"/>
        <v>0</v>
      </c>
      <c r="K45" s="257">
        <f t="shared" si="3"/>
        <v>0</v>
      </c>
      <c r="L45" s="257">
        <f>Royalty!AM47</f>
        <v>0</v>
      </c>
      <c r="M45" s="257">
        <f>'Provincial Tax'!X45</f>
        <v>0</v>
      </c>
      <c r="N45" s="257">
        <f>'Federal Tax'!X46</f>
        <v>0</v>
      </c>
      <c r="O45" s="257">
        <f t="shared" si="4"/>
        <v>0</v>
      </c>
      <c r="P45" s="257">
        <f t="shared" si="5"/>
        <v>0</v>
      </c>
      <c r="Q45" s="265"/>
      <c r="R45" s="266"/>
      <c r="S45" s="257">
        <f t="shared" si="7"/>
        <v>11182.106419376503</v>
      </c>
      <c r="T45" s="269">
        <f t="shared" si="9"/>
        <v>0</v>
      </c>
      <c r="U45" s="93"/>
      <c r="V45" s="93"/>
      <c r="W45" s="93"/>
      <c r="X45" s="93"/>
      <c r="Y45" s="174"/>
      <c r="Z45" s="174"/>
      <c r="AA45" s="262"/>
      <c r="AB45" s="262"/>
      <c r="AC45" s="262"/>
      <c r="AD45" s="262"/>
      <c r="AE45" s="262"/>
      <c r="AF45" s="262"/>
      <c r="AG45" s="262"/>
      <c r="AH45" s="262"/>
      <c r="AI45" s="262"/>
      <c r="AJ45" s="262"/>
      <c r="AK45" s="262"/>
      <c r="AL45" s="262"/>
      <c r="AM45" s="262"/>
      <c r="AN45" s="262"/>
      <c r="AO45" s="262"/>
      <c r="AP45" s="262"/>
      <c r="AQ45" s="262"/>
      <c r="AR45" s="262"/>
      <c r="AS45" s="262"/>
      <c r="AT45" s="262"/>
      <c r="AU45" s="262"/>
      <c r="AV45" s="262"/>
      <c r="AW45" s="262"/>
      <c r="AX45" s="262"/>
      <c r="AY45" s="262"/>
      <c r="AZ45" s="262"/>
      <c r="BA45" s="262"/>
      <c r="BB45" s="262"/>
      <c r="BC45" s="262"/>
      <c r="BD45" s="262"/>
      <c r="BE45" s="262"/>
      <c r="BF45" s="262"/>
      <c r="BG45" s="262"/>
      <c r="BH45" s="262"/>
      <c r="BI45" s="262"/>
      <c r="BJ45" s="262"/>
      <c r="BK45" s="262"/>
      <c r="BL45" s="262"/>
      <c r="BM45" s="262"/>
      <c r="BN45" s="262"/>
      <c r="BO45" s="262"/>
      <c r="BP45" s="262"/>
      <c r="BQ45" s="262"/>
      <c r="BR45" s="262"/>
      <c r="BS45" s="262"/>
      <c r="BT45" s="262"/>
      <c r="BU45" s="262"/>
      <c r="BV45" s="262"/>
      <c r="BW45" s="262"/>
      <c r="BX45" s="262"/>
      <c r="BY45" s="262"/>
      <c r="BZ45" s="262"/>
      <c r="CA45" s="93"/>
      <c r="CB45" s="93"/>
    </row>
    <row r="46" spans="1:80">
      <c r="A46" s="159" t="str">
        <f>IF(OR(A45=Abandonment!$B$4,A45=""),"",'Success Cash Flow'!A45+1)</f>
        <v/>
      </c>
      <c r="B46" s="160">
        <f>Revenue!N47</f>
        <v>0</v>
      </c>
      <c r="C46" s="160">
        <f>Revenue!O47</f>
        <v>0</v>
      </c>
      <c r="D46" s="160">
        <f>Revenue!P47</f>
        <v>0</v>
      </c>
      <c r="E46" s="257">
        <f t="shared" si="8"/>
        <v>0</v>
      </c>
      <c r="F46" s="257">
        <f>Exploration!S71</f>
        <v>0</v>
      </c>
      <c r="G46" s="257">
        <f>Development!BA127</f>
        <v>0</v>
      </c>
      <c r="H46" s="257">
        <f>Abandonment!G52</f>
        <v>0</v>
      </c>
      <c r="I46" s="257">
        <f>Operations!M55</f>
        <v>0</v>
      </c>
      <c r="J46" s="257">
        <f t="shared" si="2"/>
        <v>0</v>
      </c>
      <c r="K46" s="257">
        <f t="shared" si="3"/>
        <v>0</v>
      </c>
      <c r="L46" s="257">
        <f>Royalty!AM48</f>
        <v>0</v>
      </c>
      <c r="M46" s="257">
        <f>'Provincial Tax'!X46</f>
        <v>0</v>
      </c>
      <c r="N46" s="257">
        <f>'Federal Tax'!X47</f>
        <v>0</v>
      </c>
      <c r="O46" s="257">
        <f t="shared" si="4"/>
        <v>0</v>
      </c>
      <c r="P46" s="257">
        <f t="shared" si="5"/>
        <v>0</v>
      </c>
      <c r="Q46" s="265"/>
      <c r="R46" s="266"/>
      <c r="S46" s="257">
        <f t="shared" si="7"/>
        <v>11182.106419376503</v>
      </c>
      <c r="T46" s="269">
        <f t="shared" si="9"/>
        <v>0</v>
      </c>
      <c r="U46" s="93"/>
      <c r="V46" s="93"/>
      <c r="W46" s="93"/>
      <c r="X46" s="93"/>
      <c r="Y46" s="174"/>
      <c r="Z46" s="174"/>
      <c r="AA46" s="262"/>
      <c r="AB46" s="262"/>
      <c r="AC46" s="262"/>
      <c r="AD46" s="262"/>
      <c r="AE46" s="262"/>
      <c r="AF46" s="262"/>
      <c r="AG46" s="262"/>
      <c r="AH46" s="262"/>
      <c r="AI46" s="262"/>
      <c r="AJ46" s="262"/>
      <c r="AK46" s="262"/>
      <c r="AL46" s="262"/>
      <c r="AM46" s="262"/>
      <c r="AN46" s="262"/>
      <c r="AO46" s="262"/>
      <c r="AP46" s="262"/>
      <c r="AQ46" s="262"/>
      <c r="AR46" s="262"/>
      <c r="AS46" s="262"/>
      <c r="AT46" s="262"/>
      <c r="AU46" s="262"/>
      <c r="AV46" s="262"/>
      <c r="AW46" s="262"/>
      <c r="AX46" s="262"/>
      <c r="AY46" s="262"/>
      <c r="AZ46" s="262"/>
      <c r="BA46" s="262"/>
      <c r="BB46" s="262"/>
      <c r="BC46" s="262"/>
      <c r="BD46" s="262"/>
      <c r="BE46" s="262"/>
      <c r="BF46" s="262"/>
      <c r="BG46" s="262"/>
      <c r="BH46" s="262"/>
      <c r="BI46" s="262"/>
      <c r="BJ46" s="262"/>
      <c r="BK46" s="262"/>
      <c r="BL46" s="262"/>
      <c r="BM46" s="262"/>
      <c r="BN46" s="262"/>
      <c r="BO46" s="262"/>
      <c r="BP46" s="262"/>
      <c r="BQ46" s="262"/>
      <c r="BR46" s="262"/>
      <c r="BS46" s="262"/>
      <c r="BT46" s="262"/>
      <c r="BU46" s="262"/>
      <c r="BV46" s="262"/>
      <c r="BW46" s="262"/>
      <c r="BX46" s="262"/>
      <c r="BY46" s="262"/>
      <c r="BZ46" s="262"/>
      <c r="CA46" s="93"/>
      <c r="CB46" s="93"/>
    </row>
    <row r="47" spans="1:80">
      <c r="A47" s="159" t="str">
        <f>IF(OR(A46=Abandonment!$B$4,A46=""),"",'Success Cash Flow'!A46+1)</f>
        <v/>
      </c>
      <c r="B47" s="160">
        <f>Revenue!N48</f>
        <v>0</v>
      </c>
      <c r="C47" s="160">
        <f>Revenue!O48</f>
        <v>0</v>
      </c>
      <c r="D47" s="160">
        <f>Revenue!P48</f>
        <v>0</v>
      </c>
      <c r="E47" s="257">
        <f t="shared" si="8"/>
        <v>0</v>
      </c>
      <c r="F47" s="257">
        <f>Exploration!S72</f>
        <v>0</v>
      </c>
      <c r="G47" s="257">
        <f>Development!BA128</f>
        <v>0</v>
      </c>
      <c r="H47" s="257">
        <f>Abandonment!G53</f>
        <v>0</v>
      </c>
      <c r="I47" s="257">
        <f>Operations!M56</f>
        <v>0</v>
      </c>
      <c r="J47" s="257">
        <f t="shared" si="2"/>
        <v>0</v>
      </c>
      <c r="K47" s="257">
        <f t="shared" si="3"/>
        <v>0</v>
      </c>
      <c r="L47" s="257">
        <f>Royalty!AM49</f>
        <v>0</v>
      </c>
      <c r="M47" s="257">
        <f>'Provincial Tax'!X47</f>
        <v>0</v>
      </c>
      <c r="N47" s="257">
        <f>'Federal Tax'!X48</f>
        <v>0</v>
      </c>
      <c r="O47" s="257">
        <f t="shared" si="4"/>
        <v>0</v>
      </c>
      <c r="P47" s="257">
        <f t="shared" si="5"/>
        <v>0</v>
      </c>
      <c r="Q47" s="265"/>
      <c r="R47" s="266"/>
      <c r="S47" s="257">
        <f t="shared" si="7"/>
        <v>11182.106419376503</v>
      </c>
      <c r="T47" s="269">
        <f t="shared" si="9"/>
        <v>0</v>
      </c>
      <c r="U47" s="93"/>
      <c r="V47" s="93"/>
      <c r="W47" s="93"/>
      <c r="X47" s="93"/>
      <c r="Y47" s="174"/>
      <c r="Z47" s="174"/>
      <c r="AA47" s="262"/>
      <c r="AB47" s="262"/>
      <c r="AC47" s="262"/>
      <c r="AD47" s="262"/>
      <c r="AE47" s="262"/>
      <c r="AF47" s="262"/>
      <c r="AG47" s="262"/>
      <c r="AH47" s="262"/>
      <c r="AI47" s="262"/>
      <c r="AJ47" s="262"/>
      <c r="AK47" s="262"/>
      <c r="AL47" s="262"/>
      <c r="AM47" s="262"/>
      <c r="AN47" s="262"/>
      <c r="AO47" s="262"/>
      <c r="AP47" s="262"/>
      <c r="AQ47" s="262"/>
      <c r="AR47" s="262"/>
      <c r="AS47" s="262"/>
      <c r="AT47" s="262"/>
      <c r="AU47" s="262"/>
      <c r="AV47" s="262"/>
      <c r="AW47" s="262"/>
      <c r="AX47" s="262"/>
      <c r="AY47" s="262"/>
      <c r="AZ47" s="262"/>
      <c r="BA47" s="262"/>
      <c r="BB47" s="262"/>
      <c r="BC47" s="262"/>
      <c r="BD47" s="262"/>
      <c r="BE47" s="262"/>
      <c r="BF47" s="262"/>
      <c r="BG47" s="262"/>
      <c r="BH47" s="262"/>
      <c r="BI47" s="262"/>
      <c r="BJ47" s="262"/>
      <c r="BK47" s="262"/>
      <c r="BL47" s="262"/>
      <c r="BM47" s="262"/>
      <c r="BN47" s="262"/>
      <c r="BO47" s="262"/>
      <c r="BP47" s="262"/>
      <c r="BQ47" s="262"/>
      <c r="BR47" s="262"/>
      <c r="BS47" s="262"/>
      <c r="BT47" s="262"/>
      <c r="BU47" s="262"/>
      <c r="BV47" s="262"/>
      <c r="BW47" s="262"/>
      <c r="BX47" s="262"/>
      <c r="BY47" s="262"/>
      <c r="BZ47" s="262"/>
      <c r="CA47" s="93"/>
      <c r="CB47" s="93"/>
    </row>
    <row r="48" spans="1:80">
      <c r="A48" s="159" t="str">
        <f>IF(OR(A47=Abandonment!$B$4,A47=""),"",'Success Cash Flow'!A47+1)</f>
        <v/>
      </c>
      <c r="B48" s="160">
        <f>Revenue!N49</f>
        <v>0</v>
      </c>
      <c r="C48" s="160">
        <f>Revenue!O49</f>
        <v>0</v>
      </c>
      <c r="D48" s="160">
        <f>Revenue!P49</f>
        <v>0</v>
      </c>
      <c r="E48" s="257">
        <f t="shared" si="8"/>
        <v>0</v>
      </c>
      <c r="F48" s="257">
        <f>Exploration!S73</f>
        <v>0</v>
      </c>
      <c r="G48" s="257">
        <f>Development!BA129</f>
        <v>0</v>
      </c>
      <c r="H48" s="257">
        <f>Abandonment!G54</f>
        <v>0</v>
      </c>
      <c r="I48" s="257">
        <f>Operations!M57</f>
        <v>0</v>
      </c>
      <c r="J48" s="257">
        <f t="shared" si="2"/>
        <v>0</v>
      </c>
      <c r="K48" s="257">
        <f t="shared" si="3"/>
        <v>0</v>
      </c>
      <c r="L48" s="257">
        <f>Royalty!AM50</f>
        <v>0</v>
      </c>
      <c r="M48" s="257">
        <f>'Provincial Tax'!X48</f>
        <v>0</v>
      </c>
      <c r="N48" s="257">
        <f>'Federal Tax'!X49</f>
        <v>0</v>
      </c>
      <c r="O48" s="257">
        <f t="shared" si="4"/>
        <v>0</v>
      </c>
      <c r="P48" s="257">
        <f t="shared" si="5"/>
        <v>0</v>
      </c>
      <c r="Q48" s="265"/>
      <c r="R48" s="266"/>
      <c r="S48" s="257">
        <f t="shared" si="7"/>
        <v>11182.106419376503</v>
      </c>
      <c r="T48" s="269">
        <f t="shared" si="9"/>
        <v>0</v>
      </c>
      <c r="U48" s="93"/>
      <c r="V48" s="93"/>
      <c r="W48" s="93"/>
      <c r="X48" s="93"/>
      <c r="Y48" s="174"/>
      <c r="Z48" s="174"/>
      <c r="AA48" s="262"/>
      <c r="AB48" s="262"/>
      <c r="AC48" s="262"/>
      <c r="AD48" s="262"/>
      <c r="AE48" s="262"/>
      <c r="AF48" s="262"/>
      <c r="AG48" s="262"/>
      <c r="AH48" s="262"/>
      <c r="AI48" s="262"/>
      <c r="AJ48" s="262"/>
      <c r="AK48" s="262"/>
      <c r="AL48" s="262"/>
      <c r="AM48" s="262"/>
      <c r="AN48" s="262"/>
      <c r="AO48" s="262"/>
      <c r="AP48" s="262"/>
      <c r="AQ48" s="262"/>
      <c r="AR48" s="262"/>
      <c r="AS48" s="262"/>
      <c r="AT48" s="262"/>
      <c r="AU48" s="262"/>
      <c r="AV48" s="262"/>
      <c r="AW48" s="262"/>
      <c r="AX48" s="262"/>
      <c r="AY48" s="262"/>
      <c r="AZ48" s="262"/>
      <c r="BA48" s="262"/>
      <c r="BB48" s="262"/>
      <c r="BC48" s="262"/>
      <c r="BD48" s="262"/>
      <c r="BE48" s="262"/>
      <c r="BF48" s="262"/>
      <c r="BG48" s="262"/>
      <c r="BH48" s="262"/>
      <c r="BI48" s="262"/>
      <c r="BJ48" s="262"/>
      <c r="BK48" s="262"/>
      <c r="BL48" s="262"/>
      <c r="BM48" s="262"/>
      <c r="BN48" s="262"/>
      <c r="BO48" s="262"/>
      <c r="BP48" s="262"/>
      <c r="BQ48" s="262"/>
      <c r="BR48" s="262"/>
      <c r="BS48" s="262"/>
      <c r="BT48" s="262"/>
      <c r="BU48" s="262"/>
      <c r="BV48" s="262"/>
      <c r="BW48" s="262"/>
      <c r="BX48" s="262"/>
      <c r="BY48" s="262"/>
      <c r="BZ48" s="262"/>
      <c r="CA48" s="93"/>
      <c r="CB48" s="93"/>
    </row>
    <row r="49" spans="1:80">
      <c r="A49" s="159" t="str">
        <f>IF(OR(A48=Abandonment!$B$4,A48=""),"",'Success Cash Flow'!A48+1)</f>
        <v/>
      </c>
      <c r="B49" s="160">
        <f>Revenue!N50</f>
        <v>0</v>
      </c>
      <c r="C49" s="160">
        <f>Revenue!O50</f>
        <v>0</v>
      </c>
      <c r="D49" s="160">
        <f>Revenue!P50</f>
        <v>0</v>
      </c>
      <c r="E49" s="257">
        <f t="shared" si="8"/>
        <v>0</v>
      </c>
      <c r="F49" s="257">
        <f>Exploration!S74</f>
        <v>0</v>
      </c>
      <c r="G49" s="257">
        <f>Development!BA130</f>
        <v>0</v>
      </c>
      <c r="H49" s="257">
        <f>Abandonment!G55</f>
        <v>0</v>
      </c>
      <c r="I49" s="257">
        <f>Operations!M58</f>
        <v>0</v>
      </c>
      <c r="J49" s="257">
        <f t="shared" si="2"/>
        <v>0</v>
      </c>
      <c r="K49" s="257">
        <f t="shared" si="3"/>
        <v>0</v>
      </c>
      <c r="L49" s="257">
        <f>Royalty!AM51</f>
        <v>0</v>
      </c>
      <c r="M49" s="257">
        <f>'Provincial Tax'!X49</f>
        <v>0</v>
      </c>
      <c r="N49" s="257">
        <f>'Federal Tax'!X50</f>
        <v>0</v>
      </c>
      <c r="O49" s="257">
        <f t="shared" si="4"/>
        <v>0</v>
      </c>
      <c r="P49" s="257">
        <f t="shared" si="5"/>
        <v>0</v>
      </c>
      <c r="Q49" s="265"/>
      <c r="R49" s="266"/>
      <c r="S49" s="257">
        <f t="shared" si="7"/>
        <v>11182.106419376503</v>
      </c>
      <c r="T49" s="270">
        <f t="shared" si="9"/>
        <v>0</v>
      </c>
      <c r="U49" s="93"/>
      <c r="V49" s="93"/>
      <c r="W49" s="93"/>
      <c r="X49" s="93"/>
      <c r="Y49" s="174"/>
      <c r="Z49" s="174"/>
      <c r="AA49" s="262"/>
      <c r="AB49" s="262"/>
      <c r="AC49" s="262"/>
      <c r="AD49" s="262"/>
      <c r="AE49" s="262"/>
      <c r="AF49" s="262"/>
      <c r="AG49" s="262"/>
      <c r="AH49" s="262"/>
      <c r="AI49" s="262"/>
      <c r="AJ49" s="262"/>
      <c r="AK49" s="262"/>
      <c r="AL49" s="262"/>
      <c r="AM49" s="262"/>
      <c r="AN49" s="262"/>
      <c r="AO49" s="262"/>
      <c r="AP49" s="262"/>
      <c r="AQ49" s="262"/>
      <c r="AR49" s="262"/>
      <c r="AS49" s="262"/>
      <c r="AT49" s="262"/>
      <c r="AU49" s="262"/>
      <c r="AV49" s="262"/>
      <c r="AW49" s="262"/>
      <c r="AX49" s="262"/>
      <c r="AY49" s="262"/>
      <c r="AZ49" s="262"/>
      <c r="BA49" s="262"/>
      <c r="BB49" s="262"/>
      <c r="BC49" s="262"/>
      <c r="BD49" s="262"/>
      <c r="BE49" s="262"/>
      <c r="BF49" s="262"/>
      <c r="BG49" s="262"/>
      <c r="BH49" s="262"/>
      <c r="BI49" s="262"/>
      <c r="BJ49" s="262"/>
      <c r="BK49" s="262"/>
      <c r="BL49" s="262"/>
      <c r="BM49" s="262"/>
      <c r="BN49" s="262"/>
      <c r="BO49" s="262"/>
      <c r="BP49" s="262"/>
      <c r="BQ49" s="262"/>
      <c r="BR49" s="262"/>
      <c r="BS49" s="262"/>
      <c r="BT49" s="262"/>
      <c r="BU49" s="262"/>
      <c r="BV49" s="262"/>
      <c r="BW49" s="262"/>
      <c r="BX49" s="262"/>
      <c r="BY49" s="262"/>
      <c r="BZ49" s="262"/>
      <c r="CA49" s="93"/>
      <c r="CB49" s="93"/>
    </row>
    <row r="50" spans="1:80">
      <c r="A50" s="161" t="str">
        <f>IF(OR(A49=Abandonment!$B$4,A49=""),"",'Success Cash Flow'!A49+1)</f>
        <v/>
      </c>
      <c r="B50" s="162">
        <f>Revenue!N51</f>
        <v>0</v>
      </c>
      <c r="C50" s="162">
        <f>Revenue!O51</f>
        <v>0</v>
      </c>
      <c r="D50" s="162">
        <f>Revenue!P51</f>
        <v>0</v>
      </c>
      <c r="E50" s="259">
        <f>SUM(B50:D50)</f>
        <v>0</v>
      </c>
      <c r="F50" s="259">
        <f>Exploration!S75</f>
        <v>0</v>
      </c>
      <c r="G50" s="259">
        <f>Development!AZ131</f>
        <v>0</v>
      </c>
      <c r="H50" s="259">
        <f>Abandonment!G56</f>
        <v>0</v>
      </c>
      <c r="I50" s="259">
        <f>Operations!M59</f>
        <v>0</v>
      </c>
      <c r="J50" s="259">
        <f>SUM(F50:I50)</f>
        <v>0</v>
      </c>
      <c r="K50" s="259">
        <f>E50-J50</f>
        <v>0</v>
      </c>
      <c r="L50" s="259">
        <f>Royalty!AM52</f>
        <v>0</v>
      </c>
      <c r="M50" s="259">
        <f>'Provincial Tax'!X50</f>
        <v>0</v>
      </c>
      <c r="N50" s="259">
        <f>'Federal Tax'!X51</f>
        <v>0</v>
      </c>
      <c r="O50" s="259">
        <f>SUM(L50:N50)</f>
        <v>0</v>
      </c>
      <c r="P50" s="259">
        <f>K50-O50</f>
        <v>0</v>
      </c>
      <c r="Q50" s="167"/>
      <c r="R50" s="167"/>
      <c r="S50" s="167"/>
      <c r="T50" s="167"/>
      <c r="U50" s="93"/>
      <c r="V50" s="93"/>
      <c r="W50" s="93"/>
      <c r="X50" s="93"/>
      <c r="Y50" s="174"/>
      <c r="Z50" s="174"/>
      <c r="AA50" s="262"/>
      <c r="AB50" s="262"/>
      <c r="AC50" s="262"/>
      <c r="AD50" s="262"/>
      <c r="AE50" s="262"/>
      <c r="AF50" s="262"/>
      <c r="AG50" s="262"/>
      <c r="AH50" s="262"/>
      <c r="AI50" s="262"/>
      <c r="AJ50" s="262"/>
      <c r="AK50" s="262"/>
      <c r="AL50" s="262"/>
      <c r="AM50" s="262"/>
      <c r="AN50" s="262"/>
      <c r="AO50" s="262"/>
      <c r="AP50" s="262"/>
      <c r="AQ50" s="262"/>
      <c r="AR50" s="262"/>
      <c r="AS50" s="262"/>
      <c r="AT50" s="262"/>
      <c r="AU50" s="262"/>
      <c r="AV50" s="262"/>
      <c r="AW50" s="262"/>
      <c r="AX50" s="262"/>
      <c r="AY50" s="262"/>
      <c r="AZ50" s="262"/>
      <c r="BA50" s="262"/>
      <c r="BB50" s="262"/>
      <c r="BC50" s="262"/>
      <c r="BD50" s="262"/>
      <c r="BE50" s="262"/>
      <c r="BF50" s="262"/>
      <c r="BG50" s="262"/>
      <c r="BH50" s="262"/>
      <c r="BI50" s="262"/>
      <c r="BJ50" s="262"/>
      <c r="BK50" s="262"/>
      <c r="BL50" s="262"/>
      <c r="BM50" s="262"/>
      <c r="BN50" s="262"/>
      <c r="BO50" s="262"/>
      <c r="BP50" s="262"/>
      <c r="BQ50" s="262"/>
      <c r="BR50" s="262"/>
      <c r="BS50" s="262"/>
      <c r="BT50" s="262"/>
      <c r="BU50" s="262"/>
      <c r="BV50" s="262"/>
      <c r="BW50" s="262"/>
      <c r="BX50" s="262"/>
      <c r="BY50" s="262"/>
      <c r="BZ50" s="262"/>
      <c r="CA50" s="93"/>
      <c r="CB50" s="93"/>
    </row>
    <row r="51" spans="1:80">
      <c r="A51" s="124"/>
      <c r="B51" s="124"/>
      <c r="C51" s="124"/>
      <c r="D51" s="124"/>
      <c r="E51" s="124"/>
      <c r="F51" s="124"/>
      <c r="G51" s="124"/>
      <c r="H51" s="124"/>
      <c r="I51" s="124"/>
      <c r="J51" s="124"/>
      <c r="K51" s="124"/>
      <c r="L51" s="124"/>
      <c r="M51" s="124"/>
      <c r="N51" s="124"/>
      <c r="O51" s="124"/>
      <c r="P51" s="124"/>
      <c r="Q51" s="271"/>
      <c r="R51" s="271"/>
      <c r="S51" s="124"/>
      <c r="T51" s="124"/>
      <c r="U51" s="124"/>
      <c r="V51" s="124"/>
      <c r="W51" s="124"/>
      <c r="X51" s="124"/>
      <c r="Y51" s="124"/>
      <c r="Z51" s="124"/>
      <c r="AA51" s="124"/>
      <c r="AB51" s="124"/>
      <c r="AC51" s="124"/>
      <c r="AD51" s="124"/>
      <c r="AE51" s="124"/>
      <c r="AF51" s="124"/>
      <c r="AG51" s="124"/>
      <c r="AH51" s="124"/>
      <c r="AI51" s="124"/>
      <c r="AJ51" s="124"/>
      <c r="AK51" s="124"/>
      <c r="AL51" s="124"/>
      <c r="AM51" s="124"/>
      <c r="AN51" s="124"/>
      <c r="AO51" s="124"/>
      <c r="AP51" s="124"/>
      <c r="AQ51" s="124"/>
      <c r="AR51" s="124"/>
      <c r="AS51" s="124"/>
      <c r="AT51" s="124"/>
      <c r="AU51" s="124"/>
      <c r="AV51" s="124"/>
      <c r="AW51" s="124"/>
      <c r="AX51" s="124"/>
      <c r="AY51" s="124"/>
      <c r="AZ51" s="124"/>
      <c r="BA51" s="124"/>
      <c r="BB51" s="124"/>
      <c r="BC51" s="124"/>
      <c r="BD51" s="124"/>
      <c r="BE51" s="124"/>
      <c r="BF51" s="124"/>
      <c r="BG51" s="124"/>
      <c r="BH51" s="124"/>
      <c r="BI51" s="124"/>
      <c r="BJ51" s="124"/>
      <c r="BK51" s="124"/>
      <c r="BL51" s="124"/>
      <c r="BM51" s="124"/>
      <c r="BN51" s="124"/>
      <c r="BO51" s="124"/>
      <c r="BP51" s="124"/>
      <c r="BQ51" s="124"/>
      <c r="BR51" s="124"/>
      <c r="BS51" s="124"/>
      <c r="BT51" s="124"/>
      <c r="BU51" s="124"/>
      <c r="BV51" s="124"/>
      <c r="BW51" s="124"/>
      <c r="BX51" s="124"/>
      <c r="BY51" s="124"/>
      <c r="BZ51" s="124"/>
      <c r="CA51" s="124"/>
      <c r="CB51" s="124"/>
    </row>
    <row r="52" spans="1:80">
      <c r="A52" s="124"/>
      <c r="B52" s="124"/>
      <c r="C52" s="124"/>
      <c r="D52" s="124"/>
      <c r="E52" s="124"/>
      <c r="F52" s="124"/>
      <c r="G52" s="124"/>
      <c r="H52" s="124"/>
      <c r="I52" s="124"/>
      <c r="J52" s="124"/>
      <c r="K52" s="124"/>
      <c r="L52" s="124"/>
      <c r="M52" s="124"/>
      <c r="N52" s="124"/>
      <c r="O52" s="124"/>
      <c r="P52" s="124"/>
      <c r="Q52" s="271"/>
      <c r="R52" s="271"/>
      <c r="S52" s="124"/>
      <c r="T52" s="124"/>
      <c r="U52" s="124"/>
      <c r="V52" s="124"/>
      <c r="W52" s="124"/>
      <c r="X52" s="124"/>
      <c r="Y52" s="124"/>
      <c r="Z52" s="124"/>
      <c r="AA52" s="124"/>
      <c r="AB52" s="124"/>
      <c r="AC52" s="124"/>
      <c r="AD52" s="124"/>
      <c r="AE52" s="124"/>
      <c r="AF52" s="124"/>
      <c r="AG52" s="124"/>
      <c r="AH52" s="124"/>
      <c r="AI52" s="124"/>
      <c r="AJ52" s="124"/>
      <c r="AK52" s="124"/>
      <c r="AL52" s="124"/>
      <c r="AM52" s="124"/>
      <c r="AN52" s="124"/>
      <c r="AO52" s="124"/>
      <c r="AP52" s="124"/>
      <c r="AQ52" s="124"/>
      <c r="AR52" s="124"/>
      <c r="AS52" s="124"/>
      <c r="AT52" s="124"/>
      <c r="AU52" s="124"/>
      <c r="AV52" s="124"/>
      <c r="AW52" s="124"/>
      <c r="AX52" s="124"/>
      <c r="AY52" s="124"/>
      <c r="AZ52" s="124"/>
      <c r="BA52" s="124"/>
      <c r="BB52" s="124"/>
      <c r="BC52" s="124"/>
      <c r="BD52" s="124"/>
      <c r="BE52" s="124"/>
      <c r="BF52" s="124"/>
      <c r="BG52" s="124"/>
      <c r="BH52" s="124"/>
      <c r="BI52" s="124"/>
      <c r="BJ52" s="124"/>
      <c r="BK52" s="124"/>
      <c r="BL52" s="124"/>
      <c r="BM52" s="124"/>
      <c r="BN52" s="124"/>
      <c r="BO52" s="124"/>
      <c r="BP52" s="124"/>
      <c r="BQ52" s="124"/>
      <c r="BR52" s="124"/>
      <c r="BS52" s="124"/>
      <c r="BT52" s="124"/>
      <c r="BU52" s="124"/>
      <c r="BV52" s="124"/>
      <c r="BW52" s="124"/>
      <c r="BX52" s="124"/>
      <c r="BY52" s="124"/>
      <c r="BZ52" s="124"/>
      <c r="CA52" s="124"/>
      <c r="CB52" s="124"/>
    </row>
    <row r="53" spans="1:80">
      <c r="A53" s="124"/>
      <c r="B53" s="124"/>
      <c r="C53" s="124"/>
      <c r="D53" s="124"/>
      <c r="E53" s="124"/>
      <c r="F53" s="124"/>
      <c r="G53" s="124"/>
      <c r="H53" s="124"/>
      <c r="I53" s="124"/>
      <c r="J53" s="124"/>
      <c r="K53" s="124"/>
      <c r="L53" s="124"/>
      <c r="M53" s="124"/>
      <c r="N53" s="124"/>
      <c r="O53" s="124"/>
      <c r="P53" s="124"/>
      <c r="Q53" s="271"/>
      <c r="R53" s="271"/>
      <c r="S53" s="124"/>
      <c r="T53" s="124"/>
      <c r="U53" s="124"/>
      <c r="V53" s="124"/>
      <c r="W53" s="124"/>
      <c r="X53" s="124"/>
      <c r="Y53" s="124"/>
      <c r="Z53" s="124"/>
      <c r="AA53" s="124"/>
      <c r="AB53" s="124"/>
      <c r="AC53" s="124"/>
      <c r="AD53" s="124"/>
      <c r="AE53" s="124"/>
      <c r="AF53" s="124"/>
      <c r="AG53" s="124"/>
      <c r="AH53" s="124"/>
      <c r="AI53" s="124"/>
      <c r="AJ53" s="124"/>
      <c r="AK53" s="124"/>
      <c r="AL53" s="124"/>
      <c r="AM53" s="124"/>
      <c r="AN53" s="124"/>
      <c r="AO53" s="124"/>
      <c r="AP53" s="124"/>
      <c r="AQ53" s="124"/>
      <c r="AR53" s="124"/>
      <c r="AS53" s="124"/>
      <c r="AT53" s="124"/>
      <c r="AU53" s="124"/>
      <c r="AV53" s="124"/>
      <c r="AW53" s="124"/>
      <c r="AX53" s="124"/>
      <c r="AY53" s="124"/>
      <c r="AZ53" s="124"/>
      <c r="BA53" s="124"/>
      <c r="BB53" s="124"/>
      <c r="BC53" s="124"/>
      <c r="BD53" s="124"/>
      <c r="BE53" s="124"/>
      <c r="BF53" s="124"/>
      <c r="BG53" s="124"/>
      <c r="BH53" s="124"/>
      <c r="BI53" s="124"/>
      <c r="BJ53" s="124"/>
      <c r="BK53" s="124"/>
      <c r="BL53" s="124"/>
      <c r="BM53" s="124"/>
      <c r="BN53" s="124"/>
      <c r="BO53" s="124"/>
      <c r="BP53" s="124"/>
      <c r="BQ53" s="124"/>
      <c r="BR53" s="124"/>
      <c r="BS53" s="124"/>
      <c r="BT53" s="124"/>
      <c r="BU53" s="124"/>
      <c r="BV53" s="124"/>
      <c r="BW53" s="124"/>
      <c r="BX53" s="124"/>
      <c r="BY53" s="124"/>
      <c r="BZ53" s="124"/>
      <c r="CA53" s="124"/>
      <c r="CB53" s="124"/>
    </row>
    <row r="54" spans="1:80">
      <c r="A54" s="124"/>
      <c r="B54" s="124"/>
      <c r="C54" s="124"/>
      <c r="D54" s="124"/>
      <c r="E54" s="124"/>
      <c r="F54" s="124"/>
      <c r="G54" s="124"/>
      <c r="H54" s="124"/>
      <c r="I54" s="124"/>
      <c r="J54" s="124"/>
      <c r="K54" s="124"/>
      <c r="L54" s="124"/>
      <c r="M54" s="124"/>
      <c r="N54" s="124"/>
      <c r="O54" s="124"/>
      <c r="P54" s="124"/>
      <c r="Q54" s="271"/>
      <c r="R54" s="271"/>
      <c r="S54" s="124"/>
      <c r="T54" s="124"/>
      <c r="U54" s="124"/>
      <c r="V54" s="124"/>
      <c r="W54" s="124"/>
      <c r="X54" s="124"/>
      <c r="Y54" s="124"/>
      <c r="Z54" s="124"/>
      <c r="AA54" s="124"/>
      <c r="AB54" s="124"/>
      <c r="AC54" s="124"/>
      <c r="AD54" s="124"/>
      <c r="AE54" s="124"/>
      <c r="AF54" s="124"/>
      <c r="AG54" s="124"/>
      <c r="AH54" s="124"/>
      <c r="AI54" s="124"/>
      <c r="AJ54" s="124"/>
      <c r="AK54" s="124"/>
      <c r="AL54" s="124"/>
      <c r="AM54" s="124"/>
      <c r="AN54" s="124"/>
      <c r="AO54" s="124"/>
      <c r="AP54" s="124"/>
      <c r="AQ54" s="124"/>
      <c r="AR54" s="124"/>
      <c r="AS54" s="124"/>
      <c r="AT54" s="124"/>
      <c r="AU54" s="124"/>
      <c r="AV54" s="124"/>
      <c r="AW54" s="124"/>
      <c r="AX54" s="124"/>
      <c r="AY54" s="124"/>
      <c r="AZ54" s="124"/>
      <c r="BA54" s="124"/>
      <c r="BB54" s="124"/>
      <c r="BC54" s="124"/>
      <c r="BD54" s="124"/>
      <c r="BE54" s="124"/>
      <c r="BF54" s="124"/>
      <c r="BG54" s="124"/>
      <c r="BH54" s="124"/>
      <c r="BI54" s="124"/>
      <c r="BJ54" s="124"/>
      <c r="BK54" s="124"/>
      <c r="BL54" s="124"/>
      <c r="BM54" s="124"/>
      <c r="BN54" s="124"/>
      <c r="BO54" s="124"/>
      <c r="BP54" s="124"/>
      <c r="BQ54" s="124"/>
      <c r="BR54" s="124"/>
      <c r="BS54" s="124"/>
      <c r="BT54" s="124"/>
      <c r="BU54" s="124"/>
      <c r="BV54" s="124"/>
      <c r="BW54" s="124"/>
      <c r="BX54" s="124"/>
      <c r="BY54" s="124"/>
      <c r="BZ54" s="124"/>
      <c r="CA54" s="124"/>
      <c r="CB54" s="124"/>
    </row>
    <row r="55" spans="1:80">
      <c r="A55" s="124"/>
      <c r="B55" s="124"/>
      <c r="C55" s="124"/>
      <c r="D55" s="124"/>
      <c r="E55" s="124"/>
      <c r="F55" s="124"/>
      <c r="G55" s="124"/>
      <c r="H55" s="124"/>
      <c r="I55" s="124"/>
      <c r="J55" s="124"/>
      <c r="K55" s="124"/>
      <c r="L55" s="124"/>
      <c r="M55" s="124"/>
      <c r="N55" s="124"/>
      <c r="O55" s="124"/>
      <c r="P55" s="124"/>
      <c r="Q55" s="271"/>
      <c r="R55" s="271"/>
      <c r="S55" s="124"/>
      <c r="T55" s="124"/>
      <c r="U55" s="124"/>
      <c r="V55" s="124"/>
      <c r="W55" s="124"/>
      <c r="X55" s="124"/>
      <c r="Y55" s="124"/>
      <c r="Z55" s="124"/>
      <c r="AA55" s="124"/>
      <c r="AB55" s="124"/>
      <c r="AC55" s="124"/>
      <c r="AD55" s="124"/>
      <c r="AE55" s="124"/>
      <c r="AF55" s="124"/>
      <c r="AG55" s="124"/>
      <c r="AH55" s="124"/>
      <c r="AI55" s="124"/>
      <c r="AJ55" s="124"/>
      <c r="AK55" s="124"/>
      <c r="AL55" s="124"/>
      <c r="AM55" s="124"/>
      <c r="AN55" s="124"/>
      <c r="AO55" s="124"/>
      <c r="AP55" s="124"/>
      <c r="AQ55" s="124"/>
      <c r="AR55" s="124"/>
      <c r="AS55" s="124"/>
      <c r="AT55" s="124"/>
      <c r="AU55" s="124"/>
      <c r="AV55" s="124"/>
      <c r="AW55" s="124"/>
      <c r="AX55" s="124"/>
      <c r="AY55" s="124"/>
      <c r="AZ55" s="124"/>
      <c r="BA55" s="124"/>
      <c r="BB55" s="124"/>
      <c r="BC55" s="124"/>
      <c r="BD55" s="124"/>
      <c r="BE55" s="124"/>
      <c r="BF55" s="124"/>
      <c r="BG55" s="124"/>
      <c r="BH55" s="124"/>
      <c r="BI55" s="124"/>
      <c r="BJ55" s="124"/>
      <c r="BK55" s="124"/>
      <c r="BL55" s="124"/>
      <c r="BM55" s="124"/>
      <c r="BN55" s="124"/>
      <c r="BO55" s="124"/>
      <c r="BP55" s="124"/>
      <c r="BQ55" s="124"/>
      <c r="BR55" s="124"/>
      <c r="BS55" s="124"/>
      <c r="BT55" s="124"/>
      <c r="BU55" s="124"/>
      <c r="BV55" s="124"/>
      <c r="BW55" s="124"/>
      <c r="BX55" s="124"/>
      <c r="BY55" s="124"/>
      <c r="BZ55" s="124"/>
      <c r="CA55" s="124"/>
      <c r="CB55" s="124"/>
    </row>
    <row r="56" spans="1:80">
      <c r="A56" s="124"/>
      <c r="B56" s="124"/>
      <c r="C56" s="124"/>
      <c r="D56" s="124"/>
      <c r="E56" s="124"/>
      <c r="F56" s="124"/>
      <c r="G56" s="124"/>
      <c r="H56" s="124"/>
      <c r="I56" s="124"/>
      <c r="J56" s="124"/>
      <c r="K56" s="124"/>
      <c r="L56" s="124"/>
      <c r="M56" s="124"/>
      <c r="N56" s="124"/>
      <c r="O56" s="124"/>
      <c r="P56" s="124"/>
      <c r="Q56" s="271"/>
      <c r="R56" s="271"/>
      <c r="S56" s="124"/>
      <c r="T56" s="124"/>
      <c r="U56" s="124"/>
      <c r="V56" s="124"/>
      <c r="W56" s="124"/>
      <c r="X56" s="124"/>
      <c r="Y56" s="124"/>
      <c r="Z56" s="124"/>
      <c r="AA56" s="124"/>
      <c r="AB56" s="124"/>
      <c r="AC56" s="124"/>
      <c r="AD56" s="124"/>
      <c r="AE56" s="124"/>
      <c r="AF56" s="124"/>
      <c r="AG56" s="124"/>
      <c r="AH56" s="124"/>
      <c r="AI56" s="124"/>
      <c r="AJ56" s="124"/>
      <c r="AK56" s="124"/>
      <c r="AL56" s="124"/>
      <c r="AM56" s="124"/>
      <c r="AN56" s="124"/>
      <c r="AO56" s="124"/>
      <c r="AP56" s="124"/>
      <c r="AQ56" s="124"/>
      <c r="AR56" s="124"/>
      <c r="AS56" s="124"/>
      <c r="AT56" s="124"/>
      <c r="AU56" s="124"/>
      <c r="AV56" s="124"/>
      <c r="AW56" s="124"/>
      <c r="AX56" s="124"/>
      <c r="AY56" s="124"/>
      <c r="AZ56" s="124"/>
      <c r="BA56" s="124"/>
      <c r="BB56" s="124"/>
      <c r="BC56" s="124"/>
      <c r="BD56" s="124"/>
      <c r="BE56" s="124"/>
      <c r="BF56" s="124"/>
      <c r="BG56" s="124"/>
      <c r="BH56" s="124"/>
      <c r="BI56" s="124"/>
      <c r="BJ56" s="124"/>
      <c r="BK56" s="124"/>
      <c r="BL56" s="124"/>
      <c r="BM56" s="124"/>
      <c r="BN56" s="124"/>
      <c r="BO56" s="124"/>
      <c r="BP56" s="124"/>
      <c r="BQ56" s="124"/>
      <c r="BR56" s="124"/>
      <c r="BS56" s="124"/>
      <c r="BT56" s="124"/>
      <c r="BU56" s="124"/>
      <c r="BV56" s="124"/>
      <c r="BW56" s="124"/>
      <c r="BX56" s="124"/>
      <c r="BY56" s="124"/>
      <c r="BZ56" s="124"/>
      <c r="CA56" s="124"/>
      <c r="CB56" s="124"/>
    </row>
    <row r="57" spans="1:80">
      <c r="A57" s="124"/>
      <c r="B57" s="124"/>
      <c r="C57" s="124"/>
      <c r="D57" s="124"/>
      <c r="E57" s="124"/>
      <c r="F57" s="124"/>
      <c r="G57" s="124"/>
      <c r="H57" s="124"/>
      <c r="I57" s="124"/>
      <c r="J57" s="124"/>
      <c r="K57" s="124"/>
      <c r="L57" s="124"/>
      <c r="M57" s="124"/>
      <c r="N57" s="124"/>
      <c r="O57" s="124"/>
      <c r="P57" s="124"/>
      <c r="Q57" s="271"/>
      <c r="R57" s="271"/>
      <c r="S57" s="124"/>
      <c r="T57" s="124"/>
      <c r="U57" s="124"/>
      <c r="V57" s="124"/>
      <c r="W57" s="124"/>
      <c r="X57" s="124"/>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4"/>
      <c r="BJ57" s="124"/>
      <c r="BK57" s="124"/>
      <c r="BL57" s="124"/>
      <c r="BM57" s="124"/>
      <c r="BN57" s="124"/>
      <c r="BO57" s="124"/>
      <c r="BP57" s="124"/>
      <c r="BQ57" s="124"/>
      <c r="BR57" s="124"/>
      <c r="BS57" s="124"/>
      <c r="BT57" s="124"/>
      <c r="BU57" s="124"/>
      <c r="BV57" s="124"/>
      <c r="BW57" s="124"/>
      <c r="BX57" s="124"/>
      <c r="BY57" s="124"/>
      <c r="BZ57" s="124"/>
      <c r="CA57" s="124"/>
      <c r="CB57" s="124"/>
    </row>
    <row r="58" spans="1:80">
      <c r="A58" s="124"/>
      <c r="B58" s="124"/>
      <c r="C58" s="124"/>
      <c r="D58" s="124"/>
      <c r="E58" s="124"/>
      <c r="F58" s="124"/>
      <c r="G58" s="124"/>
      <c r="H58" s="124"/>
      <c r="I58" s="124"/>
      <c r="J58" s="124"/>
      <c r="K58" s="124"/>
      <c r="L58" s="124"/>
      <c r="M58" s="124"/>
      <c r="N58" s="124"/>
      <c r="O58" s="124"/>
      <c r="P58" s="124"/>
      <c r="Q58" s="271"/>
      <c r="R58" s="271"/>
      <c r="S58" s="124"/>
      <c r="T58" s="124"/>
      <c r="U58" s="124"/>
      <c r="V58" s="124"/>
      <c r="W58" s="124"/>
      <c r="X58" s="124"/>
      <c r="Y58" s="124"/>
      <c r="Z58" s="124"/>
      <c r="AA58" s="124"/>
      <c r="AB58" s="124"/>
      <c r="AC58" s="124"/>
      <c r="AD58" s="124"/>
      <c r="AE58" s="124"/>
      <c r="AF58" s="124"/>
      <c r="AG58" s="124"/>
      <c r="AH58" s="124"/>
      <c r="AI58" s="124"/>
      <c r="AJ58" s="124"/>
      <c r="AK58" s="124"/>
      <c r="AL58" s="124"/>
      <c r="AM58" s="124"/>
      <c r="AN58" s="124"/>
      <c r="AO58" s="124"/>
      <c r="AP58" s="124"/>
      <c r="AQ58" s="124"/>
      <c r="AR58" s="124"/>
      <c r="AS58" s="124"/>
      <c r="AT58" s="124"/>
      <c r="AU58" s="124"/>
      <c r="AV58" s="124"/>
      <c r="AW58" s="124"/>
      <c r="AX58" s="124"/>
      <c r="AY58" s="124"/>
      <c r="AZ58" s="124"/>
      <c r="BA58" s="124"/>
      <c r="BB58" s="124"/>
      <c r="BC58" s="124"/>
      <c r="BD58" s="124"/>
      <c r="BE58" s="124"/>
      <c r="BF58" s="124"/>
      <c r="BG58" s="124"/>
      <c r="BH58" s="124"/>
      <c r="BI58" s="124"/>
      <c r="BJ58" s="124"/>
      <c r="BK58" s="124"/>
      <c r="BL58" s="124"/>
      <c r="BM58" s="124"/>
      <c r="BN58" s="124"/>
      <c r="BO58" s="124"/>
      <c r="BP58" s="124"/>
      <c r="BQ58" s="124"/>
      <c r="BR58" s="124"/>
      <c r="BS58" s="124"/>
      <c r="BT58" s="124"/>
      <c r="BU58" s="124"/>
      <c r="BV58" s="124"/>
      <c r="BW58" s="124"/>
      <c r="BX58" s="124"/>
      <c r="BY58" s="124"/>
      <c r="BZ58" s="124"/>
      <c r="CA58" s="124"/>
      <c r="CB58" s="124"/>
    </row>
    <row r="59" spans="1:80">
      <c r="A59" s="124"/>
      <c r="B59" s="124"/>
      <c r="C59" s="124"/>
      <c r="D59" s="124"/>
      <c r="E59" s="124"/>
      <c r="F59" s="124"/>
      <c r="G59" s="124"/>
      <c r="H59" s="124"/>
      <c r="I59" s="124"/>
      <c r="J59" s="124"/>
      <c r="K59" s="124"/>
      <c r="L59" s="124"/>
      <c r="M59" s="124"/>
      <c r="N59" s="124"/>
      <c r="O59" s="124"/>
      <c r="P59" s="124"/>
      <c r="Q59" s="271"/>
      <c r="R59" s="271"/>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4"/>
      <c r="AY59" s="124"/>
      <c r="AZ59" s="124"/>
      <c r="BA59" s="124"/>
      <c r="BB59" s="124"/>
      <c r="BC59" s="124"/>
      <c r="BD59" s="124"/>
      <c r="BE59" s="124"/>
      <c r="BF59" s="124"/>
      <c r="BG59" s="124"/>
      <c r="BH59" s="124"/>
      <c r="BI59" s="124"/>
      <c r="BJ59" s="124"/>
      <c r="BK59" s="124"/>
      <c r="BL59" s="124"/>
      <c r="BM59" s="124"/>
      <c r="BN59" s="124"/>
      <c r="BO59" s="124"/>
      <c r="BP59" s="124"/>
      <c r="BQ59" s="124"/>
      <c r="BR59" s="124"/>
      <c r="BS59" s="124"/>
      <c r="BT59" s="124"/>
      <c r="BU59" s="124"/>
      <c r="BV59" s="124"/>
      <c r="BW59" s="124"/>
      <c r="BX59" s="124"/>
      <c r="BY59" s="124"/>
      <c r="BZ59" s="124"/>
      <c r="CA59" s="124"/>
      <c r="CB59" s="124"/>
    </row>
    <row r="60" spans="1:80">
      <c r="A60" s="124"/>
      <c r="B60" s="124"/>
      <c r="C60" s="124"/>
      <c r="D60" s="124"/>
      <c r="E60" s="124"/>
      <c r="F60" s="124"/>
      <c r="G60" s="124"/>
      <c r="H60" s="124"/>
      <c r="I60" s="124"/>
      <c r="J60" s="124"/>
      <c r="K60" s="124"/>
      <c r="L60" s="124"/>
      <c r="M60" s="124"/>
      <c r="N60" s="124"/>
      <c r="O60" s="124"/>
      <c r="P60" s="124"/>
      <c r="Q60" s="271"/>
      <c r="R60" s="271"/>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4"/>
      <c r="BC60" s="124"/>
      <c r="BD60" s="124"/>
      <c r="BE60" s="124"/>
      <c r="BF60" s="124"/>
      <c r="BG60" s="124"/>
      <c r="BH60" s="124"/>
      <c r="BI60" s="124"/>
      <c r="BJ60" s="124"/>
      <c r="BK60" s="124"/>
      <c r="BL60" s="124"/>
      <c r="BM60" s="124"/>
      <c r="BN60" s="124"/>
      <c r="BO60" s="124"/>
      <c r="BP60" s="124"/>
      <c r="BQ60" s="124"/>
      <c r="BR60" s="124"/>
      <c r="BS60" s="124"/>
      <c r="BT60" s="124"/>
      <c r="BU60" s="124"/>
      <c r="BV60" s="124"/>
      <c r="BW60" s="124"/>
      <c r="BX60" s="124"/>
      <c r="BY60" s="124"/>
      <c r="BZ60" s="124"/>
      <c r="CA60" s="124"/>
      <c r="CB60" s="124"/>
    </row>
    <row r="61" spans="1:80">
      <c r="A61" s="124"/>
      <c r="B61" s="124"/>
      <c r="C61" s="124"/>
      <c r="D61" s="124"/>
      <c r="E61" s="124"/>
      <c r="F61" s="124"/>
      <c r="G61" s="124"/>
      <c r="H61" s="124"/>
      <c r="I61" s="124"/>
      <c r="J61" s="124"/>
      <c r="K61" s="124"/>
      <c r="L61" s="124"/>
      <c r="M61" s="124"/>
      <c r="N61" s="124"/>
      <c r="O61" s="124"/>
      <c r="P61" s="124"/>
      <c r="Q61" s="271"/>
      <c r="R61" s="271"/>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c r="BM61" s="124"/>
      <c r="BN61" s="124"/>
      <c r="BO61" s="124"/>
      <c r="BP61" s="124"/>
      <c r="BQ61" s="124"/>
      <c r="BR61" s="124"/>
      <c r="BS61" s="124"/>
      <c r="BT61" s="124"/>
      <c r="BU61" s="124"/>
      <c r="BV61" s="124"/>
      <c r="BW61" s="124"/>
      <c r="BX61" s="124"/>
      <c r="BY61" s="124"/>
      <c r="BZ61" s="124"/>
      <c r="CA61" s="124"/>
      <c r="CB61" s="124"/>
    </row>
    <row r="62" spans="1:80">
      <c r="A62" s="124"/>
      <c r="B62" s="124"/>
      <c r="C62" s="124"/>
      <c r="D62" s="124"/>
      <c r="E62" s="124"/>
      <c r="F62" s="124"/>
      <c r="G62" s="124"/>
      <c r="H62" s="124"/>
      <c r="I62" s="124"/>
      <c r="J62" s="124"/>
      <c r="K62" s="124"/>
      <c r="L62" s="124"/>
      <c r="M62" s="124"/>
      <c r="N62" s="124"/>
      <c r="O62" s="124"/>
      <c r="P62" s="124"/>
      <c r="Q62" s="271"/>
      <c r="R62" s="271"/>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c r="BM62" s="124"/>
      <c r="BN62" s="124"/>
      <c r="BO62" s="124"/>
      <c r="BP62" s="124"/>
      <c r="BQ62" s="124"/>
      <c r="BR62" s="124"/>
      <c r="BS62" s="124"/>
      <c r="BT62" s="124"/>
      <c r="BU62" s="124"/>
      <c r="BV62" s="124"/>
      <c r="BW62" s="124"/>
      <c r="BX62" s="124"/>
      <c r="BY62" s="124"/>
      <c r="BZ62" s="124"/>
      <c r="CA62" s="124"/>
      <c r="CB62" s="124"/>
    </row>
    <row r="63" spans="1:80">
      <c r="A63" s="124"/>
      <c r="B63" s="124"/>
      <c r="C63" s="124"/>
      <c r="D63" s="124"/>
      <c r="E63" s="124"/>
      <c r="F63" s="124"/>
      <c r="G63" s="124"/>
      <c r="H63" s="124"/>
      <c r="I63" s="124"/>
      <c r="J63" s="124"/>
      <c r="K63" s="124"/>
      <c r="L63" s="124"/>
      <c r="M63" s="124"/>
      <c r="N63" s="124"/>
      <c r="O63" s="124"/>
      <c r="P63" s="124"/>
      <c r="Q63" s="271"/>
      <c r="R63" s="271"/>
      <c r="S63" s="124"/>
      <c r="T63" s="124"/>
      <c r="U63" s="124"/>
      <c r="V63" s="124"/>
      <c r="W63" s="124"/>
      <c r="X63" s="124"/>
      <c r="Y63" s="124"/>
      <c r="Z63" s="124"/>
      <c r="AA63" s="124"/>
      <c r="AB63" s="124"/>
      <c r="AC63" s="124"/>
      <c r="AD63" s="124"/>
      <c r="AE63" s="124"/>
      <c r="AF63" s="124"/>
      <c r="AG63" s="124"/>
      <c r="AH63" s="124"/>
      <c r="AI63" s="124"/>
      <c r="AJ63" s="124"/>
      <c r="AK63" s="124"/>
      <c r="AL63" s="124"/>
      <c r="AM63" s="124"/>
      <c r="AN63" s="124"/>
      <c r="AO63" s="124"/>
      <c r="AP63" s="124"/>
      <c r="AQ63" s="124"/>
      <c r="AR63" s="124"/>
      <c r="AS63" s="124"/>
      <c r="AT63" s="124"/>
      <c r="AU63" s="124"/>
      <c r="AV63" s="124"/>
      <c r="AW63" s="124"/>
      <c r="AX63" s="124"/>
      <c r="AY63" s="124"/>
      <c r="AZ63" s="124"/>
      <c r="BA63" s="124"/>
      <c r="BB63" s="124"/>
      <c r="BC63" s="124"/>
      <c r="BD63" s="124"/>
      <c r="BE63" s="124"/>
      <c r="BF63" s="124"/>
      <c r="BG63" s="124"/>
      <c r="BH63" s="124"/>
      <c r="BI63" s="124"/>
      <c r="BJ63" s="124"/>
      <c r="BK63" s="124"/>
      <c r="BL63" s="124"/>
      <c r="BM63" s="124"/>
      <c r="BN63" s="124"/>
      <c r="BO63" s="124"/>
      <c r="BP63" s="124"/>
      <c r="BQ63" s="124"/>
      <c r="BR63" s="124"/>
      <c r="BS63" s="124"/>
      <c r="BT63" s="124"/>
      <c r="BU63" s="124"/>
      <c r="BV63" s="124"/>
      <c r="BW63" s="124"/>
      <c r="BX63" s="124"/>
      <c r="BY63" s="124"/>
      <c r="BZ63" s="124"/>
      <c r="CA63" s="124"/>
      <c r="CB63" s="124"/>
    </row>
    <row r="64" spans="1:80">
      <c r="A64" s="124"/>
      <c r="B64" s="124"/>
      <c r="C64" s="124"/>
      <c r="D64" s="124"/>
      <c r="E64" s="124"/>
      <c r="F64" s="124"/>
      <c r="G64" s="124"/>
      <c r="H64" s="124"/>
      <c r="I64" s="124"/>
      <c r="J64" s="124"/>
      <c r="K64" s="124"/>
      <c r="L64" s="124"/>
      <c r="M64" s="124"/>
      <c r="N64" s="124"/>
      <c r="O64" s="124"/>
      <c r="P64" s="124"/>
      <c r="Q64" s="271"/>
      <c r="R64" s="271"/>
      <c r="S64" s="124"/>
      <c r="T64" s="124"/>
      <c r="U64" s="124"/>
      <c r="V64" s="124"/>
      <c r="W64" s="124"/>
      <c r="X64" s="124"/>
      <c r="Y64" s="124"/>
      <c r="Z64" s="124"/>
      <c r="AA64" s="124"/>
      <c r="AB64" s="124"/>
      <c r="AC64" s="124"/>
      <c r="AD64" s="124"/>
      <c r="AE64" s="124"/>
      <c r="AF64" s="124"/>
      <c r="AG64" s="124"/>
      <c r="AH64" s="124"/>
      <c r="AI64" s="124"/>
      <c r="AJ64" s="124"/>
      <c r="AK64" s="124"/>
      <c r="AL64" s="124"/>
      <c r="AM64" s="124"/>
      <c r="AN64" s="124"/>
      <c r="AO64" s="124"/>
      <c r="AP64" s="124"/>
      <c r="AQ64" s="124"/>
      <c r="AR64" s="124"/>
      <c r="AS64" s="124"/>
      <c r="AT64" s="124"/>
      <c r="AU64" s="124"/>
      <c r="AV64" s="124"/>
      <c r="AW64" s="124"/>
      <c r="AX64" s="124"/>
      <c r="AY64" s="124"/>
      <c r="AZ64" s="124"/>
      <c r="BA64" s="124"/>
      <c r="BB64" s="124"/>
      <c r="BC64" s="124"/>
      <c r="BD64" s="124"/>
      <c r="BE64" s="124"/>
      <c r="BF64" s="124"/>
      <c r="BG64" s="124"/>
      <c r="BH64" s="124"/>
      <c r="BI64" s="124"/>
      <c r="BJ64" s="124"/>
      <c r="BK64" s="124"/>
      <c r="BL64" s="124"/>
      <c r="BM64" s="124"/>
      <c r="BN64" s="124"/>
      <c r="BO64" s="124"/>
      <c r="BP64" s="124"/>
      <c r="BQ64" s="124"/>
      <c r="BR64" s="124"/>
      <c r="BS64" s="124"/>
      <c r="BT64" s="124"/>
      <c r="BU64" s="124"/>
      <c r="BV64" s="124"/>
      <c r="BW64" s="124"/>
      <c r="BX64" s="124"/>
      <c r="BY64" s="124"/>
      <c r="BZ64" s="124"/>
      <c r="CA64" s="124"/>
      <c r="CB64" s="124"/>
    </row>
  </sheetData>
  <sheetProtection algorithmName="SHA-512" hashValue="gedXcFuZHffA6/YEEfw6tc2NY6daY3J51UFpxBVCTsiWekSXyVCO8+yIkm5v+HkegYmkqA3EtD0YuHf7S9GM4Q==" saltValue="bLPvlqgn8hfwMix3HWQ0qg==" spinCount="100000" sheet="1" objects="1" scenarios="1"/>
  <hyperlinks>
    <hyperlink ref="H4" location="Abandonment!A1" display="Abandon"/>
    <hyperlink ref="N4" location="'Federal Tax'!A1" display="Federal"/>
    <hyperlink ref="M4" location="'Provincial Tax'!A1" display="Provincial"/>
    <hyperlink ref="L4" location="Royalty!A1" display="Royalty"/>
    <hyperlink ref="I4" location="Operations!A1" display="Operating"/>
    <hyperlink ref="G4" location="Development!A1" display="Capital"/>
    <hyperlink ref="F4" location="Exploration!A1" display="Exploration"/>
    <hyperlink ref="G1" location="Guide" display="Guide"/>
    <hyperlink ref="G2" location="Input" display="Input"/>
  </hyperlinks>
  <pageMargins left="0.7" right="0.7" top="0.75" bottom="0.75" header="0.3" footer="0.3"/>
  <pageSetup paperSize="9" scale="52" fitToHeight="0" orientation="landscape" r:id="rId1"/>
  <headerFooter>
    <oddFooter>&amp;LNova Scotia Exploration Economics Model&amp;Rwww.indeva.com</oddFooter>
  </headerFooter>
  <colBreaks count="1" manualBreakCount="1">
    <brk id="20"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3" tint="0.79998168889431442"/>
    <pageSetUpPr fitToPage="1"/>
  </sheetPr>
  <dimension ref="A1:CH50"/>
  <sheetViews>
    <sheetView showZeros="0" zoomScale="70" zoomScaleNormal="70" workbookViewId="0">
      <pane xSplit="1" ySplit="9" topLeftCell="B10" activePane="bottomRight" state="frozen"/>
      <selection activeCell="D43" sqref="D43"/>
      <selection pane="topRight" activeCell="D43" sqref="D43"/>
      <selection pane="bottomLeft" activeCell="D43" sqref="D43"/>
      <selection pane="bottomRight" activeCell="B30" sqref="B30"/>
    </sheetView>
  </sheetViews>
  <sheetFormatPr defaultRowHeight="14.5"/>
  <cols>
    <col min="1" max="1" width="16.453125" customWidth="1"/>
    <col min="2" max="2" width="13.7265625" customWidth="1"/>
    <col min="3" max="3" width="12.26953125" bestFit="1" customWidth="1"/>
    <col min="4" max="4" width="12.26953125" customWidth="1"/>
    <col min="5" max="6" width="11.54296875" bestFit="1" customWidth="1"/>
    <col min="7" max="7" width="12.1796875" customWidth="1"/>
    <col min="8" max="8" width="10.54296875" customWidth="1"/>
    <col min="9" max="9" width="11.1796875" customWidth="1"/>
    <col min="10" max="10" width="11.7265625" customWidth="1"/>
    <col min="11" max="11" width="14" bestFit="1" customWidth="1"/>
    <col min="12" max="12" width="11.453125" customWidth="1"/>
    <col min="13" max="14" width="11.26953125" bestFit="1" customWidth="1"/>
    <col min="15" max="15" width="11.54296875" bestFit="1" customWidth="1"/>
    <col min="16" max="16" width="14" bestFit="1" customWidth="1"/>
    <col min="29" max="30" width="9.26953125" bestFit="1" customWidth="1"/>
    <col min="32" max="32" width="12.1796875" customWidth="1"/>
    <col min="33" max="33" width="10" bestFit="1" customWidth="1"/>
    <col min="34" max="34" width="84.453125" bestFit="1" customWidth="1"/>
    <col min="35" max="35" width="45.26953125" bestFit="1" customWidth="1"/>
    <col min="36" max="36" width="34.54296875" bestFit="1" customWidth="1"/>
    <col min="37" max="37" width="26.7265625" bestFit="1" customWidth="1"/>
    <col min="38" max="38" width="22" bestFit="1" customWidth="1"/>
    <col min="39" max="39" width="18.54296875" bestFit="1" customWidth="1"/>
    <col min="40" max="40" width="15.81640625" bestFit="1" customWidth="1"/>
    <col min="41" max="58" width="14.81640625" bestFit="1" customWidth="1"/>
    <col min="59" max="65" width="9.453125" bestFit="1" customWidth="1"/>
    <col min="66" max="66" width="9.54296875" bestFit="1" customWidth="1"/>
    <col min="67" max="67" width="9.453125" bestFit="1" customWidth="1"/>
    <col min="68" max="75" width="9.54296875" bestFit="1" customWidth="1"/>
    <col min="76" max="85" width="10" bestFit="1" customWidth="1"/>
    <col min="86" max="86" width="10.7265625" bestFit="1" customWidth="1"/>
  </cols>
  <sheetData>
    <row r="1" spans="1:86" ht="18.5">
      <c r="A1" s="142" t="str">
        <f>Input!B8</f>
        <v>Prospect X</v>
      </c>
      <c r="B1" s="261" t="str">
        <f>"Fully Risked"&amp;" Project Cash Flow ($Millions)"</f>
        <v>Fully Risked Project Cash Flow ($Millions)</v>
      </c>
      <c r="C1" s="93"/>
      <c r="D1" s="93"/>
      <c r="E1" s="93"/>
      <c r="F1" s="93"/>
      <c r="G1" s="143" t="s">
        <v>768</v>
      </c>
      <c r="H1" s="93"/>
      <c r="I1" s="93"/>
      <c r="J1" s="93"/>
      <c r="K1" s="93"/>
      <c r="L1" s="93"/>
      <c r="M1" s="93"/>
      <c r="N1" s="93"/>
      <c r="O1" s="93"/>
      <c r="P1" s="93"/>
      <c r="Q1" s="93"/>
      <c r="R1" s="93"/>
      <c r="S1" s="496"/>
      <c r="T1" s="496"/>
      <c r="U1" s="496"/>
      <c r="V1" s="496"/>
      <c r="W1" s="496"/>
      <c r="X1" s="496"/>
      <c r="Y1" s="496"/>
      <c r="Z1" s="496"/>
      <c r="AA1" s="496"/>
      <c r="AB1" s="496"/>
      <c r="AC1" s="497"/>
      <c r="AD1" s="497"/>
      <c r="AE1" s="497"/>
      <c r="AF1" s="507" t="s">
        <v>159</v>
      </c>
      <c r="AG1" s="508">
        <f ca="1">DATE(AG2,1,1)-Input!H13</f>
        <v>365</v>
      </c>
      <c r="AH1" s="507">
        <f ca="1">(DATE(AG2,1,1)-DATE(AG2-1,1,1))</f>
        <v>365</v>
      </c>
      <c r="AI1" s="507">
        <f ca="1">AG1/AH1</f>
        <v>1</v>
      </c>
      <c r="AJ1" s="507" t="s">
        <v>420</v>
      </c>
      <c r="AK1" s="507">
        <f ca="1">IF(OR(Input!H13&lt;Input!B10,NOT(YEAR(Input!B10)=YEAR(Input!H13))),1,(DATE(AG2,1,1)-Input!H13)/(DATE(AG2,1,1)-Input!B10))</f>
        <v>1</v>
      </c>
      <c r="AL1" s="507"/>
      <c r="AM1" s="507"/>
      <c r="AN1" s="507"/>
      <c r="AO1" s="507"/>
      <c r="AP1" s="507"/>
      <c r="AQ1" s="507"/>
      <c r="AR1" s="507"/>
      <c r="AS1" s="507"/>
      <c r="AT1" s="507"/>
      <c r="AU1" s="507"/>
      <c r="AV1" s="507"/>
      <c r="AW1" s="507"/>
      <c r="AX1" s="507"/>
      <c r="AY1" s="507"/>
      <c r="AZ1" s="507"/>
      <c r="BA1" s="507"/>
      <c r="BB1" s="507"/>
      <c r="BC1" s="507"/>
      <c r="BD1" s="507"/>
      <c r="BE1" s="507"/>
      <c r="BF1" s="507"/>
      <c r="BG1" s="507"/>
      <c r="BH1" s="507"/>
      <c r="BI1" s="507"/>
      <c r="BJ1" s="507"/>
      <c r="BK1" s="507"/>
      <c r="BL1" s="507"/>
      <c r="BM1" s="507"/>
      <c r="BN1" s="507"/>
      <c r="BO1" s="507"/>
      <c r="BP1" s="507"/>
      <c r="BQ1" s="507"/>
      <c r="BR1" s="507"/>
      <c r="BS1" s="507"/>
      <c r="BT1" s="507"/>
      <c r="BU1" s="507"/>
      <c r="BV1" s="507"/>
      <c r="BW1" s="507"/>
      <c r="BX1" s="507"/>
      <c r="BY1" s="507"/>
      <c r="BZ1" s="507"/>
      <c r="CA1" s="507"/>
      <c r="CB1" s="507"/>
      <c r="CC1" s="507"/>
      <c r="CD1" s="507"/>
      <c r="CE1" s="507"/>
      <c r="CF1" s="507"/>
      <c r="CG1" s="507"/>
      <c r="CH1" s="507"/>
    </row>
    <row r="2" spans="1:86" ht="18.5">
      <c r="A2" s="93"/>
      <c r="B2" s="93"/>
      <c r="C2" s="93"/>
      <c r="D2" s="93"/>
      <c r="E2" s="93"/>
      <c r="F2" s="93"/>
      <c r="G2" s="143" t="s">
        <v>143</v>
      </c>
      <c r="H2" s="93"/>
      <c r="I2" s="93"/>
      <c r="J2" s="93"/>
      <c r="K2" s="93"/>
      <c r="L2" s="93"/>
      <c r="M2" s="93"/>
      <c r="N2" s="93"/>
      <c r="O2" s="93"/>
      <c r="P2" s="93"/>
      <c r="Q2" s="93"/>
      <c r="R2" s="93"/>
      <c r="S2" s="496"/>
      <c r="T2" s="496"/>
      <c r="U2" s="496"/>
      <c r="V2" s="496"/>
      <c r="W2" s="496"/>
      <c r="X2" s="496"/>
      <c r="Y2" s="496"/>
      <c r="Z2" s="496"/>
      <c r="AA2" s="496"/>
      <c r="AB2" s="496"/>
      <c r="AC2" s="497"/>
      <c r="AD2" s="497"/>
      <c r="AE2" s="497"/>
      <c r="AF2" s="507" t="s">
        <v>421</v>
      </c>
      <c r="AG2" s="507">
        <f ca="1">YEAR(Input!H13)+1</f>
        <v>2016</v>
      </c>
      <c r="AH2" s="507"/>
      <c r="AI2" s="507"/>
      <c r="AJ2" s="507" t="s">
        <v>422</v>
      </c>
      <c r="AK2" s="507"/>
      <c r="AL2" s="509"/>
      <c r="AM2" s="507"/>
      <c r="AN2" s="507"/>
      <c r="AO2" s="507">
        <f t="array" ref="AO2:CB2" ca="1">TRANSPOSE($AF$10:$AF$50)</f>
        <v>0.95346258924559224</v>
      </c>
      <c r="AP2" s="507">
        <f ca="1"/>
        <v>0.86678417204144742</v>
      </c>
      <c r="AQ2" s="507">
        <f ca="1"/>
        <v>0.78798561094677033</v>
      </c>
      <c r="AR2" s="507">
        <f ca="1"/>
        <v>0.71635055540615489</v>
      </c>
      <c r="AS2" s="507">
        <f ca="1"/>
        <v>0.65122777764195883</v>
      </c>
      <c r="AT2" s="507">
        <f ca="1"/>
        <v>0.59202525240178083</v>
      </c>
      <c r="AU2" s="507">
        <f ca="1"/>
        <v>0.53820477491070973</v>
      </c>
      <c r="AV2" s="507">
        <f ca="1"/>
        <v>0.48927706810064514</v>
      </c>
      <c r="AW2" s="507">
        <f ca="1"/>
        <v>0.44479733463695009</v>
      </c>
      <c r="AX2" s="507">
        <f ca="1"/>
        <v>0.4043612133063183</v>
      </c>
      <c r="AY2" s="507">
        <f ca="1"/>
        <v>0.36760110300574383</v>
      </c>
      <c r="AZ2" s="507">
        <f ca="1"/>
        <v>0.33418282091431251</v>
      </c>
      <c r="BA2" s="507">
        <f ca="1"/>
        <v>0.30380256446755688</v>
      </c>
      <c r="BB2" s="507">
        <f ca="1"/>
        <v>0.27618414951596076</v>
      </c>
      <c r="BC2" s="507">
        <f ca="1"/>
        <v>0.25107649955996431</v>
      </c>
      <c r="BD2" s="507">
        <f ca="1"/>
        <v>0.22825136323633116</v>
      </c>
      <c r="BE2" s="507">
        <f ca="1"/>
        <v>0.20750123930575562</v>
      </c>
      <c r="BF2" s="507">
        <f ca="1"/>
        <v>0.18863749027795962</v>
      </c>
      <c r="BG2" s="507">
        <f ca="1"/>
        <v>0.17148862752541782</v>
      </c>
      <c r="BH2" s="507">
        <f ca="1"/>
        <v>0.15589875229583436</v>
      </c>
      <c r="BI2" s="507">
        <f ca="1"/>
        <v>0.14172613845075852</v>
      </c>
      <c r="BJ2" s="507">
        <f ca="1"/>
        <v>0.1288419440461441</v>
      </c>
      <c r="BK2" s="507">
        <f ca="1"/>
        <v>0.11712904004194918</v>
      </c>
      <c r="BL2" s="507">
        <f ca="1"/>
        <v>0.10648094549268106</v>
      </c>
      <c r="BM2" s="507">
        <f ca="1"/>
        <v>9.6800859538800965E-2</v>
      </c>
      <c r="BN2" s="507">
        <f ca="1"/>
        <v>8.8000781398909919E-2</v>
      </c>
      <c r="BO2" s="507">
        <f ca="1"/>
        <v>8.0000710362645402E-2</v>
      </c>
      <c r="BP2" s="507">
        <f ca="1"/>
        <v>1</v>
      </c>
      <c r="BQ2" s="507">
        <f ca="1"/>
        <v>1</v>
      </c>
      <c r="BR2" s="507">
        <f ca="1"/>
        <v>1</v>
      </c>
      <c r="BS2" s="507">
        <f ca="1"/>
        <v>1</v>
      </c>
      <c r="BT2" s="507">
        <f ca="1"/>
        <v>1</v>
      </c>
      <c r="BU2" s="507">
        <v>0</v>
      </c>
      <c r="BV2" s="507">
        <v>0</v>
      </c>
      <c r="BW2" s="507">
        <v>0</v>
      </c>
      <c r="BX2" s="507">
        <v>0</v>
      </c>
      <c r="BY2" s="507">
        <v>0</v>
      </c>
      <c r="BZ2" s="507">
        <v>0</v>
      </c>
      <c r="CA2" s="507">
        <v>0</v>
      </c>
      <c r="CB2" s="507">
        <v>0</v>
      </c>
      <c r="CC2" s="507"/>
      <c r="CD2" s="507"/>
      <c r="CE2" s="507"/>
      <c r="CF2" s="507"/>
      <c r="CG2" s="507"/>
      <c r="CH2" s="507"/>
    </row>
    <row r="3" spans="1:86">
      <c r="A3" s="93"/>
      <c r="B3" s="93"/>
      <c r="C3" s="93"/>
      <c r="D3" s="93"/>
      <c r="E3" s="93"/>
      <c r="F3" s="93"/>
      <c r="G3" s="93"/>
      <c r="H3" s="93"/>
      <c r="I3" s="93"/>
      <c r="J3" s="93"/>
      <c r="K3" s="93"/>
      <c r="L3" s="93"/>
      <c r="M3" s="93"/>
      <c r="N3" s="93"/>
      <c r="O3" s="93"/>
      <c r="P3" s="93"/>
      <c r="Q3" s="93"/>
      <c r="R3" s="93"/>
      <c r="S3" s="496"/>
      <c r="T3" s="496"/>
      <c r="U3" s="496"/>
      <c r="V3" s="496"/>
      <c r="W3" s="496"/>
      <c r="X3" s="496"/>
      <c r="Y3" s="496"/>
      <c r="Z3" s="496"/>
      <c r="AA3" s="496"/>
      <c r="AB3" s="496"/>
      <c r="AC3" s="497"/>
      <c r="AD3" s="497"/>
      <c r="AE3" s="497"/>
      <c r="AF3" s="507"/>
      <c r="AG3" s="507"/>
      <c r="AH3" s="507"/>
      <c r="AI3" s="507"/>
      <c r="AJ3" s="507"/>
      <c r="AK3" s="507"/>
      <c r="AL3" s="509" t="s">
        <v>423</v>
      </c>
      <c r="AM3" s="507"/>
      <c r="AN3" s="507"/>
      <c r="AO3" s="507">
        <f t="array" aca="1" ref="AO3:CB3" ca="1">TRANSPOSE($AG$10:$AG$50)</f>
        <v>0.95346258924559224</v>
      </c>
      <c r="AP3" s="507">
        <f ca="1"/>
        <v>0.86678417204144742</v>
      </c>
      <c r="AQ3" s="507">
        <f ca="1"/>
        <v>0.78798561094677033</v>
      </c>
      <c r="AR3" s="507">
        <f ca="1"/>
        <v>0.71635055540615489</v>
      </c>
      <c r="AS3" s="507">
        <f ca="1"/>
        <v>0.65122777764195883</v>
      </c>
      <c r="AT3" s="507">
        <f ca="1"/>
        <v>0.59202525240178083</v>
      </c>
      <c r="AU3" s="507">
        <f ca="1"/>
        <v>0.53820477491070973</v>
      </c>
      <c r="AV3" s="507">
        <f ca="1"/>
        <v>0.48927706810064514</v>
      </c>
      <c r="AW3" s="507">
        <f ca="1"/>
        <v>0.44479733463695009</v>
      </c>
      <c r="AX3" s="507">
        <f ca="1"/>
        <v>0.4043612133063183</v>
      </c>
      <c r="AY3" s="507">
        <f ca="1"/>
        <v>0.36760110300574383</v>
      </c>
      <c r="AZ3" s="507">
        <f ca="1"/>
        <v>0.33418282091431251</v>
      </c>
      <c r="BA3" s="507">
        <f ca="1"/>
        <v>0.30380256446755688</v>
      </c>
      <c r="BB3" s="507">
        <f ca="1"/>
        <v>0.27618414951596076</v>
      </c>
      <c r="BC3" s="507">
        <f ca="1"/>
        <v>0.25107649955996431</v>
      </c>
      <c r="BD3" s="507">
        <f ca="1"/>
        <v>0.22825136323633116</v>
      </c>
      <c r="BE3" s="507">
        <f ca="1"/>
        <v>0.20750123930575562</v>
      </c>
      <c r="BF3" s="507">
        <f ca="1"/>
        <v>0.18863749027795962</v>
      </c>
      <c r="BG3" s="507">
        <f ca="1"/>
        <v>0.17148862752541782</v>
      </c>
      <c r="BH3" s="507">
        <f ca="1"/>
        <v>0.15589875229583436</v>
      </c>
      <c r="BI3" s="507">
        <f ca="1"/>
        <v>0.14172613845075852</v>
      </c>
      <c r="BJ3" s="507">
        <f ca="1"/>
        <v>0.1288419440461441</v>
      </c>
      <c r="BK3" s="507">
        <f ca="1"/>
        <v>0.11712904004194918</v>
      </c>
      <c r="BL3" s="507">
        <f ca="1"/>
        <v>0.10648094549268106</v>
      </c>
      <c r="BM3" s="507">
        <f ca="1"/>
        <v>9.6800859538800965E-2</v>
      </c>
      <c r="BN3" s="507">
        <f ca="1"/>
        <v>8.8000781398909919E-2</v>
      </c>
      <c r="BO3" s="507">
        <f ca="1"/>
        <v>8.0000710362645402E-2</v>
      </c>
      <c r="BP3" s="507">
        <f ca="1"/>
        <v>0</v>
      </c>
      <c r="BQ3" s="507">
        <f ca="1"/>
        <v>0</v>
      </c>
      <c r="BR3" s="507">
        <f ca="1"/>
        <v>0</v>
      </c>
      <c r="BS3" s="507">
        <f ca="1"/>
        <v>0</v>
      </c>
      <c r="BT3" s="507">
        <f ca="1"/>
        <v>0</v>
      </c>
      <c r="BU3" s="507">
        <f ca="1"/>
        <v>0</v>
      </c>
      <c r="BV3" s="507">
        <f ca="1"/>
        <v>0</v>
      </c>
      <c r="BW3" s="507">
        <f ca="1"/>
        <v>0</v>
      </c>
      <c r="BX3" s="507">
        <f ca="1"/>
        <v>0</v>
      </c>
      <c r="BY3" s="507">
        <f ca="1"/>
        <v>0</v>
      </c>
      <c r="BZ3" s="507">
        <f ca="1"/>
        <v>0</v>
      </c>
      <c r="CA3" s="507">
        <f ca="1"/>
        <v>0</v>
      </c>
      <c r="CB3" s="507">
        <f ca="1"/>
        <v>0</v>
      </c>
      <c r="CC3" s="507"/>
      <c r="CD3" s="507"/>
      <c r="CE3" s="507"/>
      <c r="CF3" s="507"/>
      <c r="CG3" s="507"/>
      <c r="CH3" s="507"/>
    </row>
    <row r="4" spans="1:86">
      <c r="A4" s="157" t="s">
        <v>14</v>
      </c>
      <c r="B4" s="139" t="s">
        <v>340</v>
      </c>
      <c r="C4" s="139" t="s">
        <v>647</v>
      </c>
      <c r="D4" s="139" t="s">
        <v>1053</v>
      </c>
      <c r="E4" s="139" t="s">
        <v>13</v>
      </c>
      <c r="F4" s="263" t="s">
        <v>226</v>
      </c>
      <c r="G4" s="263" t="s">
        <v>17</v>
      </c>
      <c r="H4" s="263" t="s">
        <v>59</v>
      </c>
      <c r="I4" s="263" t="s">
        <v>18</v>
      </c>
      <c r="J4" s="139" t="s">
        <v>13</v>
      </c>
      <c r="K4" s="139" t="s">
        <v>137</v>
      </c>
      <c r="L4" s="263" t="s">
        <v>38</v>
      </c>
      <c r="M4" s="263" t="s">
        <v>411</v>
      </c>
      <c r="N4" s="263" t="s">
        <v>412</v>
      </c>
      <c r="O4" s="139" t="s">
        <v>13</v>
      </c>
      <c r="P4" s="139" t="s">
        <v>137</v>
      </c>
      <c r="Q4" s="222"/>
      <c r="R4" s="222"/>
      <c r="S4" s="498"/>
      <c r="T4" s="498"/>
      <c r="U4" s="498"/>
      <c r="V4" s="498"/>
      <c r="W4" s="498"/>
      <c r="X4" s="498"/>
      <c r="Y4" s="496"/>
      <c r="Z4" s="496"/>
      <c r="AA4" s="496"/>
      <c r="AB4" s="496"/>
      <c r="AC4" s="497" t="s">
        <v>424</v>
      </c>
      <c r="AD4" s="499" t="s">
        <v>13</v>
      </c>
      <c r="AE4" s="499"/>
      <c r="AF4" s="510"/>
      <c r="AG4" s="510" t="s">
        <v>425</v>
      </c>
      <c r="AH4" s="507"/>
      <c r="AI4" s="507">
        <f ca="1">MIN(AH9:CH9)</f>
        <v>0.30037683905341267</v>
      </c>
      <c r="AJ4" s="507">
        <f ca="1">IF(AI4=0,NA(),AI4)</f>
        <v>0.30037683905341267</v>
      </c>
      <c r="AK4" s="507"/>
      <c r="AL4" s="507"/>
      <c r="AM4" s="507"/>
      <c r="AN4" s="507"/>
      <c r="AO4" s="507"/>
      <c r="AP4" s="507"/>
      <c r="AQ4" s="507"/>
      <c r="AR4" s="507"/>
      <c r="AS4" s="507"/>
      <c r="AT4" s="507"/>
      <c r="AU4" s="507"/>
      <c r="AV4" s="507"/>
      <c r="AW4" s="507"/>
      <c r="AX4" s="507"/>
      <c r="AY4" s="507"/>
      <c r="AZ4" s="507"/>
      <c r="BA4" s="507"/>
      <c r="BB4" s="507"/>
      <c r="BC4" s="507"/>
      <c r="BD4" s="507"/>
      <c r="BE4" s="507"/>
      <c r="BF4" s="507"/>
      <c r="BG4" s="507"/>
      <c r="BH4" s="507"/>
      <c r="BI4" s="507"/>
      <c r="BJ4" s="507"/>
      <c r="BK4" s="507"/>
      <c r="BL4" s="507"/>
      <c r="BM4" s="507"/>
      <c r="BN4" s="507"/>
      <c r="BO4" s="507"/>
      <c r="BP4" s="507"/>
      <c r="BQ4" s="507"/>
      <c r="BR4" s="507"/>
      <c r="BS4" s="507"/>
      <c r="BT4" s="507"/>
      <c r="BU4" s="507"/>
      <c r="BV4" s="507"/>
      <c r="BW4" s="507"/>
      <c r="BX4" s="507"/>
      <c r="BY4" s="507"/>
      <c r="BZ4" s="507"/>
      <c r="CA4" s="507"/>
      <c r="CB4" s="507"/>
      <c r="CC4" s="507"/>
      <c r="CD4" s="507"/>
      <c r="CE4" s="507"/>
      <c r="CF4" s="507"/>
      <c r="CG4" s="507"/>
      <c r="CH4" s="507"/>
    </row>
    <row r="5" spans="1:86">
      <c r="A5" s="161"/>
      <c r="B5" s="148" t="s">
        <v>15</v>
      </c>
      <c r="C5" s="148" t="s">
        <v>15</v>
      </c>
      <c r="D5" s="148" t="s">
        <v>15</v>
      </c>
      <c r="E5" s="148" t="s">
        <v>15</v>
      </c>
      <c r="F5" s="148" t="s">
        <v>42</v>
      </c>
      <c r="G5" s="148" t="s">
        <v>41</v>
      </c>
      <c r="H5" s="148" t="s">
        <v>42</v>
      </c>
      <c r="I5" s="148" t="s">
        <v>42</v>
      </c>
      <c r="J5" s="148" t="s">
        <v>41</v>
      </c>
      <c r="K5" s="148" t="s">
        <v>415</v>
      </c>
      <c r="L5" s="148"/>
      <c r="M5" s="148" t="s">
        <v>416</v>
      </c>
      <c r="N5" s="148" t="s">
        <v>416</v>
      </c>
      <c r="O5" s="148" t="s">
        <v>417</v>
      </c>
      <c r="P5" s="148" t="s">
        <v>418</v>
      </c>
      <c r="Q5" s="222"/>
      <c r="R5" s="222"/>
      <c r="S5" s="498"/>
      <c r="T5" s="498"/>
      <c r="U5" s="498"/>
      <c r="V5" s="498"/>
      <c r="W5" s="498"/>
      <c r="X5" s="498"/>
      <c r="Y5" s="496"/>
      <c r="Z5" s="496"/>
      <c r="AA5" s="496"/>
      <c r="AB5" s="496"/>
      <c r="AC5" s="497"/>
      <c r="AD5" s="499" t="s">
        <v>426</v>
      </c>
      <c r="AE5" s="499"/>
      <c r="AF5" s="510"/>
      <c r="AG5" s="510" t="s">
        <v>427</v>
      </c>
      <c r="AH5" s="507"/>
      <c r="AI5" s="507"/>
      <c r="AJ5" s="507"/>
      <c r="AK5" s="507"/>
      <c r="AL5" s="507"/>
      <c r="AM5" s="507"/>
      <c r="AN5" s="507"/>
      <c r="AO5" s="507"/>
      <c r="AP5" s="507"/>
      <c r="AQ5" s="507"/>
      <c r="AR5" s="507"/>
      <c r="AS5" s="507"/>
      <c r="AT5" s="507"/>
      <c r="AU5" s="507"/>
      <c r="AV5" s="507"/>
      <c r="AW5" s="507"/>
      <c r="AX5" s="507"/>
      <c r="AY5" s="507"/>
      <c r="AZ5" s="507"/>
      <c r="BA5" s="507"/>
      <c r="BB5" s="507"/>
      <c r="BC5" s="507"/>
      <c r="BD5" s="507"/>
      <c r="BE5" s="507"/>
      <c r="BF5" s="507"/>
      <c r="BG5" s="507"/>
      <c r="BH5" s="507"/>
      <c r="BI5" s="507"/>
      <c r="BJ5" s="507"/>
      <c r="BK5" s="507"/>
      <c r="BL5" s="507"/>
      <c r="BM5" s="507"/>
      <c r="BN5" s="507"/>
      <c r="BO5" s="507"/>
      <c r="BP5" s="507"/>
      <c r="BQ5" s="507"/>
      <c r="BR5" s="507"/>
      <c r="BS5" s="507"/>
      <c r="BT5" s="507"/>
      <c r="BU5" s="507"/>
      <c r="BV5" s="507"/>
      <c r="BW5" s="507"/>
      <c r="BX5" s="507"/>
      <c r="BY5" s="507"/>
      <c r="BZ5" s="507"/>
      <c r="CA5" s="507"/>
      <c r="CB5" s="507"/>
      <c r="CC5" s="507"/>
      <c r="CD5" s="507"/>
      <c r="CE5" s="507"/>
      <c r="CF5" s="507"/>
      <c r="CG5" s="507"/>
      <c r="CH5" s="507"/>
    </row>
    <row r="6" spans="1:86">
      <c r="A6" s="159"/>
      <c r="B6" s="139"/>
      <c r="C6" s="139"/>
      <c r="D6" s="139"/>
      <c r="E6" s="139"/>
      <c r="F6" s="139"/>
      <c r="G6" s="139"/>
      <c r="H6" s="139"/>
      <c r="I6" s="139"/>
      <c r="J6" s="139"/>
      <c r="K6" s="139"/>
      <c r="L6" s="139"/>
      <c r="M6" s="139"/>
      <c r="N6" s="139"/>
      <c r="O6" s="139"/>
      <c r="P6" s="139"/>
      <c r="Q6" s="222"/>
      <c r="R6" s="222"/>
      <c r="S6" s="498"/>
      <c r="T6" s="498"/>
      <c r="U6" s="498"/>
      <c r="V6" s="498"/>
      <c r="W6" s="498"/>
      <c r="X6" s="498"/>
      <c r="Y6" s="496"/>
      <c r="Z6" s="496"/>
      <c r="AA6" s="496"/>
      <c r="AB6" s="496"/>
      <c r="AC6" s="497"/>
      <c r="AD6" s="497"/>
      <c r="AE6" s="497"/>
      <c r="AF6" s="507"/>
      <c r="AG6" s="511">
        <f>Input!B3</f>
        <v>0.1</v>
      </c>
      <c r="AH6" s="511">
        <v>-0.99</v>
      </c>
      <c r="AI6" s="512">
        <v>-0.9</v>
      </c>
      <c r="AJ6" s="512">
        <f>AI6+0.1</f>
        <v>-0.8</v>
      </c>
      <c r="AK6" s="512">
        <f t="shared" ref="AK6:AR6" si="0">AJ6+0.1</f>
        <v>-0.70000000000000007</v>
      </c>
      <c r="AL6" s="512">
        <f t="shared" si="0"/>
        <v>-0.60000000000000009</v>
      </c>
      <c r="AM6" s="512">
        <f t="shared" si="0"/>
        <v>-0.50000000000000011</v>
      </c>
      <c r="AN6" s="512">
        <f t="shared" si="0"/>
        <v>-0.40000000000000013</v>
      </c>
      <c r="AO6" s="512">
        <f t="shared" si="0"/>
        <v>-0.30000000000000016</v>
      </c>
      <c r="AP6" s="512">
        <f t="shared" si="0"/>
        <v>-0.20000000000000015</v>
      </c>
      <c r="AQ6" s="512">
        <f t="shared" si="0"/>
        <v>-0.10000000000000014</v>
      </c>
      <c r="AR6" s="512">
        <f t="shared" si="0"/>
        <v>-1.3877787807814457E-16</v>
      </c>
      <c r="AS6" s="512">
        <f t="shared" ref="AS6:BB6" si="1">AR6+0.01</f>
        <v>9.9999999999998614E-3</v>
      </c>
      <c r="AT6" s="512">
        <f t="shared" si="1"/>
        <v>1.9999999999999862E-2</v>
      </c>
      <c r="AU6" s="512">
        <f t="shared" si="1"/>
        <v>2.999999999999986E-2</v>
      </c>
      <c r="AV6" s="512">
        <f t="shared" si="1"/>
        <v>3.9999999999999862E-2</v>
      </c>
      <c r="AW6" s="512">
        <f t="shared" si="1"/>
        <v>4.9999999999999864E-2</v>
      </c>
      <c r="AX6" s="512">
        <f t="shared" si="1"/>
        <v>5.9999999999999866E-2</v>
      </c>
      <c r="AY6" s="512">
        <f t="shared" si="1"/>
        <v>6.9999999999999868E-2</v>
      </c>
      <c r="AZ6" s="512">
        <f t="shared" si="1"/>
        <v>7.9999999999999863E-2</v>
      </c>
      <c r="BA6" s="512">
        <f t="shared" si="1"/>
        <v>8.9999999999999858E-2</v>
      </c>
      <c r="BB6" s="512">
        <f t="shared" si="1"/>
        <v>9.9999999999999853E-2</v>
      </c>
      <c r="BC6" s="512">
        <f t="shared" ref="BC6:BH6" si="2">BB6+0.05</f>
        <v>0.14999999999999986</v>
      </c>
      <c r="BD6" s="512">
        <f t="shared" si="2"/>
        <v>0.19999999999999984</v>
      </c>
      <c r="BE6" s="512">
        <f t="shared" si="2"/>
        <v>0.24999999999999983</v>
      </c>
      <c r="BF6" s="512">
        <f t="shared" si="2"/>
        <v>0.29999999999999982</v>
      </c>
      <c r="BG6" s="512">
        <f t="shared" si="2"/>
        <v>0.34999999999999981</v>
      </c>
      <c r="BH6" s="512">
        <f t="shared" si="2"/>
        <v>0.3999999999999998</v>
      </c>
      <c r="BI6" s="512">
        <f t="shared" ref="BI6:BX6" si="3">BH6+0.1</f>
        <v>0.49999999999999978</v>
      </c>
      <c r="BJ6" s="512">
        <f t="shared" si="3"/>
        <v>0.59999999999999976</v>
      </c>
      <c r="BK6" s="512">
        <f t="shared" si="3"/>
        <v>0.69999999999999973</v>
      </c>
      <c r="BL6" s="512">
        <f t="shared" si="3"/>
        <v>0.79999999999999971</v>
      </c>
      <c r="BM6" s="512">
        <f t="shared" si="3"/>
        <v>0.89999999999999969</v>
      </c>
      <c r="BN6" s="512">
        <f t="shared" si="3"/>
        <v>0.99999999999999967</v>
      </c>
      <c r="BO6" s="512">
        <f t="shared" si="3"/>
        <v>1.0999999999999996</v>
      </c>
      <c r="BP6" s="512">
        <f t="shared" si="3"/>
        <v>1.1999999999999997</v>
      </c>
      <c r="BQ6" s="512">
        <f t="shared" si="3"/>
        <v>1.2999999999999998</v>
      </c>
      <c r="BR6" s="512">
        <f t="shared" si="3"/>
        <v>1.4</v>
      </c>
      <c r="BS6" s="512">
        <f t="shared" si="3"/>
        <v>1.5</v>
      </c>
      <c r="BT6" s="512">
        <f t="shared" si="3"/>
        <v>1.6</v>
      </c>
      <c r="BU6" s="512">
        <f t="shared" si="3"/>
        <v>1.7000000000000002</v>
      </c>
      <c r="BV6" s="512">
        <f t="shared" si="3"/>
        <v>1.8000000000000003</v>
      </c>
      <c r="BW6" s="512">
        <f t="shared" si="3"/>
        <v>1.9000000000000004</v>
      </c>
      <c r="BX6" s="512">
        <f t="shared" si="3"/>
        <v>2.0000000000000004</v>
      </c>
      <c r="BY6" s="512">
        <f>BX6+0.5</f>
        <v>2.5000000000000004</v>
      </c>
      <c r="BZ6" s="512">
        <f>BY6+0.5</f>
        <v>3.0000000000000004</v>
      </c>
      <c r="CA6" s="512">
        <f>BZ6+0.5</f>
        <v>3.5000000000000004</v>
      </c>
      <c r="CB6" s="512">
        <f t="shared" ref="CB6:CH6" si="4">CA6+1</f>
        <v>4.5</v>
      </c>
      <c r="CC6" s="512">
        <f t="shared" si="4"/>
        <v>5.5</v>
      </c>
      <c r="CD6" s="512">
        <f t="shared" si="4"/>
        <v>6.5</v>
      </c>
      <c r="CE6" s="512">
        <f t="shared" si="4"/>
        <v>7.5</v>
      </c>
      <c r="CF6" s="512">
        <f t="shared" si="4"/>
        <v>8.5</v>
      </c>
      <c r="CG6" s="512">
        <f t="shared" si="4"/>
        <v>9.5</v>
      </c>
      <c r="CH6" s="512">
        <f t="shared" si="4"/>
        <v>10.5</v>
      </c>
    </row>
    <row r="7" spans="1:86">
      <c r="A7" s="134" t="s">
        <v>13</v>
      </c>
      <c r="B7" s="257">
        <f t="shared" ref="B7:P7" si="5">SUM(B10:B50)</f>
        <v>5965.9355881603187</v>
      </c>
      <c r="C7" s="257">
        <f t="shared" si="5"/>
        <v>31559.429355631044</v>
      </c>
      <c r="D7" s="257"/>
      <c r="E7" s="257">
        <f t="shared" si="5"/>
        <v>37525.364943791363</v>
      </c>
      <c r="F7" s="257">
        <f t="shared" si="5"/>
        <v>0</v>
      </c>
      <c r="G7" s="257">
        <f t="shared" si="5"/>
        <v>5272.8495253794072</v>
      </c>
      <c r="H7" s="257">
        <f t="shared" si="5"/>
        <v>358.54722678320917</v>
      </c>
      <c r="I7" s="257">
        <f t="shared" si="5"/>
        <v>6794.40364887738</v>
      </c>
      <c r="J7" s="257">
        <f t="shared" si="5"/>
        <v>12425.800401039995</v>
      </c>
      <c r="K7" s="257">
        <f t="shared" si="5"/>
        <v>25099.56454275137</v>
      </c>
      <c r="L7" s="257">
        <f t="shared" si="5"/>
        <v>7638.9132264515811</v>
      </c>
      <c r="M7" s="257">
        <f t="shared" si="5"/>
        <v>2768.5757889742094</v>
      </c>
      <c r="N7" s="257">
        <f t="shared" si="5"/>
        <v>3292.2163276677743</v>
      </c>
      <c r="O7" s="257">
        <f t="shared" si="5"/>
        <v>13699.705343093568</v>
      </c>
      <c r="P7" s="257">
        <f t="shared" si="5"/>
        <v>11399.859199657807</v>
      </c>
      <c r="Q7" s="217"/>
      <c r="R7" s="217"/>
      <c r="S7" s="500"/>
      <c r="T7" s="500"/>
      <c r="U7" s="500"/>
      <c r="V7" s="500"/>
      <c r="W7" s="500"/>
      <c r="X7" s="500"/>
      <c r="Y7" s="496"/>
      <c r="Z7" s="496"/>
      <c r="AA7" s="496"/>
      <c r="AB7" s="496"/>
      <c r="AC7" s="501">
        <f>SUM(AC10:AC50)</f>
        <v>5272.8495253794072</v>
      </c>
      <c r="AD7" s="501">
        <f>SUM(AD10:AD50)</f>
        <v>5272.8495253794072</v>
      </c>
      <c r="AE7" s="501"/>
      <c r="AF7" s="513" t="s">
        <v>428</v>
      </c>
      <c r="AG7" s="509">
        <f ca="1">$AK$1/(1+AG6)^IF(Input!$H$13&gt;Input!$B$10,$AI$1/2,($AG$1-(DATE($AG$2,1,1)-Input!$B$10)/2)/$AH$1)</f>
        <v>0.95346258924559224</v>
      </c>
      <c r="AH7" s="509">
        <f ca="1">$AK$1/(1+AH6)^IF(Input!$H$13&gt;Input!$B$10,$AI$1/2,($AG$1-(DATE($AG$2,1,1)-Input!$B$10)/2)/$AH$1)</f>
        <v>9.9999999999999947</v>
      </c>
      <c r="AI7" s="509">
        <f ca="1">$AK$1/(1+AI6)^IF(Input!$H$13&gt;Input!$B$10,$AI$1/2,($AG$1-(DATE($AG$2,1,1)-Input!$B$10)/2)/$AH$1)</f>
        <v>3.16227766016838</v>
      </c>
      <c r="AJ7" s="509">
        <f ca="1">$AK$1/(1+AJ6)^IF(Input!$H$13&gt;Input!$B$10,$AI$1/2,($AG$1-(DATE($AG$2,1,1)-Input!$B$10)/2)/$AH$1)</f>
        <v>2.2360679774997902</v>
      </c>
      <c r="AK7" s="509">
        <f ca="1">$AK$1/(1+AK6)^IF(Input!$H$13&gt;Input!$B$10,$AI$1/2,($AG$1-(DATE($AG$2,1,1)-Input!$B$10)/2)/$AH$1)</f>
        <v>1.8257418583505538</v>
      </c>
      <c r="AL7" s="509">
        <f ca="1">$AK$1/(1+AL6)^IF(Input!$H$13&gt;Input!$B$10,$AI$1/2,($AG$1-(DATE($AG$2,1,1)-Input!$B$10)/2)/$AH$1)</f>
        <v>1.58113883008419</v>
      </c>
      <c r="AM7" s="509">
        <f ca="1">$AK$1/(1+AM6)^IF(Input!$H$13&gt;Input!$B$10,$AI$1/2,($AG$1-(DATE($AG$2,1,1)-Input!$B$10)/2)/$AH$1)</f>
        <v>1.4142135623730951</v>
      </c>
      <c r="AN7" s="509">
        <f ca="1">$AK$1/(1+AN6)^IF(Input!$H$13&gt;Input!$B$10,$AI$1/2,($AG$1-(DATE($AG$2,1,1)-Input!$B$10)/2)/$AH$1)</f>
        <v>1.2909944487358058</v>
      </c>
      <c r="AO7" s="509">
        <f ca="1">$AK$1/(1+AO6)^IF(Input!$H$13&gt;Input!$B$10,$AI$1/2,($AG$1-(DATE($AG$2,1,1)-Input!$B$10)/2)/$AH$1)</f>
        <v>1.1952286093343938</v>
      </c>
      <c r="AP7" s="509">
        <f ca="1">$AK$1/(1+AP6)^IF(Input!$H$13&gt;Input!$B$10,$AI$1/2,($AG$1-(DATE($AG$2,1,1)-Input!$B$10)/2)/$AH$1)</f>
        <v>1.1180339887498951</v>
      </c>
      <c r="AQ7" s="509">
        <f ca="1">$AK$1/(1+AQ6)^IF(Input!$H$13&gt;Input!$B$10,$AI$1/2,($AG$1-(DATE($AG$2,1,1)-Input!$B$10)/2)/$AH$1)</f>
        <v>1.0540925533894598</v>
      </c>
      <c r="AR7" s="509">
        <f ca="1">$AK$1/(1+AR6)^IF(Input!$H$13&gt;Input!$B$10,$AI$1/2,($AG$1-(DATE($AG$2,1,1)-Input!$B$10)/2)/$AH$1)</f>
        <v>1</v>
      </c>
      <c r="AS7" s="509">
        <f ca="1">$AK$1/(1+AS6)^IF(Input!$H$13&gt;Input!$B$10,$AI$1/2,($AG$1-(DATE($AG$2,1,1)-Input!$B$10)/2)/$AH$1)</f>
        <v>0.99503719020998926</v>
      </c>
      <c r="AT7" s="509">
        <f ca="1">$AK$1/(1+AT6)^IF(Input!$H$13&gt;Input!$B$10,$AI$1/2,($AG$1-(DATE($AG$2,1,1)-Input!$B$10)/2)/$AH$1)</f>
        <v>0.99014754297667451</v>
      </c>
      <c r="AU7" s="509">
        <f ca="1">$AK$1/(1+AU6)^IF(Input!$H$13&gt;Input!$B$10,$AI$1/2,($AG$1-(DATE($AG$2,1,1)-Input!$B$10)/2)/$AH$1)</f>
        <v>0.98532927816429317</v>
      </c>
      <c r="AV7" s="509">
        <f ca="1">$AK$1/(1+AV6)^IF(Input!$H$13&gt;Input!$B$10,$AI$1/2,($AG$1-(DATE($AG$2,1,1)-Input!$B$10)/2)/$AH$1)</f>
        <v>0.98058067569092033</v>
      </c>
      <c r="AW7" s="509">
        <f ca="1">$AK$1/(1+AW6)^IF(Input!$H$13&gt;Input!$B$10,$AI$1/2,($AG$1-(DATE($AG$2,1,1)-Input!$B$10)/2)/$AH$1)</f>
        <v>0.97590007294853331</v>
      </c>
      <c r="AX7" s="509">
        <f ca="1">$AK$1/(1+AX6)^IF(Input!$H$13&gt;Input!$B$10,$AI$1/2,($AG$1-(DATE($AG$2,1,1)-Input!$B$10)/2)/$AH$1)</f>
        <v>0.97128586235726422</v>
      </c>
      <c r="AY7" s="509">
        <f ca="1">$AK$1/(1+AY6)^IF(Input!$H$13&gt;Input!$B$10,$AI$1/2,($AG$1-(DATE($AG$2,1,1)-Input!$B$10)/2)/$AH$1)</f>
        <v>0.96673648904566356</v>
      </c>
      <c r="AZ7" s="509">
        <f ca="1">$AK$1/(1+AZ6)^IF(Input!$H$13&gt;Input!$B$10,$AI$1/2,($AG$1-(DATE($AG$2,1,1)-Input!$B$10)/2)/$AH$1)</f>
        <v>0.96225044864937637</v>
      </c>
      <c r="BA7" s="509">
        <f ca="1">$AK$1/(1+BA6)^IF(Input!$H$13&gt;Input!$B$10,$AI$1/2,($AG$1-(DATE($AG$2,1,1)-Input!$B$10)/2)/$AH$1)</f>
        <v>0.95782628522115154</v>
      </c>
      <c r="BB7" s="509">
        <f ca="1">$AK$1/(1+BB6)^IF(Input!$H$13&gt;Input!$B$10,$AI$1/2,($AG$1-(DATE($AG$2,1,1)-Input!$B$10)/2)/$AH$1)</f>
        <v>0.95346258924559246</v>
      </c>
      <c r="BC7" s="509">
        <f ca="1">$AK$1/(1+BC6)^IF(Input!$H$13&gt;Input!$B$10,$AI$1/2,($AG$1-(DATE($AG$2,1,1)-Input!$B$10)/2)/$AH$1)</f>
        <v>0.93250480824031379</v>
      </c>
      <c r="BD7" s="509">
        <f ca="1">$AK$1/(1+BD6)^IF(Input!$H$13&gt;Input!$B$10,$AI$1/2,($AG$1-(DATE($AG$2,1,1)-Input!$B$10)/2)/$AH$1)</f>
        <v>0.9128709291752769</v>
      </c>
      <c r="BE7" s="509">
        <f ca="1">$AK$1/(1+BE6)^IF(Input!$H$13&gt;Input!$B$10,$AI$1/2,($AG$1-(DATE($AG$2,1,1)-Input!$B$10)/2)/$AH$1)</f>
        <v>0.89442719099991597</v>
      </c>
      <c r="BF7" s="509">
        <f ca="1">$AK$1/(1+BF6)^IF(Input!$H$13&gt;Input!$B$10,$AI$1/2,($AG$1-(DATE($AG$2,1,1)-Input!$B$10)/2)/$AH$1)</f>
        <v>0.87705801930702931</v>
      </c>
      <c r="BG7" s="509">
        <f ca="1">$AK$1/(1+BG6)^IF(Input!$H$13&gt;Input!$B$10,$AI$1/2,($AG$1-(DATE($AG$2,1,1)-Input!$B$10)/2)/$AH$1)</f>
        <v>0.86066296582387036</v>
      </c>
      <c r="BH7" s="509">
        <f ca="1">$AK$1/(1+BH6)^IF(Input!$H$13&gt;Input!$B$10,$AI$1/2,($AG$1-(DATE($AG$2,1,1)-Input!$B$10)/2)/$AH$1)</f>
        <v>0.84515425472851657</v>
      </c>
      <c r="BI7" s="509">
        <f ca="1">$AK$1/(1+BI6)^IF(Input!$H$13&gt;Input!$B$10,$AI$1/2,($AG$1-(DATE($AG$2,1,1)-Input!$B$10)/2)/$AH$1)</f>
        <v>0.81649658092772615</v>
      </c>
      <c r="BJ7" s="509">
        <f ca="1">$AK$1/(1+BJ6)^IF(Input!$H$13&gt;Input!$B$10,$AI$1/2,($AG$1-(DATE($AG$2,1,1)-Input!$B$10)/2)/$AH$1)</f>
        <v>0.79056941504209499</v>
      </c>
      <c r="BK7" s="509">
        <f ca="1">$AK$1/(1+BK6)^IF(Input!$H$13&gt;Input!$B$10,$AI$1/2,($AG$1-(DATE($AG$2,1,1)-Input!$B$10)/2)/$AH$1)</f>
        <v>0.76696498884737041</v>
      </c>
      <c r="BL7" s="509">
        <f ca="1">$AK$1/(1+BL6)^IF(Input!$H$13&gt;Input!$B$10,$AI$1/2,($AG$1-(DATE($AG$2,1,1)-Input!$B$10)/2)/$AH$1)</f>
        <v>0.7453559924999299</v>
      </c>
      <c r="BM7" s="509">
        <f ca="1">$AK$1/(1+BM6)^IF(Input!$H$13&gt;Input!$B$10,$AI$1/2,($AG$1-(DATE($AG$2,1,1)-Input!$B$10)/2)/$AH$1)</f>
        <v>0.72547625011001171</v>
      </c>
      <c r="BN7" s="509">
        <f ca="1">$AK$1/(1+BN6)^IF(Input!$H$13&gt;Input!$B$10,$AI$1/2,($AG$1-(DATE($AG$2,1,1)-Input!$B$10)/2)/$AH$1)</f>
        <v>0.70710678118654757</v>
      </c>
      <c r="BO7" s="509">
        <f ca="1">$AK$1/(1+BO6)^IF(Input!$H$13&gt;Input!$B$10,$AI$1/2,($AG$1-(DATE($AG$2,1,1)-Input!$B$10)/2)/$AH$1)</f>
        <v>0.69006555934235425</v>
      </c>
      <c r="BP7" s="509">
        <f ca="1">$AK$1/(1+BP6)^IF(Input!$H$13&gt;Input!$B$10,$AI$1/2,($AG$1-(DATE($AG$2,1,1)-Input!$B$10)/2)/$AH$1)</f>
        <v>0.67419986246324215</v>
      </c>
      <c r="BQ7" s="509">
        <f ca="1">$AK$1/(1+BQ6)^IF(Input!$H$13&gt;Input!$B$10,$AI$1/2,($AG$1-(DATE($AG$2,1,1)-Input!$B$10)/2)/$AH$1)</f>
        <v>0.65938047339578709</v>
      </c>
      <c r="BR7" s="509">
        <f ca="1">$AK$1/(1+BR6)^IF(Input!$H$13&gt;Input!$B$10,$AI$1/2,($AG$1-(DATE($AG$2,1,1)-Input!$B$10)/2)/$AH$1)</f>
        <v>0.6454972243679028</v>
      </c>
      <c r="BS7" s="509">
        <f ca="1">$AK$1/(1+BS6)^IF(Input!$H$13&gt;Input!$B$10,$AI$1/2,($AG$1-(DATE($AG$2,1,1)-Input!$B$10)/2)/$AH$1)</f>
        <v>0.63245553203367588</v>
      </c>
      <c r="BT7" s="509">
        <f ca="1">$AK$1/(1+BT6)^IF(Input!$H$13&gt;Input!$B$10,$AI$1/2,($AG$1-(DATE($AG$2,1,1)-Input!$B$10)/2)/$AH$1)</f>
        <v>0.6201736729460422</v>
      </c>
      <c r="BU7" s="509">
        <f ca="1">$AK$1/(1+BU6)^IF(Input!$H$13&gt;Input!$B$10,$AI$1/2,($AG$1-(DATE($AG$2,1,1)-Input!$B$10)/2)/$AH$1)</f>
        <v>0.60858061945018449</v>
      </c>
      <c r="BV7" s="509">
        <f ca="1">$AK$1/(1+BV6)^IF(Input!$H$13&gt;Input!$B$10,$AI$1/2,($AG$1-(DATE($AG$2,1,1)-Input!$B$10)/2)/$AH$1)</f>
        <v>0.59761430466719678</v>
      </c>
      <c r="BW7" s="509">
        <f ca="1">$AK$1/(1+BW6)^IF(Input!$H$13&gt;Input!$B$10,$AI$1/2,($AG$1-(DATE($AG$2,1,1)-Input!$B$10)/2)/$AH$1)</f>
        <v>0.58722021951470349</v>
      </c>
      <c r="BX7" s="509">
        <f ca="1">$AK$1/(1+BX6)^IF(Input!$H$13&gt;Input!$B$10,$AI$1/2,($AG$1-(DATE($AG$2,1,1)-Input!$B$10)/2)/$AH$1)</f>
        <v>0.57735026918962573</v>
      </c>
      <c r="BY7" s="509">
        <f ca="1">$AK$1/(1+BY6)^IF(Input!$H$13&gt;Input!$B$10,$AI$1/2,($AG$1-(DATE($AG$2,1,1)-Input!$B$10)/2)/$AH$1)</f>
        <v>0.53452248382484868</v>
      </c>
      <c r="BZ7" s="509">
        <f ca="1">$AK$1/(1+BZ6)^IF(Input!$H$13&gt;Input!$B$10,$AI$1/2,($AG$1-(DATE($AG$2,1,1)-Input!$B$10)/2)/$AH$1)</f>
        <v>0.5</v>
      </c>
      <c r="CA7" s="509">
        <f ca="1">$AK$1/(1+CA6)^IF(Input!$H$13&gt;Input!$B$10,$AI$1/2,($AG$1-(DATE($AG$2,1,1)-Input!$B$10)/2)/$AH$1)</f>
        <v>0.47140452079103173</v>
      </c>
      <c r="CB7" s="509">
        <f ca="1">$AK$1/(1+CB6)^IF(Input!$H$13&gt;Input!$B$10,$AI$1/2,($AG$1-(DATE($AG$2,1,1)-Input!$B$10)/2)/$AH$1)</f>
        <v>0.42640143271122083</v>
      </c>
      <c r="CC7" s="509">
        <f ca="1">$AK$1/(1+CC6)^IF(Input!$H$13&gt;Input!$B$10,$AI$1/2,($AG$1-(DATE($AG$2,1,1)-Input!$B$10)/2)/$AH$1)</f>
        <v>0.39223227027636809</v>
      </c>
      <c r="CD7" s="509">
        <f ca="1">$AK$1/(1+CD6)^IF(Input!$H$13&gt;Input!$B$10,$AI$1/2,($AG$1-(DATE($AG$2,1,1)-Input!$B$10)/2)/$AH$1)</f>
        <v>0.36514837167011072</v>
      </c>
      <c r="CE7" s="509">
        <f ca="1">$AK$1/(1+CE6)^IF(Input!$H$13&gt;Input!$B$10,$AI$1/2,($AG$1-(DATE($AG$2,1,1)-Input!$B$10)/2)/$AH$1)</f>
        <v>0.34299717028501764</v>
      </c>
      <c r="CF7" s="509">
        <f ca="1">$AK$1/(1+CF6)^IF(Input!$H$13&gt;Input!$B$10,$AI$1/2,($AG$1-(DATE($AG$2,1,1)-Input!$B$10)/2)/$AH$1)</f>
        <v>0.32444284226152509</v>
      </c>
      <c r="CG7" s="509">
        <f ca="1">$AK$1/(1+CG6)^IF(Input!$H$13&gt;Input!$B$10,$AI$1/2,($AG$1-(DATE($AG$2,1,1)-Input!$B$10)/2)/$AH$1)</f>
        <v>0.30860669992418382</v>
      </c>
      <c r="CH7" s="509">
        <f ca="1">$AK$1/(1+CH6)^IF(Input!$H$13&gt;Input!$B$10,$AI$1/2,($AG$1-(DATE($AG$2,1,1)-Input!$B$10)/2)/$AH$1)</f>
        <v>0.29488391230979427</v>
      </c>
    </row>
    <row r="8" spans="1:86">
      <c r="A8" s="134" t="str">
        <f>"Discounted @ "&amp;FIXED(Input!B3*100,1)&amp;" %"</f>
        <v>Discounted @ 10.0 %</v>
      </c>
      <c r="B8" s="257">
        <f t="shared" ref="B8:P8" ca="1" si="6">SUMPRODUCT(B10:B50,$AG$10:$AG$50)</f>
        <v>2685.0284121467967</v>
      </c>
      <c r="C8" s="257">
        <f t="shared" ca="1" si="6"/>
        <v>14335.258167428692</v>
      </c>
      <c r="D8" s="257"/>
      <c r="E8" s="257">
        <f t="shared" ca="1" si="6"/>
        <v>17020.286579575495</v>
      </c>
      <c r="F8" s="257">
        <f t="shared" ca="1" si="6"/>
        <v>0</v>
      </c>
      <c r="G8" s="257">
        <f t="shared" ca="1" si="6"/>
        <v>4513.8056837432741</v>
      </c>
      <c r="H8" s="257">
        <f t="shared" ca="1" si="6"/>
        <v>28.684032841213252</v>
      </c>
      <c r="I8" s="257">
        <f t="shared" ca="1" si="6"/>
        <v>2368.0959087523634</v>
      </c>
      <c r="J8" s="257">
        <f t="shared" ca="1" si="6"/>
        <v>6910.5856253368538</v>
      </c>
      <c r="K8" s="257">
        <f t="shared" ca="1" si="6"/>
        <v>10109.700954238637</v>
      </c>
      <c r="L8" s="257">
        <f t="shared" ca="1" si="6"/>
        <v>3086.4938970455132</v>
      </c>
      <c r="M8" s="257">
        <f t="shared" ca="1" si="6"/>
        <v>1311.1260477701517</v>
      </c>
      <c r="N8" s="257">
        <f t="shared" ca="1" si="6"/>
        <v>1633.0983599115268</v>
      </c>
      <c r="O8" s="257">
        <f t="shared" ca="1" si="6"/>
        <v>6030.7183047271919</v>
      </c>
      <c r="P8" s="257">
        <f t="shared" ca="1" si="6"/>
        <v>4078.982649511448</v>
      </c>
      <c r="Q8" s="217"/>
      <c r="R8" s="217"/>
      <c r="S8" s="500"/>
      <c r="T8" s="500"/>
      <c r="U8" s="500"/>
      <c r="V8" s="500"/>
      <c r="W8" s="500"/>
      <c r="X8" s="500"/>
      <c r="Y8" s="502"/>
      <c r="Z8" s="502"/>
      <c r="AA8" s="502"/>
      <c r="AB8" s="502"/>
      <c r="AC8" s="501">
        <f ca="1">SUMPRODUCT(AC10:AC50,$AG$10:$AG$50)</f>
        <v>4513.8056837432741</v>
      </c>
      <c r="AD8" s="501">
        <f ca="1">SUMPRODUCT(AD10:AD50,$AG$10:$AG$50)</f>
        <v>4513.8056837432741</v>
      </c>
      <c r="AE8" s="501"/>
      <c r="AF8" s="513"/>
      <c r="AG8" s="507"/>
      <c r="AH8" s="507"/>
      <c r="AI8" s="507">
        <f t="shared" ref="AI8:CH8" ca="1" si="7">SUMPRODUCT(AI10:AI49,$P$10:$P$49)</f>
        <v>-5.5424139408212505E+28</v>
      </c>
      <c r="AJ8" s="507">
        <f t="shared" ca="1" si="7"/>
        <v>-5.8073325682141548E+20</v>
      </c>
      <c r="AK8" s="507">
        <f t="shared" ca="1" si="7"/>
        <v>-1.2322570991049558E+16</v>
      </c>
      <c r="AL8" s="507">
        <f t="shared" ca="1" si="7"/>
        <v>-5803558452881.7783</v>
      </c>
      <c r="AM8" s="507">
        <f t="shared" ca="1" si="7"/>
        <v>-14357643786.796068</v>
      </c>
      <c r="AN8" s="507">
        <f t="shared" ca="1" si="7"/>
        <v>-88817531.639333785</v>
      </c>
      <c r="AO8" s="507">
        <f t="shared" ca="1" si="7"/>
        <v>-239174.11128339916</v>
      </c>
      <c r="AP8" s="507">
        <f t="shared" ca="1" si="7"/>
        <v>132910.94711629016</v>
      </c>
      <c r="AQ8" s="507">
        <f t="shared" ca="1" si="7"/>
        <v>35667.574115843752</v>
      </c>
      <c r="AR8" s="507">
        <f t="shared" ca="1" si="7"/>
        <v>11387.906906253736</v>
      </c>
      <c r="AS8" s="507">
        <f t="shared" ca="1" si="7"/>
        <v>10253.300902587989</v>
      </c>
      <c r="AT8" s="507">
        <f t="shared" ca="1" si="7"/>
        <v>9241.4248082377781</v>
      </c>
      <c r="AU8" s="507">
        <f t="shared" ca="1" si="7"/>
        <v>8336.5905636018251</v>
      </c>
      <c r="AV8" s="507">
        <f t="shared" ca="1" si="7"/>
        <v>7525.3688784552578</v>
      </c>
      <c r="AW8" s="507">
        <f t="shared" ca="1" si="7"/>
        <v>6796.2388604190473</v>
      </c>
      <c r="AX8" s="507">
        <f t="shared" ca="1" si="7"/>
        <v>6139.2939742712169</v>
      </c>
      <c r="AY8" s="507">
        <f t="shared" ca="1" si="7"/>
        <v>5545.9953459410171</v>
      </c>
      <c r="AZ8" s="507">
        <f t="shared" ca="1" si="7"/>
        <v>5008.9647437088533</v>
      </c>
      <c r="BA8" s="507">
        <f t="shared" ca="1" si="7"/>
        <v>4521.8107477932863</v>
      </c>
      <c r="BB8" s="507">
        <f t="shared" ca="1" si="7"/>
        <v>4078.9826495114567</v>
      </c>
      <c r="BC8" s="507">
        <f t="shared" ca="1" si="7"/>
        <v>2380.3291734575719</v>
      </c>
      <c r="BD8" s="507">
        <f t="shared" ca="1" si="7"/>
        <v>1271.0320387916749</v>
      </c>
      <c r="BE8" s="507">
        <f t="shared" ca="1" si="7"/>
        <v>521.79140469219192</v>
      </c>
      <c r="BF8" s="507">
        <f t="shared" ca="1" si="7"/>
        <v>2.7601788969548449</v>
      </c>
      <c r="BG8" s="507">
        <f t="shared" ca="1" si="7"/>
        <v>-363.46764063993595</v>
      </c>
      <c r="BH8" s="507">
        <f t="shared" ca="1" si="7"/>
        <v>-625.11666021936776</v>
      </c>
      <c r="BI8" s="507">
        <f t="shared" ca="1" si="7"/>
        <v>-949.0636471765439</v>
      </c>
      <c r="BJ8" s="507">
        <f t="shared" ca="1" si="7"/>
        <v>-1115.552466394676</v>
      </c>
      <c r="BK8" s="507">
        <f t="shared" ca="1" si="7"/>
        <v>-1195.5591374022486</v>
      </c>
      <c r="BL8" s="507">
        <f t="shared" ca="1" si="7"/>
        <v>-1226.2310537853011</v>
      </c>
      <c r="BM8" s="507">
        <f t="shared" ca="1" si="7"/>
        <v>-1228.1436965832884</v>
      </c>
      <c r="BN8" s="507">
        <f t="shared" ca="1" si="7"/>
        <v>-1213.1860941779048</v>
      </c>
      <c r="BO8" s="507">
        <f t="shared" ca="1" si="7"/>
        <v>-1188.4485963097104</v>
      </c>
      <c r="BP8" s="507">
        <f t="shared" ca="1" si="7"/>
        <v>-1158.2581804045089</v>
      </c>
      <c r="BQ8" s="507">
        <f t="shared" ca="1" si="7"/>
        <v>-1125.2967068666053</v>
      </c>
      <c r="BR8" s="507">
        <f t="shared" ca="1" si="7"/>
        <v>-1091.2401144405849</v>
      </c>
      <c r="BS8" s="507">
        <f t="shared" ca="1" si="7"/>
        <v>-1057.1359724224505</v>
      </c>
      <c r="BT8" s="507">
        <f t="shared" ca="1" si="7"/>
        <v>-1023.63269698803</v>
      </c>
      <c r="BU8" s="507">
        <f t="shared" ca="1" si="7"/>
        <v>-991.12196098870152</v>
      </c>
      <c r="BV8" s="507">
        <f t="shared" ca="1" si="7"/>
        <v>-959.82890550665138</v>
      </c>
      <c r="BW8" s="507">
        <f t="shared" ca="1" si="7"/>
        <v>-929.87021968145575</v>
      </c>
      <c r="BX8" s="507">
        <f t="shared" ca="1" si="7"/>
        <v>-901.29203573911252</v>
      </c>
      <c r="BY8" s="507">
        <f t="shared" ca="1" si="7"/>
        <v>-778.32372837326955</v>
      </c>
      <c r="BZ8" s="507">
        <f t="shared" ca="1" si="7"/>
        <v>-683.41659830087588</v>
      </c>
      <c r="CA8" s="507">
        <f t="shared" ca="1" si="7"/>
        <v>-609.27487127863708</v>
      </c>
      <c r="CB8" s="507">
        <f t="shared" ca="1" si="7"/>
        <v>-502.39523450952015</v>
      </c>
      <c r="CC8" s="507">
        <f t="shared" ca="1" si="7"/>
        <v>-429.81070748671499</v>
      </c>
      <c r="CD8" s="507">
        <f t="shared" ca="1" si="7"/>
        <v>-377.57126394598458</v>
      </c>
      <c r="CE8" s="507">
        <f t="shared" ca="1" si="7"/>
        <v>-338.2446357418072</v>
      </c>
      <c r="CF8" s="507">
        <f t="shared" ca="1" si="7"/>
        <v>-307.57831110417214</v>
      </c>
      <c r="CG8" s="507">
        <f t="shared" ca="1" si="7"/>
        <v>-282.98470300687671</v>
      </c>
      <c r="CH8" s="507">
        <f t="shared" ca="1" si="7"/>
        <v>-262.80676344401496</v>
      </c>
    </row>
    <row r="9" spans="1:86">
      <c r="A9" s="93"/>
      <c r="B9" s="257"/>
      <c r="C9" s="257"/>
      <c r="D9" s="257"/>
      <c r="E9" s="257"/>
      <c r="F9" s="257"/>
      <c r="G9" s="257"/>
      <c r="H9" s="257"/>
      <c r="I9" s="257"/>
      <c r="J9" s="257"/>
      <c r="K9" s="257"/>
      <c r="L9" s="257"/>
      <c r="M9" s="257"/>
      <c r="N9" s="257"/>
      <c r="O9" s="257"/>
      <c r="P9" s="257"/>
      <c r="Q9" s="173"/>
      <c r="R9" s="173"/>
      <c r="S9" s="502"/>
      <c r="T9" s="502"/>
      <c r="U9" s="502"/>
      <c r="V9" s="502"/>
      <c r="W9" s="502"/>
      <c r="X9" s="502"/>
      <c r="Y9" s="502"/>
      <c r="Z9" s="502"/>
      <c r="AA9" s="502"/>
      <c r="AB9" s="502"/>
      <c r="AC9" s="503"/>
      <c r="AD9" s="503"/>
      <c r="AE9" s="503"/>
      <c r="AF9" s="514"/>
      <c r="AG9" s="515">
        <v>10000000000</v>
      </c>
      <c r="AH9" s="507">
        <f>IF(AG9&lt;10000000000,AG9,IF(AND(AH8&lt;0,AG8&gt;0),AG6+AG8/(AG8-AH8)*(AH6-AG6),10000000000))</f>
        <v>10000000000</v>
      </c>
      <c r="AI9" s="507">
        <f t="shared" ref="AI9:CH9" ca="1" si="8">IF(AH9&lt;10000000000,AH9,IF(AND(AI8&lt;0,AH8&gt;0),AH6+AH8/(AH8-AI8)*(AI6-AH6),10000000000))</f>
        <v>10000000000</v>
      </c>
      <c r="AJ9" s="507">
        <f t="shared" ca="1" si="8"/>
        <v>10000000000</v>
      </c>
      <c r="AK9" s="507">
        <f t="shared" ca="1" si="8"/>
        <v>10000000000</v>
      </c>
      <c r="AL9" s="507">
        <f t="shared" ca="1" si="8"/>
        <v>10000000000</v>
      </c>
      <c r="AM9" s="507">
        <f t="shared" ca="1" si="8"/>
        <v>10000000000</v>
      </c>
      <c r="AN9" s="507">
        <f t="shared" ca="1" si="8"/>
        <v>10000000000</v>
      </c>
      <c r="AO9" s="507">
        <f t="shared" ca="1" si="8"/>
        <v>10000000000</v>
      </c>
      <c r="AP9" s="507">
        <f t="shared" ca="1" si="8"/>
        <v>10000000000</v>
      </c>
      <c r="AQ9" s="507">
        <f t="shared" ca="1" si="8"/>
        <v>10000000000</v>
      </c>
      <c r="AR9" s="507">
        <f t="shared" ca="1" si="8"/>
        <v>10000000000</v>
      </c>
      <c r="AS9" s="507">
        <f t="shared" ca="1" si="8"/>
        <v>10000000000</v>
      </c>
      <c r="AT9" s="507">
        <f t="shared" ca="1" si="8"/>
        <v>10000000000</v>
      </c>
      <c r="AU9" s="507">
        <f t="shared" ca="1" si="8"/>
        <v>10000000000</v>
      </c>
      <c r="AV9" s="507">
        <f t="shared" ca="1" si="8"/>
        <v>10000000000</v>
      </c>
      <c r="AW9" s="507">
        <f t="shared" ca="1" si="8"/>
        <v>10000000000</v>
      </c>
      <c r="AX9" s="507">
        <f t="shared" ca="1" si="8"/>
        <v>10000000000</v>
      </c>
      <c r="AY9" s="507">
        <f t="shared" ca="1" si="8"/>
        <v>10000000000</v>
      </c>
      <c r="AZ9" s="507">
        <f t="shared" ca="1" si="8"/>
        <v>10000000000</v>
      </c>
      <c r="BA9" s="507">
        <f t="shared" ca="1" si="8"/>
        <v>10000000000</v>
      </c>
      <c r="BB9" s="507">
        <f t="shared" ca="1" si="8"/>
        <v>10000000000</v>
      </c>
      <c r="BC9" s="507">
        <f t="shared" ca="1" si="8"/>
        <v>10000000000</v>
      </c>
      <c r="BD9" s="507">
        <f t="shared" ca="1" si="8"/>
        <v>10000000000</v>
      </c>
      <c r="BE9" s="507">
        <f t="shared" ca="1" si="8"/>
        <v>10000000000</v>
      </c>
      <c r="BF9" s="507">
        <f t="shared" ca="1" si="8"/>
        <v>10000000000</v>
      </c>
      <c r="BG9" s="507">
        <f t="shared" ca="1" si="8"/>
        <v>0.30037683905341267</v>
      </c>
      <c r="BH9" s="507">
        <f t="shared" ca="1" si="8"/>
        <v>0.30037683905341267</v>
      </c>
      <c r="BI9" s="507">
        <f t="shared" ca="1" si="8"/>
        <v>0.30037683905341267</v>
      </c>
      <c r="BJ9" s="507">
        <f t="shared" ca="1" si="8"/>
        <v>0.30037683905341267</v>
      </c>
      <c r="BK9" s="507">
        <f t="shared" ca="1" si="8"/>
        <v>0.30037683905341267</v>
      </c>
      <c r="BL9" s="507">
        <f t="shared" ca="1" si="8"/>
        <v>0.30037683905341267</v>
      </c>
      <c r="BM9" s="507">
        <f t="shared" ca="1" si="8"/>
        <v>0.30037683905341267</v>
      </c>
      <c r="BN9" s="507">
        <f t="shared" ca="1" si="8"/>
        <v>0.30037683905341267</v>
      </c>
      <c r="BO9" s="507">
        <f t="shared" ca="1" si="8"/>
        <v>0.30037683905341267</v>
      </c>
      <c r="BP9" s="507">
        <f t="shared" ca="1" si="8"/>
        <v>0.30037683905341267</v>
      </c>
      <c r="BQ9" s="507">
        <f t="shared" ca="1" si="8"/>
        <v>0.30037683905341267</v>
      </c>
      <c r="BR9" s="507">
        <f t="shared" ca="1" si="8"/>
        <v>0.30037683905341267</v>
      </c>
      <c r="BS9" s="507">
        <f t="shared" ca="1" si="8"/>
        <v>0.30037683905341267</v>
      </c>
      <c r="BT9" s="507">
        <f t="shared" ca="1" si="8"/>
        <v>0.30037683905341267</v>
      </c>
      <c r="BU9" s="507">
        <f t="shared" ca="1" si="8"/>
        <v>0.30037683905341267</v>
      </c>
      <c r="BV9" s="507">
        <f t="shared" ca="1" si="8"/>
        <v>0.30037683905341267</v>
      </c>
      <c r="BW9" s="507">
        <f t="shared" ca="1" si="8"/>
        <v>0.30037683905341267</v>
      </c>
      <c r="BX9" s="507">
        <f t="shared" ca="1" si="8"/>
        <v>0.30037683905341267</v>
      </c>
      <c r="BY9" s="507">
        <f t="shared" ca="1" si="8"/>
        <v>0.30037683905341267</v>
      </c>
      <c r="BZ9" s="507">
        <f t="shared" ca="1" si="8"/>
        <v>0.30037683905341267</v>
      </c>
      <c r="CA9" s="507">
        <f t="shared" ca="1" si="8"/>
        <v>0.30037683905341267</v>
      </c>
      <c r="CB9" s="507">
        <f t="shared" ca="1" si="8"/>
        <v>0.30037683905341267</v>
      </c>
      <c r="CC9" s="507">
        <f t="shared" ca="1" si="8"/>
        <v>0.30037683905341267</v>
      </c>
      <c r="CD9" s="507">
        <f t="shared" ca="1" si="8"/>
        <v>0.30037683905341267</v>
      </c>
      <c r="CE9" s="507">
        <f t="shared" ca="1" si="8"/>
        <v>0.30037683905341267</v>
      </c>
      <c r="CF9" s="507">
        <f t="shared" ca="1" si="8"/>
        <v>0.30037683905341267</v>
      </c>
      <c r="CG9" s="507">
        <f t="shared" ca="1" si="8"/>
        <v>0.30037683905341267</v>
      </c>
      <c r="CH9" s="507">
        <f t="shared" ca="1" si="8"/>
        <v>0.30037683905341267</v>
      </c>
    </row>
    <row r="10" spans="1:86">
      <c r="A10" s="157">
        <f>'Success Cash Flow'!A10</f>
        <v>2015</v>
      </c>
      <c r="B10" s="255">
        <f>Revenue!S11</f>
        <v>0</v>
      </c>
      <c r="C10" s="255">
        <f>Revenue!T11</f>
        <v>0</v>
      </c>
      <c r="D10" s="255">
        <f>Revenue!U11</f>
        <v>0</v>
      </c>
      <c r="E10" s="255">
        <f>SUM(B10:D10)</f>
        <v>0</v>
      </c>
      <c r="F10" s="255">
        <f>Exploration!X35</f>
        <v>0</v>
      </c>
      <c r="G10" s="255">
        <f>Development!BX91</f>
        <v>633.95620452669152</v>
      </c>
      <c r="H10" s="255">
        <f>Abandonment!K16</f>
        <v>0</v>
      </c>
      <c r="I10" s="255">
        <f>Operations!P19</f>
        <v>0</v>
      </c>
      <c r="J10" s="255">
        <f t="shared" ref="J10:J49" si="9">SUM(F10:I10)</f>
        <v>633.95620452669152</v>
      </c>
      <c r="K10" s="255">
        <f t="shared" ref="K10:K49" si="10">E10-J10</f>
        <v>-633.95620452669152</v>
      </c>
      <c r="L10" s="255">
        <f>Royalty!AM12*Development!$BP$88</f>
        <v>0</v>
      </c>
      <c r="M10" s="255">
        <f>'Provincial Tax'!X10*Development!$BP$88</f>
        <v>-6.9854608901269284</v>
      </c>
      <c r="N10" s="255">
        <f>'Federal Tax'!X11*Development!$BP$88</f>
        <v>-9.6573996806004789</v>
      </c>
      <c r="O10" s="255">
        <f t="shared" ref="O10:O49" si="11">SUM(L10:N10)</f>
        <v>-16.642860570727407</v>
      </c>
      <c r="P10" s="255">
        <f t="shared" ref="P10:P49" si="12">K10-O10</f>
        <v>-617.31334395596411</v>
      </c>
      <c r="Q10" s="217"/>
      <c r="R10" s="217"/>
      <c r="S10" s="500"/>
      <c r="T10" s="500"/>
      <c r="U10" s="500"/>
      <c r="V10" s="500"/>
      <c r="W10" s="500"/>
      <c r="X10" s="500"/>
      <c r="Y10" s="496"/>
      <c r="Z10" s="496"/>
      <c r="AA10" s="496"/>
      <c r="AB10" s="504"/>
      <c r="AC10" s="501">
        <f>IF(Thresholds!$E$1=Lists!$A$8,Exploration!U35,IF(Thresholds!$E$1=Lists!$A$9,Exploration!V35,IF(Thresholds!$E$1=Lists!$A$10,Exploration!W35,IF(Thresholds!$E$1=Lists!$A$11,Development!AV91,Development!BE91-Development!AV91))))</f>
        <v>633.95620452669152</v>
      </c>
      <c r="AD10" s="501">
        <f t="shared" ref="AD10:AD49" si="13">F10+G10</f>
        <v>633.95620452669152</v>
      </c>
      <c r="AE10" s="501"/>
      <c r="AF10" s="509">
        <f ca="1">IF(OR($A10="",$A10&lt;$AG$2-1),1,IF($A10=$AG$2-1,AG$7,1/(1+AG$6)^($A10-$AG$2+0.5+$AI$1)))</f>
        <v>0.95346258924559224</v>
      </c>
      <c r="AG10" s="509">
        <f t="shared" ref="AG10:AV25" ca="1" si="14">IF(OR($A10="",$A10&lt;$AG$2-1),0,IF($A10=$AG$2-1,AG$7,1/(1+AG$6)^($A10-$AG$2+0.5+$AI$1)))</f>
        <v>0.95346258924559224</v>
      </c>
      <c r="AH10" s="509">
        <f t="shared" ca="1" si="14"/>
        <v>9.9999999999999947</v>
      </c>
      <c r="AI10" s="509">
        <f t="shared" ca="1" si="14"/>
        <v>3.16227766016838</v>
      </c>
      <c r="AJ10" s="509">
        <f t="shared" ca="1" si="14"/>
        <v>2.2360679774997902</v>
      </c>
      <c r="AK10" s="509">
        <f t="shared" ca="1" si="14"/>
        <v>1.8257418583505538</v>
      </c>
      <c r="AL10" s="509">
        <f t="shared" ca="1" si="14"/>
        <v>1.58113883008419</v>
      </c>
      <c r="AM10" s="509">
        <f t="shared" ca="1" si="14"/>
        <v>1.4142135623730951</v>
      </c>
      <c r="AN10" s="509">
        <f t="shared" ca="1" si="14"/>
        <v>1.2909944487358058</v>
      </c>
      <c r="AO10" s="509">
        <f t="shared" ca="1" si="14"/>
        <v>1.1952286093343938</v>
      </c>
      <c r="AP10" s="509">
        <f t="shared" ca="1" si="14"/>
        <v>1.1180339887498951</v>
      </c>
      <c r="AQ10" s="509">
        <f t="shared" ca="1" si="14"/>
        <v>1.0540925533894598</v>
      </c>
      <c r="AR10" s="509">
        <f t="shared" ca="1" si="14"/>
        <v>1</v>
      </c>
      <c r="AS10" s="509">
        <f t="shared" ca="1" si="14"/>
        <v>0.99503719020998926</v>
      </c>
      <c r="AT10" s="509">
        <f t="shared" ca="1" si="14"/>
        <v>0.99014754297667451</v>
      </c>
      <c r="AU10" s="509">
        <f t="shared" ca="1" si="14"/>
        <v>0.98532927816429317</v>
      </c>
      <c r="AV10" s="509">
        <f t="shared" ca="1" si="14"/>
        <v>0.98058067569092033</v>
      </c>
      <c r="AW10" s="509">
        <f t="shared" ref="AW10:BL25" ca="1" si="15">IF(OR($A10="",$A10&lt;$AG$2-1),0,IF($A10=$AG$2-1,AW$7,1/(1+AW$6)^($A10-$AG$2+0.5+$AI$1)))</f>
        <v>0.97590007294853331</v>
      </c>
      <c r="AX10" s="509">
        <f t="shared" ca="1" si="15"/>
        <v>0.97128586235726422</v>
      </c>
      <c r="AY10" s="509">
        <f t="shared" ca="1" si="15"/>
        <v>0.96673648904566356</v>
      </c>
      <c r="AZ10" s="509">
        <f t="shared" ca="1" si="15"/>
        <v>0.96225044864937637</v>
      </c>
      <c r="BA10" s="509">
        <f t="shared" ca="1" si="15"/>
        <v>0.95782628522115154</v>
      </c>
      <c r="BB10" s="509">
        <f t="shared" ca="1" si="15"/>
        <v>0.95346258924559246</v>
      </c>
      <c r="BC10" s="509">
        <f t="shared" ca="1" si="15"/>
        <v>0.93250480824031379</v>
      </c>
      <c r="BD10" s="509">
        <f t="shared" ca="1" si="15"/>
        <v>0.9128709291752769</v>
      </c>
      <c r="BE10" s="509">
        <f t="shared" ca="1" si="15"/>
        <v>0.89442719099991597</v>
      </c>
      <c r="BF10" s="509">
        <f t="shared" ca="1" si="15"/>
        <v>0.87705801930702931</v>
      </c>
      <c r="BG10" s="509">
        <f t="shared" ca="1" si="15"/>
        <v>0.86066296582387036</v>
      </c>
      <c r="BH10" s="509">
        <f t="shared" ca="1" si="15"/>
        <v>0.84515425472851657</v>
      </c>
      <c r="BI10" s="509">
        <f t="shared" ca="1" si="15"/>
        <v>0.81649658092772615</v>
      </c>
      <c r="BJ10" s="509">
        <f t="shared" ca="1" si="15"/>
        <v>0.79056941504209499</v>
      </c>
      <c r="BK10" s="509">
        <f t="shared" ca="1" si="15"/>
        <v>0.76696498884737041</v>
      </c>
      <c r="BL10" s="509">
        <f t="shared" ca="1" si="15"/>
        <v>0.7453559924999299</v>
      </c>
      <c r="BM10" s="509">
        <f t="shared" ref="BM10:CB25" ca="1" si="16">IF(OR($A10="",$A10&lt;$AG$2-1),0,IF($A10=$AG$2-1,BM$7,1/(1+BM$6)^($A10-$AG$2+0.5+$AI$1)))</f>
        <v>0.72547625011001171</v>
      </c>
      <c r="BN10" s="509">
        <f t="shared" ca="1" si="16"/>
        <v>0.70710678118654757</v>
      </c>
      <c r="BO10" s="509">
        <f t="shared" ca="1" si="16"/>
        <v>0.69006555934235425</v>
      </c>
      <c r="BP10" s="509">
        <f t="shared" ca="1" si="16"/>
        <v>0.67419986246324215</v>
      </c>
      <c r="BQ10" s="509">
        <f t="shared" ca="1" si="16"/>
        <v>0.65938047339578709</v>
      </c>
      <c r="BR10" s="509">
        <f t="shared" ca="1" si="16"/>
        <v>0.6454972243679028</v>
      </c>
      <c r="BS10" s="509">
        <f t="shared" ca="1" si="16"/>
        <v>0.63245553203367588</v>
      </c>
      <c r="BT10" s="509">
        <f t="shared" ca="1" si="16"/>
        <v>0.6201736729460422</v>
      </c>
      <c r="BU10" s="509">
        <f t="shared" ca="1" si="16"/>
        <v>0.60858061945018449</v>
      </c>
      <c r="BV10" s="509">
        <f t="shared" ca="1" si="16"/>
        <v>0.59761430466719678</v>
      </c>
      <c r="BW10" s="509">
        <f t="shared" ca="1" si="16"/>
        <v>0.58722021951470349</v>
      </c>
      <c r="BX10" s="509">
        <f t="shared" ca="1" si="16"/>
        <v>0.57735026918962573</v>
      </c>
      <c r="BY10" s="509">
        <f t="shared" ca="1" si="16"/>
        <v>0.53452248382484868</v>
      </c>
      <c r="BZ10" s="509">
        <f t="shared" ca="1" si="16"/>
        <v>0.5</v>
      </c>
      <c r="CA10" s="509">
        <f t="shared" ca="1" si="16"/>
        <v>0.47140452079103173</v>
      </c>
      <c r="CB10" s="509">
        <f t="shared" ca="1" si="16"/>
        <v>0.42640143271122083</v>
      </c>
      <c r="CC10" s="509">
        <f t="shared" ref="CC10:CH19" ca="1" si="17">IF(OR($A10="",$A10&lt;$AG$2-1),0,IF($A10=$AG$2-1,CC$7,1/(1+CC$6)^($A10-$AG$2+0.5+$AI$1)))</f>
        <v>0.39223227027636809</v>
      </c>
      <c r="CD10" s="509">
        <f t="shared" ca="1" si="17"/>
        <v>0.36514837167011072</v>
      </c>
      <c r="CE10" s="509">
        <f t="shared" ca="1" si="17"/>
        <v>0.34299717028501764</v>
      </c>
      <c r="CF10" s="509">
        <f t="shared" ca="1" si="17"/>
        <v>0.32444284226152509</v>
      </c>
      <c r="CG10" s="509">
        <f t="shared" ca="1" si="17"/>
        <v>0.30860669992418382</v>
      </c>
      <c r="CH10" s="509">
        <f t="shared" ca="1" si="17"/>
        <v>0.29488391230979427</v>
      </c>
    </row>
    <row r="11" spans="1:86">
      <c r="A11" s="159">
        <f>IF(OR(A10=Abandonment!$B$4,A10=""),"",'Success Cash Flow'!A10+1)</f>
        <v>2016</v>
      </c>
      <c r="B11" s="257">
        <f>Revenue!S12</f>
        <v>0</v>
      </c>
      <c r="C11" s="257">
        <f>Revenue!T12</f>
        <v>0</v>
      </c>
      <c r="D11" s="257">
        <f>Revenue!U12</f>
        <v>0</v>
      </c>
      <c r="E11" s="257">
        <f t="shared" ref="E11:E49" si="18">SUM(B11:D11)</f>
        <v>0</v>
      </c>
      <c r="F11" s="257">
        <f>Exploration!X36</f>
        <v>0</v>
      </c>
      <c r="G11" s="257">
        <f>Development!BX92</f>
        <v>3223.0407310709552</v>
      </c>
      <c r="H11" s="257">
        <f>Abandonment!K17</f>
        <v>0</v>
      </c>
      <c r="I11" s="257">
        <f>Operations!P20</f>
        <v>0</v>
      </c>
      <c r="J11" s="257">
        <f t="shared" si="9"/>
        <v>3223.0407310709552</v>
      </c>
      <c r="K11" s="257">
        <f t="shared" si="10"/>
        <v>-3223.0407310709552</v>
      </c>
      <c r="L11" s="257">
        <f>Royalty!AM13*Development!$BP$88</f>
        <v>0</v>
      </c>
      <c r="M11" s="257">
        <f>'Provincial Tax'!X11*Development!$BP$88</f>
        <v>-25.077497244263874</v>
      </c>
      <c r="N11" s="257">
        <f>'Federal Tax'!X12*Development!$BP$88</f>
        <v>-32.130543344213088</v>
      </c>
      <c r="O11" s="257">
        <f t="shared" si="11"/>
        <v>-57.208040588476962</v>
      </c>
      <c r="P11" s="257">
        <f t="shared" si="12"/>
        <v>-3165.832690482478</v>
      </c>
      <c r="Q11" s="217"/>
      <c r="R11" s="217"/>
      <c r="S11" s="500"/>
      <c r="T11" s="500"/>
      <c r="U11" s="500"/>
      <c r="V11" s="500"/>
      <c r="W11" s="500"/>
      <c r="X11" s="500"/>
      <c r="Y11" s="496"/>
      <c r="Z11" s="496"/>
      <c r="AA11" s="496"/>
      <c r="AB11" s="505"/>
      <c r="AC11" s="501">
        <f>IF(Thresholds!$E$1=Lists!$A$8,Exploration!U36,IF(Thresholds!$E$1=Lists!$A$9,Exploration!V36,IF(Thresholds!$E$1=Lists!$A$10,Exploration!W36,IF(Thresholds!$E$1=Lists!$A$11,Development!AV92,Development!BE92-Development!AV92))))</f>
        <v>3223.0407310709552</v>
      </c>
      <c r="AD11" s="501">
        <f t="shared" si="13"/>
        <v>3223.0407310709552</v>
      </c>
      <c r="AE11" s="501"/>
      <c r="AF11" s="509">
        <f t="shared" ref="AF11:AF41" ca="1" si="19">IF(OR($A11="",$A11&lt;$AG$2-1),1,IF($A11=$AG$2-1,AG$7,1/(1+AG$6)^($A11-$AG$2+0.5+$AI$1)))</f>
        <v>0.86678417204144742</v>
      </c>
      <c r="AG11" s="509">
        <f t="shared" ca="1" si="14"/>
        <v>0.86678417204144742</v>
      </c>
      <c r="AH11" s="509">
        <f t="shared" ca="1" si="14"/>
        <v>999.99999999999977</v>
      </c>
      <c r="AI11" s="509">
        <f t="shared" ca="1" si="14"/>
        <v>31.622776601683803</v>
      </c>
      <c r="AJ11" s="509">
        <f t="shared" ca="1" si="14"/>
        <v>11.180339887498951</v>
      </c>
      <c r="AK11" s="509">
        <f t="shared" ca="1" si="14"/>
        <v>6.0858061945018473</v>
      </c>
      <c r="AL11" s="509">
        <f t="shared" ca="1" si="14"/>
        <v>3.9528470752104763</v>
      </c>
      <c r="AM11" s="509">
        <f t="shared" ca="1" si="14"/>
        <v>2.8284271247461912</v>
      </c>
      <c r="AN11" s="509">
        <f t="shared" ca="1" si="14"/>
        <v>2.151657414559677</v>
      </c>
      <c r="AO11" s="509">
        <f t="shared" ca="1" si="14"/>
        <v>1.7074694419062773</v>
      </c>
      <c r="AP11" s="509">
        <f t="shared" ca="1" si="14"/>
        <v>1.3975424859373691</v>
      </c>
      <c r="AQ11" s="509">
        <f t="shared" ca="1" si="14"/>
        <v>1.1712139482105111</v>
      </c>
      <c r="AR11" s="509">
        <f t="shared" ca="1" si="14"/>
        <v>1.0000000000000002</v>
      </c>
      <c r="AS11" s="509">
        <f t="shared" ca="1" si="14"/>
        <v>0.98518533684157361</v>
      </c>
      <c r="AT11" s="509">
        <f t="shared" ca="1" si="14"/>
        <v>0.97073288527124968</v>
      </c>
      <c r="AU11" s="509">
        <f t="shared" ca="1" si="14"/>
        <v>0.95663036714979954</v>
      </c>
      <c r="AV11" s="509">
        <f t="shared" ca="1" si="14"/>
        <v>0.94286603431819271</v>
      </c>
      <c r="AW11" s="509">
        <f t="shared" ca="1" si="15"/>
        <v>0.92942864090336508</v>
      </c>
      <c r="AX11" s="509">
        <f t="shared" ca="1" si="15"/>
        <v>0.916307417318174</v>
      </c>
      <c r="AY11" s="509">
        <f t="shared" ca="1" si="15"/>
        <v>0.90349204583706899</v>
      </c>
      <c r="AZ11" s="509">
        <f t="shared" ca="1" si="15"/>
        <v>0.89097263763831147</v>
      </c>
      <c r="BA11" s="509">
        <f t="shared" ca="1" si="15"/>
        <v>0.87873971121206562</v>
      </c>
      <c r="BB11" s="509">
        <f t="shared" ca="1" si="15"/>
        <v>0.86678417204144775</v>
      </c>
      <c r="BC11" s="509">
        <f t="shared" ca="1" si="15"/>
        <v>0.81087374629592512</v>
      </c>
      <c r="BD11" s="509">
        <f t="shared" ca="1" si="15"/>
        <v>0.76072577431273092</v>
      </c>
      <c r="BE11" s="509">
        <f t="shared" ca="1" si="15"/>
        <v>0.71554175279993293</v>
      </c>
      <c r="BF11" s="509">
        <f t="shared" ca="1" si="15"/>
        <v>0.67466001485156102</v>
      </c>
      <c r="BG11" s="509">
        <f t="shared" ca="1" si="15"/>
        <v>0.63752812283249671</v>
      </c>
      <c r="BH11" s="509">
        <f t="shared" ca="1" si="15"/>
        <v>0.60368161052036906</v>
      </c>
      <c r="BI11" s="509">
        <f t="shared" ca="1" si="15"/>
        <v>0.54433105395181747</v>
      </c>
      <c r="BJ11" s="509">
        <f t="shared" ca="1" si="15"/>
        <v>0.49410588440130943</v>
      </c>
      <c r="BK11" s="509">
        <f t="shared" ca="1" si="15"/>
        <v>0.45115587579257094</v>
      </c>
      <c r="BL11" s="509">
        <f t="shared" ca="1" si="15"/>
        <v>0.41408666249996112</v>
      </c>
      <c r="BM11" s="509">
        <f t="shared" ca="1" si="16"/>
        <v>0.38182960532105892</v>
      </c>
      <c r="BN11" s="509">
        <f t="shared" ca="1" si="16"/>
        <v>0.35355339059327384</v>
      </c>
      <c r="BO11" s="509">
        <f t="shared" ca="1" si="16"/>
        <v>0.32860264730588307</v>
      </c>
      <c r="BP11" s="509">
        <f t="shared" ca="1" si="16"/>
        <v>0.30645448293783739</v>
      </c>
      <c r="BQ11" s="509">
        <f t="shared" ca="1" si="16"/>
        <v>0.2866871623459944</v>
      </c>
      <c r="BR11" s="509">
        <f t="shared" ca="1" si="16"/>
        <v>0.26895717681995956</v>
      </c>
      <c r="BS11" s="509">
        <f t="shared" ca="1" si="16"/>
        <v>0.25298221281347033</v>
      </c>
      <c r="BT11" s="509">
        <f t="shared" ca="1" si="16"/>
        <v>0.23852833574847779</v>
      </c>
      <c r="BU11" s="509">
        <f t="shared" ca="1" si="16"/>
        <v>0.22540022942599425</v>
      </c>
      <c r="BV11" s="509">
        <f t="shared" ca="1" si="16"/>
        <v>0.21343368023828452</v>
      </c>
      <c r="BW11" s="509">
        <f t="shared" ca="1" si="16"/>
        <v>0.20248973086713914</v>
      </c>
      <c r="BX11" s="509">
        <f t="shared" ca="1" si="16"/>
        <v>0.19245008972987526</v>
      </c>
      <c r="BY11" s="509">
        <f t="shared" ca="1" si="16"/>
        <v>0.15272070966424248</v>
      </c>
      <c r="BZ11" s="509">
        <f t="shared" ca="1" si="16"/>
        <v>0.12500000000000003</v>
      </c>
      <c r="CA11" s="509">
        <f t="shared" ca="1" si="16"/>
        <v>0.10475656017578483</v>
      </c>
      <c r="CB11" s="509">
        <f t="shared" ca="1" si="16"/>
        <v>7.7527533220221975E-2</v>
      </c>
      <c r="CC11" s="509">
        <f t="shared" ca="1" si="17"/>
        <v>6.0343426196364305E-2</v>
      </c>
      <c r="CD11" s="509">
        <f t="shared" ca="1" si="17"/>
        <v>4.8686449556014783E-2</v>
      </c>
      <c r="CE11" s="509">
        <f t="shared" ca="1" si="17"/>
        <v>4.0352608268825606E-2</v>
      </c>
      <c r="CF11" s="509">
        <f t="shared" ca="1" si="17"/>
        <v>3.41518781327921E-2</v>
      </c>
      <c r="CG11" s="509">
        <f t="shared" ca="1" si="17"/>
        <v>2.9391114278493693E-2</v>
      </c>
      <c r="CH11" s="509">
        <f t="shared" ca="1" si="17"/>
        <v>2.5642079331286462E-2</v>
      </c>
    </row>
    <row r="12" spans="1:86">
      <c r="A12" s="159">
        <f>IF(OR(A11=Abandonment!$B$4,A11=""),"",'Success Cash Flow'!A11+1)</f>
        <v>2017</v>
      </c>
      <c r="B12" s="257">
        <f>Revenue!S13</f>
        <v>286.56373974729763</v>
      </c>
      <c r="C12" s="257">
        <f>Revenue!T13</f>
        <v>1726.0877394160855</v>
      </c>
      <c r="D12" s="257">
        <f>Revenue!U13</f>
        <v>0</v>
      </c>
      <c r="E12" s="257">
        <f t="shared" si="18"/>
        <v>2012.6514791633831</v>
      </c>
      <c r="F12" s="257">
        <f>Exploration!X37</f>
        <v>0</v>
      </c>
      <c r="G12" s="257">
        <f>Development!BX93</f>
        <v>1415.8525897817603</v>
      </c>
      <c r="H12" s="257">
        <f>Abandonment!K18</f>
        <v>0</v>
      </c>
      <c r="I12" s="257">
        <f>Operations!P21</f>
        <v>274.04317319241773</v>
      </c>
      <c r="J12" s="257">
        <f t="shared" si="9"/>
        <v>1689.8957629741781</v>
      </c>
      <c r="K12" s="257">
        <f t="shared" si="10"/>
        <v>322.75571618920503</v>
      </c>
      <c r="L12" s="257">
        <f>Royalty!AM14*Development!$BP$88</f>
        <v>40.253029583267661</v>
      </c>
      <c r="M12" s="257">
        <f>'Provincial Tax'!X12*Development!$BP$88</f>
        <v>131.93213601801324</v>
      </c>
      <c r="N12" s="257">
        <f>'Federal Tax'!X13*Development!$BP$88</f>
        <v>164.91517002251655</v>
      </c>
      <c r="O12" s="257">
        <f t="shared" si="11"/>
        <v>337.10033562379749</v>
      </c>
      <c r="P12" s="257">
        <f t="shared" si="12"/>
        <v>-14.34461943459246</v>
      </c>
      <c r="Q12" s="217"/>
      <c r="R12" s="217"/>
      <c r="S12" s="500"/>
      <c r="T12" s="500"/>
      <c r="U12" s="500"/>
      <c r="V12" s="500"/>
      <c r="W12" s="500"/>
      <c r="X12" s="500"/>
      <c r="Y12" s="496"/>
      <c r="Z12" s="496"/>
      <c r="AA12" s="496"/>
      <c r="AB12" s="496"/>
      <c r="AC12" s="501">
        <f>IF(Thresholds!$E$1=Lists!$A$8,Exploration!U37,IF(Thresholds!$E$1=Lists!$A$9,Exploration!V37,IF(Thresholds!$E$1=Lists!$A$10,Exploration!W37,IF(Thresholds!$E$1=Lists!$A$11,Development!AV93,Development!BE93-Development!AV93))))</f>
        <v>1415.8525897817603</v>
      </c>
      <c r="AD12" s="501">
        <f t="shared" si="13"/>
        <v>1415.8525897817603</v>
      </c>
      <c r="AE12" s="501"/>
      <c r="AF12" s="509">
        <f t="shared" ca="1" si="19"/>
        <v>0.78798561094677033</v>
      </c>
      <c r="AG12" s="509">
        <f t="shared" ca="1" si="14"/>
        <v>0.78798561094677033</v>
      </c>
      <c r="AH12" s="509">
        <f t="shared" ca="1" si="14"/>
        <v>99999.99999999984</v>
      </c>
      <c r="AI12" s="509">
        <f t="shared" ca="1" si="14"/>
        <v>316.22776601683825</v>
      </c>
      <c r="AJ12" s="509">
        <f t="shared" ca="1" si="14"/>
        <v>55.901699437494734</v>
      </c>
      <c r="AK12" s="509">
        <f t="shared" ca="1" si="14"/>
        <v>20.286020648339491</v>
      </c>
      <c r="AL12" s="509">
        <f t="shared" ca="1" si="14"/>
        <v>9.8821176880261898</v>
      </c>
      <c r="AM12" s="509">
        <f t="shared" ca="1" si="14"/>
        <v>5.6568542494923824</v>
      </c>
      <c r="AN12" s="509">
        <f t="shared" ca="1" si="14"/>
        <v>3.5860956909327961</v>
      </c>
      <c r="AO12" s="509">
        <f t="shared" ca="1" si="14"/>
        <v>2.4392420598661109</v>
      </c>
      <c r="AP12" s="509">
        <f t="shared" ca="1" si="14"/>
        <v>1.7469281074217116</v>
      </c>
      <c r="AQ12" s="509">
        <f t="shared" ca="1" si="14"/>
        <v>1.3013488313450123</v>
      </c>
      <c r="AR12" s="509">
        <f t="shared" ca="1" si="14"/>
        <v>1.0000000000000002</v>
      </c>
      <c r="AS12" s="509">
        <f t="shared" ca="1" si="14"/>
        <v>0.97543102657581571</v>
      </c>
      <c r="AT12" s="509">
        <f t="shared" ca="1" si="14"/>
        <v>0.95169890712867622</v>
      </c>
      <c r="AU12" s="509">
        <f t="shared" ca="1" si="14"/>
        <v>0.92876734674737815</v>
      </c>
      <c r="AV12" s="509">
        <f t="shared" ca="1" si="14"/>
        <v>0.90660195607518546</v>
      </c>
      <c r="AW12" s="509">
        <f t="shared" ca="1" si="15"/>
        <v>0.88517013419368129</v>
      </c>
      <c r="AX12" s="509">
        <f t="shared" ca="1" si="15"/>
        <v>0.86444095973412649</v>
      </c>
      <c r="AY12" s="509">
        <f t="shared" ca="1" si="15"/>
        <v>0.84438508956735436</v>
      </c>
      <c r="AZ12" s="509">
        <f t="shared" ca="1" si="15"/>
        <v>0.8249746644799183</v>
      </c>
      <c r="BA12" s="509">
        <f t="shared" ca="1" si="15"/>
        <v>0.80618322129547315</v>
      </c>
      <c r="BB12" s="509">
        <f t="shared" ca="1" si="15"/>
        <v>0.78798561094677078</v>
      </c>
      <c r="BC12" s="509">
        <f t="shared" ca="1" si="15"/>
        <v>0.70510760547471751</v>
      </c>
      <c r="BD12" s="509">
        <f t="shared" ca="1" si="15"/>
        <v>0.63393814526060932</v>
      </c>
      <c r="BE12" s="509">
        <f t="shared" ca="1" si="15"/>
        <v>0.57243340223994643</v>
      </c>
      <c r="BF12" s="509">
        <f t="shared" ca="1" si="15"/>
        <v>0.5189692421935086</v>
      </c>
      <c r="BG12" s="509">
        <f t="shared" ca="1" si="15"/>
        <v>0.47224305394999755</v>
      </c>
      <c r="BH12" s="509">
        <f t="shared" ca="1" si="15"/>
        <v>0.4312011503716921</v>
      </c>
      <c r="BI12" s="509">
        <f t="shared" ca="1" si="15"/>
        <v>0.36288736930121168</v>
      </c>
      <c r="BJ12" s="509">
        <f t="shared" ca="1" si="15"/>
        <v>0.30881617775081843</v>
      </c>
      <c r="BK12" s="509">
        <f t="shared" ca="1" si="15"/>
        <v>0.26538580928974764</v>
      </c>
      <c r="BL12" s="509">
        <f t="shared" ca="1" si="15"/>
        <v>0.23004814583331173</v>
      </c>
      <c r="BM12" s="509">
        <f t="shared" ca="1" si="16"/>
        <v>0.20096295016897842</v>
      </c>
      <c r="BN12" s="509">
        <f t="shared" ca="1" si="16"/>
        <v>0.176776695296637</v>
      </c>
      <c r="BO12" s="509">
        <f t="shared" ca="1" si="16"/>
        <v>0.15647745109803959</v>
      </c>
      <c r="BP12" s="509">
        <f t="shared" ca="1" si="16"/>
        <v>0.13929749224447152</v>
      </c>
      <c r="BQ12" s="509">
        <f t="shared" ca="1" si="16"/>
        <v>0.1246465923243454</v>
      </c>
      <c r="BR12" s="509">
        <f t="shared" ca="1" si="16"/>
        <v>0.11206549034164978</v>
      </c>
      <c r="BS12" s="509">
        <f t="shared" ca="1" si="16"/>
        <v>0.10119288512538813</v>
      </c>
      <c r="BT12" s="509">
        <f t="shared" ca="1" si="16"/>
        <v>9.1741667595568399E-2</v>
      </c>
      <c r="BU12" s="509">
        <f t="shared" ca="1" si="16"/>
        <v>8.3481566454071954E-2</v>
      </c>
      <c r="BV12" s="509">
        <f t="shared" ca="1" si="16"/>
        <v>7.6226314370815895E-2</v>
      </c>
      <c r="BW12" s="509">
        <f t="shared" ca="1" si="16"/>
        <v>6.9824045126599676E-2</v>
      </c>
      <c r="BX12" s="509">
        <f t="shared" ca="1" si="16"/>
        <v>6.4150029909958398E-2</v>
      </c>
      <c r="BY12" s="509">
        <f t="shared" ca="1" si="16"/>
        <v>4.3634488475497848E-2</v>
      </c>
      <c r="BZ12" s="509">
        <f t="shared" ca="1" si="16"/>
        <v>3.125E-2</v>
      </c>
      <c r="CA12" s="509">
        <f t="shared" ca="1" si="16"/>
        <v>2.3279235594618839E-2</v>
      </c>
      <c r="CB12" s="509">
        <f t="shared" ca="1" si="16"/>
        <v>1.409591513094945E-2</v>
      </c>
      <c r="CC12" s="509">
        <f t="shared" ca="1" si="17"/>
        <v>9.2836040302098997E-3</v>
      </c>
      <c r="CD12" s="509">
        <f t="shared" ca="1" si="17"/>
        <v>6.4915266074686354E-3</v>
      </c>
      <c r="CE12" s="509">
        <f t="shared" ca="1" si="17"/>
        <v>4.7473656786853639E-3</v>
      </c>
      <c r="CF12" s="509">
        <f t="shared" ca="1" si="17"/>
        <v>3.5949345402939061E-3</v>
      </c>
      <c r="CG12" s="509">
        <f t="shared" ca="1" si="17"/>
        <v>2.799153740808925E-3</v>
      </c>
      <c r="CH12" s="509">
        <f t="shared" ca="1" si="17"/>
        <v>2.2297460288075188E-3</v>
      </c>
    </row>
    <row r="13" spans="1:86">
      <c r="A13" s="159">
        <f>IF(OR(A12=Abandonment!$B$4,A12=""),"",'Success Cash Flow'!A12+1)</f>
        <v>2018</v>
      </c>
      <c r="B13" s="257">
        <f>Revenue!S14</f>
        <v>463.76533570517643</v>
      </c>
      <c r="C13" s="257">
        <f>Revenue!T14</f>
        <v>2623.2163235294111</v>
      </c>
      <c r="D13" s="257">
        <f>Revenue!U14</f>
        <v>0</v>
      </c>
      <c r="E13" s="257">
        <f t="shared" si="18"/>
        <v>3086.9816592345874</v>
      </c>
      <c r="F13" s="257">
        <f>Exploration!X38</f>
        <v>0</v>
      </c>
      <c r="G13" s="257">
        <f>Development!BX94</f>
        <v>0</v>
      </c>
      <c r="H13" s="257">
        <f>Abandonment!K19</f>
        <v>0</v>
      </c>
      <c r="I13" s="257">
        <f>Operations!P22</f>
        <v>346.03421619318482</v>
      </c>
      <c r="J13" s="257">
        <f t="shared" si="9"/>
        <v>346.03421619318482</v>
      </c>
      <c r="K13" s="257">
        <f t="shared" si="10"/>
        <v>2740.9474430414025</v>
      </c>
      <c r="L13" s="257">
        <f>Royalty!AM15*Development!$BP$88</f>
        <v>61.739633184691748</v>
      </c>
      <c r="M13" s="257">
        <f>'Provincial Tax'!X13*Development!$BP$88</f>
        <v>247.40117278625877</v>
      </c>
      <c r="N13" s="257">
        <f>'Federal Tax'!X14*Development!$BP$88</f>
        <v>364.53741232261257</v>
      </c>
      <c r="O13" s="257">
        <f t="shared" si="11"/>
        <v>673.67821829356308</v>
      </c>
      <c r="P13" s="257">
        <f t="shared" si="12"/>
        <v>2067.2692247478394</v>
      </c>
      <c r="Q13" s="217"/>
      <c r="R13" s="217"/>
      <c r="S13" s="500"/>
      <c r="T13" s="500"/>
      <c r="U13" s="500"/>
      <c r="V13" s="500"/>
      <c r="W13" s="500"/>
      <c r="X13" s="500"/>
      <c r="Y13" s="496"/>
      <c r="Z13" s="496"/>
      <c r="AA13" s="496"/>
      <c r="AB13" s="496"/>
      <c r="AC13" s="501">
        <f>IF(Thresholds!$E$1=Lists!$A$8,Exploration!U38,IF(Thresholds!$E$1=Lists!$A$9,Exploration!V38,IF(Thresholds!$E$1=Lists!$A$10,Exploration!W38,IF(Thresholds!$E$1=Lists!$A$11,Development!AV94,Development!BE94-Development!AV94))))</f>
        <v>0</v>
      </c>
      <c r="AD13" s="501">
        <f t="shared" si="13"/>
        <v>0</v>
      </c>
      <c r="AE13" s="501"/>
      <c r="AF13" s="509">
        <f t="shared" ca="1" si="19"/>
        <v>0.71635055540615489</v>
      </c>
      <c r="AG13" s="509">
        <f t="shared" ca="1" si="14"/>
        <v>0.71635055540615489</v>
      </c>
      <c r="AH13" s="509">
        <f t="shared" ca="1" si="14"/>
        <v>9999999.9999999721</v>
      </c>
      <c r="AI13" s="509">
        <f t="shared" ca="1" si="14"/>
        <v>3162.2776601683804</v>
      </c>
      <c r="AJ13" s="509">
        <f t="shared" ca="1" si="14"/>
        <v>279.50849718747395</v>
      </c>
      <c r="AK13" s="509">
        <f t="shared" ca="1" si="14"/>
        <v>67.62006882779832</v>
      </c>
      <c r="AL13" s="509">
        <f t="shared" ca="1" si="14"/>
        <v>24.70529422006549</v>
      </c>
      <c r="AM13" s="509">
        <f t="shared" ca="1" si="14"/>
        <v>11.313708498984768</v>
      </c>
      <c r="AN13" s="509">
        <f t="shared" ca="1" si="14"/>
        <v>5.9768261515546612</v>
      </c>
      <c r="AO13" s="509">
        <f t="shared" ca="1" si="14"/>
        <v>3.484631514094445</v>
      </c>
      <c r="AP13" s="509">
        <f t="shared" ca="1" si="14"/>
        <v>2.1836601342771402</v>
      </c>
      <c r="AQ13" s="509">
        <f t="shared" ca="1" si="14"/>
        <v>1.4459431459389029</v>
      </c>
      <c r="AR13" s="509">
        <f t="shared" ca="1" si="14"/>
        <v>1.0000000000000004</v>
      </c>
      <c r="AS13" s="509">
        <f t="shared" ca="1" si="14"/>
        <v>0.96577329363942166</v>
      </c>
      <c r="AT13" s="509">
        <f t="shared" ca="1" si="14"/>
        <v>0.93303814424380038</v>
      </c>
      <c r="AU13" s="509">
        <f t="shared" ca="1" si="14"/>
        <v>0.90171587062852288</v>
      </c>
      <c r="AV13" s="509">
        <f t="shared" ca="1" si="14"/>
        <v>0.87173265007229384</v>
      </c>
      <c r="AW13" s="509">
        <f t="shared" ca="1" si="15"/>
        <v>0.84301917542255367</v>
      </c>
      <c r="AX13" s="509">
        <f t="shared" ca="1" si="15"/>
        <v>0.81551033937181772</v>
      </c>
      <c r="AY13" s="509">
        <f t="shared" ca="1" si="15"/>
        <v>0.78914494352089193</v>
      </c>
      <c r="AZ13" s="509">
        <f t="shared" ca="1" si="15"/>
        <v>0.76386543007399843</v>
      </c>
      <c r="BA13" s="509">
        <f t="shared" ca="1" si="15"/>
        <v>0.73961763421603055</v>
      </c>
      <c r="BB13" s="509">
        <f t="shared" ca="1" si="15"/>
        <v>0.71635055540615533</v>
      </c>
      <c r="BC13" s="509">
        <f t="shared" ca="1" si="15"/>
        <v>0.61313704823888482</v>
      </c>
      <c r="BD13" s="509">
        <f t="shared" ca="1" si="15"/>
        <v>0.5282817877171746</v>
      </c>
      <c r="BE13" s="509">
        <f t="shared" ca="1" si="15"/>
        <v>0.45794672179195717</v>
      </c>
      <c r="BF13" s="509">
        <f t="shared" ca="1" si="15"/>
        <v>0.39920710937962206</v>
      </c>
      <c r="BG13" s="509">
        <f t="shared" ca="1" si="15"/>
        <v>0.3498096695925908</v>
      </c>
      <c r="BH13" s="509">
        <f t="shared" ca="1" si="15"/>
        <v>0.30800082169406584</v>
      </c>
      <c r="BI13" s="509">
        <f t="shared" ca="1" si="15"/>
        <v>0.2419249128674745</v>
      </c>
      <c r="BJ13" s="509">
        <f t="shared" ca="1" si="15"/>
        <v>0.19301011109426155</v>
      </c>
      <c r="BK13" s="509">
        <f t="shared" ca="1" si="15"/>
        <v>0.15610929958220451</v>
      </c>
      <c r="BL13" s="509">
        <f t="shared" ca="1" si="15"/>
        <v>0.12780452546295093</v>
      </c>
      <c r="BM13" s="509">
        <f t="shared" ca="1" si="16"/>
        <v>0.10576997377314654</v>
      </c>
      <c r="BN13" s="509">
        <f t="shared" ca="1" si="16"/>
        <v>8.838834764831853E-2</v>
      </c>
      <c r="BO13" s="509">
        <f t="shared" ca="1" si="16"/>
        <v>7.4513071951447449E-2</v>
      </c>
      <c r="BP13" s="509">
        <f t="shared" ca="1" si="16"/>
        <v>6.3317041929305262E-2</v>
      </c>
      <c r="BQ13" s="509">
        <f t="shared" ca="1" si="16"/>
        <v>5.4194170575802357E-2</v>
      </c>
      <c r="BR13" s="509">
        <f t="shared" ca="1" si="16"/>
        <v>4.6693954309020777E-2</v>
      </c>
      <c r="BS13" s="509">
        <f t="shared" ca="1" si="16"/>
        <v>4.0477154050155249E-2</v>
      </c>
      <c r="BT13" s="509">
        <f t="shared" ca="1" si="16"/>
        <v>3.5285256767526307E-2</v>
      </c>
      <c r="BU13" s="509">
        <f t="shared" ca="1" si="16"/>
        <v>3.0919098686693305E-2</v>
      </c>
      <c r="BV13" s="509">
        <f t="shared" ca="1" si="16"/>
        <v>2.7223683703862821E-2</v>
      </c>
      <c r="BW13" s="509">
        <f t="shared" ca="1" si="16"/>
        <v>2.4077256940206789E-2</v>
      </c>
      <c r="BX13" s="509">
        <f t="shared" ca="1" si="16"/>
        <v>2.1383343303319469E-2</v>
      </c>
      <c r="BY13" s="509">
        <f t="shared" ca="1" si="16"/>
        <v>1.24669967072851E-2</v>
      </c>
      <c r="BZ13" s="509">
        <f t="shared" ca="1" si="16"/>
        <v>7.8125000000000017E-3</v>
      </c>
      <c r="CA13" s="509">
        <f t="shared" ca="1" si="16"/>
        <v>5.1731634654708552E-3</v>
      </c>
      <c r="CB13" s="509">
        <f t="shared" ca="1" si="16"/>
        <v>2.5628936601726272E-3</v>
      </c>
      <c r="CC13" s="509">
        <f t="shared" ca="1" si="17"/>
        <v>1.4282467738784455E-3</v>
      </c>
      <c r="CD13" s="509">
        <f t="shared" ca="1" si="17"/>
        <v>8.6553688099581848E-4</v>
      </c>
      <c r="CE13" s="509">
        <f t="shared" ca="1" si="17"/>
        <v>5.5851360925710208E-4</v>
      </c>
      <c r="CF13" s="509">
        <f t="shared" ca="1" si="17"/>
        <v>3.7841416213620039E-4</v>
      </c>
      <c r="CG13" s="509">
        <f t="shared" ca="1" si="17"/>
        <v>2.6658607055323103E-4</v>
      </c>
      <c r="CH13" s="509">
        <f t="shared" ca="1" si="17"/>
        <v>1.9389095902674059E-4</v>
      </c>
    </row>
    <row r="14" spans="1:86">
      <c r="A14" s="159">
        <f>IF(OR(A13=Abandonment!$B$4,A13=""),"",'Success Cash Flow'!A13+1)</f>
        <v>2019</v>
      </c>
      <c r="B14" s="257">
        <f>Revenue!S15</f>
        <v>527.30374985840115</v>
      </c>
      <c r="C14" s="257">
        <f>Revenue!T15</f>
        <v>2833.1528036764694</v>
      </c>
      <c r="D14" s="257">
        <f>Revenue!U15</f>
        <v>0</v>
      </c>
      <c r="E14" s="257">
        <f t="shared" si="18"/>
        <v>3360.4565535348706</v>
      </c>
      <c r="F14" s="257">
        <f>Exploration!X39</f>
        <v>0</v>
      </c>
      <c r="G14" s="257">
        <f>Development!BX95</f>
        <v>0</v>
      </c>
      <c r="H14" s="257">
        <f>Abandonment!K20</f>
        <v>0</v>
      </c>
      <c r="I14" s="257">
        <f>Operations!P23</f>
        <v>354.68507159801442</v>
      </c>
      <c r="J14" s="257">
        <f t="shared" si="9"/>
        <v>354.68507159801442</v>
      </c>
      <c r="K14" s="257">
        <f t="shared" si="10"/>
        <v>3005.7714819368562</v>
      </c>
      <c r="L14" s="257">
        <f>Royalty!AM16*Development!$BP$88</f>
        <v>105.01426729796469</v>
      </c>
      <c r="M14" s="257">
        <f>'Provincial Tax'!X14*Development!$BP$88</f>
        <v>330.27996883465198</v>
      </c>
      <c r="N14" s="257">
        <f>'Federal Tax'!X15*Development!$BP$88</f>
        <v>445.26885272034707</v>
      </c>
      <c r="O14" s="257">
        <f t="shared" si="11"/>
        <v>880.5630888529638</v>
      </c>
      <c r="P14" s="257">
        <f t="shared" si="12"/>
        <v>2125.2083930838926</v>
      </c>
      <c r="Q14" s="217"/>
      <c r="R14" s="217"/>
      <c r="S14" s="500"/>
      <c r="T14" s="500"/>
      <c r="U14" s="500"/>
      <c r="V14" s="500"/>
      <c r="W14" s="500"/>
      <c r="X14" s="500"/>
      <c r="Y14" s="496"/>
      <c r="Z14" s="496"/>
      <c r="AA14" s="496"/>
      <c r="AB14" s="496"/>
      <c r="AC14" s="501">
        <f>IF(Thresholds!$E$1=Lists!$A$8,Exploration!U39,IF(Thresholds!$E$1=Lists!$A$9,Exploration!V39,IF(Thresholds!$E$1=Lists!$A$10,Exploration!W39,IF(Thresholds!$E$1=Lists!$A$11,Development!AV95,Development!BE95-Development!AV95))))</f>
        <v>0</v>
      </c>
      <c r="AD14" s="501">
        <f t="shared" si="13"/>
        <v>0</v>
      </c>
      <c r="AE14" s="501"/>
      <c r="AF14" s="509">
        <f t="shared" ca="1" si="19"/>
        <v>0.65122777764195883</v>
      </c>
      <c r="AG14" s="509">
        <f t="shared" ca="1" si="14"/>
        <v>0.65122777764195883</v>
      </c>
      <c r="AH14" s="509">
        <f t="shared" ca="1" si="14"/>
        <v>999999999.99999928</v>
      </c>
      <c r="AI14" s="509">
        <f t="shared" ca="1" si="14"/>
        <v>31622.77660168384</v>
      </c>
      <c r="AJ14" s="509">
        <f t="shared" ca="1" si="14"/>
        <v>1397.5424859373688</v>
      </c>
      <c r="AK14" s="509">
        <f t="shared" ca="1" si="14"/>
        <v>225.40022942599441</v>
      </c>
      <c r="AL14" s="509">
        <f t="shared" ca="1" si="14"/>
        <v>61.763235550163749</v>
      </c>
      <c r="AM14" s="509">
        <f t="shared" ca="1" si="14"/>
        <v>22.62741699796954</v>
      </c>
      <c r="AN14" s="509">
        <f t="shared" ca="1" si="14"/>
        <v>9.9613769192577681</v>
      </c>
      <c r="AO14" s="509">
        <f t="shared" ca="1" si="14"/>
        <v>4.978045020134922</v>
      </c>
      <c r="AP14" s="509">
        <f t="shared" ca="1" si="14"/>
        <v>2.7295751678464262</v>
      </c>
      <c r="AQ14" s="509">
        <f t="shared" ca="1" si="14"/>
        <v>1.60660349548767</v>
      </c>
      <c r="AR14" s="509">
        <f t="shared" ca="1" si="14"/>
        <v>1.0000000000000004</v>
      </c>
      <c r="AS14" s="509">
        <f t="shared" ca="1" si="14"/>
        <v>0.9562111818212099</v>
      </c>
      <c r="AT14" s="509">
        <f t="shared" ca="1" si="14"/>
        <v>0.91474327867039285</v>
      </c>
      <c r="AU14" s="509">
        <f t="shared" ca="1" si="14"/>
        <v>0.87545230158109022</v>
      </c>
      <c r="AV14" s="509">
        <f t="shared" ca="1" si="14"/>
        <v>0.83820447122335962</v>
      </c>
      <c r="AW14" s="509">
        <f t="shared" ca="1" si="15"/>
        <v>0.80287540516433697</v>
      </c>
      <c r="AX14" s="509">
        <f t="shared" ca="1" si="15"/>
        <v>0.76934937676586579</v>
      </c>
      <c r="AY14" s="509">
        <f t="shared" ca="1" si="15"/>
        <v>0.73751863880457202</v>
      </c>
      <c r="AZ14" s="509">
        <f t="shared" ca="1" si="15"/>
        <v>0.70728280562407264</v>
      </c>
      <c r="BA14" s="509">
        <f t="shared" ca="1" si="15"/>
        <v>0.67854828827158775</v>
      </c>
      <c r="BB14" s="509">
        <f t="shared" ca="1" si="15"/>
        <v>0.65122777764195938</v>
      </c>
      <c r="BC14" s="509">
        <f t="shared" ca="1" si="15"/>
        <v>0.53316265064250867</v>
      </c>
      <c r="BD14" s="509">
        <f t="shared" ca="1" si="15"/>
        <v>0.4402348230976455</v>
      </c>
      <c r="BE14" s="509">
        <f t="shared" ca="1" si="15"/>
        <v>0.36635737743356589</v>
      </c>
      <c r="BF14" s="509">
        <f t="shared" ca="1" si="15"/>
        <v>0.30708239183047858</v>
      </c>
      <c r="BG14" s="509">
        <f t="shared" ca="1" si="15"/>
        <v>0.25911827377228952</v>
      </c>
      <c r="BH14" s="509">
        <f t="shared" ca="1" si="15"/>
        <v>0.22000058692433275</v>
      </c>
      <c r="BI14" s="509">
        <f t="shared" ca="1" si="15"/>
        <v>0.16128327524498304</v>
      </c>
      <c r="BJ14" s="509">
        <f t="shared" ca="1" si="15"/>
        <v>0.12063131943391349</v>
      </c>
      <c r="BK14" s="509">
        <f t="shared" ca="1" si="15"/>
        <v>9.1828999754237972E-2</v>
      </c>
      <c r="BL14" s="509">
        <f t="shared" ca="1" si="15"/>
        <v>7.1002514146083884E-2</v>
      </c>
      <c r="BM14" s="509">
        <f t="shared" ca="1" si="16"/>
        <v>5.5668407249024512E-2</v>
      </c>
      <c r="BN14" s="509">
        <f t="shared" ca="1" si="16"/>
        <v>4.4194173824159258E-2</v>
      </c>
      <c r="BO14" s="509">
        <f t="shared" ca="1" si="16"/>
        <v>3.5482415214974965E-2</v>
      </c>
      <c r="BP14" s="509">
        <f t="shared" ca="1" si="16"/>
        <v>2.8780473604229667E-2</v>
      </c>
      <c r="BQ14" s="509">
        <f t="shared" ca="1" si="16"/>
        <v>2.3562682859044507E-2</v>
      </c>
      <c r="BR14" s="509">
        <f t="shared" ca="1" si="16"/>
        <v>1.9455814295425315E-2</v>
      </c>
      <c r="BS14" s="509">
        <f t="shared" ca="1" si="16"/>
        <v>1.6190861620062093E-2</v>
      </c>
      <c r="BT14" s="509">
        <f t="shared" ca="1" si="16"/>
        <v>1.3571252602894737E-2</v>
      </c>
      <c r="BU14" s="509">
        <f t="shared" ca="1" si="16"/>
        <v>1.1451518032108629E-2</v>
      </c>
      <c r="BV14" s="509">
        <f t="shared" ca="1" si="16"/>
        <v>9.7227441799510022E-3</v>
      </c>
      <c r="BW14" s="509">
        <f t="shared" ca="1" si="16"/>
        <v>8.3025023931747547E-3</v>
      </c>
      <c r="BX14" s="509">
        <f t="shared" ca="1" si="16"/>
        <v>7.1277811011064909E-3</v>
      </c>
      <c r="BY14" s="509">
        <f t="shared" ca="1" si="16"/>
        <v>3.561999059224314E-3</v>
      </c>
      <c r="BZ14" s="509">
        <f t="shared" ca="1" si="16"/>
        <v>1.9531250000000004E-3</v>
      </c>
      <c r="CA14" s="509">
        <f t="shared" ca="1" si="16"/>
        <v>1.1495918812157448E-3</v>
      </c>
      <c r="CB14" s="509">
        <f t="shared" ca="1" si="16"/>
        <v>4.6598066548593216E-4</v>
      </c>
      <c r="CC14" s="509">
        <f t="shared" ca="1" si="17"/>
        <v>2.1973027290437617E-4</v>
      </c>
      <c r="CD14" s="509">
        <f t="shared" ca="1" si="17"/>
        <v>1.154049174661092E-4</v>
      </c>
      <c r="CE14" s="509">
        <f t="shared" ca="1" si="17"/>
        <v>6.5707483442011954E-5</v>
      </c>
      <c r="CF14" s="509">
        <f t="shared" ca="1" si="17"/>
        <v>3.9833069698547426E-5</v>
      </c>
      <c r="CG14" s="509">
        <f t="shared" ca="1" si="17"/>
        <v>2.5389149576498164E-5</v>
      </c>
      <c r="CH14" s="509">
        <f t="shared" ca="1" si="17"/>
        <v>1.686008339362965E-5</v>
      </c>
    </row>
    <row r="15" spans="1:86">
      <c r="A15" s="159">
        <f>IF(OR(A14=Abandonment!$B$4,A14=""),"",'Success Cash Flow'!A14+1)</f>
        <v>2020</v>
      </c>
      <c r="B15" s="257">
        <f>Revenue!S16</f>
        <v>565.0481204888406</v>
      </c>
      <c r="C15" s="257">
        <f>Revenue!T16</f>
        <v>2924.5819332219362</v>
      </c>
      <c r="D15" s="257">
        <f>Revenue!U16</f>
        <v>0</v>
      </c>
      <c r="E15" s="257">
        <f t="shared" si="18"/>
        <v>3489.6300537107768</v>
      </c>
      <c r="F15" s="257">
        <f>Exploration!X40</f>
        <v>0</v>
      </c>
      <c r="G15" s="257">
        <f>Development!BX96</f>
        <v>0</v>
      </c>
      <c r="H15" s="257">
        <f>Abandonment!K21</f>
        <v>0</v>
      </c>
      <c r="I15" s="257">
        <f>Operations!P24</f>
        <v>363.79041406237747</v>
      </c>
      <c r="J15" s="257">
        <f t="shared" si="9"/>
        <v>363.79041406237747</v>
      </c>
      <c r="K15" s="257">
        <f t="shared" si="10"/>
        <v>3125.8396396483995</v>
      </c>
      <c r="L15" s="257">
        <f>Royalty!AM17*Development!$BP$88</f>
        <v>620.3931787451113</v>
      </c>
      <c r="M15" s="257">
        <f>'Provincial Tax'!X15*Development!$BP$88</f>
        <v>301.9695550737265</v>
      </c>
      <c r="N15" s="257">
        <f>'Federal Tax'!X16*Development!$BP$88</f>
        <v>380.69775903721597</v>
      </c>
      <c r="O15" s="257">
        <f t="shared" si="11"/>
        <v>1303.0604928560538</v>
      </c>
      <c r="P15" s="257">
        <f t="shared" si="12"/>
        <v>1822.7791467923457</v>
      </c>
      <c r="Q15" s="217"/>
      <c r="R15" s="217"/>
      <c r="S15" s="500"/>
      <c r="T15" s="500"/>
      <c r="U15" s="500"/>
      <c r="V15" s="500"/>
      <c r="W15" s="500"/>
      <c r="X15" s="500"/>
      <c r="Y15" s="496"/>
      <c r="Z15" s="496"/>
      <c r="AA15" s="496"/>
      <c r="AB15" s="496"/>
      <c r="AC15" s="501">
        <f>IF(Thresholds!$E$1=Lists!$A$8,Exploration!U40,IF(Thresholds!$E$1=Lists!$A$9,Exploration!V40,IF(Thresholds!$E$1=Lists!$A$10,Exploration!W40,IF(Thresholds!$E$1=Lists!$A$11,Development!AV96,Development!BE96-Development!AV96))))</f>
        <v>0</v>
      </c>
      <c r="AD15" s="501">
        <f t="shared" si="13"/>
        <v>0</v>
      </c>
      <c r="AE15" s="501"/>
      <c r="AF15" s="509">
        <f t="shared" ca="1" si="19"/>
        <v>0.59202525240178083</v>
      </c>
      <c r="AG15" s="509">
        <f t="shared" ca="1" si="14"/>
        <v>0.59202525240178083</v>
      </c>
      <c r="AH15" s="509">
        <f t="shared" ca="1" si="14"/>
        <v>99999999999.999802</v>
      </c>
      <c r="AI15" s="509">
        <f t="shared" ca="1" si="14"/>
        <v>316227.76601683814</v>
      </c>
      <c r="AJ15" s="509">
        <f t="shared" ca="1" si="14"/>
        <v>6987.7124296868515</v>
      </c>
      <c r="AK15" s="509">
        <f t="shared" ca="1" si="14"/>
        <v>751.33409808664794</v>
      </c>
      <c r="AL15" s="509">
        <f t="shared" ca="1" si="14"/>
        <v>154.40808887540939</v>
      </c>
      <c r="AM15" s="509">
        <f t="shared" ca="1" si="14"/>
        <v>45.25483399593908</v>
      </c>
      <c r="AN15" s="509">
        <f t="shared" ca="1" si="14"/>
        <v>16.602294865429627</v>
      </c>
      <c r="AO15" s="509">
        <f t="shared" ca="1" si="14"/>
        <v>7.1114928859070341</v>
      </c>
      <c r="AP15" s="509">
        <f t="shared" ca="1" si="14"/>
        <v>3.4119689598080329</v>
      </c>
      <c r="AQ15" s="509">
        <f t="shared" ca="1" si="14"/>
        <v>1.7851149949863001</v>
      </c>
      <c r="AR15" s="509">
        <f t="shared" ca="1" si="14"/>
        <v>1.0000000000000007</v>
      </c>
      <c r="AS15" s="509">
        <f t="shared" ca="1" si="14"/>
        <v>0.9467437443774358</v>
      </c>
      <c r="AT15" s="509">
        <f t="shared" ca="1" si="14"/>
        <v>0.89680713595136574</v>
      </c>
      <c r="AU15" s="509">
        <f t="shared" ca="1" si="14"/>
        <v>0.84995369085542749</v>
      </c>
      <c r="AV15" s="509">
        <f t="shared" ca="1" si="14"/>
        <v>0.80596583771476915</v>
      </c>
      <c r="AW15" s="509">
        <f t="shared" ca="1" si="15"/>
        <v>0.76464324301365449</v>
      </c>
      <c r="AX15" s="509">
        <f t="shared" ca="1" si="15"/>
        <v>0.72580129883572253</v>
      </c>
      <c r="AY15" s="509">
        <f t="shared" ca="1" si="15"/>
        <v>0.68926975589212358</v>
      </c>
      <c r="AZ15" s="509">
        <f t="shared" ca="1" si="15"/>
        <v>0.65489148668895636</v>
      </c>
      <c r="BA15" s="509">
        <f t="shared" ca="1" si="15"/>
        <v>0.62252136538677783</v>
      </c>
      <c r="BB15" s="509">
        <f t="shared" ca="1" si="15"/>
        <v>0.59202525240178139</v>
      </c>
      <c r="BC15" s="509">
        <f t="shared" ca="1" si="15"/>
        <v>0.46361969621087712</v>
      </c>
      <c r="BD15" s="509">
        <f t="shared" ca="1" si="15"/>
        <v>0.36686235258137134</v>
      </c>
      <c r="BE15" s="509">
        <f t="shared" ca="1" si="15"/>
        <v>0.29308590194685274</v>
      </c>
      <c r="BF15" s="509">
        <f t="shared" ca="1" si="15"/>
        <v>0.23621722448498358</v>
      </c>
      <c r="BG15" s="509">
        <f t="shared" ca="1" si="15"/>
        <v>0.19193946205354784</v>
      </c>
      <c r="BH15" s="509">
        <f t="shared" ca="1" si="15"/>
        <v>0.15714327637452341</v>
      </c>
      <c r="BI15" s="509">
        <f t="shared" ca="1" si="15"/>
        <v>0.10752218349665539</v>
      </c>
      <c r="BJ15" s="509">
        <f t="shared" ca="1" si="15"/>
        <v>7.539457464619595E-2</v>
      </c>
      <c r="BK15" s="509">
        <f t="shared" ca="1" si="15"/>
        <v>5.4017058678963517E-2</v>
      </c>
      <c r="BL15" s="509">
        <f t="shared" ca="1" si="15"/>
        <v>3.9445841192268821E-2</v>
      </c>
      <c r="BM15" s="509">
        <f t="shared" ca="1" si="16"/>
        <v>2.9299161710012903E-2</v>
      </c>
      <c r="BN15" s="509">
        <f t="shared" ca="1" si="16"/>
        <v>2.2097086912079639E-2</v>
      </c>
      <c r="BO15" s="509">
        <f t="shared" ca="1" si="16"/>
        <v>1.6896388197607137E-2</v>
      </c>
      <c r="BP15" s="509">
        <f t="shared" ca="1" si="16"/>
        <v>1.3082033456468028E-2</v>
      </c>
      <c r="BQ15" s="509">
        <f t="shared" ca="1" si="16"/>
        <v>1.0244644721323701E-2</v>
      </c>
      <c r="BR15" s="509">
        <f t="shared" ca="1" si="16"/>
        <v>8.1065892897605515E-3</v>
      </c>
      <c r="BS15" s="509">
        <f t="shared" ca="1" si="16"/>
        <v>6.4763446480248423E-3</v>
      </c>
      <c r="BT15" s="509">
        <f t="shared" ca="1" si="16"/>
        <v>5.2197125395748965E-3</v>
      </c>
      <c r="BU15" s="509">
        <f t="shared" ca="1" si="16"/>
        <v>4.2413029748550489E-3</v>
      </c>
      <c r="BV15" s="509">
        <f t="shared" ca="1" si="16"/>
        <v>3.4724086356967892E-3</v>
      </c>
      <c r="BW15" s="509">
        <f t="shared" ca="1" si="16"/>
        <v>2.8629318597154316E-3</v>
      </c>
      <c r="BX15" s="509">
        <f t="shared" ca="1" si="16"/>
        <v>2.3759270337021625E-3</v>
      </c>
      <c r="BY15" s="509">
        <f t="shared" ca="1" si="16"/>
        <v>1.0177140169212325E-3</v>
      </c>
      <c r="BZ15" s="509">
        <f t="shared" ca="1" si="16"/>
        <v>4.8828125E-4</v>
      </c>
      <c r="CA15" s="509">
        <f t="shared" ca="1" si="16"/>
        <v>2.5546486249238757E-4</v>
      </c>
      <c r="CB15" s="509">
        <f t="shared" ca="1" si="16"/>
        <v>8.4723757361078564E-5</v>
      </c>
      <c r="CC15" s="509">
        <f t="shared" ca="1" si="17"/>
        <v>3.3804657369904039E-5</v>
      </c>
      <c r="CD15" s="509">
        <f t="shared" ca="1" si="17"/>
        <v>1.5387322328814556E-5</v>
      </c>
      <c r="CE15" s="509">
        <f t="shared" ca="1" si="17"/>
        <v>7.7302921696484725E-6</v>
      </c>
      <c r="CF15" s="509">
        <f t="shared" ca="1" si="17"/>
        <v>4.1929547051102564E-6</v>
      </c>
      <c r="CG15" s="509">
        <f t="shared" ca="1" si="17"/>
        <v>2.4180142453807789E-6</v>
      </c>
      <c r="CH15" s="509">
        <f t="shared" ca="1" si="17"/>
        <v>1.4660942081417061E-6</v>
      </c>
    </row>
    <row r="16" spans="1:86">
      <c r="A16" s="159">
        <f>IF(OR(A15=Abandonment!$B$4,A15=""),"",'Success Cash Flow'!A15+1)</f>
        <v>2021</v>
      </c>
      <c r="B16" s="257">
        <f>Revenue!S17</f>
        <v>556.69975403970841</v>
      </c>
      <c r="C16" s="257">
        <f>Revenue!T17</f>
        <v>2881.2026029253693</v>
      </c>
      <c r="D16" s="257">
        <f>Revenue!U17</f>
        <v>0</v>
      </c>
      <c r="E16" s="257">
        <f t="shared" si="18"/>
        <v>3437.9023569650776</v>
      </c>
      <c r="F16" s="257">
        <f>Exploration!X41</f>
        <v>0</v>
      </c>
      <c r="G16" s="257">
        <f>Development!BX97</f>
        <v>0</v>
      </c>
      <c r="H16" s="257">
        <f>Abandonment!K22</f>
        <v>0</v>
      </c>
      <c r="I16" s="257">
        <f>Operations!P25</f>
        <v>363.82209040646165</v>
      </c>
      <c r="J16" s="257">
        <f t="shared" si="9"/>
        <v>363.82209040646165</v>
      </c>
      <c r="K16" s="257">
        <f t="shared" si="10"/>
        <v>3074.0802665586161</v>
      </c>
      <c r="L16" s="257">
        <f>Royalty!AM18*Development!$BP$88</f>
        <v>1063.1943201312893</v>
      </c>
      <c r="M16" s="257">
        <f>'Provincial Tax'!X16*Development!$BP$88</f>
        <v>248.60064974718745</v>
      </c>
      <c r="N16" s="257">
        <f>'Federal Tax'!X17*Development!$BP$88</f>
        <v>311.79495586515947</v>
      </c>
      <c r="O16" s="257">
        <f t="shared" si="11"/>
        <v>1623.5899257436361</v>
      </c>
      <c r="P16" s="257">
        <f t="shared" si="12"/>
        <v>1450.4903408149801</v>
      </c>
      <c r="Q16" s="217"/>
      <c r="R16" s="217"/>
      <c r="S16" s="500"/>
      <c r="T16" s="500"/>
      <c r="U16" s="500"/>
      <c r="V16" s="500"/>
      <c r="W16" s="500"/>
      <c r="X16" s="500"/>
      <c r="Y16" s="496"/>
      <c r="Z16" s="496"/>
      <c r="AA16" s="496"/>
      <c r="AB16" s="496"/>
      <c r="AC16" s="501">
        <f>IF(Thresholds!$E$1=Lists!$A$8,Exploration!U41,IF(Thresholds!$E$1=Lists!$A$9,Exploration!V41,IF(Thresholds!$E$1=Lists!$A$10,Exploration!W41,IF(Thresholds!$E$1=Lists!$A$11,Development!AV97,Development!BE97-Development!AV97))))</f>
        <v>0</v>
      </c>
      <c r="AD16" s="501">
        <f t="shared" si="13"/>
        <v>0</v>
      </c>
      <c r="AE16" s="501"/>
      <c r="AF16" s="509">
        <f t="shared" ca="1" si="19"/>
        <v>0.53820477491070973</v>
      </c>
      <c r="AG16" s="509">
        <f t="shared" ca="1" si="14"/>
        <v>0.53820477491070973</v>
      </c>
      <c r="AH16" s="509">
        <f t="shared" ca="1" si="14"/>
        <v>9999999999999.9648</v>
      </c>
      <c r="AI16" s="509">
        <f t="shared" ca="1" si="14"/>
        <v>3162277.6601683851</v>
      </c>
      <c r="AJ16" s="509">
        <f t="shared" ca="1" si="14"/>
        <v>34938.562148434226</v>
      </c>
      <c r="AK16" s="509">
        <f t="shared" ca="1" si="14"/>
        <v>2504.4469936221617</v>
      </c>
      <c r="AL16" s="509">
        <f t="shared" ca="1" si="14"/>
        <v>386.02022218852346</v>
      </c>
      <c r="AM16" s="509">
        <f t="shared" ca="1" si="14"/>
        <v>90.509667991878217</v>
      </c>
      <c r="AN16" s="509">
        <f t="shared" ca="1" si="14"/>
        <v>27.670491442382705</v>
      </c>
      <c r="AO16" s="509">
        <f t="shared" ca="1" si="14"/>
        <v>10.159275551295762</v>
      </c>
      <c r="AP16" s="509">
        <f t="shared" ca="1" si="14"/>
        <v>4.2649611997600418</v>
      </c>
      <c r="AQ16" s="509">
        <f t="shared" ca="1" si="14"/>
        <v>1.9834611055403337</v>
      </c>
      <c r="AR16" s="509">
        <f t="shared" ca="1" si="14"/>
        <v>1.0000000000000007</v>
      </c>
      <c r="AS16" s="509">
        <f t="shared" ca="1" si="14"/>
        <v>0.93737004393805545</v>
      </c>
      <c r="AT16" s="509">
        <f t="shared" ca="1" si="14"/>
        <v>0.87922268230526068</v>
      </c>
      <c r="AU16" s="509">
        <f t="shared" ca="1" si="14"/>
        <v>0.82519775811206575</v>
      </c>
      <c r="AV16" s="509">
        <f t="shared" ca="1" si="14"/>
        <v>0.77496715164881647</v>
      </c>
      <c r="AW16" s="509">
        <f t="shared" ca="1" si="15"/>
        <v>0.72823166001300432</v>
      </c>
      <c r="AX16" s="509">
        <f t="shared" ca="1" si="15"/>
        <v>0.684718206448795</v>
      </c>
      <c r="AY16" s="509">
        <f t="shared" ca="1" si="15"/>
        <v>0.64417734195525578</v>
      </c>
      <c r="AZ16" s="509">
        <f t="shared" ca="1" si="15"/>
        <v>0.60638100619347812</v>
      </c>
      <c r="BA16" s="509">
        <f t="shared" ca="1" si="15"/>
        <v>0.57112051870346603</v>
      </c>
      <c r="BB16" s="509">
        <f t="shared" ca="1" si="15"/>
        <v>0.5382047749107105</v>
      </c>
      <c r="BC16" s="509">
        <f t="shared" ca="1" si="15"/>
        <v>0.40314756192250184</v>
      </c>
      <c r="BD16" s="509">
        <f t="shared" ca="1" si="15"/>
        <v>0.3057186271511429</v>
      </c>
      <c r="BE16" s="509">
        <f t="shared" ca="1" si="15"/>
        <v>0.23446872155748222</v>
      </c>
      <c r="BF16" s="509">
        <f t="shared" ca="1" si="15"/>
        <v>0.18170555729614121</v>
      </c>
      <c r="BG16" s="509">
        <f t="shared" ca="1" si="15"/>
        <v>0.14217737929892432</v>
      </c>
      <c r="BH16" s="509">
        <f t="shared" ca="1" si="15"/>
        <v>0.11224519741037388</v>
      </c>
      <c r="BI16" s="509">
        <f t="shared" ca="1" si="15"/>
        <v>7.1681455664436941E-2</v>
      </c>
      <c r="BJ16" s="509">
        <f t="shared" ca="1" si="15"/>
        <v>4.7121609153872486E-2</v>
      </c>
      <c r="BK16" s="509">
        <f t="shared" ca="1" si="15"/>
        <v>3.1774740399390308E-2</v>
      </c>
      <c r="BL16" s="509">
        <f t="shared" ca="1" si="15"/>
        <v>2.1914356217927124E-2</v>
      </c>
      <c r="BM16" s="509">
        <f t="shared" ca="1" si="16"/>
        <v>1.5420611426322587E-2</v>
      </c>
      <c r="BN16" s="509">
        <f t="shared" ca="1" si="16"/>
        <v>1.1048543456039818E-2</v>
      </c>
      <c r="BO16" s="509">
        <f t="shared" ca="1" si="16"/>
        <v>8.0458991417176832E-3</v>
      </c>
      <c r="BP16" s="509">
        <f t="shared" ca="1" si="16"/>
        <v>5.9463788438491047E-3</v>
      </c>
      <c r="BQ16" s="509">
        <f t="shared" ca="1" si="16"/>
        <v>4.4541933570972619E-3</v>
      </c>
      <c r="BR16" s="509">
        <f t="shared" ca="1" si="16"/>
        <v>3.3777455374002286E-3</v>
      </c>
      <c r="BS16" s="509">
        <f t="shared" ca="1" si="16"/>
        <v>2.5905378592099345E-3</v>
      </c>
      <c r="BT16" s="509">
        <f t="shared" ca="1" si="16"/>
        <v>2.0075817459903442E-3</v>
      </c>
      <c r="BU16" s="509">
        <f t="shared" ca="1" si="16"/>
        <v>1.5708529536500183E-3</v>
      </c>
      <c r="BV16" s="509">
        <f t="shared" ca="1" si="16"/>
        <v>1.2401459413202806E-3</v>
      </c>
      <c r="BW16" s="509">
        <f t="shared" ca="1" si="16"/>
        <v>9.8721788266049339E-4</v>
      </c>
      <c r="BX16" s="509">
        <f t="shared" ca="1" si="16"/>
        <v>7.9197567790072068E-4</v>
      </c>
      <c r="BY16" s="509">
        <f t="shared" ca="1" si="16"/>
        <v>2.9077543340606641E-4</v>
      </c>
      <c r="BZ16" s="509">
        <f t="shared" ca="1" si="16"/>
        <v>1.2207031250000008E-4</v>
      </c>
      <c r="CA16" s="509">
        <f t="shared" ca="1" si="16"/>
        <v>5.6769969442752872E-5</v>
      </c>
      <c r="CB16" s="509">
        <f t="shared" ca="1" si="16"/>
        <v>1.5404319520196102E-5</v>
      </c>
      <c r="CC16" s="509">
        <f t="shared" ca="1" si="17"/>
        <v>5.2007165184467786E-6</v>
      </c>
      <c r="CD16" s="509">
        <f t="shared" ca="1" si="17"/>
        <v>2.0516429771752731E-6</v>
      </c>
      <c r="CE16" s="509">
        <f t="shared" ca="1" si="17"/>
        <v>9.0944613760570172E-7</v>
      </c>
      <c r="CF16" s="509">
        <f t="shared" ca="1" si="17"/>
        <v>4.4136365316949997E-7</v>
      </c>
      <c r="CG16" s="509">
        <f t="shared" ca="1" si="17"/>
        <v>2.302870709886457E-7</v>
      </c>
      <c r="CH16" s="509">
        <f t="shared" ca="1" si="17"/>
        <v>1.2748645288188772E-7</v>
      </c>
    </row>
    <row r="17" spans="1:86">
      <c r="A17" s="159">
        <f>IF(OR(A16=Abandonment!$B$4,A16=""),"",'Success Cash Flow'!A16+1)</f>
        <v>2022</v>
      </c>
      <c r="B17" s="257">
        <f>Revenue!S18</f>
        <v>490.32087867216188</v>
      </c>
      <c r="C17" s="257">
        <f>Revenue!T18</f>
        <v>2537.5129469215685</v>
      </c>
      <c r="D17" s="257">
        <f>Revenue!U18</f>
        <v>0</v>
      </c>
      <c r="E17" s="257">
        <f t="shared" si="18"/>
        <v>3027.8338255937306</v>
      </c>
      <c r="F17" s="257">
        <f>Exploration!X42</f>
        <v>0</v>
      </c>
      <c r="G17" s="257">
        <f>Development!BX98</f>
        <v>0</v>
      </c>
      <c r="H17" s="257">
        <f>Abandonment!K23</f>
        <v>0</v>
      </c>
      <c r="I17" s="257">
        <f>Operations!P26</f>
        <v>341.8115434672556</v>
      </c>
      <c r="J17" s="257">
        <f t="shared" si="9"/>
        <v>341.8115434672556</v>
      </c>
      <c r="K17" s="257">
        <f t="shared" si="10"/>
        <v>2686.0222821264751</v>
      </c>
      <c r="L17" s="257">
        <f>Royalty!AM19*Development!$BP$88</f>
        <v>928.14439472291224</v>
      </c>
      <c r="M17" s="257">
        <f>'Provincial Tax'!X17*Development!$BP$88</f>
        <v>227.1293508490219</v>
      </c>
      <c r="N17" s="257">
        <f>'Federal Tax'!X18*Development!$BP$88</f>
        <v>268.88701991869476</v>
      </c>
      <c r="O17" s="257">
        <f t="shared" si="11"/>
        <v>1424.1607654906288</v>
      </c>
      <c r="P17" s="257">
        <f t="shared" si="12"/>
        <v>1261.8615166358463</v>
      </c>
      <c r="Q17" s="217"/>
      <c r="R17" s="217"/>
      <c r="S17" s="500"/>
      <c r="T17" s="500"/>
      <c r="U17" s="500"/>
      <c r="V17" s="500"/>
      <c r="W17" s="500"/>
      <c r="X17" s="500"/>
      <c r="Y17" s="496"/>
      <c r="Z17" s="496"/>
      <c r="AA17" s="496"/>
      <c r="AB17" s="496"/>
      <c r="AC17" s="501">
        <f>IF(Thresholds!$E$1=Lists!$A$8,Exploration!U42,IF(Thresholds!$E$1=Lists!$A$9,Exploration!V42,IF(Thresholds!$E$1=Lists!$A$10,Exploration!W42,IF(Thresholds!$E$1=Lists!$A$11,Development!AV98,Development!BE98-Development!AV98))))</f>
        <v>0</v>
      </c>
      <c r="AD17" s="501">
        <f t="shared" si="13"/>
        <v>0</v>
      </c>
      <c r="AE17" s="501"/>
      <c r="AF17" s="509">
        <f t="shared" ca="1" si="19"/>
        <v>0.48927706810064514</v>
      </c>
      <c r="AG17" s="509">
        <f t="shared" ca="1" si="14"/>
        <v>0.48927706810064514</v>
      </c>
      <c r="AH17" s="509">
        <f t="shared" ca="1" si="14"/>
        <v>999999999999998.75</v>
      </c>
      <c r="AI17" s="509">
        <f t="shared" ca="1" si="14"/>
        <v>31622776.601683889</v>
      </c>
      <c r="AJ17" s="509">
        <f t="shared" ca="1" si="14"/>
        <v>174692.81074217131</v>
      </c>
      <c r="AK17" s="509">
        <f t="shared" ca="1" si="14"/>
        <v>8348.1566454072054</v>
      </c>
      <c r="AL17" s="509">
        <f t="shared" ca="1" si="14"/>
        <v>965.05055547130883</v>
      </c>
      <c r="AM17" s="509">
        <f t="shared" ca="1" si="14"/>
        <v>181.01933598375643</v>
      </c>
      <c r="AN17" s="509">
        <f t="shared" ca="1" si="14"/>
        <v>46.117485737304541</v>
      </c>
      <c r="AO17" s="509">
        <f t="shared" ca="1" si="14"/>
        <v>14.513250787565385</v>
      </c>
      <c r="AP17" s="509">
        <f t="shared" ca="1" si="14"/>
        <v>5.3312014997000539</v>
      </c>
      <c r="AQ17" s="509">
        <f t="shared" ca="1" si="14"/>
        <v>2.2038456728225935</v>
      </c>
      <c r="AR17" s="509">
        <f t="shared" ca="1" si="14"/>
        <v>1.0000000000000009</v>
      </c>
      <c r="AS17" s="509">
        <f t="shared" ca="1" si="14"/>
        <v>0.92808915241391632</v>
      </c>
      <c r="AT17" s="509">
        <f t="shared" ca="1" si="14"/>
        <v>0.86198302186790277</v>
      </c>
      <c r="AU17" s="509">
        <f t="shared" ca="1" si="14"/>
        <v>0.80116287195346203</v>
      </c>
      <c r="AV17" s="509">
        <f t="shared" ca="1" si="14"/>
        <v>0.74516072273924683</v>
      </c>
      <c r="AW17" s="509">
        <f t="shared" ca="1" si="15"/>
        <v>0.69355396191714702</v>
      </c>
      <c r="AX17" s="509">
        <f t="shared" ca="1" si="15"/>
        <v>0.64596057212150482</v>
      </c>
      <c r="AY17" s="509">
        <f t="shared" ca="1" si="15"/>
        <v>0.60203489902360363</v>
      </c>
      <c r="AZ17" s="509">
        <f t="shared" ca="1" si="15"/>
        <v>0.56146389462359103</v>
      </c>
      <c r="BA17" s="509">
        <f t="shared" ca="1" si="15"/>
        <v>0.52396377862703303</v>
      </c>
      <c r="BB17" s="509">
        <f t="shared" ca="1" si="15"/>
        <v>0.48927706810064592</v>
      </c>
      <c r="BC17" s="509">
        <f t="shared" ca="1" si="15"/>
        <v>0.35056309732391466</v>
      </c>
      <c r="BD17" s="509">
        <f t="shared" ca="1" si="15"/>
        <v>0.25476552262595248</v>
      </c>
      <c r="BE17" s="509">
        <f t="shared" ca="1" si="15"/>
        <v>0.18757497724598585</v>
      </c>
      <c r="BF17" s="509">
        <f t="shared" ca="1" si="15"/>
        <v>0.13977350561241633</v>
      </c>
      <c r="BG17" s="509">
        <f t="shared" ca="1" si="15"/>
        <v>0.10531657725846245</v>
      </c>
      <c r="BH17" s="509">
        <f t="shared" ca="1" si="15"/>
        <v>8.0175141007409897E-2</v>
      </c>
      <c r="BI17" s="509">
        <f t="shared" ca="1" si="15"/>
        <v>4.7787637109624637E-2</v>
      </c>
      <c r="BJ17" s="509">
        <f t="shared" ca="1" si="15"/>
        <v>2.9451005721170313E-2</v>
      </c>
      <c r="BK17" s="509">
        <f t="shared" ca="1" si="15"/>
        <v>1.8691023764347243E-2</v>
      </c>
      <c r="BL17" s="509">
        <f t="shared" ca="1" si="15"/>
        <v>1.2174642343292845E-2</v>
      </c>
      <c r="BM17" s="509">
        <f t="shared" ca="1" si="16"/>
        <v>8.1161112770118914E-3</v>
      </c>
      <c r="BN17" s="509">
        <f t="shared" ca="1" si="16"/>
        <v>5.5242717280199133E-3</v>
      </c>
      <c r="BO17" s="509">
        <f t="shared" ca="1" si="16"/>
        <v>3.8313805436750894E-3</v>
      </c>
      <c r="BP17" s="509">
        <f t="shared" ca="1" si="16"/>
        <v>2.7028994744768657E-3</v>
      </c>
      <c r="BQ17" s="509">
        <f t="shared" ca="1" si="16"/>
        <v>1.9366058074335927E-3</v>
      </c>
      <c r="BR17" s="509">
        <f t="shared" ca="1" si="16"/>
        <v>1.4073939739167628E-3</v>
      </c>
      <c r="BS17" s="509">
        <f t="shared" ca="1" si="16"/>
        <v>1.0362151436839747E-3</v>
      </c>
      <c r="BT17" s="509">
        <f t="shared" ca="1" si="16"/>
        <v>7.7214682538090211E-4</v>
      </c>
      <c r="BU17" s="509">
        <f t="shared" ca="1" si="16"/>
        <v>5.8179739024074759E-4</v>
      </c>
      <c r="BV17" s="509">
        <f t="shared" ca="1" si="16"/>
        <v>4.4290926475724338E-4</v>
      </c>
      <c r="BW17" s="509">
        <f t="shared" ca="1" si="16"/>
        <v>3.40419959538101E-4</v>
      </c>
      <c r="BX17" s="509">
        <f t="shared" ca="1" si="16"/>
        <v>2.6399189263357371E-4</v>
      </c>
      <c r="BY17" s="509">
        <f t="shared" ca="1" si="16"/>
        <v>8.3078695258876112E-5</v>
      </c>
      <c r="BZ17" s="509">
        <f t="shared" ca="1" si="16"/>
        <v>3.0517578125000014E-5</v>
      </c>
      <c r="CA17" s="509">
        <f t="shared" ca="1" si="16"/>
        <v>1.2615548765056187E-5</v>
      </c>
      <c r="CB17" s="509">
        <f t="shared" ca="1" si="16"/>
        <v>2.8007853673083821E-6</v>
      </c>
      <c r="CC17" s="509">
        <f t="shared" ca="1" si="17"/>
        <v>8.0011023360719698E-7</v>
      </c>
      <c r="CD17" s="509">
        <f t="shared" ca="1" si="17"/>
        <v>2.7355239695670298E-7</v>
      </c>
      <c r="CE17" s="509">
        <f t="shared" ca="1" si="17"/>
        <v>1.0699366324772972E-7</v>
      </c>
      <c r="CF17" s="509">
        <f t="shared" ca="1" si="17"/>
        <v>4.645933191257896E-8</v>
      </c>
      <c r="CG17" s="509">
        <f t="shared" ca="1" si="17"/>
        <v>2.1932101998918614E-8</v>
      </c>
      <c r="CH17" s="509">
        <f t="shared" ca="1" si="17"/>
        <v>1.108577851146848E-8</v>
      </c>
    </row>
    <row r="18" spans="1:86">
      <c r="A18" s="159">
        <f>IF(OR(A17=Abandonment!$B$4,A17=""),"",'Success Cash Flow'!A17+1)</f>
        <v>2023</v>
      </c>
      <c r="B18" s="257">
        <f>Revenue!S19</f>
        <v>428.82422614565854</v>
      </c>
      <c r="C18" s="257">
        <f>Revenue!T19</f>
        <v>2219.1311811347964</v>
      </c>
      <c r="D18" s="257">
        <f>Revenue!U19</f>
        <v>0</v>
      </c>
      <c r="E18" s="257">
        <f t="shared" si="18"/>
        <v>2647.9554072804549</v>
      </c>
      <c r="F18" s="257">
        <f>Exploration!X43</f>
        <v>0</v>
      </c>
      <c r="G18" s="257">
        <f>Development!BX99</f>
        <v>0</v>
      </c>
      <c r="H18" s="257">
        <f>Abandonment!K24</f>
        <v>0</v>
      </c>
      <c r="I18" s="257">
        <f>Operations!P27</f>
        <v>321.96168807165367</v>
      </c>
      <c r="J18" s="257">
        <f t="shared" si="9"/>
        <v>321.96168807165367</v>
      </c>
      <c r="K18" s="257">
        <f t="shared" si="10"/>
        <v>2325.9937192088014</v>
      </c>
      <c r="L18" s="257">
        <f>Royalty!AM20*Development!$BP$88</f>
        <v>802.82914264057251</v>
      </c>
      <c r="M18" s="257">
        <f>'Provincial Tax'!X18*Development!$BP$88</f>
        <v>203.61529948699376</v>
      </c>
      <c r="N18" s="257">
        <f>'Federal Tax'!X19*Development!$BP$88</f>
        <v>241.171354979916</v>
      </c>
      <c r="O18" s="257">
        <f t="shared" si="11"/>
        <v>1247.6157971074822</v>
      </c>
      <c r="P18" s="257">
        <f t="shared" si="12"/>
        <v>1078.3779221013192</v>
      </c>
      <c r="Q18" s="217"/>
      <c r="R18" s="217"/>
      <c r="S18" s="500"/>
      <c r="T18" s="500"/>
      <c r="U18" s="500"/>
      <c r="V18" s="500"/>
      <c r="W18" s="500"/>
      <c r="X18" s="500"/>
      <c r="Y18" s="496"/>
      <c r="Z18" s="496"/>
      <c r="AA18" s="496"/>
      <c r="AB18" s="496"/>
      <c r="AC18" s="501">
        <f>IF(Thresholds!$E$1=Lists!$A$8,Exploration!U43,IF(Thresholds!$E$1=Lists!$A$9,Exploration!V43,IF(Thresholds!$E$1=Lists!$A$10,Exploration!W43,IF(Thresholds!$E$1=Lists!$A$11,Development!AV99,Development!BE99-Development!AV99))))</f>
        <v>0</v>
      </c>
      <c r="AD18" s="501">
        <f t="shared" si="13"/>
        <v>0</v>
      </c>
      <c r="AE18" s="501"/>
      <c r="AF18" s="509">
        <f t="shared" ca="1" si="19"/>
        <v>0.44479733463695009</v>
      </c>
      <c r="AG18" s="509">
        <f t="shared" ca="1" si="14"/>
        <v>0.44479733463695009</v>
      </c>
      <c r="AH18" s="509">
        <f t="shared" ca="1" si="14"/>
        <v>9.9999999999999392E+16</v>
      </c>
      <c r="AI18" s="509">
        <f t="shared" ca="1" si="14"/>
        <v>316227766.01683807</v>
      </c>
      <c r="AJ18" s="509">
        <f t="shared" ca="1" si="14"/>
        <v>873464.05371085601</v>
      </c>
      <c r="AK18" s="509">
        <f t="shared" ca="1" si="14"/>
        <v>27827.188818024013</v>
      </c>
      <c r="AL18" s="509">
        <f t="shared" ca="1" si="14"/>
        <v>2412.626388678274</v>
      </c>
      <c r="AM18" s="509">
        <f t="shared" ca="1" si="14"/>
        <v>362.03867196751293</v>
      </c>
      <c r="AN18" s="509">
        <f t="shared" ca="1" si="14"/>
        <v>76.86247622884089</v>
      </c>
      <c r="AO18" s="509">
        <f t="shared" ca="1" si="14"/>
        <v>20.733215410807691</v>
      </c>
      <c r="AP18" s="509">
        <f t="shared" ca="1" si="14"/>
        <v>6.6640018746250691</v>
      </c>
      <c r="AQ18" s="509">
        <f t="shared" ca="1" si="14"/>
        <v>2.448717414247326</v>
      </c>
      <c r="AR18" s="509">
        <f t="shared" ca="1" si="14"/>
        <v>1.0000000000000009</v>
      </c>
      <c r="AS18" s="509">
        <f t="shared" ca="1" si="14"/>
        <v>0.91890015090486798</v>
      </c>
      <c r="AT18" s="509">
        <f t="shared" ca="1" si="14"/>
        <v>0.84508139398814008</v>
      </c>
      <c r="AU18" s="509">
        <f t="shared" ca="1" si="14"/>
        <v>0.77782803102277887</v>
      </c>
      <c r="AV18" s="509">
        <f t="shared" ca="1" si="14"/>
        <v>0.71650069494158364</v>
      </c>
      <c r="AW18" s="509">
        <f t="shared" ca="1" si="15"/>
        <v>0.66052758277823542</v>
      </c>
      <c r="AX18" s="509">
        <f t="shared" ca="1" si="15"/>
        <v>0.60939676615236316</v>
      </c>
      <c r="AY18" s="509">
        <f t="shared" ca="1" si="15"/>
        <v>0.56264943833981651</v>
      </c>
      <c r="AZ18" s="509">
        <f t="shared" ca="1" si="15"/>
        <v>0.51987397650332512</v>
      </c>
      <c r="BA18" s="509">
        <f t="shared" ca="1" si="15"/>
        <v>0.48070071433672767</v>
      </c>
      <c r="BB18" s="509">
        <f t="shared" ca="1" si="15"/>
        <v>0.44479733463695087</v>
      </c>
      <c r="BC18" s="509">
        <f t="shared" ca="1" si="15"/>
        <v>0.30483747593383886</v>
      </c>
      <c r="BD18" s="509">
        <f t="shared" ca="1" si="15"/>
        <v>0.21230460218829375</v>
      </c>
      <c r="BE18" s="509">
        <f t="shared" ca="1" si="15"/>
        <v>0.15005998179678867</v>
      </c>
      <c r="BF18" s="509">
        <f t="shared" ca="1" si="15"/>
        <v>0.10751808124032027</v>
      </c>
      <c r="BG18" s="509">
        <f t="shared" ca="1" si="15"/>
        <v>7.8012279450712957E-2</v>
      </c>
      <c r="BH18" s="509">
        <f t="shared" ca="1" si="15"/>
        <v>5.7267957862435652E-2</v>
      </c>
      <c r="BI18" s="509">
        <f t="shared" ca="1" si="15"/>
        <v>3.1858424739749751E-2</v>
      </c>
      <c r="BJ18" s="509">
        <f t="shared" ca="1" si="15"/>
        <v>1.8406878575731443E-2</v>
      </c>
      <c r="BK18" s="509">
        <f t="shared" ca="1" si="15"/>
        <v>1.0994719861380732E-2</v>
      </c>
      <c r="BL18" s="509">
        <f t="shared" ca="1" si="15"/>
        <v>6.7636901907182504E-3</v>
      </c>
      <c r="BM18" s="509">
        <f t="shared" ca="1" si="16"/>
        <v>4.271637514216782E-3</v>
      </c>
      <c r="BN18" s="509">
        <f t="shared" ca="1" si="16"/>
        <v>2.7621358640099567E-3</v>
      </c>
      <c r="BO18" s="509">
        <f t="shared" ca="1" si="16"/>
        <v>1.8244669255595661E-3</v>
      </c>
      <c r="BP18" s="509">
        <f t="shared" ca="1" si="16"/>
        <v>1.2285906702167581E-3</v>
      </c>
      <c r="BQ18" s="509">
        <f t="shared" ca="1" si="16"/>
        <v>8.420025249711268E-4</v>
      </c>
      <c r="BR18" s="509">
        <f t="shared" ca="1" si="16"/>
        <v>5.8641415579865094E-4</v>
      </c>
      <c r="BS18" s="509">
        <f t="shared" ca="1" si="16"/>
        <v>4.1448605747358946E-4</v>
      </c>
      <c r="BT18" s="509">
        <f t="shared" ca="1" si="16"/>
        <v>2.9697954822342407E-4</v>
      </c>
      <c r="BU18" s="509">
        <f t="shared" ca="1" si="16"/>
        <v>2.1548051490398064E-4</v>
      </c>
      <c r="BV18" s="509">
        <f t="shared" ca="1" si="16"/>
        <v>1.5818188027044391E-4</v>
      </c>
      <c r="BW18" s="509">
        <f t="shared" ca="1" si="16"/>
        <v>1.1738619294417284E-4</v>
      </c>
      <c r="BX18" s="509">
        <f t="shared" ca="1" si="16"/>
        <v>8.7997297544524465E-5</v>
      </c>
      <c r="BY18" s="509">
        <f t="shared" ca="1" si="16"/>
        <v>2.3736770073964602E-5</v>
      </c>
      <c r="BZ18" s="509">
        <f t="shared" ca="1" si="16"/>
        <v>7.6293945312500034E-6</v>
      </c>
      <c r="CA18" s="509">
        <f t="shared" ca="1" si="16"/>
        <v>2.8034552811235959E-6</v>
      </c>
      <c r="CB18" s="509">
        <f t="shared" ca="1" si="16"/>
        <v>5.0923370314697864E-7</v>
      </c>
      <c r="CC18" s="509">
        <f t="shared" ca="1" si="17"/>
        <v>1.2309388209341476E-7</v>
      </c>
      <c r="CD18" s="509">
        <f t="shared" ca="1" si="17"/>
        <v>3.647365292756045E-8</v>
      </c>
      <c r="CE18" s="509">
        <f t="shared" ca="1" si="17"/>
        <v>1.2587489793850545E-8</v>
      </c>
      <c r="CF18" s="509">
        <f t="shared" ca="1" si="17"/>
        <v>4.890455990797787E-9</v>
      </c>
      <c r="CG18" s="509">
        <f t="shared" ca="1" si="17"/>
        <v>2.0887716189446348E-9</v>
      </c>
      <c r="CH18" s="509">
        <f t="shared" ca="1" si="17"/>
        <v>9.639807401276958E-10</v>
      </c>
    </row>
    <row r="19" spans="1:86">
      <c r="A19" s="159">
        <f>IF(OR(A18=Abandonment!$B$4,A18=""),"",'Success Cash Flow'!A18+1)</f>
        <v>2024</v>
      </c>
      <c r="B19" s="257">
        <f>Revenue!S20</f>
        <v>375.91784503028794</v>
      </c>
      <c r="C19" s="257">
        <f>Revenue!T20</f>
        <v>1945.2392935238142</v>
      </c>
      <c r="D19" s="257">
        <f>Revenue!U20</f>
        <v>0</v>
      </c>
      <c r="E19" s="257">
        <f t="shared" si="18"/>
        <v>2321.1571385541019</v>
      </c>
      <c r="F19" s="257">
        <f>Exploration!X44</f>
        <v>0</v>
      </c>
      <c r="G19" s="257">
        <f>Development!BX100</f>
        <v>0</v>
      </c>
      <c r="H19" s="257">
        <f>Abandonment!K25</f>
        <v>0</v>
      </c>
      <c r="I19" s="257">
        <f>Operations!P28</f>
        <v>305.39712227991697</v>
      </c>
      <c r="J19" s="257">
        <f t="shared" si="9"/>
        <v>305.39712227991697</v>
      </c>
      <c r="K19" s="257">
        <f t="shared" si="10"/>
        <v>2015.7600162741851</v>
      </c>
      <c r="L19" s="257">
        <f>Royalty!AM21*Development!$BP$88</f>
        <v>694.82710641616757</v>
      </c>
      <c r="M19" s="257">
        <f>'Provincial Tax'!X19*Development!$BP$88</f>
        <v>181.63610141575748</v>
      </c>
      <c r="N19" s="257">
        <f>'Federal Tax'!X20*Development!$BP$88</f>
        <v>205.27749998632061</v>
      </c>
      <c r="O19" s="257">
        <f t="shared" si="11"/>
        <v>1081.7407078182457</v>
      </c>
      <c r="P19" s="257">
        <f t="shared" si="12"/>
        <v>934.01930845593938</v>
      </c>
      <c r="Q19" s="217"/>
      <c r="R19" s="217"/>
      <c r="S19" s="500"/>
      <c r="T19" s="500"/>
      <c r="U19" s="500"/>
      <c r="V19" s="500"/>
      <c r="W19" s="500"/>
      <c r="X19" s="500"/>
      <c r="Y19" s="496"/>
      <c r="Z19" s="496"/>
      <c r="AA19" s="496"/>
      <c r="AB19" s="496"/>
      <c r="AC19" s="501">
        <f>IF(Thresholds!$E$1=Lists!$A$8,Exploration!U44,IF(Thresholds!$E$1=Lists!$A$9,Exploration!V44,IF(Thresholds!$E$1=Lists!$A$10,Exploration!W44,IF(Thresholds!$E$1=Lists!$A$11,Development!AV100,Development!BE100-Development!AV100))))</f>
        <v>0</v>
      </c>
      <c r="AD19" s="501">
        <f t="shared" si="13"/>
        <v>0</v>
      </c>
      <c r="AE19" s="501"/>
      <c r="AF19" s="509">
        <f t="shared" ca="1" si="19"/>
        <v>0.4043612133063183</v>
      </c>
      <c r="AG19" s="509">
        <f t="shared" ca="1" si="14"/>
        <v>0.4043612133063183</v>
      </c>
      <c r="AH19" s="509">
        <f t="shared" ca="1" si="14"/>
        <v>9.9999999999999611E+18</v>
      </c>
      <c r="AI19" s="509">
        <f t="shared" ca="1" si="14"/>
        <v>3162277660.1683841</v>
      </c>
      <c r="AJ19" s="509">
        <f t="shared" ca="1" si="14"/>
        <v>4367320.2685542842</v>
      </c>
      <c r="AK19" s="509">
        <f t="shared" ca="1" si="14"/>
        <v>92757.296060080043</v>
      </c>
      <c r="AL19" s="509">
        <f t="shared" ca="1" si="14"/>
        <v>6031.5659716956807</v>
      </c>
      <c r="AM19" s="509">
        <f t="shared" ca="1" si="14"/>
        <v>724.07734393502585</v>
      </c>
      <c r="AN19" s="509">
        <f t="shared" ca="1" si="14"/>
        <v>128.10412704806825</v>
      </c>
      <c r="AO19" s="509">
        <f t="shared" ca="1" si="14"/>
        <v>29.618879158296714</v>
      </c>
      <c r="AP19" s="509">
        <f t="shared" ca="1" si="14"/>
        <v>8.3300023432813379</v>
      </c>
      <c r="AQ19" s="509">
        <f t="shared" ca="1" si="14"/>
        <v>2.7207971269414739</v>
      </c>
      <c r="AR19" s="509">
        <f t="shared" ca="1" si="14"/>
        <v>1.0000000000000011</v>
      </c>
      <c r="AS19" s="509">
        <f t="shared" ca="1" si="14"/>
        <v>0.90980212960878037</v>
      </c>
      <c r="AT19" s="509">
        <f t="shared" ca="1" si="14"/>
        <v>0.82851117057660817</v>
      </c>
      <c r="AU19" s="509">
        <f t="shared" ca="1" si="14"/>
        <v>0.75517284565318343</v>
      </c>
      <c r="AV19" s="509">
        <f t="shared" ca="1" si="14"/>
        <v>0.68894297590536901</v>
      </c>
      <c r="AW19" s="509">
        <f t="shared" ca="1" si="15"/>
        <v>0.62907388836022438</v>
      </c>
      <c r="AX19" s="509">
        <f t="shared" ca="1" si="15"/>
        <v>0.57490260957770112</v>
      </c>
      <c r="AY19" s="509">
        <f t="shared" ca="1" si="15"/>
        <v>0.52584059657926785</v>
      </c>
      <c r="AZ19" s="509">
        <f t="shared" ca="1" si="15"/>
        <v>0.48136479305863433</v>
      </c>
      <c r="BA19" s="509">
        <f t="shared" ca="1" si="15"/>
        <v>0.44100982966672264</v>
      </c>
      <c r="BB19" s="509">
        <f t="shared" ca="1" si="15"/>
        <v>0.40436121330631902</v>
      </c>
      <c r="BC19" s="509">
        <f t="shared" ca="1" si="15"/>
        <v>0.26507606602942513</v>
      </c>
      <c r="BD19" s="509">
        <f t="shared" ca="1" si="15"/>
        <v>0.17692050182357816</v>
      </c>
      <c r="BE19" s="509">
        <f t="shared" ca="1" si="15"/>
        <v>0.12004798543743096</v>
      </c>
      <c r="BF19" s="509">
        <f t="shared" ca="1" si="15"/>
        <v>8.2706216338707908E-2</v>
      </c>
      <c r="BG19" s="509">
        <f t="shared" ca="1" si="15"/>
        <v>5.7786873667194767E-2</v>
      </c>
      <c r="BH19" s="509">
        <f t="shared" ca="1" si="15"/>
        <v>4.0905684187454029E-2</v>
      </c>
      <c r="BI19" s="509">
        <f t="shared" ca="1" si="15"/>
        <v>2.1238949826499837E-2</v>
      </c>
      <c r="BJ19" s="509">
        <f t="shared" ca="1" si="15"/>
        <v>1.1504299109832156E-2</v>
      </c>
      <c r="BK19" s="509">
        <f t="shared" ca="1" si="15"/>
        <v>6.4674822714004317E-3</v>
      </c>
      <c r="BL19" s="509">
        <f t="shared" ca="1" si="15"/>
        <v>3.7576056615101368E-3</v>
      </c>
      <c r="BM19" s="509">
        <f t="shared" ca="1" si="16"/>
        <v>2.2482302706404128E-3</v>
      </c>
      <c r="BN19" s="509">
        <f t="shared" ca="1" si="16"/>
        <v>1.3810679320049794E-3</v>
      </c>
      <c r="BO19" s="509">
        <f t="shared" ca="1" si="16"/>
        <v>8.6879377407598449E-4</v>
      </c>
      <c r="BP19" s="509">
        <f t="shared" ca="1" si="16"/>
        <v>5.5845030464398099E-4</v>
      </c>
      <c r="BQ19" s="509">
        <f t="shared" ca="1" si="16"/>
        <v>3.6608805433527254E-4</v>
      </c>
      <c r="BR19" s="509">
        <f t="shared" ca="1" si="16"/>
        <v>2.4433923158277134E-4</v>
      </c>
      <c r="BS19" s="509">
        <f t="shared" ca="1" si="16"/>
        <v>1.6579442298943594E-4</v>
      </c>
      <c r="BT19" s="509">
        <f t="shared" ca="1" si="16"/>
        <v>1.1422290316285538E-4</v>
      </c>
      <c r="BU19" s="509">
        <f t="shared" ca="1" si="16"/>
        <v>7.9807598112585355E-5</v>
      </c>
      <c r="BV19" s="509">
        <f t="shared" ca="1" si="16"/>
        <v>5.6493528668015726E-5</v>
      </c>
      <c r="BW19" s="509">
        <f t="shared" ca="1" si="16"/>
        <v>4.0477997566956095E-5</v>
      </c>
      <c r="BX19" s="509">
        <f t="shared" ca="1" si="16"/>
        <v>2.9332432514841504E-5</v>
      </c>
      <c r="BY19" s="509">
        <f t="shared" ca="1" si="16"/>
        <v>6.7819343068470287E-6</v>
      </c>
      <c r="BZ19" s="509">
        <f t="shared" ca="1" si="16"/>
        <v>1.9073486328125004E-6</v>
      </c>
      <c r="CA19" s="509">
        <f t="shared" ca="1" si="16"/>
        <v>6.2299006247190986E-7</v>
      </c>
      <c r="CB19" s="509">
        <f t="shared" ca="1" si="16"/>
        <v>9.2587946026723384E-8</v>
      </c>
      <c r="CC19" s="509">
        <f t="shared" ca="1" si="17"/>
        <v>1.8937520322063823E-8</v>
      </c>
      <c r="CD19" s="509">
        <f t="shared" ca="1" si="17"/>
        <v>4.8631537236747161E-9</v>
      </c>
      <c r="CE19" s="509">
        <f t="shared" ca="1" si="17"/>
        <v>1.4808811522177098E-9</v>
      </c>
      <c r="CF19" s="509">
        <f t="shared" ca="1" si="17"/>
        <v>5.1478484113660924E-10</v>
      </c>
      <c r="CG19" s="509">
        <f t="shared" ca="1" si="17"/>
        <v>1.9893063037567922E-10</v>
      </c>
      <c r="CH19" s="509">
        <f t="shared" ca="1" si="17"/>
        <v>8.3824412185016885E-11</v>
      </c>
    </row>
    <row r="20" spans="1:86">
      <c r="A20" s="159">
        <f>IF(OR(A19=Abandonment!$B$4,A19=""),"",'Success Cash Flow'!A19+1)</f>
        <v>2025</v>
      </c>
      <c r="B20" s="257">
        <f>Revenue!S21</f>
        <v>327.67819472135534</v>
      </c>
      <c r="C20" s="257">
        <f>Revenue!T21</f>
        <v>1695.5268877351534</v>
      </c>
      <c r="D20" s="257">
        <f>Revenue!U21</f>
        <v>0</v>
      </c>
      <c r="E20" s="257">
        <f t="shared" si="18"/>
        <v>2023.2050824565088</v>
      </c>
      <c r="F20" s="257">
        <f>Exploration!X45</f>
        <v>0</v>
      </c>
      <c r="G20" s="257">
        <f>Development!BX101</f>
        <v>0</v>
      </c>
      <c r="H20" s="257">
        <f>Abandonment!K26</f>
        <v>0</v>
      </c>
      <c r="I20" s="257">
        <f>Operations!P29</f>
        <v>291.29478776809464</v>
      </c>
      <c r="J20" s="257">
        <f t="shared" si="9"/>
        <v>291.29478776809464</v>
      </c>
      <c r="K20" s="257">
        <f t="shared" si="10"/>
        <v>1731.9102946884141</v>
      </c>
      <c r="L20" s="257">
        <f>Royalty!AM22*Development!$BP$88</f>
        <v>595.97328556906155</v>
      </c>
      <c r="M20" s="257">
        <f>'Provincial Tax'!X20*Development!$BP$88</f>
        <v>159.71362562594416</v>
      </c>
      <c r="N20" s="257">
        <f>'Federal Tax'!X21*Development!$BP$88</f>
        <v>181.84840259714016</v>
      </c>
      <c r="O20" s="257">
        <f t="shared" si="11"/>
        <v>937.53531379214587</v>
      </c>
      <c r="P20" s="257">
        <f t="shared" si="12"/>
        <v>794.3749808962682</v>
      </c>
      <c r="Q20" s="217"/>
      <c r="R20" s="217"/>
      <c r="S20" s="500"/>
      <c r="T20" s="500"/>
      <c r="U20" s="500"/>
      <c r="V20" s="500"/>
      <c r="W20" s="500"/>
      <c r="X20" s="500"/>
      <c r="Y20" s="496"/>
      <c r="Z20" s="496"/>
      <c r="AA20" s="496"/>
      <c r="AB20" s="496"/>
      <c r="AC20" s="501">
        <f>IF(Thresholds!$E$1=Lists!$A$8,Exploration!U45,IF(Thresholds!$E$1=Lists!$A$9,Exploration!V45,IF(Thresholds!$E$1=Lists!$A$10,Exploration!W45,IF(Thresholds!$E$1=Lists!$A$11,Development!AV101,Development!BE101-Development!AV101))))</f>
        <v>0</v>
      </c>
      <c r="AD20" s="501">
        <f t="shared" si="13"/>
        <v>0</v>
      </c>
      <c r="AE20" s="501"/>
      <c r="AF20" s="509">
        <f t="shared" ca="1" si="19"/>
        <v>0.36760110300574383</v>
      </c>
      <c r="AG20" s="509">
        <f t="shared" ca="1" si="14"/>
        <v>0.36760110300574383</v>
      </c>
      <c r="AH20" s="509">
        <f t="shared" ca="1" si="14"/>
        <v>9.9999999999999843E+20</v>
      </c>
      <c r="AI20" s="509">
        <f t="shared" ca="1" si="14"/>
        <v>31622776601.683876</v>
      </c>
      <c r="AJ20" s="509">
        <f t="shared" ca="1" si="14"/>
        <v>21836601.342771403</v>
      </c>
      <c r="AK20" s="509">
        <f t="shared" ca="1" si="14"/>
        <v>309190.98686693341</v>
      </c>
      <c r="AL20" s="509">
        <f t="shared" ca="1" si="14"/>
        <v>15078.914929239214</v>
      </c>
      <c r="AM20" s="509">
        <f t="shared" ca="1" si="14"/>
        <v>1448.1546878700519</v>
      </c>
      <c r="AN20" s="509">
        <f t="shared" ca="1" si="14"/>
        <v>213.50687841344703</v>
      </c>
      <c r="AO20" s="509">
        <f t="shared" ca="1" si="14"/>
        <v>42.312684511852453</v>
      </c>
      <c r="AP20" s="509">
        <f t="shared" ca="1" si="14"/>
        <v>10.412502929101677</v>
      </c>
      <c r="AQ20" s="509">
        <f t="shared" ca="1" si="14"/>
        <v>3.0231079188238601</v>
      </c>
      <c r="AR20" s="509">
        <f t="shared" ca="1" si="14"/>
        <v>1.0000000000000011</v>
      </c>
      <c r="AS20" s="509">
        <f t="shared" ca="1" si="14"/>
        <v>0.90079418773146591</v>
      </c>
      <c r="AT20" s="509">
        <f t="shared" ca="1" si="14"/>
        <v>0.81226585350647873</v>
      </c>
      <c r="AU20" s="509">
        <f t="shared" ca="1" si="14"/>
        <v>0.73317752005163461</v>
      </c>
      <c r="AV20" s="509">
        <f t="shared" ca="1" si="14"/>
        <v>0.66244516913977802</v>
      </c>
      <c r="AW20" s="509">
        <f t="shared" ca="1" si="15"/>
        <v>0.59911798891449952</v>
      </c>
      <c r="AX20" s="509">
        <f t="shared" ca="1" si="15"/>
        <v>0.54236095243179361</v>
      </c>
      <c r="AY20" s="509">
        <f t="shared" ca="1" si="15"/>
        <v>0.49143980988716635</v>
      </c>
      <c r="AZ20" s="509">
        <f t="shared" ca="1" si="15"/>
        <v>0.4457081417209578</v>
      </c>
      <c r="BA20" s="509">
        <f t="shared" ca="1" si="15"/>
        <v>0.40459617400616765</v>
      </c>
      <c r="BB20" s="509">
        <f t="shared" ca="1" si="15"/>
        <v>0.36760110300574456</v>
      </c>
      <c r="BC20" s="509">
        <f t="shared" ca="1" si="15"/>
        <v>0.23050092698210878</v>
      </c>
      <c r="BD20" s="509">
        <f t="shared" ca="1" si="15"/>
        <v>0.14743375151964852</v>
      </c>
      <c r="BE20" s="509">
        <f t="shared" ca="1" si="15"/>
        <v>9.6038388349944784E-2</v>
      </c>
      <c r="BF20" s="509">
        <f t="shared" ca="1" si="15"/>
        <v>6.3620166414390708E-2</v>
      </c>
      <c r="BG20" s="509">
        <f t="shared" ca="1" si="15"/>
        <v>4.2805091605329471E-2</v>
      </c>
      <c r="BH20" s="509">
        <f t="shared" ca="1" si="15"/>
        <v>2.9218345848181448E-2</v>
      </c>
      <c r="BI20" s="509">
        <f t="shared" ca="1" si="15"/>
        <v>1.4159299884333227E-2</v>
      </c>
      <c r="BJ20" s="509">
        <f t="shared" ca="1" si="15"/>
        <v>7.1901869436450955E-3</v>
      </c>
      <c r="BK20" s="509">
        <f t="shared" ca="1" si="15"/>
        <v>3.8044013361179011E-3</v>
      </c>
      <c r="BL20" s="509">
        <f t="shared" ca="1" si="15"/>
        <v>2.0875587008389661E-3</v>
      </c>
      <c r="BM20" s="509">
        <f t="shared" ca="1" si="16"/>
        <v>1.1832790898107441E-3</v>
      </c>
      <c r="BN20" s="509">
        <f t="shared" ca="1" si="16"/>
        <v>6.905339660024896E-4</v>
      </c>
      <c r="BO20" s="509">
        <f t="shared" ca="1" si="16"/>
        <v>4.1371132098856389E-4</v>
      </c>
      <c r="BP20" s="509">
        <f t="shared" ca="1" si="16"/>
        <v>2.5384104756544565E-4</v>
      </c>
      <c r="BQ20" s="509">
        <f t="shared" ca="1" si="16"/>
        <v>1.5916871927620552E-4</v>
      </c>
      <c r="BR20" s="509">
        <f t="shared" ca="1" si="16"/>
        <v>1.0180801315948802E-4</v>
      </c>
      <c r="BS20" s="509">
        <f t="shared" ca="1" si="16"/>
        <v>6.6317769195774304E-5</v>
      </c>
      <c r="BT20" s="509">
        <f t="shared" ca="1" si="16"/>
        <v>4.3931885831867437E-5</v>
      </c>
      <c r="BU20" s="509">
        <f t="shared" ca="1" si="16"/>
        <v>2.9558369671327892E-5</v>
      </c>
      <c r="BV20" s="509">
        <f t="shared" ca="1" si="16"/>
        <v>2.0176260238577027E-5</v>
      </c>
      <c r="BW20" s="509">
        <f t="shared" ca="1" si="16"/>
        <v>1.395793019550211E-5</v>
      </c>
      <c r="BX20" s="509">
        <f t="shared" ca="1" si="16"/>
        <v>9.7774775049471731E-6</v>
      </c>
      <c r="BY20" s="509">
        <f t="shared" ca="1" si="16"/>
        <v>1.9376955162420083E-6</v>
      </c>
      <c r="BZ20" s="509">
        <f t="shared" ca="1" si="16"/>
        <v>4.76837158203125E-7</v>
      </c>
      <c r="CA20" s="509">
        <f t="shared" ca="1" si="16"/>
        <v>1.38442236104869E-7</v>
      </c>
      <c r="CB20" s="509">
        <f t="shared" ca="1" si="16"/>
        <v>1.6834172004858795E-8</v>
      </c>
      <c r="CC20" s="509">
        <f t="shared" ref="CC20:CH25" ca="1" si="20">IF(OR($A20="",$A20&lt;$AG$2-1),0,IF($A20=$AG$2-1,CC$7,1/(1+CC$6)^($A20-$AG$2+0.5+$AI$1)))</f>
        <v>2.9134646649328921E-9</v>
      </c>
      <c r="CD20" s="509">
        <f t="shared" ca="1" si="20"/>
        <v>6.4842049648996317E-10</v>
      </c>
      <c r="CE20" s="509">
        <f t="shared" ca="1" si="20"/>
        <v>1.7422131202561337E-10</v>
      </c>
      <c r="CF20" s="509">
        <f t="shared" ca="1" si="20"/>
        <v>5.4187878014379933E-11</v>
      </c>
      <c r="CG20" s="509">
        <f t="shared" ca="1" si="20"/>
        <v>1.8945774321493235E-11</v>
      </c>
      <c r="CH20" s="509">
        <f t="shared" ca="1" si="20"/>
        <v>7.2890793204362643E-12</v>
      </c>
    </row>
    <row r="21" spans="1:86">
      <c r="A21" s="159">
        <f>IF(OR(A20=Abandonment!$B$4,A20=""),"",'Success Cash Flow'!A20+1)</f>
        <v>2026</v>
      </c>
      <c r="B21" s="257">
        <f>Revenue!S22</f>
        <v>285.80677753834584</v>
      </c>
      <c r="C21" s="257">
        <f>Revenue!T22</f>
        <v>1482.0031659122649</v>
      </c>
      <c r="D21" s="257">
        <f>Revenue!U22</f>
        <v>0</v>
      </c>
      <c r="E21" s="257">
        <f t="shared" si="18"/>
        <v>1767.8099434506107</v>
      </c>
      <c r="F21" s="257">
        <f>Exploration!X46</f>
        <v>0</v>
      </c>
      <c r="G21" s="257">
        <f>Development!BX102</f>
        <v>0</v>
      </c>
      <c r="H21" s="257">
        <f>Abandonment!K27</f>
        <v>0</v>
      </c>
      <c r="I21" s="257">
        <f>Operations!P30</f>
        <v>279.80651766944408</v>
      </c>
      <c r="J21" s="257">
        <f t="shared" si="9"/>
        <v>279.80651766944408</v>
      </c>
      <c r="K21" s="257">
        <f t="shared" si="10"/>
        <v>1488.0034257811667</v>
      </c>
      <c r="L21" s="257">
        <f>Royalty!AM23*Development!$BP$88</f>
        <v>511.00797090497775</v>
      </c>
      <c r="M21" s="257">
        <f>'Provincial Tax'!X21*Development!$BP$88</f>
        <v>139.9660550069203</v>
      </c>
      <c r="N21" s="257">
        <f>'Federal Tax'!X22*Development!$BP$88</f>
        <v>152.88928651479799</v>
      </c>
      <c r="O21" s="257">
        <f t="shared" si="11"/>
        <v>803.86331242669598</v>
      </c>
      <c r="P21" s="257">
        <f t="shared" si="12"/>
        <v>684.14011335447071</v>
      </c>
      <c r="Q21" s="217"/>
      <c r="R21" s="217"/>
      <c r="S21" s="500"/>
      <c r="T21" s="500"/>
      <c r="U21" s="500"/>
      <c r="V21" s="500"/>
      <c r="W21" s="500"/>
      <c r="X21" s="500"/>
      <c r="Y21" s="496"/>
      <c r="Z21" s="496"/>
      <c r="AA21" s="496"/>
      <c r="AB21" s="496"/>
      <c r="AC21" s="501">
        <f>IF(Thresholds!$E$1=Lists!$A$8,Exploration!U46,IF(Thresholds!$E$1=Lists!$A$9,Exploration!V46,IF(Thresholds!$E$1=Lists!$A$10,Exploration!W46,IF(Thresholds!$E$1=Lists!$A$11,Development!AV102,Development!BE102-Development!AV102))))</f>
        <v>0</v>
      </c>
      <c r="AD21" s="501">
        <f t="shared" si="13"/>
        <v>0</v>
      </c>
      <c r="AE21" s="501"/>
      <c r="AF21" s="509">
        <f t="shared" ca="1" si="19"/>
        <v>0.33418282091431251</v>
      </c>
      <c r="AG21" s="509">
        <f t="shared" ca="1" si="14"/>
        <v>0.33418282091431251</v>
      </c>
      <c r="AH21" s="509">
        <f t="shared" ca="1" si="14"/>
        <v>9.9999999999999337E+22</v>
      </c>
      <c r="AI21" s="509">
        <f t="shared" ca="1" si="14"/>
        <v>316227766016.83911</v>
      </c>
      <c r="AJ21" s="509">
        <f t="shared" ca="1" si="14"/>
        <v>109183006.71385694</v>
      </c>
      <c r="AK21" s="509">
        <f t="shared" ca="1" si="14"/>
        <v>1030636.6228897779</v>
      </c>
      <c r="AL21" s="509">
        <f t="shared" ca="1" si="14"/>
        <v>37697.287323098069</v>
      </c>
      <c r="AM21" s="509">
        <f t="shared" ca="1" si="14"/>
        <v>2896.3093757401043</v>
      </c>
      <c r="AN21" s="509">
        <f t="shared" ca="1" si="14"/>
        <v>355.8447973557453</v>
      </c>
      <c r="AO21" s="509">
        <f t="shared" ca="1" si="14"/>
        <v>60.446692159789258</v>
      </c>
      <c r="AP21" s="509">
        <f t="shared" ca="1" si="14"/>
        <v>13.015628661377095</v>
      </c>
      <c r="AQ21" s="509">
        <f t="shared" ca="1" si="14"/>
        <v>3.3590087986931785</v>
      </c>
      <c r="AR21" s="509">
        <f t="shared" ca="1" si="14"/>
        <v>1.0000000000000013</v>
      </c>
      <c r="AS21" s="509">
        <f t="shared" ca="1" si="14"/>
        <v>0.89187543339749109</v>
      </c>
      <c r="AT21" s="509">
        <f t="shared" ca="1" si="14"/>
        <v>0.79633907206517529</v>
      </c>
      <c r="AU21" s="509">
        <f t="shared" ca="1" si="14"/>
        <v>0.71182283500158716</v>
      </c>
      <c r="AV21" s="509">
        <f t="shared" ca="1" si="14"/>
        <v>0.63696650878824823</v>
      </c>
      <c r="AW21" s="509">
        <f t="shared" ca="1" si="15"/>
        <v>0.570588560870952</v>
      </c>
      <c r="AX21" s="509">
        <f t="shared" ca="1" si="15"/>
        <v>0.51166127587905064</v>
      </c>
      <c r="AY21" s="509">
        <f t="shared" ca="1" si="15"/>
        <v>0.45928954195062283</v>
      </c>
      <c r="AZ21" s="509">
        <f t="shared" ca="1" si="15"/>
        <v>0.41269272381570177</v>
      </c>
      <c r="BA21" s="509">
        <f t="shared" ca="1" si="15"/>
        <v>0.37118915046437401</v>
      </c>
      <c r="BB21" s="509">
        <f t="shared" ca="1" si="15"/>
        <v>0.33418282091431328</v>
      </c>
      <c r="BC21" s="509">
        <f t="shared" ca="1" si="15"/>
        <v>0.20043558868009465</v>
      </c>
      <c r="BD21" s="509">
        <f t="shared" ca="1" si="15"/>
        <v>0.12286145959970714</v>
      </c>
      <c r="BE21" s="509">
        <f t="shared" ca="1" si="15"/>
        <v>7.6830710679955866E-2</v>
      </c>
      <c r="BF21" s="509">
        <f t="shared" ca="1" si="15"/>
        <v>4.8938589549531328E-2</v>
      </c>
      <c r="BG21" s="509">
        <f t="shared" ca="1" si="15"/>
        <v>3.1707475263207024E-2</v>
      </c>
      <c r="BH21" s="509">
        <f t="shared" ca="1" si="15"/>
        <v>2.0870247034415323E-2</v>
      </c>
      <c r="BI21" s="509">
        <f t="shared" ca="1" si="15"/>
        <v>9.439533256222158E-3</v>
      </c>
      <c r="BJ21" s="509">
        <f t="shared" ca="1" si="15"/>
        <v>4.493866839778188E-3</v>
      </c>
      <c r="BK21" s="509">
        <f t="shared" ca="1" si="15"/>
        <v>2.2378831388928837E-3</v>
      </c>
      <c r="BL21" s="509">
        <f t="shared" ca="1" si="15"/>
        <v>1.159754833799426E-3</v>
      </c>
      <c r="BM21" s="509">
        <f t="shared" ca="1" si="16"/>
        <v>6.227784683214445E-4</v>
      </c>
      <c r="BN21" s="509">
        <f t="shared" ca="1" si="16"/>
        <v>3.452669830012448E-4</v>
      </c>
      <c r="BO21" s="509">
        <f t="shared" ca="1" si="16"/>
        <v>1.9700539094693516E-4</v>
      </c>
      <c r="BP21" s="509">
        <f t="shared" ca="1" si="16"/>
        <v>1.1538229434792994E-4</v>
      </c>
      <c r="BQ21" s="509">
        <f t="shared" ca="1" si="16"/>
        <v>6.9203790989654656E-5</v>
      </c>
      <c r="BR21" s="509">
        <f t="shared" ca="1" si="16"/>
        <v>4.2420005483119991E-5</v>
      </c>
      <c r="BS21" s="509">
        <f t="shared" ca="1" si="16"/>
        <v>2.6527107678309745E-5</v>
      </c>
      <c r="BT21" s="509">
        <f t="shared" ca="1" si="16"/>
        <v>1.6896879166102853E-5</v>
      </c>
      <c r="BU21" s="509">
        <f t="shared" ca="1" si="16"/>
        <v>1.0947544322714046E-5</v>
      </c>
      <c r="BV21" s="509">
        <f t="shared" ca="1" si="16"/>
        <v>7.2058072280632294E-6</v>
      </c>
      <c r="BW21" s="509">
        <f t="shared" ca="1" si="16"/>
        <v>4.8130793777593512E-6</v>
      </c>
      <c r="BX21" s="509">
        <f t="shared" ca="1" si="16"/>
        <v>3.2591591683157207E-6</v>
      </c>
      <c r="BY21" s="509">
        <f t="shared" ca="1" si="16"/>
        <v>5.5362729035485946E-7</v>
      </c>
      <c r="BZ21" s="509">
        <f t="shared" ca="1" si="16"/>
        <v>1.1920928955078122E-7</v>
      </c>
      <c r="CA21" s="509">
        <f t="shared" ca="1" si="16"/>
        <v>3.0764941356637487E-8</v>
      </c>
      <c r="CB21" s="509">
        <f t="shared" ca="1" si="16"/>
        <v>3.0607585463379627E-9</v>
      </c>
      <c r="CC21" s="509">
        <f t="shared" ca="1" si="20"/>
        <v>4.482253330665998E-10</v>
      </c>
      <c r="CD21" s="509">
        <f t="shared" ca="1" si="20"/>
        <v>8.6456066198661869E-11</v>
      </c>
      <c r="CE21" s="509">
        <f t="shared" ca="1" si="20"/>
        <v>2.0496624944189792E-11</v>
      </c>
      <c r="CF21" s="509">
        <f t="shared" ca="1" si="20"/>
        <v>5.7039871594084167E-12</v>
      </c>
      <c r="CG21" s="509">
        <f t="shared" ca="1" si="20"/>
        <v>1.8043594591898361E-12</v>
      </c>
      <c r="CH21" s="509">
        <f t="shared" ca="1" si="20"/>
        <v>6.3383298438576106E-13</v>
      </c>
    </row>
    <row r="22" spans="1:86">
      <c r="A22" s="159">
        <f>IF(OR(A21=Abandonment!$B$4,A21=""),"",'Success Cash Flow'!A21+1)</f>
        <v>2027</v>
      </c>
      <c r="B22" s="257">
        <f>Revenue!S23</f>
        <v>249.24981326715647</v>
      </c>
      <c r="C22" s="257">
        <f>Revenue!T23</f>
        <v>1295.1521120116181</v>
      </c>
      <c r="D22" s="257">
        <f>Revenue!U23</f>
        <v>0</v>
      </c>
      <c r="E22" s="257">
        <f t="shared" si="18"/>
        <v>1544.4019252787746</v>
      </c>
      <c r="F22" s="257">
        <f>Exploration!X47</f>
        <v>0</v>
      </c>
      <c r="G22" s="257">
        <f>Development!BX103</f>
        <v>0</v>
      </c>
      <c r="H22" s="257">
        <f>Abandonment!K28</f>
        <v>0</v>
      </c>
      <c r="I22" s="257">
        <f>Operations!P31</f>
        <v>270.44776069165704</v>
      </c>
      <c r="J22" s="257">
        <f t="shared" si="9"/>
        <v>270.44776069165704</v>
      </c>
      <c r="K22" s="257">
        <f t="shared" si="10"/>
        <v>1273.9541645871175</v>
      </c>
      <c r="L22" s="257">
        <f>Royalty!AM24*Development!$BP$88</f>
        <v>436.41828598128313</v>
      </c>
      <c r="M22" s="257">
        <f>'Provincial Tax'!X22*Development!$BP$88</f>
        <v>121.86263011809699</v>
      </c>
      <c r="N22" s="257">
        <f>'Federal Tax'!X23*Development!$BP$88</f>
        <v>134.7215704108003</v>
      </c>
      <c r="O22" s="257">
        <f t="shared" si="11"/>
        <v>693.00248651018035</v>
      </c>
      <c r="P22" s="257">
        <f t="shared" si="12"/>
        <v>580.95167807693713</v>
      </c>
      <c r="Q22" s="217"/>
      <c r="R22" s="217"/>
      <c r="S22" s="500"/>
      <c r="T22" s="500"/>
      <c r="U22" s="500"/>
      <c r="V22" s="500"/>
      <c r="W22" s="500"/>
      <c r="X22" s="500"/>
      <c r="Y22" s="496"/>
      <c r="Z22" s="496"/>
      <c r="AA22" s="496"/>
      <c r="AB22" s="496"/>
      <c r="AC22" s="501">
        <f>IF(Thresholds!$E$1=Lists!$A$8,Exploration!U47,IF(Thresholds!$E$1=Lists!$A$9,Exploration!V47,IF(Thresholds!$E$1=Lists!$A$10,Exploration!W47,IF(Thresholds!$E$1=Lists!$A$11,Development!AV103,Development!BE103-Development!AV103))))</f>
        <v>0</v>
      </c>
      <c r="AD22" s="501">
        <f t="shared" si="13"/>
        <v>0</v>
      </c>
      <c r="AE22" s="501"/>
      <c r="AF22" s="509">
        <f t="shared" ca="1" si="19"/>
        <v>0.30380256446755688</v>
      </c>
      <c r="AG22" s="509">
        <f t="shared" ca="1" si="14"/>
        <v>0.30380256446755688</v>
      </c>
      <c r="AH22" s="509">
        <f t="shared" ca="1" si="14"/>
        <v>9.999999999999958E+24</v>
      </c>
      <c r="AI22" s="509">
        <f t="shared" ca="1" si="14"/>
        <v>3162277660168.3833</v>
      </c>
      <c r="AJ22" s="509">
        <f t="shared" ca="1" si="14"/>
        <v>545915033.56928623</v>
      </c>
      <c r="AK22" s="509">
        <f t="shared" ca="1" si="14"/>
        <v>3435455.4096325985</v>
      </c>
      <c r="AL22" s="509">
        <f t="shared" ca="1" si="14"/>
        <v>94243.218307745105</v>
      </c>
      <c r="AM22" s="509">
        <f t="shared" ca="1" si="14"/>
        <v>5792.6187514802086</v>
      </c>
      <c r="AN22" s="509">
        <f t="shared" ca="1" si="14"/>
        <v>593.07466225957535</v>
      </c>
      <c r="AO22" s="509">
        <f t="shared" ca="1" si="14"/>
        <v>86.352417371127515</v>
      </c>
      <c r="AP22" s="509">
        <f t="shared" ca="1" si="14"/>
        <v>16.269535826721377</v>
      </c>
      <c r="AQ22" s="509">
        <f t="shared" ca="1" si="14"/>
        <v>3.7322319985479764</v>
      </c>
      <c r="AR22" s="509">
        <f t="shared" ca="1" si="14"/>
        <v>1.0000000000000013</v>
      </c>
      <c r="AS22" s="509">
        <f t="shared" ca="1" si="14"/>
        <v>0.88304498356187255</v>
      </c>
      <c r="AT22" s="509">
        <f t="shared" ca="1" si="14"/>
        <v>0.78072458045605442</v>
      </c>
      <c r="AU22" s="509">
        <f t="shared" ca="1" si="14"/>
        <v>0.69109013106950223</v>
      </c>
      <c r="AV22" s="509">
        <f t="shared" ca="1" si="14"/>
        <v>0.61246779691177722</v>
      </c>
      <c r="AW22" s="509">
        <f t="shared" ca="1" si="15"/>
        <v>0.54341767701995436</v>
      </c>
      <c r="AX22" s="509">
        <f t="shared" ca="1" si="15"/>
        <v>0.48269931686702905</v>
      </c>
      <c r="AY22" s="509">
        <f t="shared" ca="1" si="15"/>
        <v>0.4292425625706755</v>
      </c>
      <c r="AZ22" s="509">
        <f t="shared" ca="1" si="15"/>
        <v>0.38212289242194608</v>
      </c>
      <c r="BA22" s="509">
        <f t="shared" ca="1" si="15"/>
        <v>0.34054050501318728</v>
      </c>
      <c r="BB22" s="509">
        <f t="shared" ca="1" si="15"/>
        <v>0.3038025644675576</v>
      </c>
      <c r="BC22" s="509">
        <f t="shared" ca="1" si="15"/>
        <v>0.17429181624356058</v>
      </c>
      <c r="BD22" s="509">
        <f t="shared" ca="1" si="15"/>
        <v>0.10238454966642262</v>
      </c>
      <c r="BE22" s="509">
        <f t="shared" ca="1" si="15"/>
        <v>6.1464568543964683E-2</v>
      </c>
      <c r="BF22" s="509">
        <f t="shared" ca="1" si="15"/>
        <v>3.7645068884254874E-2</v>
      </c>
      <c r="BG22" s="509">
        <f t="shared" ca="1" si="15"/>
        <v>2.3487018713486678E-2</v>
      </c>
      <c r="BH22" s="509">
        <f t="shared" ca="1" si="15"/>
        <v>1.490731931029666E-2</v>
      </c>
      <c r="BI22" s="509">
        <f t="shared" ca="1" si="15"/>
        <v>6.2930221708147709E-3</v>
      </c>
      <c r="BJ22" s="509">
        <f t="shared" ca="1" si="15"/>
        <v>2.8086667748613674E-3</v>
      </c>
      <c r="BK22" s="509">
        <f t="shared" ca="1" si="15"/>
        <v>1.3164018464075786E-3</v>
      </c>
      <c r="BL22" s="509">
        <f t="shared" ca="1" si="15"/>
        <v>6.4430824099968084E-4</v>
      </c>
      <c r="BM22" s="509">
        <f t="shared" ca="1" si="16"/>
        <v>3.2777814122181303E-4</v>
      </c>
      <c r="BN22" s="509">
        <f t="shared" ca="1" si="16"/>
        <v>1.7263349150062254E-4</v>
      </c>
      <c r="BO22" s="509">
        <f t="shared" ca="1" si="16"/>
        <v>9.3812090927112115E-5</v>
      </c>
      <c r="BP22" s="509">
        <f t="shared" ca="1" si="16"/>
        <v>5.2446497430877297E-5</v>
      </c>
      <c r="BQ22" s="509">
        <f t="shared" ca="1" si="16"/>
        <v>3.0088604778110696E-5</v>
      </c>
      <c r="BR22" s="509">
        <f t="shared" ca="1" si="16"/>
        <v>1.7675002284633358E-5</v>
      </c>
      <c r="BS22" s="509">
        <f t="shared" ca="1" si="16"/>
        <v>1.0610843071323889E-5</v>
      </c>
      <c r="BT22" s="509">
        <f t="shared" ca="1" si="16"/>
        <v>6.4987996792703261E-6</v>
      </c>
      <c r="BU22" s="509">
        <f t="shared" ca="1" si="16"/>
        <v>4.0546460454496434E-6</v>
      </c>
      <c r="BV22" s="509">
        <f t="shared" ca="1" si="16"/>
        <v>2.5735025814511504E-6</v>
      </c>
      <c r="BW22" s="509">
        <f t="shared" ca="1" si="16"/>
        <v>1.6596825440549466E-6</v>
      </c>
      <c r="BX22" s="509">
        <f t="shared" ca="1" si="16"/>
        <v>1.0863863894385741E-6</v>
      </c>
      <c r="BY22" s="509">
        <f t="shared" ca="1" si="16"/>
        <v>1.5817922581567412E-7</v>
      </c>
      <c r="BZ22" s="509">
        <f t="shared" ca="1" si="16"/>
        <v>2.9802322387695299E-8</v>
      </c>
      <c r="CA22" s="509">
        <f t="shared" ca="1" si="16"/>
        <v>6.8366536348083515E-9</v>
      </c>
      <c r="CB22" s="509">
        <f t="shared" ca="1" si="16"/>
        <v>5.5650155387962955E-10</v>
      </c>
      <c r="CC22" s="509">
        <f t="shared" ca="1" si="20"/>
        <v>6.895774354870758E-11</v>
      </c>
      <c r="CD22" s="509">
        <f t="shared" ca="1" si="20"/>
        <v>1.1527475493154893E-11</v>
      </c>
      <c r="CE22" s="509">
        <f t="shared" ca="1" si="20"/>
        <v>2.4113676404929142E-12</v>
      </c>
      <c r="CF22" s="509">
        <f t="shared" ca="1" si="20"/>
        <v>6.0041970099035765E-13</v>
      </c>
      <c r="CG22" s="509">
        <f t="shared" ca="1" si="20"/>
        <v>1.7184375801807943E-13</v>
      </c>
      <c r="CH22" s="509">
        <f t="shared" ca="1" si="20"/>
        <v>5.5115911685718459E-14</v>
      </c>
    </row>
    <row r="23" spans="1:86">
      <c r="A23" s="159">
        <f>IF(OR(A22=Abandonment!$B$4,A22=""),"",'Success Cash Flow'!A22+1)</f>
        <v>2028</v>
      </c>
      <c r="B23" s="257">
        <f>Revenue!S24</f>
        <v>217.88640813216116</v>
      </c>
      <c r="C23" s="257">
        <f>Revenue!T24</f>
        <v>1134.529065309998</v>
      </c>
      <c r="D23" s="257">
        <f>Revenue!U24</f>
        <v>0</v>
      </c>
      <c r="E23" s="257">
        <f t="shared" si="18"/>
        <v>1352.4154734421593</v>
      </c>
      <c r="F23" s="257">
        <f>Exploration!X48</f>
        <v>0</v>
      </c>
      <c r="G23" s="257">
        <f>Development!BX104</f>
        <v>0</v>
      </c>
      <c r="H23" s="257">
        <f>Abandonment!K29</f>
        <v>0</v>
      </c>
      <c r="I23" s="257">
        <f>Operations!P32</f>
        <v>263.03297538277047</v>
      </c>
      <c r="J23" s="257">
        <f t="shared" si="9"/>
        <v>263.03297538277047</v>
      </c>
      <c r="K23" s="257">
        <f t="shared" si="10"/>
        <v>1089.3824980593888</v>
      </c>
      <c r="L23" s="257">
        <f>Royalty!AM25*Development!$BP$88</f>
        <v>372.0777201823891</v>
      </c>
      <c r="M23" s="257">
        <f>'Provincial Tax'!X23*Development!$BP$88</f>
        <v>105.74669362597373</v>
      </c>
      <c r="N23" s="257">
        <f>'Federal Tax'!X24*Development!$BP$88</f>
        <v>112.48515309201258</v>
      </c>
      <c r="O23" s="257">
        <f t="shared" si="11"/>
        <v>590.30956690037533</v>
      </c>
      <c r="P23" s="257">
        <f t="shared" si="12"/>
        <v>499.07293115901348</v>
      </c>
      <c r="Q23" s="217"/>
      <c r="R23" s="217"/>
      <c r="S23" s="500"/>
      <c r="T23" s="500"/>
      <c r="U23" s="500"/>
      <c r="V23" s="500"/>
      <c r="W23" s="500"/>
      <c r="X23" s="500"/>
      <c r="Y23" s="496"/>
      <c r="Z23" s="496"/>
      <c r="AA23" s="496"/>
      <c r="AB23" s="496"/>
      <c r="AC23" s="501">
        <f>IF(Thresholds!$E$1=Lists!$A$8,Exploration!U48,IF(Thresholds!$E$1=Lists!$A$9,Exploration!V48,IF(Thresholds!$E$1=Lists!$A$10,Exploration!W48,IF(Thresholds!$E$1=Lists!$A$11,Development!AV104,Development!BE104-Development!AV104))))</f>
        <v>0</v>
      </c>
      <c r="AD23" s="501">
        <f t="shared" si="13"/>
        <v>0</v>
      </c>
      <c r="AE23" s="501"/>
      <c r="AF23" s="509">
        <f t="shared" ca="1" si="19"/>
        <v>0.27618414951596076</v>
      </c>
      <c r="AG23" s="509">
        <f t="shared" ca="1" si="14"/>
        <v>0.27618414951596076</v>
      </c>
      <c r="AH23" s="509">
        <f t="shared" ca="1" si="14"/>
        <v>9.999999999999908E+26</v>
      </c>
      <c r="AI23" s="509">
        <f t="shared" ca="1" si="14"/>
        <v>31622776601683.871</v>
      </c>
      <c r="AJ23" s="509">
        <f t="shared" ca="1" si="14"/>
        <v>2729575167.8464289</v>
      </c>
      <c r="AK23" s="509">
        <f t="shared" ca="1" si="14"/>
        <v>11451518.032108663</v>
      </c>
      <c r="AL23" s="509">
        <f t="shared" ca="1" si="14"/>
        <v>235608.04576936297</v>
      </c>
      <c r="AM23" s="509">
        <f t="shared" ca="1" si="14"/>
        <v>11585.237502960419</v>
      </c>
      <c r="AN23" s="509">
        <f t="shared" ca="1" si="14"/>
        <v>988.45777043262626</v>
      </c>
      <c r="AO23" s="509">
        <f t="shared" ca="1" si="14"/>
        <v>123.36059624446789</v>
      </c>
      <c r="AP23" s="509">
        <f t="shared" ca="1" si="14"/>
        <v>20.336919783401719</v>
      </c>
      <c r="AQ23" s="509">
        <f t="shared" ca="1" si="14"/>
        <v>4.146924442831085</v>
      </c>
      <c r="AR23" s="509">
        <f t="shared" ca="1" si="14"/>
        <v>1.0000000000000016</v>
      </c>
      <c r="AS23" s="509">
        <f t="shared" ca="1" si="14"/>
        <v>0.87430196392264625</v>
      </c>
      <c r="AT23" s="509">
        <f t="shared" ca="1" si="14"/>
        <v>0.7654162553490732</v>
      </c>
      <c r="AU23" s="509">
        <f t="shared" ca="1" si="14"/>
        <v>0.67096129230048773</v>
      </c>
      <c r="AV23" s="509">
        <f t="shared" ca="1" si="14"/>
        <v>0.5889113431844013</v>
      </c>
      <c r="AW23" s="509">
        <f t="shared" ca="1" si="15"/>
        <v>0.517540644780909</v>
      </c>
      <c r="AX23" s="509">
        <f t="shared" ca="1" si="15"/>
        <v>0.45537671402549912</v>
      </c>
      <c r="AY23" s="509">
        <f t="shared" ca="1" si="15"/>
        <v>0.40116127343053798</v>
      </c>
      <c r="AZ23" s="509">
        <f t="shared" ca="1" si="15"/>
        <v>0.35381749298328347</v>
      </c>
      <c r="BA23" s="509">
        <f t="shared" ca="1" si="15"/>
        <v>0.31242248166347453</v>
      </c>
      <c r="BB23" s="509">
        <f t="shared" ca="1" si="15"/>
        <v>0.27618414951596149</v>
      </c>
      <c r="BC23" s="509">
        <f t="shared" ca="1" si="15"/>
        <v>0.15155810108135703</v>
      </c>
      <c r="BD23" s="509">
        <f t="shared" ca="1" si="15"/>
        <v>8.5320458055352197E-2</v>
      </c>
      <c r="BE23" s="509">
        <f t="shared" ca="1" si="15"/>
        <v>4.9171654835171753E-2</v>
      </c>
      <c r="BF23" s="509">
        <f t="shared" ca="1" si="15"/>
        <v>2.8957745295580681E-2</v>
      </c>
      <c r="BG23" s="509">
        <f t="shared" ca="1" si="15"/>
        <v>1.7397791639619766E-2</v>
      </c>
      <c r="BH23" s="509">
        <f t="shared" ca="1" si="15"/>
        <v>1.064808522164047E-2</v>
      </c>
      <c r="BI23" s="509">
        <f t="shared" ca="1" si="15"/>
        <v>4.195348113876513E-3</v>
      </c>
      <c r="BJ23" s="509">
        <f t="shared" ca="1" si="15"/>
        <v>1.7554167342883559E-3</v>
      </c>
      <c r="BK23" s="509">
        <f t="shared" ca="1" si="15"/>
        <v>7.7435402729857572E-4</v>
      </c>
      <c r="BL23" s="509">
        <f t="shared" ca="1" si="15"/>
        <v>3.5794902277760054E-4</v>
      </c>
      <c r="BM23" s="509">
        <f t="shared" ca="1" si="16"/>
        <v>1.7251481116937521E-4</v>
      </c>
      <c r="BN23" s="509">
        <f t="shared" ca="1" si="16"/>
        <v>8.6316745750311254E-5</v>
      </c>
      <c r="BO23" s="509">
        <f t="shared" ca="1" si="16"/>
        <v>4.4672424251005761E-5</v>
      </c>
      <c r="BP23" s="509">
        <f t="shared" ca="1" si="16"/>
        <v>2.3839317014035113E-5</v>
      </c>
      <c r="BQ23" s="509">
        <f t="shared" ca="1" si="16"/>
        <v>1.3082002077439425E-5</v>
      </c>
      <c r="BR23" s="509">
        <f t="shared" ca="1" si="16"/>
        <v>7.3645842852638959E-6</v>
      </c>
      <c r="BS23" s="509">
        <f t="shared" ca="1" si="16"/>
        <v>4.2443372285295592E-6</v>
      </c>
      <c r="BT23" s="509">
        <f t="shared" ca="1" si="16"/>
        <v>2.4995383381808986E-6</v>
      </c>
      <c r="BU23" s="509">
        <f t="shared" ca="1" si="16"/>
        <v>1.5017207575739436E-6</v>
      </c>
      <c r="BV23" s="509">
        <f t="shared" ca="1" si="16"/>
        <v>9.1910806480398297E-7</v>
      </c>
      <c r="BW23" s="509">
        <f t="shared" ca="1" si="16"/>
        <v>5.7230432553618882E-7</v>
      </c>
      <c r="BX23" s="509">
        <f t="shared" ca="1" si="16"/>
        <v>3.621287964795243E-7</v>
      </c>
      <c r="BY23" s="509">
        <f t="shared" ca="1" si="16"/>
        <v>4.5194064518764026E-8</v>
      </c>
      <c r="BZ23" s="509">
        <f t="shared" ca="1" si="16"/>
        <v>7.4505805969238232E-9</v>
      </c>
      <c r="CA23" s="509">
        <f t="shared" ca="1" si="16"/>
        <v>1.519256363290744E-9</v>
      </c>
      <c r="CB23" s="509">
        <f t="shared" ca="1" si="16"/>
        <v>1.0118210070538718E-10</v>
      </c>
      <c r="CC23" s="509">
        <f t="shared" ca="1" si="20"/>
        <v>1.0608883622878114E-11</v>
      </c>
      <c r="CD23" s="509">
        <f t="shared" ca="1" si="20"/>
        <v>1.5369967324206544E-12</v>
      </c>
      <c r="CE23" s="509">
        <f t="shared" ca="1" si="20"/>
        <v>2.8369031064622499E-13</v>
      </c>
      <c r="CF23" s="509">
        <f t="shared" ca="1" si="20"/>
        <v>6.320207378845871E-14</v>
      </c>
      <c r="CG23" s="509">
        <f t="shared" ca="1" si="20"/>
        <v>1.6366072192198078E-14</v>
      </c>
      <c r="CH23" s="509">
        <f t="shared" ca="1" si="20"/>
        <v>4.7926879726711617E-15</v>
      </c>
    </row>
    <row r="24" spans="1:86">
      <c r="A24" s="159">
        <f>IF(OR(A23=Abandonment!$B$4,A23=""),"",'Success Cash Flow'!A23+1)</f>
        <v>2029</v>
      </c>
      <c r="B24" s="257">
        <f>Revenue!S25</f>
        <v>189.40176036674904</v>
      </c>
      <c r="C24" s="257">
        <f>Revenue!T25</f>
        <v>988.23360018345932</v>
      </c>
      <c r="D24" s="257">
        <f>Revenue!U25</f>
        <v>0</v>
      </c>
      <c r="E24" s="257">
        <f t="shared" si="18"/>
        <v>1177.6353605502084</v>
      </c>
      <c r="F24" s="257">
        <f>Exploration!X49</f>
        <v>0</v>
      </c>
      <c r="G24" s="257">
        <f>Development!BX105</f>
        <v>0</v>
      </c>
      <c r="H24" s="257">
        <f>Abandonment!K30</f>
        <v>0</v>
      </c>
      <c r="I24" s="257">
        <f>Operations!P33</f>
        <v>257.0894249213473</v>
      </c>
      <c r="J24" s="257">
        <f t="shared" si="9"/>
        <v>257.0894249213473</v>
      </c>
      <c r="K24" s="257">
        <f t="shared" si="10"/>
        <v>920.54593562886112</v>
      </c>
      <c r="L24" s="257">
        <f>Royalty!AM26*Development!$BP$88</f>
        <v>313.19294759785419</v>
      </c>
      <c r="M24" s="257">
        <f>'Provincial Tax'!X24*Development!$BP$88</f>
        <v>90.469608366048291</v>
      </c>
      <c r="N24" s="257">
        <f>'Federal Tax'!X25*Development!$BP$88</f>
        <v>97.615875743058922</v>
      </c>
      <c r="O24" s="257">
        <f t="shared" si="11"/>
        <v>501.27843170696144</v>
      </c>
      <c r="P24" s="257">
        <f t="shared" si="12"/>
        <v>419.26750392189967</v>
      </c>
      <c r="Q24" s="217"/>
      <c r="R24" s="217"/>
      <c r="S24" s="500"/>
      <c r="T24" s="500"/>
      <c r="U24" s="500"/>
      <c r="V24" s="500"/>
      <c r="W24" s="500"/>
      <c r="X24" s="500"/>
      <c r="Y24" s="496"/>
      <c r="Z24" s="496"/>
      <c r="AA24" s="496"/>
      <c r="AB24" s="496"/>
      <c r="AC24" s="501">
        <f>IF(Thresholds!$E$1=Lists!$A$8,Exploration!U49,IF(Thresholds!$E$1=Lists!$A$9,Exploration!V49,IF(Thresholds!$E$1=Lists!$A$10,Exploration!W49,IF(Thresholds!$E$1=Lists!$A$11,Development!AV105,Development!BE105-Development!AV105))))</f>
        <v>0</v>
      </c>
      <c r="AD24" s="501">
        <f t="shared" si="13"/>
        <v>0</v>
      </c>
      <c r="AE24" s="501"/>
      <c r="AF24" s="509">
        <f t="shared" ca="1" si="19"/>
        <v>0.25107649955996431</v>
      </c>
      <c r="AG24" s="509">
        <f t="shared" ca="1" si="14"/>
        <v>0.25107649955996431</v>
      </c>
      <c r="AH24" s="509">
        <f t="shared" ca="1" si="14"/>
        <v>9.9999999999999288E+28</v>
      </c>
      <c r="AI24" s="509">
        <f t="shared" ca="1" si="14"/>
        <v>316227766016839.06</v>
      </c>
      <c r="AJ24" s="509">
        <f t="shared" ca="1" si="14"/>
        <v>13647875839.232134</v>
      </c>
      <c r="AK24" s="509">
        <f t="shared" ca="1" si="14"/>
        <v>38171726.773695536</v>
      </c>
      <c r="AL24" s="509">
        <f t="shared" ca="1" si="14"/>
        <v>589020.11442340794</v>
      </c>
      <c r="AM24" s="509">
        <f t="shared" ca="1" si="14"/>
        <v>23170.475005920838</v>
      </c>
      <c r="AN24" s="509">
        <f t="shared" ca="1" si="14"/>
        <v>1647.4296173877101</v>
      </c>
      <c r="AO24" s="509">
        <f t="shared" ca="1" si="14"/>
        <v>176.22942320638271</v>
      </c>
      <c r="AP24" s="509">
        <f t="shared" ca="1" si="14"/>
        <v>25.421149729252161</v>
      </c>
      <c r="AQ24" s="509">
        <f t="shared" ca="1" si="14"/>
        <v>4.607693825367873</v>
      </c>
      <c r="AR24" s="509">
        <f t="shared" ca="1" si="14"/>
        <v>1.0000000000000016</v>
      </c>
      <c r="AS24" s="509">
        <f t="shared" ca="1" si="14"/>
        <v>0.86564550883430347</v>
      </c>
      <c r="AT24" s="509">
        <f t="shared" ca="1" si="14"/>
        <v>0.75040809347948367</v>
      </c>
      <c r="AU24" s="509">
        <f t="shared" ca="1" si="14"/>
        <v>0.65141873038882314</v>
      </c>
      <c r="AV24" s="509">
        <f t="shared" ca="1" si="14"/>
        <v>0.56626090690807829</v>
      </c>
      <c r="AW24" s="509">
        <f t="shared" ca="1" si="15"/>
        <v>0.49289585217229442</v>
      </c>
      <c r="AX24" s="509">
        <f t="shared" ca="1" si="15"/>
        <v>0.42960067360896159</v>
      </c>
      <c r="AY24" s="509">
        <f t="shared" ca="1" si="15"/>
        <v>0.37491707797246543</v>
      </c>
      <c r="AZ24" s="509">
        <f t="shared" ca="1" si="15"/>
        <v>0.32760878979933655</v>
      </c>
      <c r="BA24" s="509">
        <f t="shared" ca="1" si="15"/>
        <v>0.28662612996649045</v>
      </c>
      <c r="BB24" s="509">
        <f t="shared" ca="1" si="15"/>
        <v>0.25107649955996503</v>
      </c>
      <c r="BC24" s="509">
        <f t="shared" ca="1" si="15"/>
        <v>0.13178965311422353</v>
      </c>
      <c r="BD24" s="509">
        <f t="shared" ca="1" si="15"/>
        <v>7.1100381712793509E-2</v>
      </c>
      <c r="BE24" s="509">
        <f t="shared" ca="1" si="15"/>
        <v>3.9337323868137423E-2</v>
      </c>
      <c r="BF24" s="509">
        <f t="shared" ca="1" si="15"/>
        <v>2.227518868890822E-2</v>
      </c>
      <c r="BG24" s="509">
        <f t="shared" ca="1" si="15"/>
        <v>1.2887253066385015E-2</v>
      </c>
      <c r="BH24" s="509">
        <f t="shared" ca="1" si="15"/>
        <v>7.6057751583146213E-3</v>
      </c>
      <c r="BI24" s="509">
        <f t="shared" ca="1" si="15"/>
        <v>2.7968987425843438E-3</v>
      </c>
      <c r="BJ24" s="509">
        <f t="shared" ca="1" si="15"/>
        <v>1.0971354589302223E-3</v>
      </c>
      <c r="BK24" s="509">
        <f t="shared" ca="1" si="15"/>
        <v>4.5550236899916232E-4</v>
      </c>
      <c r="BL24" s="509">
        <f t="shared" ca="1" si="15"/>
        <v>1.9886056820977798E-4</v>
      </c>
      <c r="BM24" s="509">
        <f t="shared" ca="1" si="16"/>
        <v>9.0797269036513233E-5</v>
      </c>
      <c r="BN24" s="509">
        <f t="shared" ca="1" si="16"/>
        <v>4.3158372875155627E-5</v>
      </c>
      <c r="BO24" s="509">
        <f t="shared" ca="1" si="16"/>
        <v>2.1272582976669403E-5</v>
      </c>
      <c r="BP24" s="509">
        <f t="shared" ca="1" si="16"/>
        <v>1.0836053188197789E-5</v>
      </c>
      <c r="BQ24" s="509">
        <f t="shared" ca="1" si="16"/>
        <v>5.68782699019106E-6</v>
      </c>
      <c r="BR24" s="509">
        <f t="shared" ca="1" si="16"/>
        <v>3.0685767855266221E-6</v>
      </c>
      <c r="BS24" s="509">
        <f t="shared" ca="1" si="16"/>
        <v>1.6977348914118222E-6</v>
      </c>
      <c r="BT24" s="509">
        <f t="shared" ca="1" si="16"/>
        <v>9.6136089930034534E-7</v>
      </c>
      <c r="BU24" s="509">
        <f t="shared" ca="1" si="16"/>
        <v>5.5619287317553429E-7</v>
      </c>
      <c r="BV24" s="509">
        <f t="shared" ca="1" si="16"/>
        <v>3.282528802871365E-7</v>
      </c>
      <c r="BW24" s="509">
        <f t="shared" ca="1" si="16"/>
        <v>1.9734631915041007E-7</v>
      </c>
      <c r="BX24" s="509">
        <f t="shared" ca="1" si="16"/>
        <v>1.2070959882650817E-7</v>
      </c>
      <c r="BY24" s="509">
        <f t="shared" ca="1" si="16"/>
        <v>1.2912589862504008E-8</v>
      </c>
      <c r="BZ24" s="509">
        <f t="shared" ca="1" si="16"/>
        <v>1.8626451492309558E-9</v>
      </c>
      <c r="CA24" s="509">
        <f t="shared" ca="1" si="16"/>
        <v>3.3761252517572068E-10</v>
      </c>
      <c r="CB24" s="509">
        <f t="shared" ca="1" si="16"/>
        <v>1.8396745582797669E-11</v>
      </c>
      <c r="CC24" s="509">
        <f t="shared" ca="1" si="20"/>
        <v>1.6321359419812464E-12</v>
      </c>
      <c r="CD24" s="509">
        <f t="shared" ca="1" si="20"/>
        <v>2.0493289765608753E-13</v>
      </c>
      <c r="CE24" s="509">
        <f t="shared" ca="1" si="20"/>
        <v>3.3375330664261846E-14</v>
      </c>
      <c r="CF24" s="509">
        <f t="shared" ca="1" si="20"/>
        <v>6.6528498724693642E-15</v>
      </c>
      <c r="CG24" s="509">
        <f t="shared" ca="1" si="20"/>
        <v>1.5586735421141008E-15</v>
      </c>
      <c r="CH24" s="509">
        <f t="shared" ca="1" si="20"/>
        <v>4.1675547588444966E-16</v>
      </c>
    </row>
    <row r="25" spans="1:86">
      <c r="A25" s="159">
        <f>IF(OR(A24=Abandonment!$B$4,A24=""),"",'Success Cash Flow'!A24+1)</f>
        <v>2030</v>
      </c>
      <c r="B25" s="257">
        <f>Revenue!S26</f>
        <v>165.10759610244205</v>
      </c>
      <c r="C25" s="257">
        <f>Revenue!T26</f>
        <v>863.22433152920155</v>
      </c>
      <c r="D25" s="257">
        <f>Revenue!U26</f>
        <v>0</v>
      </c>
      <c r="E25" s="257">
        <f t="shared" si="18"/>
        <v>1028.3319276316436</v>
      </c>
      <c r="F25" s="257">
        <f>Exploration!X50</f>
        <v>0</v>
      </c>
      <c r="G25" s="257">
        <f>Development!BX106</f>
        <v>0</v>
      </c>
      <c r="H25" s="257">
        <f>Abandonment!K31</f>
        <v>0</v>
      </c>
      <c r="I25" s="257">
        <f>Operations!P34</f>
        <v>252.70588458205219</v>
      </c>
      <c r="J25" s="257">
        <f t="shared" si="9"/>
        <v>252.70588458205219</v>
      </c>
      <c r="K25" s="257">
        <f t="shared" si="10"/>
        <v>775.62604304959132</v>
      </c>
      <c r="L25" s="257">
        <f>Royalty!AM27*Development!$BP$88</f>
        <v>262.62440910698518</v>
      </c>
      <c r="M25" s="257">
        <f>'Provincial Tax'!X25*Development!$BP$88</f>
        <v>77.09188752642514</v>
      </c>
      <c r="N25" s="257">
        <f>'Federal Tax'!X26*Development!$BP$88</f>
        <v>79.986789457911286</v>
      </c>
      <c r="O25" s="257">
        <f t="shared" si="11"/>
        <v>419.70308609132161</v>
      </c>
      <c r="P25" s="257">
        <f t="shared" si="12"/>
        <v>355.92295695826971</v>
      </c>
      <c r="Q25" s="217"/>
      <c r="R25" s="217"/>
      <c r="S25" s="500"/>
      <c r="T25" s="500"/>
      <c r="U25" s="500"/>
      <c r="V25" s="500"/>
      <c r="W25" s="500"/>
      <c r="X25" s="500"/>
      <c r="Y25" s="496"/>
      <c r="Z25" s="496"/>
      <c r="AA25" s="496"/>
      <c r="AB25" s="496"/>
      <c r="AC25" s="501">
        <f>IF(Thresholds!$E$1=Lists!$A$8,Exploration!U50,IF(Thresholds!$E$1=Lists!$A$9,Exploration!V50,IF(Thresholds!$E$1=Lists!$A$10,Exploration!W50,IF(Thresholds!$E$1=Lists!$A$11,Development!AV106,Development!BE106-Development!AV106))))</f>
        <v>0</v>
      </c>
      <c r="AD25" s="501">
        <f t="shared" si="13"/>
        <v>0</v>
      </c>
      <c r="AE25" s="501"/>
      <c r="AF25" s="509">
        <f t="shared" ca="1" si="19"/>
        <v>0.22825136323633116</v>
      </c>
      <c r="AG25" s="509">
        <f t="shared" ca="1" si="14"/>
        <v>0.22825136323633116</v>
      </c>
      <c r="AH25" s="509">
        <f t="shared" ca="1" si="14"/>
        <v>9.9999999999998814E+30</v>
      </c>
      <c r="AI25" s="509">
        <f t="shared" ca="1" si="14"/>
        <v>3162277660168383</v>
      </c>
      <c r="AJ25" s="509">
        <f t="shared" ca="1" si="14"/>
        <v>68239379196.160622</v>
      </c>
      <c r="AK25" s="509">
        <f t="shared" ca="1" si="14"/>
        <v>127239089.24565177</v>
      </c>
      <c r="AL25" s="509">
        <f t="shared" ca="1" si="14"/>
        <v>1472550.2860585186</v>
      </c>
      <c r="AM25" s="509">
        <f t="shared" ca="1" si="14"/>
        <v>46340.950011841684</v>
      </c>
      <c r="AN25" s="509">
        <f t="shared" ca="1" si="14"/>
        <v>2745.7160289795193</v>
      </c>
      <c r="AO25" s="509">
        <f t="shared" ca="1" si="14"/>
        <v>251.75631886626101</v>
      </c>
      <c r="AP25" s="509">
        <f t="shared" ca="1" si="14"/>
        <v>31.776437161565216</v>
      </c>
      <c r="AQ25" s="509">
        <f t="shared" ca="1" si="14"/>
        <v>5.1196598059643037</v>
      </c>
      <c r="AR25" s="509">
        <f t="shared" ca="1" si="14"/>
        <v>1.0000000000000018</v>
      </c>
      <c r="AS25" s="509">
        <f t="shared" ca="1" si="14"/>
        <v>0.85707476122208281</v>
      </c>
      <c r="AT25" s="509">
        <f t="shared" ca="1" si="14"/>
        <v>0.73569420929361151</v>
      </c>
      <c r="AU25" s="509">
        <f t="shared" ca="1" si="14"/>
        <v>0.6324453693095371</v>
      </c>
      <c r="AV25" s="509">
        <f t="shared" ref="AQ25:BF40" ca="1" si="21">IF(OR($A25="",$A25&lt;$AG$2-1),0,IF($A25=$AG$2-1,AV$7,1/(1+AV$6)^($A25-$AG$2+0.5+$AI$1)))</f>
        <v>0.54448164125776766</v>
      </c>
      <c r="AW25" s="509">
        <f t="shared" ca="1" si="21"/>
        <v>0.46942462111647093</v>
      </c>
      <c r="AX25" s="509">
        <f t="shared" ca="1" si="21"/>
        <v>0.40528365434807695</v>
      </c>
      <c r="AY25" s="509">
        <f t="shared" ca="1" si="21"/>
        <v>0.35038979249763136</v>
      </c>
      <c r="AZ25" s="509">
        <f t="shared" ca="1" si="21"/>
        <v>0.30334147203642281</v>
      </c>
      <c r="BA25" s="509">
        <f t="shared" ca="1" si="15"/>
        <v>0.2629597522628353</v>
      </c>
      <c r="BB25" s="509">
        <f t="shared" ca="1" si="15"/>
        <v>0.22825136323633186</v>
      </c>
      <c r="BC25" s="509">
        <f t="shared" ca="1" si="15"/>
        <v>0.11459969836019435</v>
      </c>
      <c r="BD25" s="509">
        <f t="shared" ca="1" si="15"/>
        <v>5.9250318093994607E-2</v>
      </c>
      <c r="BE25" s="509">
        <f t="shared" ca="1" si="15"/>
        <v>3.1469859094509944E-2</v>
      </c>
      <c r="BF25" s="509">
        <f t="shared" ca="1" si="15"/>
        <v>1.7134760529929405E-2</v>
      </c>
      <c r="BG25" s="509">
        <f t="shared" ca="1" si="15"/>
        <v>9.5461133825074217E-3</v>
      </c>
      <c r="BH25" s="509">
        <f t="shared" ca="1" si="15"/>
        <v>5.4326965416533011E-3</v>
      </c>
      <c r="BI25" s="509">
        <f t="shared" ca="1" si="15"/>
        <v>1.8645991617228955E-3</v>
      </c>
      <c r="BJ25" s="509">
        <f t="shared" ca="1" si="15"/>
        <v>6.857096618313888E-4</v>
      </c>
      <c r="BK25" s="509">
        <f t="shared" ca="1" si="15"/>
        <v>2.6794256999950703E-4</v>
      </c>
      <c r="BL25" s="509">
        <f t="shared" ca="1" si="15"/>
        <v>1.1047809344987671E-4</v>
      </c>
      <c r="BM25" s="509">
        <f t="shared" ca="1" si="16"/>
        <v>4.7788036335007015E-5</v>
      </c>
      <c r="BN25" s="509">
        <f t="shared" ca="1" si="16"/>
        <v>2.157918643757781E-5</v>
      </c>
      <c r="BO25" s="509">
        <f t="shared" ca="1" si="16"/>
        <v>1.0129801417461618E-5</v>
      </c>
      <c r="BP25" s="509">
        <f t="shared" ca="1" si="16"/>
        <v>4.9254787219080819E-6</v>
      </c>
      <c r="BQ25" s="509">
        <f t="shared" ca="1" si="16"/>
        <v>2.4729682566048073E-6</v>
      </c>
      <c r="BR25" s="509">
        <f t="shared" ca="1" si="16"/>
        <v>1.278573660636092E-6</v>
      </c>
      <c r="BS25" s="509">
        <f t="shared" ca="1" si="16"/>
        <v>6.7909395656472944E-7</v>
      </c>
      <c r="BT25" s="509">
        <f t="shared" ca="1" si="16"/>
        <v>3.6975419203859421E-7</v>
      </c>
      <c r="BU25" s="509">
        <f t="shared" ca="1" si="16"/>
        <v>2.059973604353829E-7</v>
      </c>
      <c r="BV25" s="509">
        <f t="shared" ca="1" si="16"/>
        <v>1.1723317153112027E-7</v>
      </c>
      <c r="BW25" s="509">
        <f t="shared" ca="1" si="16"/>
        <v>6.805045487945178E-8</v>
      </c>
      <c r="BX25" s="509">
        <f t="shared" ca="1" si="16"/>
        <v>4.023653294216934E-8</v>
      </c>
      <c r="BY25" s="509">
        <f t="shared" ca="1" si="16"/>
        <v>3.6893113892868588E-9</v>
      </c>
      <c r="BZ25" s="509">
        <f t="shared" ca="1" si="16"/>
        <v>4.6566128730773884E-10</v>
      </c>
      <c r="CA25" s="509">
        <f t="shared" ca="1" si="16"/>
        <v>7.5025005594604557E-11</v>
      </c>
      <c r="CB25" s="509">
        <f ca="1">IF(OR($A25="",$A25&lt;$AG$2-1),0,IF($A25=$AG$2-1,CB$7,1/(1+CB$6)^($A25-$AG$2+0.5+$AI$1)))</f>
        <v>3.3448628332359396E-12</v>
      </c>
      <c r="CC25" s="509">
        <f t="shared" ca="1" si="20"/>
        <v>2.510978372278837E-13</v>
      </c>
      <c r="CD25" s="509">
        <f t="shared" ca="1" si="20"/>
        <v>2.7324386354144948E-14</v>
      </c>
      <c r="CE25" s="509">
        <f t="shared" ca="1" si="20"/>
        <v>3.9265094899131552E-15</v>
      </c>
      <c r="CF25" s="509">
        <f t="shared" ca="1" si="20"/>
        <v>7.002999865757228E-16</v>
      </c>
      <c r="CG25" s="509">
        <f t="shared" ca="1" si="20"/>
        <v>1.4844509924896231E-16</v>
      </c>
      <c r="CH25" s="509">
        <f t="shared" ca="1" si="20"/>
        <v>3.6239606598647864E-17</v>
      </c>
    </row>
    <row r="26" spans="1:86">
      <c r="A26" s="159">
        <f>IF(OR(A25=Abandonment!$B$4,A25=""),"",'Success Cash Flow'!A25+1)</f>
        <v>2031</v>
      </c>
      <c r="B26" s="257">
        <f>Revenue!S27</f>
        <v>143.91069732205821</v>
      </c>
      <c r="C26" s="257">
        <f>Revenue!T27</f>
        <v>753.91419491248098</v>
      </c>
      <c r="D26" s="257">
        <f>Revenue!U27</f>
        <v>0</v>
      </c>
      <c r="E26" s="257">
        <f t="shared" si="18"/>
        <v>897.82489223453922</v>
      </c>
      <c r="F26" s="257">
        <f>Exploration!X51</f>
        <v>0</v>
      </c>
      <c r="G26" s="257">
        <f>Development!BX107</f>
        <v>0</v>
      </c>
      <c r="H26" s="257">
        <f>Abandonment!K32</f>
        <v>0</v>
      </c>
      <c r="I26" s="257">
        <f>Operations!P35</f>
        <v>249.60464313942458</v>
      </c>
      <c r="J26" s="257">
        <f t="shared" si="9"/>
        <v>249.60464313942458</v>
      </c>
      <c r="K26" s="257">
        <f t="shared" si="10"/>
        <v>648.2202490951147</v>
      </c>
      <c r="L26" s="257">
        <f>Royalty!AM28*Development!$BP$88</f>
        <v>218.14092467341024</v>
      </c>
      <c r="M26" s="257">
        <f>'Provincial Tax'!X26*Development!$BP$88</f>
        <v>65.100656348533761</v>
      </c>
      <c r="N26" s="257">
        <f>'Federal Tax'!X27*Development!$BP$88</f>
        <v>68.637159179094908</v>
      </c>
      <c r="O26" s="257">
        <f t="shared" si="11"/>
        <v>351.87874020103891</v>
      </c>
      <c r="P26" s="257">
        <f t="shared" si="12"/>
        <v>296.34150889407579</v>
      </c>
      <c r="Q26" s="217"/>
      <c r="R26" s="217"/>
      <c r="S26" s="500"/>
      <c r="T26" s="500"/>
      <c r="U26" s="500"/>
      <c r="V26" s="500"/>
      <c r="W26" s="500"/>
      <c r="X26" s="500"/>
      <c r="Y26" s="496"/>
      <c r="Z26" s="496"/>
      <c r="AA26" s="496"/>
      <c r="AB26" s="496"/>
      <c r="AC26" s="501">
        <f>IF(Thresholds!$E$1=Lists!$A$8,Exploration!U51,IF(Thresholds!$E$1=Lists!$A$9,Exploration!V51,IF(Thresholds!$E$1=Lists!$A$10,Exploration!W51,IF(Thresholds!$E$1=Lists!$A$11,Development!AV107,Development!BE107-Development!AV107))))</f>
        <v>0</v>
      </c>
      <c r="AD26" s="501">
        <f t="shared" si="13"/>
        <v>0</v>
      </c>
      <c r="AE26" s="501"/>
      <c r="AF26" s="509">
        <f t="shared" ca="1" si="19"/>
        <v>0.20750123930575562</v>
      </c>
      <c r="AG26" s="509">
        <f t="shared" ref="AG26:AV41" ca="1" si="22">IF(OR($A26="",$A26&lt;$AG$2-1),0,IF($A26=$AG$2-1,AG$7,1/(1+AG$6)^($A26-$AG$2+0.5+$AI$1)))</f>
        <v>0.20750123930575562</v>
      </c>
      <c r="AH26" s="509">
        <f t="shared" ca="1" si="22"/>
        <v>9.9999999999999735E+32</v>
      </c>
      <c r="AI26" s="509">
        <f t="shared" ca="1" si="22"/>
        <v>3.1622776601683976E+16</v>
      </c>
      <c r="AJ26" s="509">
        <f t="shared" ca="1" si="22"/>
        <v>341196895980.80408</v>
      </c>
      <c r="AK26" s="509">
        <f t="shared" ca="1" si="22"/>
        <v>424130297.48550588</v>
      </c>
      <c r="AL26" s="509">
        <f t="shared" ca="1" si="22"/>
        <v>3681375.7151462999</v>
      </c>
      <c r="AM26" s="509">
        <f t="shared" ca="1" si="22"/>
        <v>92681.900023683542</v>
      </c>
      <c r="AN26" s="509">
        <f t="shared" ca="1" si="22"/>
        <v>4576.1933816325345</v>
      </c>
      <c r="AO26" s="509">
        <f t="shared" ca="1" si="22"/>
        <v>359.65188409465895</v>
      </c>
      <c r="AP26" s="509">
        <f t="shared" ca="1" si="22"/>
        <v>39.720546451956508</v>
      </c>
      <c r="AQ26" s="509">
        <f t="shared" ca="1" si="21"/>
        <v>5.6885108955158934</v>
      </c>
      <c r="AR26" s="509">
        <f t="shared" ca="1" si="21"/>
        <v>1.0000000000000018</v>
      </c>
      <c r="AS26" s="509">
        <f t="shared" ca="1" si="21"/>
        <v>0.84858887249711179</v>
      </c>
      <c r="AT26" s="509">
        <f t="shared" ca="1" si="21"/>
        <v>0.72126883264079578</v>
      </c>
      <c r="AU26" s="509">
        <f t="shared" ca="1" si="21"/>
        <v>0.61402463039760902</v>
      </c>
      <c r="AV26" s="509">
        <f t="shared" ca="1" si="21"/>
        <v>0.52354003967093055</v>
      </c>
      <c r="AW26" s="509">
        <f t="shared" ca="1" si="21"/>
        <v>0.44707106772997235</v>
      </c>
      <c r="AX26" s="509">
        <f t="shared" ca="1" si="21"/>
        <v>0.38234307013969532</v>
      </c>
      <c r="AY26" s="509">
        <f t="shared" ca="1" si="21"/>
        <v>0.32746709579217881</v>
      </c>
      <c r="AZ26" s="509">
        <f t="shared" ca="1" si="21"/>
        <v>0.28087173336705823</v>
      </c>
      <c r="BA26" s="509">
        <f t="shared" ca="1" si="21"/>
        <v>0.24124747914021594</v>
      </c>
      <c r="BB26" s="509">
        <f t="shared" ca="1" si="21"/>
        <v>0.20750123930575629</v>
      </c>
      <c r="BC26" s="509">
        <f t="shared" ca="1" si="21"/>
        <v>9.9651911617560346E-2</v>
      </c>
      <c r="BD26" s="509">
        <f t="shared" ca="1" si="21"/>
        <v>4.9375265078328866E-2</v>
      </c>
      <c r="BE26" s="509">
        <f t="shared" ca="1" si="21"/>
        <v>2.5175887275607951E-2</v>
      </c>
      <c r="BF26" s="509">
        <f t="shared" ca="1" si="21"/>
        <v>1.3180585023022617E-2</v>
      </c>
      <c r="BG26" s="509">
        <f t="shared" ref="BG26:BV41" ca="1" si="23">IF(OR($A26="",$A26&lt;$AG$2-1),0,IF($A26=$AG$2-1,BG$7,1/(1+BG$6)^($A26-$AG$2+0.5+$AI$1)))</f>
        <v>7.0711950981536412E-3</v>
      </c>
      <c r="BH26" s="509">
        <f t="shared" ca="1" si="23"/>
        <v>3.880497529752361E-3</v>
      </c>
      <c r="BI26" s="509">
        <f t="shared" ca="1" si="23"/>
        <v>1.2430661078152647E-3</v>
      </c>
      <c r="BJ26" s="509">
        <f t="shared" ca="1" si="23"/>
        <v>4.2856853864461838E-4</v>
      </c>
      <c r="BK26" s="509">
        <f t="shared" ca="1" si="23"/>
        <v>1.5761327647029856E-4</v>
      </c>
      <c r="BL26" s="509">
        <f t="shared" ca="1" si="23"/>
        <v>6.1376718583264862E-5</v>
      </c>
      <c r="BM26" s="509">
        <f t="shared" ca="1" si="23"/>
        <v>2.5151598071056316E-5</v>
      </c>
      <c r="BN26" s="509">
        <f t="shared" ca="1" si="23"/>
        <v>1.0789593218788924E-5</v>
      </c>
      <c r="BO26" s="509">
        <f t="shared" ca="1" si="23"/>
        <v>4.8237149606960156E-6</v>
      </c>
      <c r="BP26" s="509">
        <f t="shared" ca="1" si="23"/>
        <v>2.2388539645036756E-6</v>
      </c>
      <c r="BQ26" s="509">
        <f t="shared" ca="1" si="23"/>
        <v>1.0752035898281783E-6</v>
      </c>
      <c r="BR26" s="509">
        <f t="shared" ca="1" si="23"/>
        <v>5.3273902526503915E-7</v>
      </c>
      <c r="BS26" s="509">
        <f t="shared" ca="1" si="23"/>
        <v>2.7163758262589152E-7</v>
      </c>
      <c r="BT26" s="509">
        <f t="shared" ca="1" si="23"/>
        <v>1.4221315078407465E-7</v>
      </c>
      <c r="BU26" s="509">
        <f t="shared" ca="1" si="23"/>
        <v>7.6295318679771401E-8</v>
      </c>
      <c r="BV26" s="509">
        <f t="shared" ca="1" si="23"/>
        <v>4.1868989832542909E-8</v>
      </c>
      <c r="BW26" s="509">
        <f t="shared" ref="BU26:CH41" ca="1" si="24">IF(OR($A26="",$A26&lt;$AG$2-1),0,IF($A26=$AG$2-1,BW$7,1/(1+BW$6)^($A26-$AG$2+0.5+$AI$1)))</f>
        <v>2.3465674096362609E-8</v>
      </c>
      <c r="BX26" s="509">
        <f t="shared" ca="1" si="24"/>
        <v>1.3412177647389813E-8</v>
      </c>
      <c r="BY26" s="509">
        <f t="shared" ca="1" si="24"/>
        <v>1.054088968367674E-9</v>
      </c>
      <c r="BZ26" s="509">
        <f t="shared" ca="1" si="24"/>
        <v>1.164153218269351E-10</v>
      </c>
      <c r="CA26" s="509">
        <f t="shared" ca="1" si="24"/>
        <v>1.6672223465467671E-11</v>
      </c>
      <c r="CB26" s="509">
        <f t="shared" ca="1" si="24"/>
        <v>6.0815687877017081E-13</v>
      </c>
      <c r="CC26" s="509">
        <f t="shared" ca="1" si="24"/>
        <v>3.8630436496597588E-14</v>
      </c>
      <c r="CD26" s="509">
        <f t="shared" ca="1" si="24"/>
        <v>3.6432515138859982E-15</v>
      </c>
      <c r="CE26" s="509">
        <f t="shared" ca="1" si="24"/>
        <v>4.619422929309591E-16</v>
      </c>
      <c r="CF26" s="509">
        <f t="shared" ca="1" si="24"/>
        <v>7.3715788060601882E-17</v>
      </c>
      <c r="CG26" s="509">
        <f t="shared" ca="1" si="24"/>
        <v>1.4137628499901103E-17</v>
      </c>
      <c r="CH26" s="509">
        <f t="shared" ca="1" si="24"/>
        <v>3.151270139012841E-18</v>
      </c>
    </row>
    <row r="27" spans="1:86">
      <c r="A27" s="159">
        <f>IF(OR(A26=Abandonment!$B$4,A26=""),"",'Success Cash Flow'!A26+1)</f>
        <v>2032</v>
      </c>
      <c r="B27" s="257">
        <f>Revenue!S28</f>
        <v>125.73538873833603</v>
      </c>
      <c r="C27" s="257">
        <f>Revenue!T28</f>
        <v>660.00937463719481</v>
      </c>
      <c r="D27" s="257">
        <f>Revenue!U28</f>
        <v>0</v>
      </c>
      <c r="E27" s="257">
        <f t="shared" si="18"/>
        <v>785.74476337553085</v>
      </c>
      <c r="F27" s="257">
        <f>Exploration!X52</f>
        <v>0</v>
      </c>
      <c r="G27" s="257">
        <f>Development!BX108</f>
        <v>0</v>
      </c>
      <c r="H27" s="257">
        <f>Abandonment!K33</f>
        <v>0</v>
      </c>
      <c r="I27" s="257">
        <f>Operations!P36</f>
        <v>247.68023535334459</v>
      </c>
      <c r="J27" s="257">
        <f t="shared" si="9"/>
        <v>247.68023535334459</v>
      </c>
      <c r="K27" s="257">
        <f t="shared" si="10"/>
        <v>538.06452802218632</v>
      </c>
      <c r="L27" s="257">
        <f>Royalty!AM29*Development!$BP$88</f>
        <v>179.65377657039809</v>
      </c>
      <c r="M27" s="257">
        <f>'Provincial Tax'!X27*Development!$BP$88</f>
        <v>54.582164971630363</v>
      </c>
      <c r="N27" s="257">
        <f>'Federal Tax'!X28*Development!$BP$88</f>
        <v>55.165989100718633</v>
      </c>
      <c r="O27" s="257">
        <f t="shared" si="11"/>
        <v>289.40193064274706</v>
      </c>
      <c r="P27" s="257">
        <f t="shared" si="12"/>
        <v>248.66259737943926</v>
      </c>
      <c r="Q27" s="217"/>
      <c r="R27" s="217"/>
      <c r="S27" s="500"/>
      <c r="T27" s="500"/>
      <c r="U27" s="500"/>
      <c r="V27" s="500"/>
      <c r="W27" s="500"/>
      <c r="X27" s="500"/>
      <c r="Y27" s="496"/>
      <c r="Z27" s="496"/>
      <c r="AA27" s="496"/>
      <c r="AB27" s="496"/>
      <c r="AC27" s="501">
        <f>IF(Thresholds!$E$1=Lists!$A$8,Exploration!U52,IF(Thresholds!$E$1=Lists!$A$9,Exploration!V52,IF(Thresholds!$E$1=Lists!$A$10,Exploration!W52,IF(Thresholds!$E$1=Lists!$A$11,Development!AV108,Development!BE108-Development!AV108))))</f>
        <v>0</v>
      </c>
      <c r="AD27" s="501">
        <f t="shared" si="13"/>
        <v>0</v>
      </c>
      <c r="AE27" s="501"/>
      <c r="AF27" s="509">
        <f t="shared" ca="1" si="19"/>
        <v>0.18863749027795962</v>
      </c>
      <c r="AG27" s="509">
        <f t="shared" ca="1" si="22"/>
        <v>0.18863749027795962</v>
      </c>
      <c r="AH27" s="509">
        <f t="shared" ca="1" si="22"/>
        <v>9.9999999999999259E+34</v>
      </c>
      <c r="AI27" s="509">
        <f t="shared" ca="1" si="22"/>
        <v>3.1622776601683898E+17</v>
      </c>
      <c r="AJ27" s="509">
        <f t="shared" ca="1" si="22"/>
        <v>1705984479904.019</v>
      </c>
      <c r="AK27" s="509">
        <f t="shared" ca="1" si="22"/>
        <v>1413767658.2850196</v>
      </c>
      <c r="AL27" s="509">
        <f t="shared" ca="1" si="22"/>
        <v>9203439.2878657579</v>
      </c>
      <c r="AM27" s="509">
        <f t="shared" ca="1" si="22"/>
        <v>185363.80004736708</v>
      </c>
      <c r="AN27" s="509">
        <f t="shared" ca="1" si="22"/>
        <v>7626.9889693875566</v>
      </c>
      <c r="AO27" s="509">
        <f t="shared" ca="1" si="22"/>
        <v>513.78840584951286</v>
      </c>
      <c r="AP27" s="509">
        <f t="shared" ca="1" si="22"/>
        <v>49.65068306494566</v>
      </c>
      <c r="AQ27" s="509">
        <f t="shared" ca="1" si="21"/>
        <v>6.3205676616843256</v>
      </c>
      <c r="AR27" s="509">
        <f t="shared" ca="1" si="21"/>
        <v>1.000000000000002</v>
      </c>
      <c r="AS27" s="509">
        <f t="shared" ca="1" si="21"/>
        <v>0.8401870024723882</v>
      </c>
      <c r="AT27" s="509">
        <f t="shared" ca="1" si="21"/>
        <v>0.70712630651058428</v>
      </c>
      <c r="AU27" s="509">
        <f t="shared" ca="1" si="21"/>
        <v>0.59614041786175631</v>
      </c>
      <c r="AV27" s="509">
        <f t="shared" ca="1" si="21"/>
        <v>0.50340388429897176</v>
      </c>
      <c r="AW27" s="509">
        <f t="shared" ca="1" si="21"/>
        <v>0.42578196926664041</v>
      </c>
      <c r="AX27" s="509">
        <f t="shared" ca="1" si="21"/>
        <v>0.36070100956575041</v>
      </c>
      <c r="AY27" s="509">
        <f t="shared" ca="1" si="21"/>
        <v>0.30604401475904569</v>
      </c>
      <c r="AZ27" s="509">
        <f t="shared" ca="1" si="21"/>
        <v>0.26006641978431322</v>
      </c>
      <c r="BA27" s="509">
        <f t="shared" ca="1" si="21"/>
        <v>0.22132796251395959</v>
      </c>
      <c r="BB27" s="509">
        <f t="shared" ca="1" si="21"/>
        <v>0.18863749027796026</v>
      </c>
      <c r="BC27" s="509">
        <f t="shared" ca="1" si="21"/>
        <v>8.665383618918289E-2</v>
      </c>
      <c r="BD27" s="509">
        <f t="shared" ca="1" si="21"/>
        <v>4.1146054231940732E-2</v>
      </c>
      <c r="BE27" s="509">
        <f t="shared" ca="1" si="21"/>
        <v>2.0140709820486363E-2</v>
      </c>
      <c r="BF27" s="509">
        <f t="shared" ca="1" si="21"/>
        <v>1.0138911556171248E-2</v>
      </c>
      <c r="BG27" s="509">
        <f t="shared" ca="1" si="23"/>
        <v>5.2379222949286239E-3</v>
      </c>
      <c r="BH27" s="509">
        <f t="shared" ca="1" si="23"/>
        <v>2.771783949823115E-3</v>
      </c>
      <c r="BI27" s="509">
        <f t="shared" ca="1" si="23"/>
        <v>8.2871073854350942E-4</v>
      </c>
      <c r="BJ27" s="509">
        <f t="shared" ca="1" si="23"/>
        <v>2.6785533665288667E-4</v>
      </c>
      <c r="BK27" s="509">
        <f t="shared" ca="1" si="23"/>
        <v>9.2713692041351936E-5</v>
      </c>
      <c r="BL27" s="509">
        <f t="shared" ca="1" si="23"/>
        <v>3.4098176990702711E-5</v>
      </c>
      <c r="BM27" s="509">
        <f t="shared" ca="1" si="23"/>
        <v>1.3237683195292815E-5</v>
      </c>
      <c r="BN27" s="509">
        <f t="shared" ca="1" si="23"/>
        <v>5.394796609394461E-6</v>
      </c>
      <c r="BO27" s="509">
        <f t="shared" ca="1" si="23"/>
        <v>2.2970071241409596E-6</v>
      </c>
      <c r="BP27" s="509">
        <f t="shared" ca="1" si="23"/>
        <v>1.0176608929562153E-6</v>
      </c>
      <c r="BQ27" s="509">
        <f t="shared" ca="1" si="23"/>
        <v>4.6747982166442507E-7</v>
      </c>
      <c r="BR27" s="509">
        <f t="shared" ca="1" si="23"/>
        <v>2.2197459386043288E-7</v>
      </c>
      <c r="BS27" s="509">
        <f t="shared" ca="1" si="23"/>
        <v>1.0865503305035651E-7</v>
      </c>
      <c r="BT27" s="509">
        <f t="shared" ca="1" si="23"/>
        <v>5.4697365686182539E-8</v>
      </c>
      <c r="BU27" s="509">
        <f t="shared" ca="1" si="23"/>
        <v>2.82575254369524E-8</v>
      </c>
      <c r="BV27" s="509">
        <f t="shared" ca="1" si="23"/>
        <v>1.4953210654479597E-8</v>
      </c>
      <c r="BW27" s="509">
        <f t="shared" ca="1" si="24"/>
        <v>8.0916117573664223E-9</v>
      </c>
      <c r="BX27" s="509">
        <f t="shared" ca="1" si="24"/>
        <v>4.4707258824632659E-9</v>
      </c>
      <c r="BY27" s="509">
        <f t="shared" ca="1" si="24"/>
        <v>3.0116827667647825E-10</v>
      </c>
      <c r="BZ27" s="509">
        <f t="shared" ca="1" si="24"/>
        <v>2.9103830456733768E-11</v>
      </c>
      <c r="CA27" s="509">
        <f t="shared" ca="1" si="24"/>
        <v>3.7049385478817029E-12</v>
      </c>
      <c r="CB27" s="509">
        <f t="shared" ca="1" si="24"/>
        <v>1.1057397795821287E-13</v>
      </c>
      <c r="CC27" s="509">
        <f t="shared" ca="1" si="24"/>
        <v>5.9431440763996213E-15</v>
      </c>
      <c r="CD27" s="509">
        <f t="shared" ca="1" si="24"/>
        <v>4.8576686851813374E-16</v>
      </c>
      <c r="CE27" s="509">
        <f t="shared" ca="1" si="24"/>
        <v>5.4346152109524539E-17</v>
      </c>
      <c r="CF27" s="509">
        <f t="shared" ca="1" si="24"/>
        <v>7.759556637958097E-18</v>
      </c>
      <c r="CG27" s="507"/>
      <c r="CH27" s="507"/>
    </row>
    <row r="28" spans="1:86">
      <c r="A28" s="159">
        <f>IF(OR(A27=Abandonment!$B$4,A27=""),"",'Success Cash Flow'!A27+1)</f>
        <v>2033</v>
      </c>
      <c r="B28" s="257">
        <f>Revenue!S29</f>
        <v>109.24103758522877</v>
      </c>
      <c r="C28" s="257">
        <f>Revenue!T29</f>
        <v>574.55805565718242</v>
      </c>
      <c r="D28" s="257">
        <f>Revenue!U29</f>
        <v>0</v>
      </c>
      <c r="E28" s="257">
        <f t="shared" si="18"/>
        <v>683.79909324241123</v>
      </c>
      <c r="F28" s="257">
        <f>Exploration!X53</f>
        <v>0</v>
      </c>
      <c r="G28" s="257">
        <f>Development!BX109</f>
        <v>0</v>
      </c>
      <c r="H28" s="257">
        <f>Abandonment!K34</f>
        <v>0</v>
      </c>
      <c r="I28" s="257">
        <f>Operations!P37</f>
        <v>246.661823364263</v>
      </c>
      <c r="J28" s="257">
        <f t="shared" si="9"/>
        <v>246.661823364263</v>
      </c>
      <c r="K28" s="257">
        <f t="shared" si="10"/>
        <v>437.13726987814823</v>
      </c>
      <c r="L28" s="257">
        <f>Royalty!AM30*Development!$BP$88</f>
        <v>144.36488063960266</v>
      </c>
      <c r="M28" s="257">
        <f>'Provincial Tax'!X28*Development!$BP$88</f>
        <v>44.785245818659412</v>
      </c>
      <c r="N28" s="257">
        <f>'Federal Tax'!X29*Development!$BP$88</f>
        <v>45.944730557338715</v>
      </c>
      <c r="O28" s="257">
        <f t="shared" si="11"/>
        <v>235.09485701560078</v>
      </c>
      <c r="P28" s="257">
        <f t="shared" si="12"/>
        <v>202.04241286254745</v>
      </c>
      <c r="Q28" s="217"/>
      <c r="R28" s="217"/>
      <c r="S28" s="500"/>
      <c r="T28" s="500"/>
      <c r="U28" s="500"/>
      <c r="V28" s="500"/>
      <c r="W28" s="500"/>
      <c r="X28" s="500"/>
      <c r="Y28" s="496"/>
      <c r="Z28" s="496"/>
      <c r="AA28" s="496"/>
      <c r="AB28" s="496"/>
      <c r="AC28" s="501">
        <f>IF(Thresholds!$E$1=Lists!$A$8,Exploration!U53,IF(Thresholds!$E$1=Lists!$A$9,Exploration!V53,IF(Thresholds!$E$1=Lists!$A$10,Exploration!W53,IF(Thresholds!$E$1=Lists!$A$11,Development!AV109,Development!BE109-Development!AV109))))</f>
        <v>0</v>
      </c>
      <c r="AD28" s="501">
        <f t="shared" si="13"/>
        <v>0</v>
      </c>
      <c r="AE28" s="501"/>
      <c r="AF28" s="509">
        <f t="shared" ca="1" si="19"/>
        <v>0.17148862752541782</v>
      </c>
      <c r="AG28" s="509">
        <f t="shared" ca="1" si="22"/>
        <v>0.17148862752541782</v>
      </c>
      <c r="AH28" s="509">
        <f t="shared" ca="1" si="22"/>
        <v>9.9999999999998756E+36</v>
      </c>
      <c r="AI28" s="509">
        <f t="shared" ca="1" si="22"/>
        <v>3.162277660168382E+18</v>
      </c>
      <c r="AJ28" s="509">
        <f t="shared" ca="1" si="22"/>
        <v>8529922399520.0889</v>
      </c>
      <c r="AK28" s="509">
        <f t="shared" ca="1" si="22"/>
        <v>4712558860.9500637</v>
      </c>
      <c r="AL28" s="509">
        <f t="shared" ca="1" si="22"/>
        <v>23008598.219664417</v>
      </c>
      <c r="AM28" s="509">
        <f t="shared" ca="1" si="22"/>
        <v>370727.60009473423</v>
      </c>
      <c r="AN28" s="509">
        <f t="shared" ca="1" si="22"/>
        <v>12711.648282312592</v>
      </c>
      <c r="AO28" s="509">
        <f t="shared" ca="1" si="22"/>
        <v>733.98343692787557</v>
      </c>
      <c r="AP28" s="509">
        <f t="shared" ca="1" si="22"/>
        <v>62.06335383118207</v>
      </c>
      <c r="AQ28" s="509">
        <f t="shared" ca="1" si="21"/>
        <v>7.0228529574270304</v>
      </c>
      <c r="AR28" s="509">
        <f t="shared" ca="1" si="21"/>
        <v>1.000000000000002</v>
      </c>
      <c r="AS28" s="509">
        <f t="shared" ca="1" si="21"/>
        <v>0.83186831927959248</v>
      </c>
      <c r="AT28" s="509">
        <f t="shared" ca="1" si="21"/>
        <v>0.69326108481429849</v>
      </c>
      <c r="AU28" s="509">
        <f t="shared" ca="1" si="21"/>
        <v>0.57877710472015198</v>
      </c>
      <c r="AV28" s="509">
        <f t="shared" ca="1" si="21"/>
        <v>0.48404219644131907</v>
      </c>
      <c r="AW28" s="509">
        <f t="shared" ca="1" si="21"/>
        <v>0.40550663739680048</v>
      </c>
      <c r="AX28" s="509">
        <f t="shared" ca="1" si="21"/>
        <v>0.34028397128844373</v>
      </c>
      <c r="AY28" s="509">
        <f t="shared" ca="1" si="21"/>
        <v>0.28602244370004271</v>
      </c>
      <c r="AZ28" s="509">
        <f t="shared" ca="1" si="21"/>
        <v>0.24080224054103078</v>
      </c>
      <c r="BA28" s="509">
        <f t="shared" ca="1" si="21"/>
        <v>0.20305317661831157</v>
      </c>
      <c r="BB28" s="509">
        <f t="shared" ca="1" si="21"/>
        <v>0.17148862752541844</v>
      </c>
      <c r="BC28" s="509">
        <f t="shared" ca="1" si="21"/>
        <v>7.5351161903637318E-2</v>
      </c>
      <c r="BD28" s="509">
        <f t="shared" ca="1" si="21"/>
        <v>3.4288378526617279E-2</v>
      </c>
      <c r="BE28" s="509">
        <f t="shared" ca="1" si="21"/>
        <v>1.6112567856389093E-2</v>
      </c>
      <c r="BF28" s="509">
        <f t="shared" ca="1" si="21"/>
        <v>7.7991627355163441E-3</v>
      </c>
      <c r="BG28" s="509">
        <f t="shared" ca="1" si="23"/>
        <v>3.8799424406878707E-3</v>
      </c>
      <c r="BH28" s="509">
        <f t="shared" ca="1" si="23"/>
        <v>1.9798456784450823E-3</v>
      </c>
      <c r="BI28" s="509">
        <f t="shared" ca="1" si="23"/>
        <v>5.5247382569567334E-4</v>
      </c>
      <c r="BJ28" s="509">
        <f t="shared" ca="1" si="23"/>
        <v>1.6740958540805399E-4</v>
      </c>
      <c r="BK28" s="509">
        <f t="shared" ca="1" si="23"/>
        <v>5.4537465906677716E-5</v>
      </c>
      <c r="BL28" s="509">
        <f t="shared" ca="1" si="23"/>
        <v>1.8943431661501514E-5</v>
      </c>
      <c r="BM28" s="509">
        <f t="shared" ca="1" si="23"/>
        <v>6.9672016817330567E-6</v>
      </c>
      <c r="BN28" s="509">
        <f t="shared" ca="1" si="23"/>
        <v>2.6973983046972305E-6</v>
      </c>
      <c r="BO28" s="509">
        <f t="shared" ca="1" si="23"/>
        <v>1.0938129162575995E-6</v>
      </c>
      <c r="BP28" s="509">
        <f t="shared" ca="1" si="23"/>
        <v>4.6257313316191641E-7</v>
      </c>
      <c r="BQ28" s="509">
        <f t="shared" ca="1" si="23"/>
        <v>2.0325209637583718E-7</v>
      </c>
      <c r="BR28" s="509">
        <f t="shared" ca="1" si="23"/>
        <v>9.2489414108513677E-8</v>
      </c>
      <c r="BS28" s="509">
        <f t="shared" ca="1" si="23"/>
        <v>4.3462013220142721E-8</v>
      </c>
      <c r="BT28" s="509">
        <f t="shared" ca="1" si="23"/>
        <v>2.1037448340839433E-8</v>
      </c>
      <c r="BU28" s="509">
        <f t="shared" ca="1" si="24"/>
        <v>1.0465750161834233E-8</v>
      </c>
      <c r="BV28" s="509">
        <f t="shared" ca="1" si="24"/>
        <v>5.3404323765998693E-9</v>
      </c>
      <c r="BW28" s="509">
        <f t="shared" ca="1" si="24"/>
        <v>2.790210950816009E-9</v>
      </c>
      <c r="BX28" s="509">
        <f t="shared" ca="1" si="24"/>
        <v>1.4902419608210866E-9</v>
      </c>
      <c r="BY28" s="509">
        <f t="shared" ca="1" si="24"/>
        <v>8.6048079050422357E-11</v>
      </c>
      <c r="BZ28" s="509">
        <f t="shared" ca="1" si="24"/>
        <v>7.2759576141834421E-12</v>
      </c>
      <c r="CA28" s="509">
        <f t="shared" ca="1" si="24"/>
        <v>8.2331967730704468E-13</v>
      </c>
      <c r="CB28" s="509">
        <f t="shared" ca="1" si="24"/>
        <v>2.0104359628765975E-14</v>
      </c>
      <c r="CC28" s="509">
        <f t="shared" ca="1" si="24"/>
        <v>9.1432985790763622E-16</v>
      </c>
      <c r="CD28" s="509">
        <f t="shared" ca="1" si="24"/>
        <v>6.4768915802417937E-17</v>
      </c>
      <c r="CE28" s="509">
        <f t="shared" ca="1" si="24"/>
        <v>6.3936649540617062E-18</v>
      </c>
      <c r="CF28" s="509">
        <f t="shared" ca="1" si="24"/>
        <v>8.1679543557453678E-19</v>
      </c>
      <c r="CG28" s="507"/>
      <c r="CH28" s="507"/>
    </row>
    <row r="29" spans="1:86">
      <c r="A29" s="159">
        <f>IF(OR(A28=Abandonment!$B$4,A28=""),"",'Success Cash Flow'!A28+1)</f>
        <v>2034</v>
      </c>
      <c r="B29" s="257">
        <f>Revenue!S30</f>
        <v>95.180583093773336</v>
      </c>
      <c r="C29" s="257">
        <f>Revenue!T30</f>
        <v>501.58443923855123</v>
      </c>
      <c r="D29" s="257">
        <f>Revenue!U30</f>
        <v>0</v>
      </c>
      <c r="E29" s="257">
        <f t="shared" si="18"/>
        <v>596.76502233232452</v>
      </c>
      <c r="F29" s="257">
        <f>Exploration!X54</f>
        <v>0</v>
      </c>
      <c r="G29" s="257">
        <f>Development!BX110</f>
        <v>0</v>
      </c>
      <c r="H29" s="257">
        <f>Abandonment!K35</f>
        <v>0</v>
      </c>
      <c r="I29" s="257">
        <f>Operations!P38</f>
        <v>246.60200276173768</v>
      </c>
      <c r="J29" s="257">
        <f t="shared" si="9"/>
        <v>246.60200276173768</v>
      </c>
      <c r="K29" s="257">
        <f t="shared" si="10"/>
        <v>350.16301957058681</v>
      </c>
      <c r="L29" s="257">
        <f>Royalty!AM31*Development!$BP$88</f>
        <v>113.92598675304457</v>
      </c>
      <c r="M29" s="257">
        <f>'Provincial Tax'!X29*Development!$BP$88</f>
        <v>36.264203896364585</v>
      </c>
      <c r="N29" s="257">
        <f>'Federal Tax'!X30*Development!$BP$88</f>
        <v>35.274483642442895</v>
      </c>
      <c r="O29" s="257">
        <f t="shared" si="11"/>
        <v>185.46467429185205</v>
      </c>
      <c r="P29" s="257">
        <f t="shared" si="12"/>
        <v>164.69834527873476</v>
      </c>
      <c r="Q29" s="217"/>
      <c r="R29" s="217"/>
      <c r="S29" s="500"/>
      <c r="T29" s="500"/>
      <c r="U29" s="500"/>
      <c r="V29" s="500"/>
      <c r="W29" s="500"/>
      <c r="X29" s="500"/>
      <c r="Y29" s="496"/>
      <c r="Z29" s="496"/>
      <c r="AA29" s="496"/>
      <c r="AB29" s="496"/>
      <c r="AC29" s="501">
        <f>IF(Thresholds!$E$1=Lists!$A$8,Exploration!U54,IF(Thresholds!$E$1=Lists!$A$9,Exploration!V54,IF(Thresholds!$E$1=Lists!$A$10,Exploration!W54,IF(Thresholds!$E$1=Lists!$A$11,Development!AV110,Development!BE110-Development!AV110))))</f>
        <v>0</v>
      </c>
      <c r="AD29" s="501">
        <f t="shared" si="13"/>
        <v>0</v>
      </c>
      <c r="AE29" s="501"/>
      <c r="AF29" s="509">
        <f t="shared" ca="1" si="19"/>
        <v>0.15589875229583436</v>
      </c>
      <c r="AG29" s="509">
        <f t="shared" ca="1" si="22"/>
        <v>0.15589875229583436</v>
      </c>
      <c r="AH29" s="509">
        <f t="shared" ca="1" si="22"/>
        <v>9.9999999999999692E+38</v>
      </c>
      <c r="AI29" s="509">
        <f t="shared" ca="1" si="22"/>
        <v>3.1622776601683968E+19</v>
      </c>
      <c r="AJ29" s="509">
        <f t="shared" ca="1" si="22"/>
        <v>42649611997600.406</v>
      </c>
      <c r="AK29" s="509">
        <f t="shared" ca="1" si="22"/>
        <v>15708529536.500212</v>
      </c>
      <c r="AL29" s="509">
        <f t="shared" ca="1" si="22"/>
        <v>57521495.54916089</v>
      </c>
      <c r="AM29" s="509">
        <f t="shared" ca="1" si="22"/>
        <v>741455.20018946845</v>
      </c>
      <c r="AN29" s="509">
        <f t="shared" ca="1" si="22"/>
        <v>21186.080470520985</v>
      </c>
      <c r="AO29" s="509">
        <f t="shared" ca="1" si="22"/>
        <v>1048.5477670398222</v>
      </c>
      <c r="AP29" s="509">
        <f t="shared" ca="1" si="22"/>
        <v>77.579192288977666</v>
      </c>
      <c r="AQ29" s="509">
        <f t="shared" ca="1" si="21"/>
        <v>7.8031699526967033</v>
      </c>
      <c r="AR29" s="509">
        <f t="shared" ca="1" si="21"/>
        <v>1.0000000000000022</v>
      </c>
      <c r="AS29" s="509">
        <f t="shared" ca="1" si="21"/>
        <v>0.82363199928672526</v>
      </c>
      <c r="AT29" s="509">
        <f t="shared" ca="1" si="21"/>
        <v>0.67966773021009663</v>
      </c>
      <c r="AU29" s="509">
        <f t="shared" ca="1" si="21"/>
        <v>0.56191951914577876</v>
      </c>
      <c r="AV29" s="509">
        <f t="shared" ca="1" si="21"/>
        <v>0.46542518888588374</v>
      </c>
      <c r="AW29" s="509">
        <f t="shared" ca="1" si="21"/>
        <v>0.38619679752076236</v>
      </c>
      <c r="AX29" s="509">
        <f t="shared" ca="1" si="21"/>
        <v>0.32102261442306018</v>
      </c>
      <c r="AY29" s="509">
        <f t="shared" ca="1" si="21"/>
        <v>0.26731069504676891</v>
      </c>
      <c r="AZ29" s="509">
        <f t="shared" ca="1" si="21"/>
        <v>0.22296503753799146</v>
      </c>
      <c r="BA29" s="509">
        <f t="shared" ca="1" si="21"/>
        <v>0.186287317998451</v>
      </c>
      <c r="BB29" s="509">
        <f t="shared" ca="1" si="21"/>
        <v>0.15589875229583494</v>
      </c>
      <c r="BC29" s="509">
        <f t="shared" ca="1" si="21"/>
        <v>6.5522749481423753E-2</v>
      </c>
      <c r="BD29" s="509">
        <f t="shared" ca="1" si="21"/>
        <v>2.8573648772181073E-2</v>
      </c>
      <c r="BE29" s="509">
        <f t="shared" ca="1" si="21"/>
        <v>1.2890054285111285E-2</v>
      </c>
      <c r="BF29" s="509">
        <f t="shared" ca="1" si="21"/>
        <v>5.9993559503971911E-3</v>
      </c>
      <c r="BG29" s="509">
        <f t="shared" ca="1" si="23"/>
        <v>2.8740314375465719E-3</v>
      </c>
      <c r="BH29" s="509">
        <f t="shared" ca="1" si="23"/>
        <v>1.4141754846036302E-3</v>
      </c>
      <c r="BI29" s="509">
        <f t="shared" ca="1" si="23"/>
        <v>3.6831588379711549E-4</v>
      </c>
      <c r="BJ29" s="509">
        <f t="shared" ca="1" si="23"/>
        <v>1.0463099088003382E-4</v>
      </c>
      <c r="BK29" s="509">
        <f t="shared" ca="1" si="23"/>
        <v>3.2080862298045662E-5</v>
      </c>
      <c r="BL29" s="509">
        <f t="shared" ca="1" si="23"/>
        <v>1.0524128700834161E-5</v>
      </c>
      <c r="BM29" s="509">
        <f t="shared" ca="1" si="23"/>
        <v>3.6669482535437126E-6</v>
      </c>
      <c r="BN29" s="509">
        <f t="shared" ca="1" si="23"/>
        <v>1.348699152348615E-6</v>
      </c>
      <c r="BO29" s="509">
        <f t="shared" ca="1" si="23"/>
        <v>5.2086329345599966E-7</v>
      </c>
      <c r="BP29" s="509">
        <f t="shared" ca="1" si="23"/>
        <v>2.1026051507359818E-7</v>
      </c>
      <c r="BQ29" s="509">
        <f t="shared" ca="1" si="23"/>
        <v>8.8370476685146551E-8</v>
      </c>
      <c r="BR29" s="509">
        <f t="shared" ca="1" si="23"/>
        <v>3.8537255878547418E-8</v>
      </c>
      <c r="BS29" s="509">
        <f t="shared" ca="1" si="23"/>
        <v>1.7384805288057069E-8</v>
      </c>
      <c r="BT29" s="509">
        <f t="shared" ca="1" si="23"/>
        <v>8.0913262849382414E-9</v>
      </c>
      <c r="BU29" s="509">
        <f t="shared" ca="1" si="24"/>
        <v>3.8762037636422985E-9</v>
      </c>
      <c r="BV29" s="509">
        <f t="shared" ca="1" si="24"/>
        <v>1.9072972773570944E-9</v>
      </c>
      <c r="BW29" s="509">
        <f t="shared" ca="1" si="24"/>
        <v>9.621417071779347E-10</v>
      </c>
      <c r="BX29" s="509">
        <f t="shared" ca="1" si="24"/>
        <v>4.9674732027369671E-10</v>
      </c>
      <c r="BY29" s="509">
        <f t="shared" ca="1" si="24"/>
        <v>2.4585165442977817E-11</v>
      </c>
      <c r="BZ29" s="509">
        <f t="shared" ca="1" si="24"/>
        <v>1.8189894035458601E-12</v>
      </c>
      <c r="CA29" s="509">
        <f t="shared" ca="1" si="24"/>
        <v>1.8295992829045424E-13</v>
      </c>
      <c r="CB29" s="509">
        <f t="shared" ca="1" si="24"/>
        <v>3.6553381143210735E-15</v>
      </c>
      <c r="CC29" s="509">
        <f t="shared" ca="1" si="24"/>
        <v>1.4066613198578951E-16</v>
      </c>
      <c r="CD29" s="509">
        <f t="shared" ca="1" si="24"/>
        <v>8.6358554403223426E-18</v>
      </c>
      <c r="CE29" s="509">
        <f t="shared" ca="1" si="24"/>
        <v>7.5219587694843532E-19</v>
      </c>
      <c r="CF29" s="509">
        <f t="shared" ca="1" si="24"/>
        <v>8.5978466902582834E-20</v>
      </c>
      <c r="CG29" s="507"/>
      <c r="CH29" s="507"/>
    </row>
    <row r="30" spans="1:86">
      <c r="A30" s="159">
        <f>IF(OR(A29=Abandonment!$B$4,A29=""),"",'Success Cash Flow'!A29+1)</f>
        <v>2035</v>
      </c>
      <c r="B30" s="257">
        <f>Revenue!S31</f>
        <v>82.919906121572268</v>
      </c>
      <c r="C30" s="257">
        <f>Revenue!T31</f>
        <v>437.81880724351527</v>
      </c>
      <c r="D30" s="257">
        <f>Revenue!U31</f>
        <v>0</v>
      </c>
      <c r="E30" s="257">
        <f t="shared" si="18"/>
        <v>520.73871336508751</v>
      </c>
      <c r="F30" s="257">
        <f>Exploration!X55</f>
        <v>0</v>
      </c>
      <c r="G30" s="257">
        <f>Development!BX111</f>
        <v>0</v>
      </c>
      <c r="H30" s="257">
        <f>Abandonment!K36</f>
        <v>0</v>
      </c>
      <c r="I30" s="257">
        <f>Operations!P39</f>
        <v>247.34233129067826</v>
      </c>
      <c r="J30" s="257">
        <f t="shared" si="9"/>
        <v>247.34233129067826</v>
      </c>
      <c r="K30" s="257">
        <f t="shared" si="10"/>
        <v>273.39638207440925</v>
      </c>
      <c r="L30" s="257">
        <f>Royalty!AM32*Development!$BP$88</f>
        <v>87.031752130869492</v>
      </c>
      <c r="M30" s="257">
        <f>'Provincial Tax'!X30*Development!$BP$88</f>
        <v>28.67507146826685</v>
      </c>
      <c r="N30" s="257">
        <f>'Federal Tax'!X31*Development!$BP$88</f>
        <v>28.209703505199339</v>
      </c>
      <c r="O30" s="257">
        <f t="shared" si="11"/>
        <v>143.91652710433567</v>
      </c>
      <c r="P30" s="257">
        <f t="shared" si="12"/>
        <v>129.47985497007357</v>
      </c>
      <c r="Q30" s="217"/>
      <c r="R30" s="217"/>
      <c r="S30" s="500"/>
      <c r="T30" s="500"/>
      <c r="U30" s="500"/>
      <c r="V30" s="500"/>
      <c r="W30" s="500"/>
      <c r="X30" s="500"/>
      <c r="Y30" s="496"/>
      <c r="Z30" s="496"/>
      <c r="AA30" s="496"/>
      <c r="AB30" s="496"/>
      <c r="AC30" s="501">
        <f>IF(Thresholds!$E$1=Lists!$A$8,Exploration!U55,IF(Thresholds!$E$1=Lists!$A$9,Exploration!V55,IF(Thresholds!$E$1=Lists!$A$10,Exploration!W55,IF(Thresholds!$E$1=Lists!$A$11,Development!AV111,Development!BE111-Development!AV111))))</f>
        <v>0</v>
      </c>
      <c r="AD30" s="501">
        <f t="shared" si="13"/>
        <v>0</v>
      </c>
      <c r="AE30" s="501"/>
      <c r="AF30" s="509">
        <f t="shared" ca="1" si="19"/>
        <v>0.14172613845075852</v>
      </c>
      <c r="AG30" s="509">
        <f t="shared" ca="1" si="22"/>
        <v>0.14172613845075852</v>
      </c>
      <c r="AH30" s="509">
        <f t="shared" ca="1" si="22"/>
        <v>9.9999999999999188E+40</v>
      </c>
      <c r="AI30" s="509">
        <f t="shared" ca="1" si="22"/>
        <v>3.1622776601683893E+20</v>
      </c>
      <c r="AJ30" s="509">
        <f t="shared" ca="1" si="22"/>
        <v>213248059988001.87</v>
      </c>
      <c r="AK30" s="509">
        <f t="shared" ca="1" si="22"/>
        <v>52361765121.667366</v>
      </c>
      <c r="AL30" s="509">
        <f t="shared" ca="1" si="22"/>
        <v>143803738.87290236</v>
      </c>
      <c r="AM30" s="509">
        <f t="shared" ca="1" si="22"/>
        <v>1482910.4003789371</v>
      </c>
      <c r="AN30" s="509">
        <f t="shared" ca="1" si="22"/>
        <v>35310.134117535032</v>
      </c>
      <c r="AO30" s="509">
        <f t="shared" ca="1" si="22"/>
        <v>1497.9253814854603</v>
      </c>
      <c r="AP30" s="509">
        <f t="shared" ca="1" si="22"/>
        <v>96.973990361222064</v>
      </c>
      <c r="AQ30" s="509">
        <f t="shared" ca="1" si="21"/>
        <v>8.67018883632967</v>
      </c>
      <c r="AR30" s="509">
        <f t="shared" ca="1" si="21"/>
        <v>1.0000000000000022</v>
      </c>
      <c r="AS30" s="509">
        <f t="shared" ca="1" si="21"/>
        <v>0.81547722701656</v>
      </c>
      <c r="AT30" s="509">
        <f t="shared" ca="1" si="21"/>
        <v>0.66634091197068313</v>
      </c>
      <c r="AU30" s="509">
        <f t="shared" ca="1" si="21"/>
        <v>0.545552931209494</v>
      </c>
      <c r="AV30" s="509">
        <f t="shared" ca="1" si="21"/>
        <v>0.44752422008258069</v>
      </c>
      <c r="AW30" s="509">
        <f t="shared" ca="1" si="21"/>
        <v>0.3678064738292976</v>
      </c>
      <c r="AX30" s="509">
        <f t="shared" ca="1" si="21"/>
        <v>0.30285152304062291</v>
      </c>
      <c r="AY30" s="509">
        <f t="shared" ca="1" si="21"/>
        <v>0.2498230794829617</v>
      </c>
      <c r="AZ30" s="509">
        <f t="shared" ca="1" si="21"/>
        <v>0.20644910883147363</v>
      </c>
      <c r="BA30" s="509">
        <f t="shared" ca="1" si="21"/>
        <v>0.17090579632885416</v>
      </c>
      <c r="BB30" s="509">
        <f t="shared" ca="1" si="21"/>
        <v>0.1417261384507591</v>
      </c>
      <c r="BC30" s="509">
        <f t="shared" ca="1" si="21"/>
        <v>5.6976303896890207E-2</v>
      </c>
      <c r="BD30" s="509">
        <f t="shared" ca="1" si="21"/>
        <v>2.3811373976817561E-2</v>
      </c>
      <c r="BE30" s="509">
        <f t="shared" ca="1" si="21"/>
        <v>1.0312043428089029E-2</v>
      </c>
      <c r="BF30" s="509">
        <f t="shared" ca="1" si="21"/>
        <v>4.6148891926132236E-3</v>
      </c>
      <c r="BG30" s="509">
        <f t="shared" ca="1" si="23"/>
        <v>2.1289121759604243E-3</v>
      </c>
      <c r="BH30" s="509">
        <f t="shared" ca="1" si="23"/>
        <v>1.0101253461454499E-3</v>
      </c>
      <c r="BI30" s="509">
        <f t="shared" ca="1" si="23"/>
        <v>2.4554392253141029E-4</v>
      </c>
      <c r="BJ30" s="509">
        <f t="shared" ca="1" si="23"/>
        <v>6.5394369300021191E-5</v>
      </c>
      <c r="BK30" s="509">
        <f t="shared" ca="1" si="23"/>
        <v>1.8871095469438659E-5</v>
      </c>
      <c r="BL30" s="509">
        <f t="shared" ca="1" si="23"/>
        <v>5.8467381671300911E-6</v>
      </c>
      <c r="BM30" s="509">
        <f t="shared" ca="1" si="23"/>
        <v>1.9299727650230092E-6</v>
      </c>
      <c r="BN30" s="509">
        <f t="shared" ca="1" si="23"/>
        <v>6.7434957617430752E-7</v>
      </c>
      <c r="BO30" s="509">
        <f t="shared" ca="1" si="23"/>
        <v>2.4803013974095256E-7</v>
      </c>
      <c r="BP30" s="509">
        <f t="shared" ca="1" si="23"/>
        <v>9.5572961397090338E-8</v>
      </c>
      <c r="BQ30" s="509">
        <f t="shared" ca="1" si="23"/>
        <v>3.842194638484637E-8</v>
      </c>
      <c r="BR30" s="509">
        <f t="shared" ca="1" si="23"/>
        <v>1.6057189949394725E-8</v>
      </c>
      <c r="BS30" s="509">
        <f t="shared" ca="1" si="23"/>
        <v>6.9539221152228221E-9</v>
      </c>
      <c r="BT30" s="509">
        <f t="shared" ca="1" si="23"/>
        <v>3.1120485711300915E-9</v>
      </c>
      <c r="BU30" s="509">
        <f t="shared" ca="1" si="24"/>
        <v>1.4356310235712232E-9</v>
      </c>
      <c r="BV30" s="509">
        <f t="shared" ca="1" si="24"/>
        <v>6.8117759905610439E-10</v>
      </c>
      <c r="BW30" s="509">
        <f t="shared" ca="1" si="24"/>
        <v>3.3177300247515007E-10</v>
      </c>
      <c r="BX30" s="509">
        <f t="shared" ca="1" si="24"/>
        <v>1.6558244009123202E-10</v>
      </c>
      <c r="BY30" s="509">
        <f t="shared" ca="1" si="24"/>
        <v>7.0243329837079475E-12</v>
      </c>
      <c r="BZ30" s="509">
        <f t="shared" ca="1" si="24"/>
        <v>4.5474735088646493E-13</v>
      </c>
      <c r="CA30" s="509">
        <f t="shared" ca="1" si="24"/>
        <v>4.065776184232329E-14</v>
      </c>
      <c r="CB30" s="509">
        <f t="shared" ca="1" si="24"/>
        <v>6.6460692987656351E-16</v>
      </c>
      <c r="CC30" s="509">
        <f t="shared" ca="1" si="24"/>
        <v>2.1640943382429203E-17</v>
      </c>
      <c r="CD30" s="509">
        <f t="shared" ca="1" si="24"/>
        <v>1.1514473920429806E-18</v>
      </c>
      <c r="CE30" s="509">
        <f t="shared" ca="1" si="24"/>
        <v>8.8493632582169411E-20</v>
      </c>
      <c r="CF30" s="509">
        <f t="shared" ca="1" si="24"/>
        <v>9.0503649371139862E-21</v>
      </c>
      <c r="CG30" s="507"/>
      <c r="CH30" s="507"/>
    </row>
    <row r="31" spans="1:86">
      <c r="A31" s="159">
        <f>IF(OR(A30=Abandonment!$B$4,A30=""),"",'Success Cash Flow'!A30+1)</f>
        <v>2036</v>
      </c>
      <c r="B31" s="257">
        <f>Revenue!S32</f>
        <v>72.412313743199348</v>
      </c>
      <c r="C31" s="257">
        <f>Revenue!T32</f>
        <v>383.0721051612623</v>
      </c>
      <c r="D31" s="257">
        <f>Revenue!U32</f>
        <v>0</v>
      </c>
      <c r="E31" s="257">
        <f t="shared" si="18"/>
        <v>455.48441890446168</v>
      </c>
      <c r="F31" s="257">
        <f>Exploration!X56</f>
        <v>0</v>
      </c>
      <c r="G31" s="257">
        <f>Development!BX112</f>
        <v>0</v>
      </c>
      <c r="H31" s="257">
        <f>Abandonment!K37</f>
        <v>0</v>
      </c>
      <c r="I31" s="257">
        <f>Operations!P40</f>
        <v>248.82360774808626</v>
      </c>
      <c r="J31" s="257">
        <f t="shared" si="9"/>
        <v>248.82360774808626</v>
      </c>
      <c r="K31" s="257">
        <f t="shared" si="10"/>
        <v>206.66081115637542</v>
      </c>
      <c r="L31" s="257">
        <f>Royalty!AM33*Development!$BP$88</f>
        <v>63.622457633548358</v>
      </c>
      <c r="M31" s="257">
        <f>'Provincial Tax'!X31*Development!$BP$88</f>
        <v>22.033599756820188</v>
      </c>
      <c r="N31" s="257">
        <f>'Federal Tax'!X32*Development!$BP$88</f>
        <v>20.012731679760392</v>
      </c>
      <c r="O31" s="257">
        <f t="shared" si="11"/>
        <v>105.66878907012894</v>
      </c>
      <c r="P31" s="257">
        <f t="shared" si="12"/>
        <v>100.99202208624648</v>
      </c>
      <c r="Q31" s="217"/>
      <c r="R31" s="217"/>
      <c r="S31" s="500"/>
      <c r="T31" s="500"/>
      <c r="U31" s="500"/>
      <c r="V31" s="500"/>
      <c r="W31" s="500"/>
      <c r="X31" s="500"/>
      <c r="Y31" s="496"/>
      <c r="Z31" s="496"/>
      <c r="AA31" s="496"/>
      <c r="AB31" s="496"/>
      <c r="AC31" s="501">
        <f>IF(Thresholds!$E$1=Lists!$A$8,Exploration!U56,IF(Thresholds!$E$1=Lists!$A$9,Exploration!V56,IF(Thresholds!$E$1=Lists!$A$10,Exploration!W56,IF(Thresholds!$E$1=Lists!$A$11,Development!AV112,Development!BE112-Development!AV112))))</f>
        <v>0</v>
      </c>
      <c r="AD31" s="501">
        <f t="shared" si="13"/>
        <v>0</v>
      </c>
      <c r="AE31" s="501"/>
      <c r="AF31" s="509">
        <f t="shared" ca="1" si="19"/>
        <v>0.1288419440461441</v>
      </c>
      <c r="AG31" s="509">
        <f t="shared" ca="1" si="22"/>
        <v>0.1288419440461441</v>
      </c>
      <c r="AH31" s="509">
        <f t="shared" ca="1" si="22"/>
        <v>9.9999999999998714E+42</v>
      </c>
      <c r="AI31" s="509">
        <f t="shared" ca="1" si="22"/>
        <v>3.1622776601684036E+21</v>
      </c>
      <c r="AJ31" s="509">
        <f t="shared" ca="1" si="22"/>
        <v>1066240299940012.4</v>
      </c>
      <c r="AK31" s="509">
        <f t="shared" ca="1" si="22"/>
        <v>174539217072.22455</v>
      </c>
      <c r="AL31" s="509">
        <f t="shared" ca="1" si="22"/>
        <v>359509347.18225628</v>
      </c>
      <c r="AM31" s="509">
        <f t="shared" ca="1" si="22"/>
        <v>2965820.8007578743</v>
      </c>
      <c r="AN31" s="509">
        <f t="shared" ca="1" si="22"/>
        <v>58850.223529225033</v>
      </c>
      <c r="AO31" s="509">
        <f t="shared" ca="1" si="22"/>
        <v>2139.8934021220884</v>
      </c>
      <c r="AP31" s="509">
        <f t="shared" ca="1" si="22"/>
        <v>121.21748795152757</v>
      </c>
      <c r="AQ31" s="509">
        <f t="shared" ca="1" si="21"/>
        <v>9.6335431514774115</v>
      </c>
      <c r="AR31" s="509">
        <f t="shared" ca="1" si="21"/>
        <v>1.0000000000000024</v>
      </c>
      <c r="AS31" s="509">
        <f t="shared" ca="1" si="21"/>
        <v>0.80740319506590108</v>
      </c>
      <c r="AT31" s="509">
        <f t="shared" ca="1" si="21"/>
        <v>0.65327540389282679</v>
      </c>
      <c r="AU31" s="509">
        <f t="shared" ca="1" si="21"/>
        <v>0.5296630400092176</v>
      </c>
      <c r="AV31" s="509">
        <f t="shared" ca="1" si="21"/>
        <v>0.43031175007940453</v>
      </c>
      <c r="AW31" s="509">
        <f t="shared" ca="1" si="21"/>
        <v>0.35029187983742638</v>
      </c>
      <c r="AX31" s="509">
        <f t="shared" ca="1" si="21"/>
        <v>0.2857089840005877</v>
      </c>
      <c r="AY31" s="509">
        <f t="shared" ca="1" si="21"/>
        <v>0.23347951353547824</v>
      </c>
      <c r="AZ31" s="509">
        <f t="shared" ca="1" si="21"/>
        <v>0.19115658225136448</v>
      </c>
      <c r="BA31" s="509">
        <f t="shared" ca="1" si="21"/>
        <v>0.15679430855858179</v>
      </c>
      <c r="BB31" s="509">
        <f t="shared" ca="1" si="21"/>
        <v>0.1288419440461446</v>
      </c>
      <c r="BC31" s="509">
        <f t="shared" ca="1" si="21"/>
        <v>4.9544612084252371E-2</v>
      </c>
      <c r="BD31" s="509">
        <f t="shared" ca="1" si="21"/>
        <v>1.9842811647347972E-2</v>
      </c>
      <c r="BE31" s="509">
        <f t="shared" ca="1" si="21"/>
        <v>8.2496347424712239E-3</v>
      </c>
      <c r="BF31" s="509">
        <f t="shared" ca="1" si="21"/>
        <v>3.5499147635486327E-3</v>
      </c>
      <c r="BG31" s="509">
        <f t="shared" ca="1" si="23"/>
        <v>1.5769719821929057E-3</v>
      </c>
      <c r="BH31" s="509">
        <f t="shared" ca="1" si="23"/>
        <v>7.2151810438960719E-4</v>
      </c>
      <c r="BI31" s="509">
        <f t="shared" ca="1" si="23"/>
        <v>1.6369594835427363E-4</v>
      </c>
      <c r="BJ31" s="509">
        <f t="shared" ca="1" si="23"/>
        <v>4.0871480812513199E-5</v>
      </c>
      <c r="BK31" s="509">
        <f t="shared" ca="1" si="23"/>
        <v>1.1100644393787429E-5</v>
      </c>
      <c r="BL31" s="509">
        <f t="shared" ca="1" si="23"/>
        <v>3.2481878706278301E-6</v>
      </c>
      <c r="BM31" s="509">
        <f t="shared" ca="1" si="23"/>
        <v>1.0157751394857937E-6</v>
      </c>
      <c r="BN31" s="509">
        <f t="shared" ca="1" si="23"/>
        <v>3.3717478808715429E-7</v>
      </c>
      <c r="BO31" s="509">
        <f t="shared" ca="1" si="23"/>
        <v>1.1810959035283452E-7</v>
      </c>
      <c r="BP31" s="509">
        <f t="shared" ca="1" si="23"/>
        <v>4.3442255180495493E-8</v>
      </c>
      <c r="BQ31" s="509">
        <f t="shared" ca="1" si="23"/>
        <v>1.6705194080367947E-8</v>
      </c>
      <c r="BR31" s="509">
        <f t="shared" ca="1" si="23"/>
        <v>6.6904958122478101E-9</v>
      </c>
      <c r="BS31" s="509">
        <f t="shared" ca="1" si="23"/>
        <v>2.781568846089126E-9</v>
      </c>
      <c r="BT31" s="509">
        <f t="shared" ca="1" si="23"/>
        <v>1.1969417581269622E-9</v>
      </c>
      <c r="BU31" s="509">
        <f t="shared" ca="1" si="24"/>
        <v>5.3171519391526843E-10</v>
      </c>
      <c r="BV31" s="509">
        <f t="shared" ca="1" si="24"/>
        <v>2.4327771394860848E-10</v>
      </c>
      <c r="BW31" s="509">
        <f t="shared" ca="1" si="24"/>
        <v>1.1440448361212037E-10</v>
      </c>
      <c r="BX31" s="509">
        <f t="shared" ca="1" si="24"/>
        <v>5.5194146697077278E-11</v>
      </c>
      <c r="BY31" s="509">
        <f t="shared" ca="1" si="24"/>
        <v>2.0069522810594132E-12</v>
      </c>
      <c r="BZ31" s="509">
        <f t="shared" ca="1" si="24"/>
        <v>1.1368683772161621E-13</v>
      </c>
      <c r="CA31" s="509">
        <f t="shared" ca="1" si="24"/>
        <v>9.0350581871829478E-15</v>
      </c>
      <c r="CB31" s="509">
        <f t="shared" ca="1" si="24"/>
        <v>1.2083762361391978E-16</v>
      </c>
      <c r="CC31" s="509">
        <f t="shared" ca="1" si="24"/>
        <v>3.3293759049891157E-18</v>
      </c>
      <c r="CD31" s="509">
        <f t="shared" ca="1" si="24"/>
        <v>1.5352631893906429E-19</v>
      </c>
      <c r="CE31" s="509">
        <f t="shared" ca="1" si="24"/>
        <v>1.0411015597902275E-20</v>
      </c>
      <c r="CF31" s="509">
        <f t="shared" ca="1" si="24"/>
        <v>9.5266999338041963E-22</v>
      </c>
      <c r="CG31" s="507"/>
      <c r="CH31" s="507"/>
    </row>
    <row r="32" spans="1:86">
      <c r="A32" s="159">
        <f>IF(OR(A31=Abandonment!$B$4,A31=""),"",'Success Cash Flow'!A31+1)</f>
        <v>2037</v>
      </c>
      <c r="B32" s="257">
        <f>Revenue!S33</f>
        <v>62.883178074228596</v>
      </c>
      <c r="C32" s="257">
        <f>Revenue!T33</f>
        <v>333.29430296636707</v>
      </c>
      <c r="D32" s="257">
        <f>Revenue!U33</f>
        <v>0</v>
      </c>
      <c r="E32" s="257">
        <f t="shared" si="18"/>
        <v>396.17748104059569</v>
      </c>
      <c r="F32" s="257">
        <f>Exploration!X57</f>
        <v>0</v>
      </c>
      <c r="G32" s="257">
        <f>Development!BX113</f>
        <v>0</v>
      </c>
      <c r="H32" s="257">
        <f>Abandonment!K38</f>
        <v>0</v>
      </c>
      <c r="I32" s="257">
        <f>Operations!P41</f>
        <v>250.89142461711268</v>
      </c>
      <c r="J32" s="257">
        <f t="shared" si="9"/>
        <v>250.89142461711268</v>
      </c>
      <c r="K32" s="257">
        <f t="shared" si="10"/>
        <v>145.28605642348302</v>
      </c>
      <c r="L32" s="257">
        <f>Royalty!AM34*Development!$BP$88</f>
        <v>42.068919886620094</v>
      </c>
      <c r="M32" s="257">
        <f>'Provincial Tax'!X32*Development!$BP$88</f>
        <v>15.878779870408698</v>
      </c>
      <c r="N32" s="257">
        <f>'Federal Tax'!X33*Development!$BP$88</f>
        <v>14.241925072512648</v>
      </c>
      <c r="O32" s="257">
        <f t="shared" si="11"/>
        <v>72.189624829541444</v>
      </c>
      <c r="P32" s="257">
        <f t="shared" si="12"/>
        <v>73.096431593941574</v>
      </c>
      <c r="Q32" s="217"/>
      <c r="R32" s="217"/>
      <c r="S32" s="500"/>
      <c r="T32" s="500"/>
      <c r="U32" s="500"/>
      <c r="V32" s="500"/>
      <c r="W32" s="500"/>
      <c r="X32" s="500"/>
      <c r="Y32" s="496"/>
      <c r="Z32" s="496"/>
      <c r="AA32" s="496"/>
      <c r="AB32" s="496"/>
      <c r="AC32" s="501">
        <f>IF(Thresholds!$E$1=Lists!$A$8,Exploration!U57,IF(Thresholds!$E$1=Lists!$A$9,Exploration!V57,IF(Thresholds!$E$1=Lists!$A$10,Exploration!W57,IF(Thresholds!$E$1=Lists!$A$11,Development!AV113,Development!BE113-Development!AV113))))</f>
        <v>0</v>
      </c>
      <c r="AD32" s="501">
        <f t="shared" si="13"/>
        <v>0</v>
      </c>
      <c r="AE32" s="501"/>
      <c r="AF32" s="509">
        <f t="shared" ca="1" si="19"/>
        <v>0.11712904004194918</v>
      </c>
      <c r="AG32" s="509">
        <f t="shared" ca="1" si="22"/>
        <v>0.11712904004194918</v>
      </c>
      <c r="AH32" s="509">
        <f t="shared" ca="1" si="22"/>
        <v>9.9999999999999644E+44</v>
      </c>
      <c r="AI32" s="509">
        <f t="shared" ca="1" si="22"/>
        <v>3.1622776601683964E+22</v>
      </c>
      <c r="AJ32" s="509">
        <f t="shared" ca="1" si="22"/>
        <v>5331201499700077</v>
      </c>
      <c r="AK32" s="509">
        <f t="shared" ca="1" si="22"/>
        <v>581797390240.74854</v>
      </c>
      <c r="AL32" s="509">
        <f t="shared" ca="1" si="22"/>
        <v>898773367.95564151</v>
      </c>
      <c r="AM32" s="509">
        <f t="shared" ca="1" si="22"/>
        <v>5931641.6015157495</v>
      </c>
      <c r="AN32" s="509">
        <f t="shared" ca="1" si="22"/>
        <v>98083.705882041715</v>
      </c>
      <c r="AO32" s="509">
        <f t="shared" ca="1" si="22"/>
        <v>3056.9905744601238</v>
      </c>
      <c r="AP32" s="509">
        <f t="shared" ca="1" si="22"/>
        <v>151.52185993940961</v>
      </c>
      <c r="AQ32" s="509">
        <f t="shared" ca="1" si="21"/>
        <v>10.703936834974902</v>
      </c>
      <c r="AR32" s="509">
        <f t="shared" ca="1" si="21"/>
        <v>1.0000000000000024</v>
      </c>
      <c r="AS32" s="509">
        <f t="shared" ca="1" si="21"/>
        <v>0.7994091040256448</v>
      </c>
      <c r="AT32" s="509">
        <f t="shared" ca="1" si="21"/>
        <v>0.64046608224786949</v>
      </c>
      <c r="AU32" s="509">
        <f t="shared" ca="1" si="21"/>
        <v>0.51423596117399772</v>
      </c>
      <c r="AV32" s="509">
        <f t="shared" ca="1" si="21"/>
        <v>0.41376129815327373</v>
      </c>
      <c r="AW32" s="509">
        <f t="shared" ca="1" si="21"/>
        <v>0.3336113141308823</v>
      </c>
      <c r="AX32" s="509">
        <f t="shared" ca="1" si="21"/>
        <v>0.26953677735904502</v>
      </c>
      <c r="AY32" s="509">
        <f t="shared" ca="1" si="21"/>
        <v>0.21820515283689557</v>
      </c>
      <c r="AZ32" s="509">
        <f t="shared" ca="1" si="21"/>
        <v>0.17699683541793013</v>
      </c>
      <c r="BA32" s="509">
        <f t="shared" ca="1" si="21"/>
        <v>0.14384798950328609</v>
      </c>
      <c r="BB32" s="509">
        <f t="shared" ca="1" si="21"/>
        <v>0.11712904004194964</v>
      </c>
      <c r="BC32" s="509">
        <f t="shared" ca="1" si="21"/>
        <v>4.3082271377610747E-2</v>
      </c>
      <c r="BD32" s="509">
        <f t="shared" ca="1" si="21"/>
        <v>1.6535676372789989E-2</v>
      </c>
      <c r="BE32" s="509">
        <f t="shared" ca="1" si="21"/>
        <v>6.5997077939769786E-3</v>
      </c>
      <c r="BF32" s="509">
        <f t="shared" ca="1" si="21"/>
        <v>2.7307036642681805E-3</v>
      </c>
      <c r="BG32" s="509">
        <f t="shared" ca="1" si="23"/>
        <v>1.1681273942169676E-3</v>
      </c>
      <c r="BH32" s="509">
        <f t="shared" ca="1" si="23"/>
        <v>5.1537007456400506E-4</v>
      </c>
      <c r="BI32" s="509">
        <f t="shared" ca="1" si="23"/>
        <v>1.091306322361825E-4</v>
      </c>
      <c r="BJ32" s="509">
        <f t="shared" ca="1" si="23"/>
        <v>2.554467550782077E-5</v>
      </c>
      <c r="BK32" s="509">
        <f t="shared" ca="1" si="23"/>
        <v>6.529790819874971E-6</v>
      </c>
      <c r="BL32" s="509">
        <f t="shared" ca="1" si="23"/>
        <v>1.8045488170154615E-6</v>
      </c>
      <c r="BM32" s="509">
        <f t="shared" ca="1" si="23"/>
        <v>5.3461849446620704E-7</v>
      </c>
      <c r="BN32" s="509">
        <f t="shared" ca="1" si="23"/>
        <v>1.6858739404357714E-7</v>
      </c>
      <c r="BO32" s="509">
        <f t="shared" ca="1" si="23"/>
        <v>5.6242662072778336E-8</v>
      </c>
      <c r="BP32" s="509">
        <f t="shared" ca="1" si="23"/>
        <v>1.9746479627497969E-8</v>
      </c>
      <c r="BQ32" s="509">
        <f t="shared" ca="1" si="23"/>
        <v>7.2631278610295498E-9</v>
      </c>
      <c r="BR32" s="509">
        <f t="shared" ca="1" si="23"/>
        <v>2.7877065884365918E-9</v>
      </c>
      <c r="BS32" s="509">
        <f t="shared" ca="1" si="23"/>
        <v>1.1126275384356533E-9</v>
      </c>
      <c r="BT32" s="509">
        <f t="shared" ca="1" si="23"/>
        <v>4.6036221466421605E-10</v>
      </c>
      <c r="BU32" s="509">
        <f t="shared" ca="1" si="24"/>
        <v>1.9693155330195078E-10</v>
      </c>
      <c r="BV32" s="509">
        <f t="shared" ca="1" si="24"/>
        <v>8.6884897838788972E-11</v>
      </c>
      <c r="BW32" s="509">
        <f t="shared" ca="1" si="24"/>
        <v>3.9449821935213945E-11</v>
      </c>
      <c r="BX32" s="509">
        <f t="shared" ca="1" si="24"/>
        <v>1.8398048899025805E-11</v>
      </c>
      <c r="BY32" s="509">
        <f t="shared" ca="1" si="24"/>
        <v>5.7341493744554664E-13</v>
      </c>
      <c r="BZ32" s="509">
        <f t="shared" ca="1" si="24"/>
        <v>2.8421709430404045E-14</v>
      </c>
      <c r="CA32" s="509">
        <f t="shared" ca="1" si="24"/>
        <v>2.0077907082628763E-15</v>
      </c>
      <c r="CB32" s="509">
        <f t="shared" ca="1" si="24"/>
        <v>2.1970477020712843E-17</v>
      </c>
      <c r="CC32" s="509">
        <f t="shared" ca="1" si="24"/>
        <v>5.1221167769063071E-19</v>
      </c>
      <c r="CD32" s="509">
        <f t="shared" ca="1" si="24"/>
        <v>2.0470175858541934E-20</v>
      </c>
      <c r="CE32" s="509">
        <f t="shared" ca="1" si="24"/>
        <v>1.2248253644590899E-21</v>
      </c>
      <c r="CF32" s="509">
        <f t="shared" ca="1" si="24"/>
        <v>1.0028105193478106E-22</v>
      </c>
      <c r="CG32" s="507"/>
      <c r="CH32" s="507"/>
    </row>
    <row r="33" spans="1:86">
      <c r="A33" s="159">
        <f>IF(OR(A32=Abandonment!$B$4,A32=""),"",'Success Cash Flow'!A32+1)</f>
        <v>2038</v>
      </c>
      <c r="B33" s="257">
        <f>Revenue!S34</f>
        <v>54.76401091916869</v>
      </c>
      <c r="C33" s="257">
        <f>Revenue!T34</f>
        <v>290.80843467560368</v>
      </c>
      <c r="D33" s="257">
        <f>Revenue!U34</f>
        <v>0</v>
      </c>
      <c r="E33" s="257">
        <f t="shared" si="18"/>
        <v>345.57244559477238</v>
      </c>
      <c r="F33" s="257">
        <f>Exploration!X58</f>
        <v>0</v>
      </c>
      <c r="G33" s="257">
        <f>Development!BX114</f>
        <v>0</v>
      </c>
      <c r="H33" s="257">
        <f>Abandonment!K39</f>
        <v>0</v>
      </c>
      <c r="I33" s="257">
        <f>Operations!P42</f>
        <v>253.57769235323914</v>
      </c>
      <c r="J33" s="257">
        <f t="shared" si="9"/>
        <v>253.57769235323914</v>
      </c>
      <c r="K33" s="257">
        <f t="shared" si="10"/>
        <v>91.994753241533232</v>
      </c>
      <c r="L33" s="257">
        <f>Royalty!AM35*Development!$BP$88</f>
        <v>23.322944402173245</v>
      </c>
      <c r="M33" s="257">
        <f>'Provincial Tax'!X33*Development!$BP$88</f>
        <v>10.512926373424888</v>
      </c>
      <c r="N33" s="257">
        <f>'Federal Tax'!X34*Development!$BP$88</f>
        <v>7.6954729502903536</v>
      </c>
      <c r="O33" s="257">
        <f t="shared" si="11"/>
        <v>41.531343725888483</v>
      </c>
      <c r="P33" s="257">
        <f t="shared" si="12"/>
        <v>50.463409515644749</v>
      </c>
      <c r="Q33" s="217"/>
      <c r="R33" s="217"/>
      <c r="S33" s="500"/>
      <c r="T33" s="500"/>
      <c r="U33" s="500"/>
      <c r="V33" s="500"/>
      <c r="W33" s="500"/>
      <c r="X33" s="500"/>
      <c r="Y33" s="496"/>
      <c r="Z33" s="496"/>
      <c r="AA33" s="496"/>
      <c r="AB33" s="496"/>
      <c r="AC33" s="501">
        <f>IF(Thresholds!$E$1=Lists!$A$8,Exploration!U58,IF(Thresholds!$E$1=Lists!$A$9,Exploration!V58,IF(Thresholds!$E$1=Lists!$A$10,Exploration!W58,IF(Thresholds!$E$1=Lists!$A$11,Development!AV114,Development!BE114-Development!AV114))))</f>
        <v>0</v>
      </c>
      <c r="AD33" s="501">
        <f t="shared" si="13"/>
        <v>0</v>
      </c>
      <c r="AE33" s="501"/>
      <c r="AF33" s="509">
        <f t="shared" ca="1" si="19"/>
        <v>0.10648094549268106</v>
      </c>
      <c r="AG33" s="509">
        <f t="shared" ca="1" si="22"/>
        <v>0.10648094549268106</v>
      </c>
      <c r="AH33" s="509">
        <f t="shared" ca="1" si="22"/>
        <v>9.9999999999999153E+46</v>
      </c>
      <c r="AI33" s="509">
        <f t="shared" ca="1" si="22"/>
        <v>3.1622776601683887E+23</v>
      </c>
      <c r="AJ33" s="509">
        <f t="shared" ca="1" si="22"/>
        <v>2.6656007498500272E+16</v>
      </c>
      <c r="AK33" s="509">
        <f t="shared" ca="1" si="22"/>
        <v>1939324634135.8281</v>
      </c>
      <c r="AL33" s="509">
        <f t="shared" ca="1" si="22"/>
        <v>2246933419.8891058</v>
      </c>
      <c r="AM33" s="509">
        <f t="shared" ca="1" si="22"/>
        <v>11863283.203031501</v>
      </c>
      <c r="AN33" s="509">
        <f t="shared" ca="1" si="22"/>
        <v>163472.84313673616</v>
      </c>
      <c r="AO33" s="509">
        <f t="shared" ca="1" si="22"/>
        <v>4367.1293920858952</v>
      </c>
      <c r="AP33" s="509">
        <f t="shared" ca="1" si="22"/>
        <v>189.40232492426199</v>
      </c>
      <c r="AQ33" s="509">
        <f t="shared" ca="1" si="21"/>
        <v>11.893263149972114</v>
      </c>
      <c r="AR33" s="509">
        <f t="shared" ca="1" si="21"/>
        <v>1.0000000000000027</v>
      </c>
      <c r="AS33" s="509">
        <f t="shared" ca="1" si="21"/>
        <v>0.79149416240162873</v>
      </c>
      <c r="AT33" s="509">
        <f t="shared" ca="1" si="21"/>
        <v>0.62790792377242111</v>
      </c>
      <c r="AU33" s="509">
        <f t="shared" ca="1" si="21"/>
        <v>0.49925821473203674</v>
      </c>
      <c r="AV33" s="509">
        <f t="shared" ca="1" si="21"/>
        <v>0.39784740207045555</v>
      </c>
      <c r="AW33" s="509">
        <f t="shared" ca="1" si="21"/>
        <v>0.31772506107703086</v>
      </c>
      <c r="AX33" s="509">
        <f t="shared" ca="1" si="21"/>
        <v>0.25427997864060858</v>
      </c>
      <c r="AY33" s="509">
        <f t="shared" ca="1" si="21"/>
        <v>0.20393004938027626</v>
      </c>
      <c r="AZ33" s="509">
        <f t="shared" ca="1" si="21"/>
        <v>0.16388595872030567</v>
      </c>
      <c r="BA33" s="509">
        <f t="shared" ca="1" si="21"/>
        <v>0.13197063257182215</v>
      </c>
      <c r="BB33" s="509">
        <f t="shared" ca="1" si="21"/>
        <v>0.10648094549268151</v>
      </c>
      <c r="BC33" s="509">
        <f t="shared" ca="1" si="21"/>
        <v>3.7462844676183271E-2</v>
      </c>
      <c r="BD33" s="509">
        <f t="shared" ca="1" si="21"/>
        <v>1.3779730310658319E-2</v>
      </c>
      <c r="BE33" s="509">
        <f t="shared" ca="1" si="21"/>
        <v>5.2797662351815834E-3</v>
      </c>
      <c r="BF33" s="509">
        <f t="shared" ca="1" si="21"/>
        <v>2.1005412802062922E-3</v>
      </c>
      <c r="BG33" s="509">
        <f t="shared" ca="1" si="23"/>
        <v>8.6527955127182793E-4</v>
      </c>
      <c r="BH33" s="509">
        <f t="shared" ca="1" si="23"/>
        <v>3.6812148183143224E-4</v>
      </c>
      <c r="BI33" s="509">
        <f t="shared" ca="1" si="23"/>
        <v>7.2753754824121569E-5</v>
      </c>
      <c r="BJ33" s="509">
        <f t="shared" ca="1" si="23"/>
        <v>1.5965422192387994E-5</v>
      </c>
      <c r="BK33" s="509">
        <f t="shared" ca="1" si="23"/>
        <v>3.8410534234558584E-6</v>
      </c>
      <c r="BL33" s="509">
        <f t="shared" ca="1" si="23"/>
        <v>1.0025271205641458E-6</v>
      </c>
      <c r="BM33" s="509">
        <f t="shared" ca="1" si="23"/>
        <v>2.8137815498221461E-7</v>
      </c>
      <c r="BN33" s="509">
        <f t="shared" ca="1" si="23"/>
        <v>8.4293697021788559E-8</v>
      </c>
      <c r="BO33" s="509">
        <f t="shared" ca="1" si="23"/>
        <v>2.6782220034656391E-8</v>
      </c>
      <c r="BP33" s="509">
        <f t="shared" ca="1" si="23"/>
        <v>8.9756725579536306E-9</v>
      </c>
      <c r="BQ33" s="509">
        <f t="shared" ca="1" si="23"/>
        <v>3.1578816787085038E-9</v>
      </c>
      <c r="BR33" s="509">
        <f t="shared" ca="1" si="23"/>
        <v>1.1615444118485775E-9</v>
      </c>
      <c r="BS33" s="509">
        <f t="shared" ca="1" si="23"/>
        <v>4.4505101537426087E-10</v>
      </c>
      <c r="BT33" s="509">
        <f t="shared" ca="1" si="23"/>
        <v>1.7706239025546765E-10</v>
      </c>
      <c r="BU33" s="509">
        <f t="shared" ca="1" si="24"/>
        <v>7.2937612334055921E-11</v>
      </c>
      <c r="BV33" s="509">
        <f t="shared" ca="1" si="24"/>
        <v>3.1030320656710313E-11</v>
      </c>
      <c r="BW33" s="509">
        <f t="shared" ca="1" si="24"/>
        <v>1.3603386874211713E-11</v>
      </c>
      <c r="BX33" s="509">
        <f t="shared" ca="1" si="24"/>
        <v>6.1326829663419274E-12</v>
      </c>
      <c r="BY33" s="509">
        <f t="shared" ca="1" si="24"/>
        <v>1.6383283927015615E-13</v>
      </c>
      <c r="BZ33" s="509">
        <f t="shared" ca="1" si="24"/>
        <v>7.1054273576009845E-15</v>
      </c>
      <c r="CA33" s="509">
        <f t="shared" ca="1" si="24"/>
        <v>4.461757129473056E-16</v>
      </c>
      <c r="CB33" s="509">
        <f t="shared" ca="1" si="24"/>
        <v>3.9946321855841248E-18</v>
      </c>
      <c r="CC33" s="509">
        <f t="shared" ca="1" si="24"/>
        <v>7.8801796567789527E-20</v>
      </c>
      <c r="CD33" s="509">
        <f t="shared" ca="1" si="24"/>
        <v>2.7293567811389287E-21</v>
      </c>
      <c r="CE33" s="509">
        <f t="shared" ca="1" si="24"/>
        <v>1.440971017010693E-22</v>
      </c>
      <c r="CF33" s="509">
        <f t="shared" ca="1" si="24"/>
        <v>1.0555900203661168E-23</v>
      </c>
      <c r="CG33" s="507"/>
      <c r="CH33" s="507"/>
    </row>
    <row r="34" spans="1:86">
      <c r="A34" s="159">
        <f>IF(OR(A33=Abandonment!$B$4,A33=""),"",'Success Cash Flow'!A33+1)</f>
        <v>2039</v>
      </c>
      <c r="B34" s="257">
        <f>Revenue!S35</f>
        <v>47.687902309300036</v>
      </c>
      <c r="C34" s="257">
        <f>Revenue!T35</f>
        <v>253.70648496763155</v>
      </c>
      <c r="D34" s="257">
        <f>Revenue!U35</f>
        <v>0</v>
      </c>
      <c r="E34" s="257">
        <f t="shared" si="18"/>
        <v>301.39438727693158</v>
      </c>
      <c r="F34" s="257">
        <f>Exploration!X59</f>
        <v>0</v>
      </c>
      <c r="G34" s="257">
        <f>Development!BX115</f>
        <v>0</v>
      </c>
      <c r="H34" s="257">
        <f>Abandonment!K40</f>
        <v>0</v>
      </c>
      <c r="I34" s="257">
        <f>Operations!P43</f>
        <v>256.79281658472883</v>
      </c>
      <c r="J34" s="257">
        <f t="shared" si="9"/>
        <v>256.79281658472883</v>
      </c>
      <c r="K34" s="257">
        <f t="shared" si="10"/>
        <v>44.601570692202756</v>
      </c>
      <c r="L34" s="257">
        <f>Royalty!AM36*Development!$BP$88</f>
        <v>15.069719363846581</v>
      </c>
      <c r="M34" s="257">
        <f>'Provincial Tax'!X34*Development!$BP$88</f>
        <v>4.3708598404034795</v>
      </c>
      <c r="N34" s="257">
        <f>'Federal Tax'!X35*Development!$BP$88</f>
        <v>1.5989257218653543</v>
      </c>
      <c r="O34" s="257">
        <f t="shared" si="11"/>
        <v>21.039504926115413</v>
      </c>
      <c r="P34" s="257">
        <f t="shared" si="12"/>
        <v>23.562065766087343</v>
      </c>
      <c r="Q34" s="217"/>
      <c r="R34" s="217"/>
      <c r="S34" s="500"/>
      <c r="T34" s="500"/>
      <c r="U34" s="500"/>
      <c r="V34" s="500"/>
      <c r="W34" s="500"/>
      <c r="X34" s="500"/>
      <c r="Y34" s="496"/>
      <c r="Z34" s="496"/>
      <c r="AA34" s="496"/>
      <c r="AB34" s="496"/>
      <c r="AC34" s="501">
        <f>IF(Thresholds!$E$1=Lists!$A$8,Exploration!U59,IF(Thresholds!$E$1=Lists!$A$9,Exploration!V59,IF(Thresholds!$E$1=Lists!$A$10,Exploration!W59,IF(Thresholds!$E$1=Lists!$A$11,Development!AV115,Development!BE115-Development!AV115))))</f>
        <v>0</v>
      </c>
      <c r="AD34" s="501">
        <f t="shared" si="13"/>
        <v>0</v>
      </c>
      <c r="AE34" s="501"/>
      <c r="AF34" s="509">
        <f t="shared" ca="1" si="19"/>
        <v>9.6800859538800965E-2</v>
      </c>
      <c r="AG34" s="509">
        <f t="shared" ca="1" si="22"/>
        <v>9.6800859538800965E-2</v>
      </c>
      <c r="AH34" s="509">
        <f t="shared" ca="1" si="22"/>
        <v>9.9999999999998658E+48</v>
      </c>
      <c r="AI34" s="509">
        <f t="shared" ca="1" si="22"/>
        <v>3.1622776601684032E+24</v>
      </c>
      <c r="AJ34" s="509">
        <f t="shared" ca="1" si="22"/>
        <v>1.3328003749250173E+17</v>
      </c>
      <c r="AK34" s="509">
        <f t="shared" ca="1" si="22"/>
        <v>6464415447119.4492</v>
      </c>
      <c r="AL34" s="509">
        <f t="shared" ca="1" si="22"/>
        <v>5617333549.7227497</v>
      </c>
      <c r="AM34" s="509">
        <f t="shared" ca="1" si="22"/>
        <v>23726566.406063043</v>
      </c>
      <c r="AN34" s="509">
        <f t="shared" ca="1" si="22"/>
        <v>272454.73856122734</v>
      </c>
      <c r="AO34" s="509">
        <f t="shared" ca="1" si="22"/>
        <v>6238.756274408428</v>
      </c>
      <c r="AP34" s="509">
        <f t="shared" ca="1" si="22"/>
        <v>236.75290615532748</v>
      </c>
      <c r="AQ34" s="509">
        <f t="shared" ca="1" si="21"/>
        <v>13.21473683330235</v>
      </c>
      <c r="AR34" s="509">
        <f t="shared" ca="1" si="21"/>
        <v>1.0000000000000027</v>
      </c>
      <c r="AS34" s="509">
        <f t="shared" ca="1" si="21"/>
        <v>0.78365758653626627</v>
      </c>
      <c r="AT34" s="509">
        <f t="shared" ca="1" si="21"/>
        <v>0.61559600369845224</v>
      </c>
      <c r="AU34" s="509">
        <f t="shared" ca="1" si="21"/>
        <v>0.48471671333207461</v>
      </c>
      <c r="AV34" s="509">
        <f t="shared" ca="1" si="21"/>
        <v>0.38254557891389962</v>
      </c>
      <c r="AW34" s="509">
        <f t="shared" ca="1" si="21"/>
        <v>0.30259529626383891</v>
      </c>
      <c r="AX34" s="509">
        <f t="shared" ca="1" si="21"/>
        <v>0.23988677230246094</v>
      </c>
      <c r="AY34" s="509">
        <f t="shared" ca="1" si="21"/>
        <v>0.19058883119651993</v>
      </c>
      <c r="AZ34" s="509">
        <f t="shared" ca="1" si="21"/>
        <v>0.15174625807435713</v>
      </c>
      <c r="BA34" s="509">
        <f t="shared" ca="1" si="21"/>
        <v>0.12107397483653405</v>
      </c>
      <c r="BB34" s="509">
        <f t="shared" ca="1" si="21"/>
        <v>9.6800859538801423E-2</v>
      </c>
      <c r="BC34" s="509">
        <f t="shared" ca="1" si="21"/>
        <v>3.2576386674941976E-2</v>
      </c>
      <c r="BD34" s="509">
        <f t="shared" ca="1" si="21"/>
        <v>1.1483108592215274E-2</v>
      </c>
      <c r="BE34" s="509">
        <f t="shared" ca="1" si="21"/>
        <v>4.2238129881452665E-3</v>
      </c>
      <c r="BF34" s="509">
        <f t="shared" ca="1" si="21"/>
        <v>1.6158009847740721E-3</v>
      </c>
      <c r="BG34" s="509">
        <f t="shared" ca="1" si="23"/>
        <v>6.4094781575690972E-4</v>
      </c>
      <c r="BH34" s="509">
        <f t="shared" ca="1" si="23"/>
        <v>2.6294391559388036E-4</v>
      </c>
      <c r="BI34" s="509">
        <f t="shared" ca="1" si="23"/>
        <v>4.8502503216081086E-5</v>
      </c>
      <c r="BJ34" s="509">
        <f t="shared" ca="1" si="23"/>
        <v>9.9783888702424866E-6</v>
      </c>
      <c r="BK34" s="509">
        <f t="shared" ca="1" si="23"/>
        <v>2.2594431902681563E-6</v>
      </c>
      <c r="BL34" s="509">
        <f t="shared" ca="1" si="23"/>
        <v>5.5695951142452466E-7</v>
      </c>
      <c r="BM34" s="509">
        <f t="shared" ca="1" si="23"/>
        <v>1.4809376578011284E-7</v>
      </c>
      <c r="BN34" s="509">
        <f t="shared" ca="1" si="23"/>
        <v>4.2146848510894352E-8</v>
      </c>
      <c r="BO34" s="509">
        <f t="shared" ca="1" si="23"/>
        <v>1.2753438111741112E-8</v>
      </c>
      <c r="BP34" s="509">
        <f t="shared" ca="1" si="23"/>
        <v>4.0798511627061995E-9</v>
      </c>
      <c r="BQ34" s="509">
        <f t="shared" ca="1" si="23"/>
        <v>1.37299203422109E-9</v>
      </c>
      <c r="BR34" s="509">
        <f t="shared" ca="1" si="23"/>
        <v>4.8397683827024127E-10</v>
      </c>
      <c r="BS34" s="509">
        <f t="shared" ca="1" si="23"/>
        <v>1.7802040614970422E-10</v>
      </c>
      <c r="BT34" s="509">
        <f t="shared" ca="1" si="23"/>
        <v>6.8100919329026001E-11</v>
      </c>
      <c r="BU34" s="509">
        <f t="shared" ca="1" si="24"/>
        <v>2.7013930494094815E-11</v>
      </c>
      <c r="BV34" s="509">
        <f t="shared" ca="1" si="24"/>
        <v>1.108225737739653E-11</v>
      </c>
      <c r="BW34" s="509">
        <f t="shared" ca="1" si="24"/>
        <v>4.690823060073007E-12</v>
      </c>
      <c r="BX34" s="509">
        <f t="shared" ca="1" si="24"/>
        <v>2.0442276554473066E-12</v>
      </c>
      <c r="BY34" s="509">
        <f t="shared" ca="1" si="24"/>
        <v>4.6809382648616036E-14</v>
      </c>
      <c r="BZ34" s="509">
        <f t="shared" ca="1" si="24"/>
        <v>1.7763568394002524E-15</v>
      </c>
      <c r="CA34" s="509">
        <f t="shared" ca="1" si="24"/>
        <v>9.9150158432734531E-17</v>
      </c>
      <c r="CB34" s="509">
        <f t="shared" ca="1" si="24"/>
        <v>7.2629676101530055E-19</v>
      </c>
      <c r="CC34" s="509">
        <f t="shared" ca="1" si="24"/>
        <v>1.2123353318121493E-20</v>
      </c>
      <c r="CD34" s="509">
        <f t="shared" ca="1" si="24"/>
        <v>3.639142374851884E-22</v>
      </c>
      <c r="CE34" s="509">
        <f t="shared" ca="1" si="24"/>
        <v>1.6952600200125781E-23</v>
      </c>
      <c r="CF34" s="509">
        <f t="shared" ca="1" si="24"/>
        <v>1.1111473898590704E-24</v>
      </c>
      <c r="CG34" s="507"/>
      <c r="CH34" s="507"/>
    </row>
    <row r="35" spans="1:86">
      <c r="A35" s="159">
        <f>IF(OR(A34=Abandonment!$B$4,A34=""),"",'Success Cash Flow'!A34+1)</f>
        <v>2040</v>
      </c>
      <c r="B35" s="257">
        <f>Revenue!S36</f>
        <v>41.626370437711444</v>
      </c>
      <c r="C35" s="257">
        <f>Revenue!T36</f>
        <v>221.86916914011121</v>
      </c>
      <c r="D35" s="257">
        <f>Revenue!U36</f>
        <v>0</v>
      </c>
      <c r="E35" s="257">
        <f t="shared" si="18"/>
        <v>263.49553957782268</v>
      </c>
      <c r="F35" s="257">
        <f>Exploration!X60</f>
        <v>0</v>
      </c>
      <c r="G35" s="257">
        <f>Development!BX116</f>
        <v>0</v>
      </c>
      <c r="H35" s="257">
        <f>Abandonment!K41</f>
        <v>0</v>
      </c>
      <c r="I35" s="257">
        <f>Operations!P44</f>
        <v>260.50440137811717</v>
      </c>
      <c r="J35" s="257">
        <f t="shared" si="9"/>
        <v>260.50440137811717</v>
      </c>
      <c r="K35" s="257">
        <f t="shared" si="10"/>
        <v>2.9911381997055173</v>
      </c>
      <c r="L35" s="257">
        <f>Royalty!AM37*Development!$BP$88</f>
        <v>13.174776978891137</v>
      </c>
      <c r="M35" s="257">
        <f>'Provincial Tax'!X35*Development!$BP$88</f>
        <v>-1.893879347805115</v>
      </c>
      <c r="N35" s="257">
        <f>'Federal Tax'!X36*Development!$BP$88</f>
        <v>-5.9386089298189875</v>
      </c>
      <c r="O35" s="257">
        <f t="shared" si="11"/>
        <v>5.3422887012670346</v>
      </c>
      <c r="P35" s="257">
        <f t="shared" si="12"/>
        <v>-2.3511505015615173</v>
      </c>
      <c r="Q35" s="217"/>
      <c r="R35" s="217"/>
      <c r="S35" s="500"/>
      <c r="T35" s="500"/>
      <c r="U35" s="500"/>
      <c r="V35" s="500"/>
      <c r="W35" s="500"/>
      <c r="X35" s="500"/>
      <c r="Y35" s="496"/>
      <c r="Z35" s="496"/>
      <c r="AA35" s="496"/>
      <c r="AB35" s="496"/>
      <c r="AC35" s="501">
        <f>IF(Thresholds!$E$1=Lists!$A$8,Exploration!U60,IF(Thresholds!$E$1=Lists!$A$9,Exploration!V60,IF(Thresholds!$E$1=Lists!$A$10,Exploration!W60,IF(Thresholds!$E$1=Lists!$A$11,Development!AV116,Development!BE116-Development!AV116))))</f>
        <v>0</v>
      </c>
      <c r="AD35" s="501">
        <f t="shared" si="13"/>
        <v>0</v>
      </c>
      <c r="AE35" s="501"/>
      <c r="AF35" s="509">
        <f t="shared" ca="1" si="19"/>
        <v>8.8000781398909919E-2</v>
      </c>
      <c r="AG35" s="509">
        <f t="shared" ca="1" si="22"/>
        <v>8.8000781398909919E-2</v>
      </c>
      <c r="AH35" s="509">
        <f t="shared" ca="1" si="22"/>
        <v>9.9999999999998172E+50</v>
      </c>
      <c r="AI35" s="509">
        <f t="shared" ca="1" si="22"/>
        <v>3.1622776601683958E+25</v>
      </c>
      <c r="AJ35" s="509">
        <f t="shared" ca="1" si="22"/>
        <v>6.6640018746250573E+17</v>
      </c>
      <c r="AK35" s="509">
        <f t="shared" ca="1" si="22"/>
        <v>21548051490398.16</v>
      </c>
      <c r="AL35" s="509">
        <f t="shared" ca="1" si="22"/>
        <v>14043333874.306887</v>
      </c>
      <c r="AM35" s="509">
        <f t="shared" ca="1" si="22"/>
        <v>47453132.812126011</v>
      </c>
      <c r="AN35" s="509">
        <f t="shared" ca="1" si="22"/>
        <v>454091.23093537882</v>
      </c>
      <c r="AO35" s="509">
        <f t="shared" ca="1" si="22"/>
        <v>8912.5089634406049</v>
      </c>
      <c r="AP35" s="509">
        <f t="shared" ca="1" si="22"/>
        <v>295.94113269415936</v>
      </c>
      <c r="AQ35" s="509">
        <f t="shared" ca="1" si="21"/>
        <v>14.683040925891499</v>
      </c>
      <c r="AR35" s="509">
        <f t="shared" ca="1" si="21"/>
        <v>1.0000000000000029</v>
      </c>
      <c r="AS35" s="509">
        <f t="shared" ca="1" si="21"/>
        <v>0.77589860053095672</v>
      </c>
      <c r="AT35" s="509">
        <f t="shared" ca="1" si="21"/>
        <v>0.60352549382201215</v>
      </c>
      <c r="AU35" s="509">
        <f t="shared" ca="1" si="21"/>
        <v>0.47059875080783947</v>
      </c>
      <c r="AV35" s="509">
        <f t="shared" ca="1" si="21"/>
        <v>0.36783228741721125</v>
      </c>
      <c r="AW35" s="509">
        <f t="shared" ca="1" si="21"/>
        <v>0.28818599644175141</v>
      </c>
      <c r="AX35" s="509">
        <f t="shared" ca="1" si="21"/>
        <v>0.22630827575703871</v>
      </c>
      <c r="AY35" s="509">
        <f t="shared" ca="1" si="21"/>
        <v>0.17812040298740181</v>
      </c>
      <c r="AZ35" s="509">
        <f t="shared" ca="1" si="21"/>
        <v>0.14050579451329367</v>
      </c>
      <c r="BA35" s="509">
        <f t="shared" ca="1" si="21"/>
        <v>0.11107704113443492</v>
      </c>
      <c r="BB35" s="509">
        <f t="shared" ca="1" si="21"/>
        <v>8.8000781398910391E-2</v>
      </c>
      <c r="BC35" s="509">
        <f t="shared" ca="1" si="21"/>
        <v>2.832729276081912E-2</v>
      </c>
      <c r="BD35" s="509">
        <f t="shared" ca="1" si="21"/>
        <v>9.5692571601793917E-3</v>
      </c>
      <c r="BE35" s="509">
        <f t="shared" ca="1" si="21"/>
        <v>3.3790503905162137E-3</v>
      </c>
      <c r="BF35" s="509">
        <f t="shared" ca="1" si="21"/>
        <v>1.2429238344415937E-3</v>
      </c>
      <c r="BG35" s="509">
        <f t="shared" ca="1" si="23"/>
        <v>4.7477615981993327E-4</v>
      </c>
      <c r="BH35" s="509">
        <f t="shared" ca="1" si="23"/>
        <v>1.8781708256705726E-4</v>
      </c>
      <c r="BI35" s="509">
        <f t="shared" ca="1" si="23"/>
        <v>3.233500214405408E-5</v>
      </c>
      <c r="BJ35" s="509">
        <f t="shared" ca="1" si="23"/>
        <v>6.2364930439015579E-6</v>
      </c>
      <c r="BK35" s="509">
        <f t="shared" ca="1" si="23"/>
        <v>1.3290842295695017E-6</v>
      </c>
      <c r="BL35" s="509">
        <f t="shared" ca="1" si="23"/>
        <v>3.0942195079140269E-7</v>
      </c>
      <c r="BM35" s="509">
        <f t="shared" ca="1" si="23"/>
        <v>7.7944087252690943E-8</v>
      </c>
      <c r="BN35" s="509">
        <f t="shared" ca="1" si="23"/>
        <v>2.1073424255447136E-8</v>
      </c>
      <c r="BO35" s="509">
        <f t="shared" ca="1" si="23"/>
        <v>6.0730657674957768E-9</v>
      </c>
      <c r="BP35" s="509">
        <f t="shared" ca="1" si="23"/>
        <v>1.8544778012300857E-9</v>
      </c>
      <c r="BQ35" s="509">
        <f t="shared" ca="1" si="23"/>
        <v>5.9695305835699428E-10</v>
      </c>
      <c r="BR35" s="509">
        <f t="shared" ca="1" si="23"/>
        <v>2.0165701594593345E-10</v>
      </c>
      <c r="BS35" s="509">
        <f t="shared" ca="1" si="23"/>
        <v>7.1208162459881612E-11</v>
      </c>
      <c r="BT35" s="509">
        <f t="shared" ca="1" si="23"/>
        <v>2.6192661280394608E-11</v>
      </c>
      <c r="BU35" s="509">
        <f t="shared" ca="1" si="24"/>
        <v>1.0005159442257349E-11</v>
      </c>
      <c r="BV35" s="509">
        <f t="shared" ca="1" si="24"/>
        <v>3.9579490633558993E-12</v>
      </c>
      <c r="BW35" s="509">
        <f t="shared" ca="1" si="24"/>
        <v>1.6175251931286239E-12</v>
      </c>
      <c r="BX35" s="509">
        <f t="shared" ca="1" si="24"/>
        <v>6.8140921848243471E-13</v>
      </c>
      <c r="BY35" s="509">
        <f t="shared" ca="1" si="24"/>
        <v>1.3374109328176011E-14</v>
      </c>
      <c r="BZ35" s="509">
        <f t="shared" ca="1" si="24"/>
        <v>4.4408920985006459E-16</v>
      </c>
      <c r="CA35" s="509">
        <f t="shared" ca="1" si="24"/>
        <v>2.2033368540607659E-17</v>
      </c>
      <c r="CB35" s="509">
        <f t="shared" ca="1" si="24"/>
        <v>1.3205395654823551E-19</v>
      </c>
      <c r="CC35" s="509">
        <f t="shared" ca="1" si="24"/>
        <v>1.8651312797110035E-21</v>
      </c>
      <c r="CD35" s="509">
        <f t="shared" ca="1" si="24"/>
        <v>4.8521898331358521E-23</v>
      </c>
      <c r="CE35" s="509">
        <f t="shared" ca="1" si="24"/>
        <v>1.9944235529559729E-24</v>
      </c>
      <c r="CF35" s="509">
        <f t="shared" ca="1" si="24"/>
        <v>1.169628831430601E-25</v>
      </c>
      <c r="CG35" s="507"/>
      <c r="CH35" s="507"/>
    </row>
    <row r="36" spans="1:86">
      <c r="A36" s="159">
        <f>IF(OR(A35=Abandonment!$B$4,A35=""),"",'Success Cash Flow'!A35+1)</f>
        <v>2041</v>
      </c>
      <c r="B36" s="257">
        <f>Revenue!S37</f>
        <v>0</v>
      </c>
      <c r="C36" s="257">
        <f>Revenue!T37</f>
        <v>0</v>
      </c>
      <c r="D36" s="257">
        <f>Revenue!U37</f>
        <v>0</v>
      </c>
      <c r="E36" s="257">
        <f t="shared" si="18"/>
        <v>0</v>
      </c>
      <c r="F36" s="257">
        <f>Exploration!X61</f>
        <v>0</v>
      </c>
      <c r="G36" s="257">
        <f>Development!BX117</f>
        <v>0</v>
      </c>
      <c r="H36" s="257">
        <f>Abandonment!K42</f>
        <v>358.54722678320917</v>
      </c>
      <c r="I36" s="257">
        <f>Operations!P45</f>
        <v>0</v>
      </c>
      <c r="J36" s="257">
        <f t="shared" si="9"/>
        <v>358.54722678320917</v>
      </c>
      <c r="K36" s="257">
        <f t="shared" si="10"/>
        <v>-358.54722678320917</v>
      </c>
      <c r="L36" s="257">
        <f>Royalty!AM38*Development!$BP$88</f>
        <v>-69.152604645350209</v>
      </c>
      <c r="M36" s="257">
        <f>'Provincial Tax'!X36*Development!$BP$88</f>
        <v>-47.085616369126328</v>
      </c>
      <c r="N36" s="257">
        <f>'Federal Tax'!X37*Development!$BP$88</f>
        <v>-66.98305105123876</v>
      </c>
      <c r="O36" s="257">
        <f t="shared" si="11"/>
        <v>-183.22127206571531</v>
      </c>
      <c r="P36" s="257">
        <f t="shared" si="12"/>
        <v>-175.32595471749386</v>
      </c>
      <c r="Q36" s="217"/>
      <c r="R36" s="217"/>
      <c r="S36" s="500"/>
      <c r="T36" s="500"/>
      <c r="U36" s="500"/>
      <c r="V36" s="500"/>
      <c r="W36" s="500"/>
      <c r="X36" s="500"/>
      <c r="Y36" s="496"/>
      <c r="Z36" s="496"/>
      <c r="AA36" s="496"/>
      <c r="AB36" s="496"/>
      <c r="AC36" s="501">
        <f>IF(Thresholds!$E$1=Lists!$A$8,Exploration!U61,IF(Thresholds!$E$1=Lists!$A$9,Exploration!V61,IF(Thresholds!$E$1=Lists!$A$10,Exploration!W61,IF(Thresholds!$E$1=Lists!$A$11,Development!AV117,Development!BE117-Development!AV117))))</f>
        <v>0</v>
      </c>
      <c r="AD36" s="501">
        <f t="shared" si="13"/>
        <v>0</v>
      </c>
      <c r="AE36" s="501"/>
      <c r="AF36" s="509">
        <f t="shared" ca="1" si="19"/>
        <v>8.0000710362645402E-2</v>
      </c>
      <c r="AG36" s="509">
        <f t="shared" ca="1" si="22"/>
        <v>8.0000710362645402E-2</v>
      </c>
      <c r="AH36" s="509">
        <f t="shared" ca="1" si="22"/>
        <v>9.9999999999999106E+52</v>
      </c>
      <c r="AI36" s="509">
        <f t="shared" ca="1" si="22"/>
        <v>3.1622776601683872E+26</v>
      </c>
      <c r="AJ36" s="509">
        <f t="shared" ca="1" si="22"/>
        <v>3.3320009373125381E+18</v>
      </c>
      <c r="AK36" s="509">
        <f t="shared" ca="1" si="22"/>
        <v>71826838301327.203</v>
      </c>
      <c r="AL36" s="509">
        <f t="shared" ca="1" si="22"/>
        <v>35108334685.76725</v>
      </c>
      <c r="AM36" s="509">
        <f t="shared" ca="1" si="22"/>
        <v>94906265.6242522</v>
      </c>
      <c r="AN36" s="509">
        <f t="shared" ca="1" si="22"/>
        <v>756818.71822563128</v>
      </c>
      <c r="AO36" s="509">
        <f t="shared" ca="1" si="22"/>
        <v>12732.155662058018</v>
      </c>
      <c r="AP36" s="509">
        <f t="shared" ca="1" si="22"/>
        <v>369.92641586769952</v>
      </c>
      <c r="AQ36" s="509">
        <f t="shared" ca="1" si="21"/>
        <v>16.31448991765723</v>
      </c>
      <c r="AR36" s="509">
        <f t="shared" ca="1" si="21"/>
        <v>1.0000000000000029</v>
      </c>
      <c r="AS36" s="509">
        <f t="shared" ca="1" si="21"/>
        <v>0.76821643616926427</v>
      </c>
      <c r="AT36" s="509">
        <f t="shared" ca="1" si="21"/>
        <v>0.59169166060981593</v>
      </c>
      <c r="AU36" s="509">
        <f t="shared" ca="1" si="21"/>
        <v>0.45689199107557243</v>
      </c>
      <c r="AV36" s="509">
        <f t="shared" ca="1" si="21"/>
        <v>0.3536848917473186</v>
      </c>
      <c r="AW36" s="509">
        <f t="shared" ca="1" si="21"/>
        <v>0.274462853754049</v>
      </c>
      <c r="AX36" s="509">
        <f t="shared" ca="1" si="21"/>
        <v>0.21349837335569688</v>
      </c>
      <c r="AY36" s="509">
        <f t="shared" ca="1" si="21"/>
        <v>0.16646766634336621</v>
      </c>
      <c r="AZ36" s="509">
        <f t="shared" ca="1" si="21"/>
        <v>0.13009795788267936</v>
      </c>
      <c r="BA36" s="509">
        <f t="shared" ca="1" si="21"/>
        <v>0.1019055423251697</v>
      </c>
      <c r="BB36" s="509">
        <f t="shared" ca="1" si="21"/>
        <v>8.0000710362645819E-2</v>
      </c>
      <c r="BC36" s="509">
        <f t="shared" ca="1" si="21"/>
        <v>2.4632428487668796E-2</v>
      </c>
      <c r="BD36" s="509">
        <f t="shared" ca="1" si="21"/>
        <v>7.974380966816165E-3</v>
      </c>
      <c r="BE36" s="509">
        <f t="shared" ca="1" si="21"/>
        <v>2.7032403124129735E-3</v>
      </c>
      <c r="BF36" s="509">
        <f t="shared" ca="1" si="21"/>
        <v>9.5609525726276503E-4</v>
      </c>
      <c r="BG36" s="509">
        <f t="shared" ca="1" si="23"/>
        <v>3.516860443110618E-4</v>
      </c>
      <c r="BH36" s="509">
        <f t="shared" ca="1" si="23"/>
        <v>1.3415505897646957E-4</v>
      </c>
      <c r="BI36" s="509">
        <f t="shared" ca="1" si="23"/>
        <v>2.1556668096036066E-5</v>
      </c>
      <c r="BJ36" s="509">
        <f t="shared" ca="1" si="23"/>
        <v>3.8978081524384769E-6</v>
      </c>
      <c r="BK36" s="509">
        <f t="shared" ca="1" si="23"/>
        <v>7.8181425268794365E-7</v>
      </c>
      <c r="BL36" s="509">
        <f t="shared" ca="1" si="23"/>
        <v>1.7190108377300156E-7</v>
      </c>
      <c r="BM36" s="509">
        <f t="shared" ca="1" si="23"/>
        <v>4.1023203817205739E-8</v>
      </c>
      <c r="BN36" s="509">
        <f t="shared" ca="1" si="23"/>
        <v>1.0536712127723586E-8</v>
      </c>
      <c r="BO36" s="509">
        <f t="shared" ca="1" si="23"/>
        <v>2.8919360797598982E-9</v>
      </c>
      <c r="BP36" s="509">
        <f t="shared" ca="1" si="23"/>
        <v>8.4294445510458508E-10</v>
      </c>
      <c r="BQ36" s="509">
        <f t="shared" ca="1" si="23"/>
        <v>2.5954480798130215E-10</v>
      </c>
      <c r="BR36" s="509">
        <f t="shared" ca="1" si="23"/>
        <v>8.4023756644139057E-11</v>
      </c>
      <c r="BS36" s="509">
        <f t="shared" ca="1" si="23"/>
        <v>2.8483264983952724E-11</v>
      </c>
      <c r="BT36" s="509">
        <f t="shared" ca="1" si="23"/>
        <v>1.0074100492459461E-11</v>
      </c>
      <c r="BU36" s="509">
        <f t="shared" ca="1" si="24"/>
        <v>3.7056146082434536E-12</v>
      </c>
      <c r="BV36" s="509">
        <f t="shared" ca="1" si="24"/>
        <v>1.4135532369128248E-12</v>
      </c>
      <c r="BW36" s="509">
        <f t="shared" ca="1" si="24"/>
        <v>5.577673079753878E-13</v>
      </c>
      <c r="BX36" s="509">
        <f t="shared" ca="1" si="24"/>
        <v>2.2713640616081212E-13</v>
      </c>
      <c r="BY36" s="509">
        <f t="shared" ca="1" si="24"/>
        <v>3.8211740937645608E-15</v>
      </c>
      <c r="BZ36" s="509">
        <f t="shared" ca="1" si="24"/>
        <v>1.1102230246251573E-16</v>
      </c>
      <c r="CA36" s="509">
        <f t="shared" ca="1" si="24"/>
        <v>4.8963041201350336E-18</v>
      </c>
      <c r="CB36" s="509">
        <f t="shared" ca="1" si="24"/>
        <v>2.4009810281497539E-20</v>
      </c>
      <c r="CC36" s="509">
        <f t="shared" ca="1" si="24"/>
        <v>2.8694327380169145E-22</v>
      </c>
      <c r="CD36" s="509">
        <f t="shared" ca="1" si="24"/>
        <v>6.4695864441811444E-24</v>
      </c>
      <c r="CE36" s="509">
        <f t="shared" ca="1" si="24"/>
        <v>2.3463806505364366E-25</v>
      </c>
      <c r="CF36" s="509">
        <f t="shared" ca="1" si="24"/>
        <v>1.2311882436111592E-26</v>
      </c>
      <c r="CG36" s="507"/>
      <c r="CH36" s="507"/>
    </row>
    <row r="37" spans="1:86">
      <c r="A37" s="159" t="str">
        <f>IF(OR(A36=Abandonment!$B$4,A36=""),"",'Success Cash Flow'!A36+1)</f>
        <v/>
      </c>
      <c r="B37" s="257">
        <f>Revenue!S38</f>
        <v>0</v>
      </c>
      <c r="C37" s="257">
        <f>Revenue!T38</f>
        <v>0</v>
      </c>
      <c r="D37" s="257">
        <f>Revenue!U38</f>
        <v>0</v>
      </c>
      <c r="E37" s="257">
        <f t="shared" si="18"/>
        <v>0</v>
      </c>
      <c r="F37" s="257">
        <f>Exploration!X62</f>
        <v>0</v>
      </c>
      <c r="G37" s="257">
        <f>Development!BX118</f>
        <v>0</v>
      </c>
      <c r="H37" s="257">
        <f>Abandonment!K43</f>
        <v>0</v>
      </c>
      <c r="I37" s="257">
        <f>Operations!P46</f>
        <v>0</v>
      </c>
      <c r="J37" s="257">
        <f t="shared" si="9"/>
        <v>0</v>
      </c>
      <c r="K37" s="257">
        <f t="shared" si="10"/>
        <v>0</v>
      </c>
      <c r="L37" s="257">
        <f>Royalty!AM39*Development!$BP$88</f>
        <v>0</v>
      </c>
      <c r="M37" s="257">
        <f>'Provincial Tax'!X37*Development!$BP$88</f>
        <v>0</v>
      </c>
      <c r="N37" s="257">
        <f>'Federal Tax'!X38*Development!$BP$88</f>
        <v>-11.952293404080963</v>
      </c>
      <c r="O37" s="257">
        <f t="shared" si="11"/>
        <v>-11.952293404080963</v>
      </c>
      <c r="P37" s="257">
        <f t="shared" si="12"/>
        <v>11.952293404080963</v>
      </c>
      <c r="Q37" s="217"/>
      <c r="R37" s="217"/>
      <c r="S37" s="500"/>
      <c r="T37" s="500"/>
      <c r="U37" s="500"/>
      <c r="V37" s="500"/>
      <c r="W37" s="500"/>
      <c r="X37" s="500"/>
      <c r="Y37" s="496"/>
      <c r="Z37" s="496"/>
      <c r="AA37" s="496"/>
      <c r="AB37" s="496"/>
      <c r="AC37" s="501">
        <f>IF(Thresholds!$E$1=Lists!$A$8,Exploration!U62,IF(Thresholds!$E$1=Lists!$A$9,Exploration!V62,IF(Thresholds!$E$1=Lists!$A$10,Exploration!W62,IF(Thresholds!$E$1=Lists!$A$11,Development!AV118,Development!BE118-Development!AV118))))</f>
        <v>0</v>
      </c>
      <c r="AD37" s="501">
        <f t="shared" si="13"/>
        <v>0</v>
      </c>
      <c r="AE37" s="501"/>
      <c r="AF37" s="509">
        <f t="shared" ca="1" si="19"/>
        <v>1</v>
      </c>
      <c r="AG37" s="509">
        <f t="shared" ca="1" si="22"/>
        <v>0</v>
      </c>
      <c r="AH37" s="509">
        <f t="shared" ca="1" si="22"/>
        <v>0</v>
      </c>
      <c r="AI37" s="509">
        <f t="shared" ca="1" si="22"/>
        <v>0</v>
      </c>
      <c r="AJ37" s="509">
        <f t="shared" ca="1" si="22"/>
        <v>0</v>
      </c>
      <c r="AK37" s="509">
        <f t="shared" ca="1" si="22"/>
        <v>0</v>
      </c>
      <c r="AL37" s="509">
        <f t="shared" ca="1" si="22"/>
        <v>0</v>
      </c>
      <c r="AM37" s="509">
        <f t="shared" ca="1" si="22"/>
        <v>0</v>
      </c>
      <c r="AN37" s="509">
        <f t="shared" ca="1" si="22"/>
        <v>0</v>
      </c>
      <c r="AO37" s="509">
        <f t="shared" ca="1" si="22"/>
        <v>0</v>
      </c>
      <c r="AP37" s="509">
        <f t="shared" ca="1" si="22"/>
        <v>0</v>
      </c>
      <c r="AQ37" s="509">
        <f t="shared" ca="1" si="21"/>
        <v>0</v>
      </c>
      <c r="AR37" s="509">
        <f t="shared" ca="1" si="21"/>
        <v>0</v>
      </c>
      <c r="AS37" s="509">
        <f t="shared" ca="1" si="21"/>
        <v>0</v>
      </c>
      <c r="AT37" s="509">
        <f t="shared" ca="1" si="21"/>
        <v>0</v>
      </c>
      <c r="AU37" s="509">
        <f t="shared" ca="1" si="21"/>
        <v>0</v>
      </c>
      <c r="AV37" s="509">
        <f t="shared" ca="1" si="21"/>
        <v>0</v>
      </c>
      <c r="AW37" s="509">
        <f t="shared" ca="1" si="21"/>
        <v>0</v>
      </c>
      <c r="AX37" s="509">
        <f t="shared" ca="1" si="21"/>
        <v>0</v>
      </c>
      <c r="AY37" s="509">
        <f t="shared" ca="1" si="21"/>
        <v>0</v>
      </c>
      <c r="AZ37" s="509">
        <f t="shared" ca="1" si="21"/>
        <v>0</v>
      </c>
      <c r="BA37" s="509">
        <f t="shared" ca="1" si="21"/>
        <v>0</v>
      </c>
      <c r="BB37" s="509">
        <f t="shared" ca="1" si="21"/>
        <v>0</v>
      </c>
      <c r="BC37" s="509">
        <f t="shared" ca="1" si="21"/>
        <v>0</v>
      </c>
      <c r="BD37" s="509">
        <f t="shared" ca="1" si="21"/>
        <v>0</v>
      </c>
      <c r="BE37" s="509">
        <f t="shared" ca="1" si="21"/>
        <v>0</v>
      </c>
      <c r="BF37" s="509">
        <f t="shared" ca="1" si="21"/>
        <v>0</v>
      </c>
      <c r="BG37" s="509">
        <f t="shared" ca="1" si="23"/>
        <v>0</v>
      </c>
      <c r="BH37" s="509">
        <f t="shared" ca="1" si="23"/>
        <v>0</v>
      </c>
      <c r="BI37" s="509">
        <f t="shared" ca="1" si="23"/>
        <v>0</v>
      </c>
      <c r="BJ37" s="509">
        <f t="shared" ca="1" si="23"/>
        <v>0</v>
      </c>
      <c r="BK37" s="509">
        <f t="shared" ca="1" si="23"/>
        <v>0</v>
      </c>
      <c r="BL37" s="509">
        <f t="shared" ca="1" si="23"/>
        <v>0</v>
      </c>
      <c r="BM37" s="509">
        <f t="shared" ca="1" si="23"/>
        <v>0</v>
      </c>
      <c r="BN37" s="509">
        <f t="shared" ca="1" si="23"/>
        <v>0</v>
      </c>
      <c r="BO37" s="509">
        <f t="shared" ca="1" si="23"/>
        <v>0</v>
      </c>
      <c r="BP37" s="509">
        <f t="shared" ca="1" si="23"/>
        <v>0</v>
      </c>
      <c r="BQ37" s="509">
        <f t="shared" ca="1" si="23"/>
        <v>0</v>
      </c>
      <c r="BR37" s="509">
        <f t="shared" ca="1" si="23"/>
        <v>0</v>
      </c>
      <c r="BS37" s="509">
        <f t="shared" ca="1" si="23"/>
        <v>0</v>
      </c>
      <c r="BT37" s="509">
        <f t="shared" ca="1" si="23"/>
        <v>0</v>
      </c>
      <c r="BU37" s="509">
        <f t="shared" ca="1" si="24"/>
        <v>0</v>
      </c>
      <c r="BV37" s="509">
        <f t="shared" ca="1" si="24"/>
        <v>0</v>
      </c>
      <c r="BW37" s="509">
        <f t="shared" ca="1" si="24"/>
        <v>0</v>
      </c>
      <c r="BX37" s="509">
        <f t="shared" ca="1" si="24"/>
        <v>0</v>
      </c>
      <c r="BY37" s="509">
        <f t="shared" ca="1" si="24"/>
        <v>0</v>
      </c>
      <c r="BZ37" s="509">
        <f t="shared" ca="1" si="24"/>
        <v>0</v>
      </c>
      <c r="CA37" s="509">
        <f t="shared" ca="1" si="24"/>
        <v>0</v>
      </c>
      <c r="CB37" s="509">
        <f t="shared" ca="1" si="24"/>
        <v>0</v>
      </c>
      <c r="CC37" s="509">
        <f t="shared" ca="1" si="24"/>
        <v>0</v>
      </c>
      <c r="CD37" s="509">
        <f t="shared" ca="1" si="24"/>
        <v>0</v>
      </c>
      <c r="CE37" s="509">
        <f t="shared" ca="1" si="24"/>
        <v>0</v>
      </c>
      <c r="CF37" s="509">
        <f t="shared" ca="1" si="24"/>
        <v>0</v>
      </c>
      <c r="CG37" s="507"/>
      <c r="CH37" s="507"/>
    </row>
    <row r="38" spans="1:86">
      <c r="A38" s="159" t="str">
        <f>IF(OR(A37=Abandonment!$B$4,A37=""),"",'Success Cash Flow'!A37+1)</f>
        <v/>
      </c>
      <c r="B38" s="257">
        <f>Revenue!S39</f>
        <v>0</v>
      </c>
      <c r="C38" s="257">
        <f>Revenue!T39</f>
        <v>0</v>
      </c>
      <c r="D38" s="257">
        <f>Revenue!U39</f>
        <v>0</v>
      </c>
      <c r="E38" s="257">
        <f t="shared" si="18"/>
        <v>0</v>
      </c>
      <c r="F38" s="257">
        <f>Exploration!X63</f>
        <v>0</v>
      </c>
      <c r="G38" s="257">
        <f>Development!BX119</f>
        <v>0</v>
      </c>
      <c r="H38" s="257">
        <f>Abandonment!K44</f>
        <v>0</v>
      </c>
      <c r="I38" s="257">
        <f>Operations!P47</f>
        <v>0</v>
      </c>
      <c r="J38" s="257">
        <f t="shared" si="9"/>
        <v>0</v>
      </c>
      <c r="K38" s="257">
        <f t="shared" si="10"/>
        <v>0</v>
      </c>
      <c r="L38" s="257">
        <f>Royalty!AM40*Development!$BP$88</f>
        <v>0</v>
      </c>
      <c r="M38" s="257">
        <f>'Provincial Tax'!X38*Development!$BP$88</f>
        <v>0</v>
      </c>
      <c r="N38" s="257">
        <f>'Federal Tax'!X39*Development!$BP$88</f>
        <v>0</v>
      </c>
      <c r="O38" s="257">
        <f t="shared" si="11"/>
        <v>0</v>
      </c>
      <c r="P38" s="257">
        <f t="shared" si="12"/>
        <v>0</v>
      </c>
      <c r="Q38" s="217"/>
      <c r="R38" s="217"/>
      <c r="S38" s="500"/>
      <c r="T38" s="500"/>
      <c r="U38" s="500"/>
      <c r="V38" s="500"/>
      <c r="W38" s="500"/>
      <c r="X38" s="500"/>
      <c r="Y38" s="496"/>
      <c r="Z38" s="496"/>
      <c r="AA38" s="496"/>
      <c r="AB38" s="496"/>
      <c r="AC38" s="501">
        <f>IF(Thresholds!$E$1=Lists!$A$8,Exploration!U63,IF(Thresholds!$E$1=Lists!$A$9,Exploration!V63,IF(Thresholds!$E$1=Lists!$A$10,Exploration!W63,IF(Thresholds!$E$1=Lists!$A$11,Development!AV119,Development!BE119-Development!AV119))))</f>
        <v>0</v>
      </c>
      <c r="AD38" s="501">
        <f t="shared" si="13"/>
        <v>0</v>
      </c>
      <c r="AE38" s="501"/>
      <c r="AF38" s="509">
        <f t="shared" ca="1" si="19"/>
        <v>1</v>
      </c>
      <c r="AG38" s="509">
        <f t="shared" ca="1" si="22"/>
        <v>0</v>
      </c>
      <c r="AH38" s="509">
        <f t="shared" ca="1" si="22"/>
        <v>0</v>
      </c>
      <c r="AI38" s="509">
        <f t="shared" ca="1" si="22"/>
        <v>0</v>
      </c>
      <c r="AJ38" s="509">
        <f t="shared" ca="1" si="22"/>
        <v>0</v>
      </c>
      <c r="AK38" s="509">
        <f t="shared" ca="1" si="22"/>
        <v>0</v>
      </c>
      <c r="AL38" s="509">
        <f t="shared" ca="1" si="22"/>
        <v>0</v>
      </c>
      <c r="AM38" s="509">
        <f t="shared" ca="1" si="22"/>
        <v>0</v>
      </c>
      <c r="AN38" s="509">
        <f t="shared" ca="1" si="22"/>
        <v>0</v>
      </c>
      <c r="AO38" s="509">
        <f t="shared" ca="1" si="22"/>
        <v>0</v>
      </c>
      <c r="AP38" s="509">
        <f t="shared" ca="1" si="22"/>
        <v>0</v>
      </c>
      <c r="AQ38" s="509">
        <f t="shared" ca="1" si="21"/>
        <v>0</v>
      </c>
      <c r="AR38" s="509">
        <f t="shared" ca="1" si="21"/>
        <v>0</v>
      </c>
      <c r="AS38" s="509">
        <f t="shared" ca="1" si="21"/>
        <v>0</v>
      </c>
      <c r="AT38" s="509">
        <f t="shared" ca="1" si="21"/>
        <v>0</v>
      </c>
      <c r="AU38" s="509">
        <f t="shared" ca="1" si="21"/>
        <v>0</v>
      </c>
      <c r="AV38" s="509">
        <f t="shared" ca="1" si="21"/>
        <v>0</v>
      </c>
      <c r="AW38" s="509">
        <f t="shared" ca="1" si="21"/>
        <v>0</v>
      </c>
      <c r="AX38" s="509">
        <f t="shared" ca="1" si="21"/>
        <v>0</v>
      </c>
      <c r="AY38" s="509">
        <f t="shared" ca="1" si="21"/>
        <v>0</v>
      </c>
      <c r="AZ38" s="509">
        <f t="shared" ca="1" si="21"/>
        <v>0</v>
      </c>
      <c r="BA38" s="509">
        <f t="shared" ca="1" si="21"/>
        <v>0</v>
      </c>
      <c r="BB38" s="509">
        <f t="shared" ca="1" si="21"/>
        <v>0</v>
      </c>
      <c r="BC38" s="509">
        <f t="shared" ca="1" si="21"/>
        <v>0</v>
      </c>
      <c r="BD38" s="509">
        <f t="shared" ca="1" si="21"/>
        <v>0</v>
      </c>
      <c r="BE38" s="509">
        <f t="shared" ca="1" si="21"/>
        <v>0</v>
      </c>
      <c r="BF38" s="509">
        <f t="shared" ca="1" si="21"/>
        <v>0</v>
      </c>
      <c r="BG38" s="509">
        <f t="shared" ca="1" si="23"/>
        <v>0</v>
      </c>
      <c r="BH38" s="509">
        <f t="shared" ca="1" si="23"/>
        <v>0</v>
      </c>
      <c r="BI38" s="509">
        <f t="shared" ca="1" si="23"/>
        <v>0</v>
      </c>
      <c r="BJ38" s="509">
        <f t="shared" ca="1" si="23"/>
        <v>0</v>
      </c>
      <c r="BK38" s="509">
        <f t="shared" ca="1" si="23"/>
        <v>0</v>
      </c>
      <c r="BL38" s="509">
        <f t="shared" ca="1" si="23"/>
        <v>0</v>
      </c>
      <c r="BM38" s="509">
        <f t="shared" ca="1" si="23"/>
        <v>0</v>
      </c>
      <c r="BN38" s="509">
        <f t="shared" ca="1" si="23"/>
        <v>0</v>
      </c>
      <c r="BO38" s="509">
        <f t="shared" ca="1" si="23"/>
        <v>0</v>
      </c>
      <c r="BP38" s="509">
        <f t="shared" ca="1" si="23"/>
        <v>0</v>
      </c>
      <c r="BQ38" s="509">
        <f t="shared" ca="1" si="23"/>
        <v>0</v>
      </c>
      <c r="BR38" s="509">
        <f t="shared" ca="1" si="23"/>
        <v>0</v>
      </c>
      <c r="BS38" s="509">
        <f t="shared" ca="1" si="23"/>
        <v>0</v>
      </c>
      <c r="BT38" s="509">
        <f t="shared" ca="1" si="23"/>
        <v>0</v>
      </c>
      <c r="BU38" s="509">
        <f t="shared" ca="1" si="24"/>
        <v>0</v>
      </c>
      <c r="BV38" s="509">
        <f t="shared" ca="1" si="24"/>
        <v>0</v>
      </c>
      <c r="BW38" s="509">
        <f t="shared" ca="1" si="24"/>
        <v>0</v>
      </c>
      <c r="BX38" s="509">
        <f t="shared" ca="1" si="24"/>
        <v>0</v>
      </c>
      <c r="BY38" s="509">
        <f t="shared" ca="1" si="24"/>
        <v>0</v>
      </c>
      <c r="BZ38" s="509">
        <f t="shared" ca="1" si="24"/>
        <v>0</v>
      </c>
      <c r="CA38" s="509">
        <f t="shared" ca="1" si="24"/>
        <v>0</v>
      </c>
      <c r="CB38" s="509">
        <f t="shared" ca="1" si="24"/>
        <v>0</v>
      </c>
      <c r="CC38" s="509">
        <f t="shared" ca="1" si="24"/>
        <v>0</v>
      </c>
      <c r="CD38" s="509">
        <f t="shared" ca="1" si="24"/>
        <v>0</v>
      </c>
      <c r="CE38" s="509">
        <f t="shared" ca="1" si="24"/>
        <v>0</v>
      </c>
      <c r="CF38" s="509">
        <f t="shared" ca="1" si="24"/>
        <v>0</v>
      </c>
      <c r="CG38" s="507"/>
      <c r="CH38" s="507"/>
    </row>
    <row r="39" spans="1:86">
      <c r="A39" s="159" t="str">
        <f>IF(OR(A38=Abandonment!$B$4,A38=""),"",'Success Cash Flow'!A38+1)</f>
        <v/>
      </c>
      <c r="B39" s="257">
        <f>Revenue!S40</f>
        <v>0</v>
      </c>
      <c r="C39" s="257">
        <f>Revenue!T40</f>
        <v>0</v>
      </c>
      <c r="D39" s="257">
        <f>Revenue!U40</f>
        <v>0</v>
      </c>
      <c r="E39" s="257">
        <f t="shared" si="18"/>
        <v>0</v>
      </c>
      <c r="F39" s="257">
        <f>Exploration!X64</f>
        <v>0</v>
      </c>
      <c r="G39" s="257">
        <f>Development!BX120</f>
        <v>0</v>
      </c>
      <c r="H39" s="257">
        <f>Abandonment!K45</f>
        <v>0</v>
      </c>
      <c r="I39" s="257">
        <f>Operations!P48</f>
        <v>0</v>
      </c>
      <c r="J39" s="257">
        <f t="shared" si="9"/>
        <v>0</v>
      </c>
      <c r="K39" s="257">
        <f t="shared" si="10"/>
        <v>0</v>
      </c>
      <c r="L39" s="257">
        <f>Royalty!AM41*Development!$BP$88</f>
        <v>0</v>
      </c>
      <c r="M39" s="257">
        <f>'Provincial Tax'!X39*Development!$BP$88</f>
        <v>0</v>
      </c>
      <c r="N39" s="257">
        <f>'Federal Tax'!X40*Development!$BP$88</f>
        <v>0</v>
      </c>
      <c r="O39" s="257">
        <f t="shared" si="11"/>
        <v>0</v>
      </c>
      <c r="P39" s="257">
        <f t="shared" si="12"/>
        <v>0</v>
      </c>
      <c r="Q39" s="217"/>
      <c r="R39" s="217"/>
      <c r="S39" s="500"/>
      <c r="T39" s="500"/>
      <c r="U39" s="500"/>
      <c r="V39" s="500"/>
      <c r="W39" s="500"/>
      <c r="X39" s="500"/>
      <c r="Y39" s="496"/>
      <c r="Z39" s="496"/>
      <c r="AA39" s="496"/>
      <c r="AB39" s="496"/>
      <c r="AC39" s="501">
        <f>IF(Thresholds!$E$1=Lists!$A$8,Exploration!U64,IF(Thresholds!$E$1=Lists!$A$9,Exploration!V64,IF(Thresholds!$E$1=Lists!$A$10,Exploration!W64,IF(Thresholds!$E$1=Lists!$A$11,Development!AV120,Development!BE120-Development!AV120))))</f>
        <v>0</v>
      </c>
      <c r="AD39" s="501">
        <f t="shared" si="13"/>
        <v>0</v>
      </c>
      <c r="AE39" s="501"/>
      <c r="AF39" s="509">
        <f t="shared" ca="1" si="19"/>
        <v>1</v>
      </c>
      <c r="AG39" s="509">
        <f t="shared" ca="1" si="22"/>
        <v>0</v>
      </c>
      <c r="AH39" s="509">
        <f t="shared" ca="1" si="22"/>
        <v>0</v>
      </c>
      <c r="AI39" s="509">
        <f t="shared" ca="1" si="22"/>
        <v>0</v>
      </c>
      <c r="AJ39" s="509">
        <f t="shared" ca="1" si="22"/>
        <v>0</v>
      </c>
      <c r="AK39" s="509">
        <f t="shared" ca="1" si="22"/>
        <v>0</v>
      </c>
      <c r="AL39" s="509">
        <f t="shared" ca="1" si="22"/>
        <v>0</v>
      </c>
      <c r="AM39" s="509">
        <f t="shared" ca="1" si="22"/>
        <v>0</v>
      </c>
      <c r="AN39" s="509">
        <f t="shared" ca="1" si="22"/>
        <v>0</v>
      </c>
      <c r="AO39" s="509">
        <f t="shared" ca="1" si="22"/>
        <v>0</v>
      </c>
      <c r="AP39" s="509">
        <f t="shared" ca="1" si="22"/>
        <v>0</v>
      </c>
      <c r="AQ39" s="509">
        <f t="shared" ca="1" si="21"/>
        <v>0</v>
      </c>
      <c r="AR39" s="509">
        <f t="shared" ca="1" si="21"/>
        <v>0</v>
      </c>
      <c r="AS39" s="509">
        <f t="shared" ca="1" si="21"/>
        <v>0</v>
      </c>
      <c r="AT39" s="509">
        <f t="shared" ca="1" si="21"/>
        <v>0</v>
      </c>
      <c r="AU39" s="509">
        <f t="shared" ca="1" si="21"/>
        <v>0</v>
      </c>
      <c r="AV39" s="509">
        <f t="shared" ca="1" si="21"/>
        <v>0</v>
      </c>
      <c r="AW39" s="509">
        <f t="shared" ca="1" si="21"/>
        <v>0</v>
      </c>
      <c r="AX39" s="509">
        <f t="shared" ca="1" si="21"/>
        <v>0</v>
      </c>
      <c r="AY39" s="509">
        <f t="shared" ca="1" si="21"/>
        <v>0</v>
      </c>
      <c r="AZ39" s="509">
        <f t="shared" ca="1" si="21"/>
        <v>0</v>
      </c>
      <c r="BA39" s="509">
        <f t="shared" ca="1" si="21"/>
        <v>0</v>
      </c>
      <c r="BB39" s="509">
        <f t="shared" ca="1" si="21"/>
        <v>0</v>
      </c>
      <c r="BC39" s="509">
        <f t="shared" ca="1" si="21"/>
        <v>0</v>
      </c>
      <c r="BD39" s="509">
        <f t="shared" ca="1" si="21"/>
        <v>0</v>
      </c>
      <c r="BE39" s="509">
        <f t="shared" ca="1" si="21"/>
        <v>0</v>
      </c>
      <c r="BF39" s="509">
        <f t="shared" ca="1" si="21"/>
        <v>0</v>
      </c>
      <c r="BG39" s="509">
        <f t="shared" ca="1" si="23"/>
        <v>0</v>
      </c>
      <c r="BH39" s="509">
        <f t="shared" ca="1" si="23"/>
        <v>0</v>
      </c>
      <c r="BI39" s="509">
        <f t="shared" ca="1" si="23"/>
        <v>0</v>
      </c>
      <c r="BJ39" s="509">
        <f t="shared" ca="1" si="23"/>
        <v>0</v>
      </c>
      <c r="BK39" s="509">
        <f t="shared" ca="1" si="23"/>
        <v>0</v>
      </c>
      <c r="BL39" s="509">
        <f t="shared" ca="1" si="23"/>
        <v>0</v>
      </c>
      <c r="BM39" s="509">
        <f t="shared" ca="1" si="23"/>
        <v>0</v>
      </c>
      <c r="BN39" s="509">
        <f t="shared" ca="1" si="23"/>
        <v>0</v>
      </c>
      <c r="BO39" s="509">
        <f t="shared" ca="1" si="23"/>
        <v>0</v>
      </c>
      <c r="BP39" s="509">
        <f t="shared" ca="1" si="23"/>
        <v>0</v>
      </c>
      <c r="BQ39" s="509">
        <f t="shared" ca="1" si="23"/>
        <v>0</v>
      </c>
      <c r="BR39" s="509">
        <f t="shared" ca="1" si="23"/>
        <v>0</v>
      </c>
      <c r="BS39" s="509">
        <f t="shared" ca="1" si="23"/>
        <v>0</v>
      </c>
      <c r="BT39" s="509">
        <f t="shared" ca="1" si="23"/>
        <v>0</v>
      </c>
      <c r="BU39" s="509">
        <f t="shared" ca="1" si="24"/>
        <v>0</v>
      </c>
      <c r="BV39" s="509">
        <f t="shared" ca="1" si="24"/>
        <v>0</v>
      </c>
      <c r="BW39" s="509">
        <f t="shared" ca="1" si="24"/>
        <v>0</v>
      </c>
      <c r="BX39" s="509">
        <f t="shared" ca="1" si="24"/>
        <v>0</v>
      </c>
      <c r="BY39" s="509">
        <f t="shared" ca="1" si="24"/>
        <v>0</v>
      </c>
      <c r="BZ39" s="509">
        <f t="shared" ca="1" si="24"/>
        <v>0</v>
      </c>
      <c r="CA39" s="509">
        <f t="shared" ca="1" si="24"/>
        <v>0</v>
      </c>
      <c r="CB39" s="509">
        <f t="shared" ca="1" si="24"/>
        <v>0</v>
      </c>
      <c r="CC39" s="509">
        <f t="shared" ca="1" si="24"/>
        <v>0</v>
      </c>
      <c r="CD39" s="509">
        <f t="shared" ca="1" si="24"/>
        <v>0</v>
      </c>
      <c r="CE39" s="509">
        <f t="shared" ca="1" si="24"/>
        <v>0</v>
      </c>
      <c r="CF39" s="509">
        <f t="shared" ca="1" si="24"/>
        <v>0</v>
      </c>
      <c r="CG39" s="507"/>
      <c r="CH39" s="507"/>
    </row>
    <row r="40" spans="1:86">
      <c r="A40" s="159" t="str">
        <f>IF(OR(A39=Abandonment!$B$4,A39=""),"",'Success Cash Flow'!A39+1)</f>
        <v/>
      </c>
      <c r="B40" s="257">
        <f>Revenue!S41</f>
        <v>0</v>
      </c>
      <c r="C40" s="257">
        <f>Revenue!T41</f>
        <v>0</v>
      </c>
      <c r="D40" s="257">
        <f>Revenue!U41</f>
        <v>0</v>
      </c>
      <c r="E40" s="257">
        <f t="shared" si="18"/>
        <v>0</v>
      </c>
      <c r="F40" s="257">
        <f>Exploration!X65</f>
        <v>0</v>
      </c>
      <c r="G40" s="257">
        <f>Development!BX121</f>
        <v>0</v>
      </c>
      <c r="H40" s="257">
        <f>Abandonment!K46</f>
        <v>0</v>
      </c>
      <c r="I40" s="257">
        <f>Operations!P49</f>
        <v>0</v>
      </c>
      <c r="J40" s="257">
        <f t="shared" si="9"/>
        <v>0</v>
      </c>
      <c r="K40" s="257">
        <f t="shared" si="10"/>
        <v>0</v>
      </c>
      <c r="L40" s="257">
        <f>Royalty!AM42*Development!$BP$88</f>
        <v>0</v>
      </c>
      <c r="M40" s="257">
        <f>'Provincial Tax'!X40*Development!$BP$88</f>
        <v>0</v>
      </c>
      <c r="N40" s="257">
        <f>'Federal Tax'!X41*Development!$BP$88</f>
        <v>0</v>
      </c>
      <c r="O40" s="257">
        <f t="shared" si="11"/>
        <v>0</v>
      </c>
      <c r="P40" s="257">
        <f t="shared" si="12"/>
        <v>0</v>
      </c>
      <c r="Q40" s="217"/>
      <c r="R40" s="217"/>
      <c r="S40" s="500"/>
      <c r="T40" s="500"/>
      <c r="U40" s="500"/>
      <c r="V40" s="500"/>
      <c r="W40" s="500"/>
      <c r="X40" s="500"/>
      <c r="Y40" s="496"/>
      <c r="Z40" s="496"/>
      <c r="AA40" s="496"/>
      <c r="AB40" s="496"/>
      <c r="AC40" s="501">
        <f>IF(Thresholds!$E$1=Lists!$A$8,Exploration!U65,IF(Thresholds!$E$1=Lists!$A$9,Exploration!V65,IF(Thresholds!$E$1=Lists!$A$10,Exploration!W65,IF(Thresholds!$E$1=Lists!$A$11,Development!AV121,Development!BE121-Development!AV121))))</f>
        <v>0</v>
      </c>
      <c r="AD40" s="501">
        <f t="shared" si="13"/>
        <v>0</v>
      </c>
      <c r="AE40" s="501"/>
      <c r="AF40" s="509">
        <f t="shared" ca="1" si="19"/>
        <v>1</v>
      </c>
      <c r="AG40" s="509">
        <f t="shared" ca="1" si="22"/>
        <v>0</v>
      </c>
      <c r="AH40" s="509">
        <f t="shared" ca="1" si="22"/>
        <v>0</v>
      </c>
      <c r="AI40" s="509">
        <f t="shared" ca="1" si="22"/>
        <v>0</v>
      </c>
      <c r="AJ40" s="509">
        <f t="shared" ca="1" si="22"/>
        <v>0</v>
      </c>
      <c r="AK40" s="509">
        <f t="shared" ca="1" si="22"/>
        <v>0</v>
      </c>
      <c r="AL40" s="509">
        <f t="shared" ca="1" si="22"/>
        <v>0</v>
      </c>
      <c r="AM40" s="509">
        <f t="shared" ca="1" si="22"/>
        <v>0</v>
      </c>
      <c r="AN40" s="509">
        <f t="shared" ca="1" si="22"/>
        <v>0</v>
      </c>
      <c r="AO40" s="509">
        <f t="shared" ca="1" si="22"/>
        <v>0</v>
      </c>
      <c r="AP40" s="509">
        <f t="shared" ca="1" si="22"/>
        <v>0</v>
      </c>
      <c r="AQ40" s="509">
        <f t="shared" ca="1" si="21"/>
        <v>0</v>
      </c>
      <c r="AR40" s="509">
        <f t="shared" ca="1" si="21"/>
        <v>0</v>
      </c>
      <c r="AS40" s="509">
        <f t="shared" ca="1" si="21"/>
        <v>0</v>
      </c>
      <c r="AT40" s="509">
        <f t="shared" ca="1" si="21"/>
        <v>0</v>
      </c>
      <c r="AU40" s="509">
        <f t="shared" ca="1" si="21"/>
        <v>0</v>
      </c>
      <c r="AV40" s="509">
        <f t="shared" ca="1" si="21"/>
        <v>0</v>
      </c>
      <c r="AW40" s="509">
        <f t="shared" ca="1" si="21"/>
        <v>0</v>
      </c>
      <c r="AX40" s="509">
        <f t="shared" ca="1" si="21"/>
        <v>0</v>
      </c>
      <c r="AY40" s="509">
        <f t="shared" ca="1" si="21"/>
        <v>0</v>
      </c>
      <c r="AZ40" s="509">
        <f t="shared" ca="1" si="21"/>
        <v>0</v>
      </c>
      <c r="BA40" s="509">
        <f t="shared" ca="1" si="21"/>
        <v>0</v>
      </c>
      <c r="BB40" s="509">
        <f t="shared" ca="1" si="21"/>
        <v>0</v>
      </c>
      <c r="BC40" s="509">
        <f t="shared" ca="1" si="21"/>
        <v>0</v>
      </c>
      <c r="BD40" s="509">
        <f t="shared" ca="1" si="21"/>
        <v>0</v>
      </c>
      <c r="BE40" s="509">
        <f t="shared" ca="1" si="21"/>
        <v>0</v>
      </c>
      <c r="BF40" s="509">
        <f t="shared" ca="1" si="21"/>
        <v>0</v>
      </c>
      <c r="BG40" s="509">
        <f t="shared" ca="1" si="23"/>
        <v>0</v>
      </c>
      <c r="BH40" s="509">
        <f t="shared" ca="1" si="23"/>
        <v>0</v>
      </c>
      <c r="BI40" s="509">
        <f t="shared" ca="1" si="23"/>
        <v>0</v>
      </c>
      <c r="BJ40" s="509">
        <f t="shared" ca="1" si="23"/>
        <v>0</v>
      </c>
      <c r="BK40" s="509">
        <f t="shared" ca="1" si="23"/>
        <v>0</v>
      </c>
      <c r="BL40" s="509">
        <f t="shared" ca="1" si="23"/>
        <v>0</v>
      </c>
      <c r="BM40" s="509">
        <f t="shared" ca="1" si="23"/>
        <v>0</v>
      </c>
      <c r="BN40" s="509">
        <f t="shared" ca="1" si="23"/>
        <v>0</v>
      </c>
      <c r="BO40" s="509">
        <f t="shared" ca="1" si="23"/>
        <v>0</v>
      </c>
      <c r="BP40" s="509">
        <f t="shared" ca="1" si="23"/>
        <v>0</v>
      </c>
      <c r="BQ40" s="509">
        <f t="shared" ca="1" si="23"/>
        <v>0</v>
      </c>
      <c r="BR40" s="509">
        <f t="shared" ca="1" si="23"/>
        <v>0</v>
      </c>
      <c r="BS40" s="509">
        <f t="shared" ca="1" si="23"/>
        <v>0</v>
      </c>
      <c r="BT40" s="509">
        <f t="shared" ca="1" si="23"/>
        <v>0</v>
      </c>
      <c r="BU40" s="509">
        <f t="shared" ca="1" si="24"/>
        <v>0</v>
      </c>
      <c r="BV40" s="509">
        <f t="shared" ca="1" si="24"/>
        <v>0</v>
      </c>
      <c r="BW40" s="509">
        <f t="shared" ca="1" si="24"/>
        <v>0</v>
      </c>
      <c r="BX40" s="509">
        <f t="shared" ca="1" si="24"/>
        <v>0</v>
      </c>
      <c r="BY40" s="509">
        <f t="shared" ca="1" si="24"/>
        <v>0</v>
      </c>
      <c r="BZ40" s="509">
        <f t="shared" ca="1" si="24"/>
        <v>0</v>
      </c>
      <c r="CA40" s="509">
        <f t="shared" ca="1" si="24"/>
        <v>0</v>
      </c>
      <c r="CB40" s="509">
        <f t="shared" ca="1" si="24"/>
        <v>0</v>
      </c>
      <c r="CC40" s="509">
        <f t="shared" ca="1" si="24"/>
        <v>0</v>
      </c>
      <c r="CD40" s="509">
        <f t="shared" ca="1" si="24"/>
        <v>0</v>
      </c>
      <c r="CE40" s="509">
        <f t="shared" ca="1" si="24"/>
        <v>0</v>
      </c>
      <c r="CF40" s="509">
        <f t="shared" ca="1" si="24"/>
        <v>0</v>
      </c>
      <c r="CG40" s="507"/>
      <c r="CH40" s="507"/>
    </row>
    <row r="41" spans="1:86">
      <c r="A41" s="159" t="str">
        <f>IF(OR(A40=Abandonment!$B$4,A40=""),"",'Success Cash Flow'!A40+1)</f>
        <v/>
      </c>
      <c r="B41" s="257">
        <f>Revenue!S42</f>
        <v>0</v>
      </c>
      <c r="C41" s="257">
        <f>Revenue!T42</f>
        <v>0</v>
      </c>
      <c r="D41" s="257">
        <f>Revenue!U42</f>
        <v>0</v>
      </c>
      <c r="E41" s="257">
        <f t="shared" si="18"/>
        <v>0</v>
      </c>
      <c r="F41" s="257">
        <f>Exploration!X66</f>
        <v>0</v>
      </c>
      <c r="G41" s="257">
        <f>Development!BX122</f>
        <v>0</v>
      </c>
      <c r="H41" s="257">
        <f>Abandonment!K47</f>
        <v>0</v>
      </c>
      <c r="I41" s="257">
        <f>Operations!P50</f>
        <v>0</v>
      </c>
      <c r="J41" s="257">
        <f t="shared" si="9"/>
        <v>0</v>
      </c>
      <c r="K41" s="257">
        <f t="shared" si="10"/>
        <v>0</v>
      </c>
      <c r="L41" s="257">
        <f>Royalty!AM43*Development!$BP$88</f>
        <v>0</v>
      </c>
      <c r="M41" s="257">
        <f>'Provincial Tax'!X41*Development!$BP$88</f>
        <v>0</v>
      </c>
      <c r="N41" s="257">
        <f>'Federal Tax'!X42*Development!$BP$88</f>
        <v>0</v>
      </c>
      <c r="O41" s="257">
        <f t="shared" si="11"/>
        <v>0</v>
      </c>
      <c r="P41" s="257">
        <f t="shared" si="12"/>
        <v>0</v>
      </c>
      <c r="Q41" s="217"/>
      <c r="R41" s="217"/>
      <c r="S41" s="500"/>
      <c r="T41" s="500"/>
      <c r="U41" s="500"/>
      <c r="V41" s="500"/>
      <c r="W41" s="500"/>
      <c r="X41" s="500"/>
      <c r="Y41" s="496"/>
      <c r="Z41" s="496"/>
      <c r="AA41" s="496"/>
      <c r="AB41" s="496"/>
      <c r="AC41" s="501">
        <f>IF(Thresholds!$E$1=Lists!$A$8,Exploration!U66,IF(Thresholds!$E$1=Lists!$A$9,Exploration!V66,IF(Thresholds!$E$1=Lists!$A$10,Exploration!W66,IF(Thresholds!$E$1=Lists!$A$11,Development!AV122,Development!BE122-Development!AV122))))</f>
        <v>0</v>
      </c>
      <c r="AD41" s="501">
        <f t="shared" si="13"/>
        <v>0</v>
      </c>
      <c r="AE41" s="501"/>
      <c r="AF41" s="509">
        <f t="shared" ca="1" si="19"/>
        <v>1</v>
      </c>
      <c r="AG41" s="509">
        <f t="shared" ca="1" si="22"/>
        <v>0</v>
      </c>
      <c r="AH41" s="509">
        <f t="shared" ca="1" si="22"/>
        <v>0</v>
      </c>
      <c r="AI41" s="509">
        <f t="shared" ca="1" si="22"/>
        <v>0</v>
      </c>
      <c r="AJ41" s="509">
        <f t="shared" ca="1" si="22"/>
        <v>0</v>
      </c>
      <c r="AK41" s="509">
        <f t="shared" ca="1" si="22"/>
        <v>0</v>
      </c>
      <c r="AL41" s="509">
        <f t="shared" ca="1" si="22"/>
        <v>0</v>
      </c>
      <c r="AM41" s="509">
        <f t="shared" ca="1" si="22"/>
        <v>0</v>
      </c>
      <c r="AN41" s="509">
        <f t="shared" ca="1" si="22"/>
        <v>0</v>
      </c>
      <c r="AO41" s="509">
        <f t="shared" ca="1" si="22"/>
        <v>0</v>
      </c>
      <c r="AP41" s="509">
        <f t="shared" ca="1" si="22"/>
        <v>0</v>
      </c>
      <c r="AQ41" s="509">
        <f t="shared" ca="1" si="22"/>
        <v>0</v>
      </c>
      <c r="AR41" s="509">
        <f t="shared" ca="1" si="22"/>
        <v>0</v>
      </c>
      <c r="AS41" s="509">
        <f t="shared" ca="1" si="22"/>
        <v>0</v>
      </c>
      <c r="AT41" s="509">
        <f t="shared" ca="1" si="22"/>
        <v>0</v>
      </c>
      <c r="AU41" s="509">
        <f t="shared" ca="1" si="22"/>
        <v>0</v>
      </c>
      <c r="AV41" s="509">
        <f t="shared" ca="1" si="22"/>
        <v>0</v>
      </c>
      <c r="AW41" s="509">
        <f t="shared" ref="AW41:BL49" ca="1" si="25">IF(OR($A41="",$A41&lt;$AG$2-1),0,IF($A41=$AG$2-1,AW$7,1/(1+AW$6)^($A41-$AG$2+0.5+$AI$1)))</f>
        <v>0</v>
      </c>
      <c r="AX41" s="509">
        <f t="shared" ca="1" si="25"/>
        <v>0</v>
      </c>
      <c r="AY41" s="509">
        <f t="shared" ca="1" si="25"/>
        <v>0</v>
      </c>
      <c r="AZ41" s="509">
        <f t="shared" ca="1" si="25"/>
        <v>0</v>
      </c>
      <c r="BA41" s="509">
        <f t="shared" ca="1" si="25"/>
        <v>0</v>
      </c>
      <c r="BB41" s="509">
        <f t="shared" ca="1" si="25"/>
        <v>0</v>
      </c>
      <c r="BC41" s="509">
        <f t="shared" ca="1" si="25"/>
        <v>0</v>
      </c>
      <c r="BD41" s="509">
        <f t="shared" ca="1" si="25"/>
        <v>0</v>
      </c>
      <c r="BE41" s="509">
        <f t="shared" ca="1" si="25"/>
        <v>0</v>
      </c>
      <c r="BF41" s="509">
        <f t="shared" ca="1" si="25"/>
        <v>0</v>
      </c>
      <c r="BG41" s="509">
        <f t="shared" ca="1" si="25"/>
        <v>0</v>
      </c>
      <c r="BH41" s="509">
        <f t="shared" ca="1" si="25"/>
        <v>0</v>
      </c>
      <c r="BI41" s="509">
        <f t="shared" ca="1" si="25"/>
        <v>0</v>
      </c>
      <c r="BJ41" s="509">
        <f t="shared" ca="1" si="25"/>
        <v>0</v>
      </c>
      <c r="BK41" s="509">
        <f t="shared" ca="1" si="23"/>
        <v>0</v>
      </c>
      <c r="BL41" s="509">
        <f t="shared" ca="1" si="23"/>
        <v>0</v>
      </c>
      <c r="BM41" s="509">
        <f t="shared" ca="1" si="23"/>
        <v>0</v>
      </c>
      <c r="BN41" s="509">
        <f t="shared" ca="1" si="23"/>
        <v>0</v>
      </c>
      <c r="BO41" s="509">
        <f t="shared" ca="1" si="23"/>
        <v>0</v>
      </c>
      <c r="BP41" s="509">
        <f t="shared" ca="1" si="23"/>
        <v>0</v>
      </c>
      <c r="BQ41" s="509">
        <f t="shared" ca="1" si="23"/>
        <v>0</v>
      </c>
      <c r="BR41" s="509">
        <f t="shared" ca="1" si="23"/>
        <v>0</v>
      </c>
      <c r="BS41" s="509">
        <f t="shared" ca="1" si="23"/>
        <v>0</v>
      </c>
      <c r="BT41" s="509">
        <f t="shared" ca="1" si="23"/>
        <v>0</v>
      </c>
      <c r="BU41" s="509">
        <f t="shared" ca="1" si="24"/>
        <v>0</v>
      </c>
      <c r="BV41" s="509">
        <f t="shared" ca="1" si="24"/>
        <v>0</v>
      </c>
      <c r="BW41" s="509">
        <f t="shared" ca="1" si="24"/>
        <v>0</v>
      </c>
      <c r="BX41" s="509">
        <f t="shared" ca="1" si="24"/>
        <v>0</v>
      </c>
      <c r="BY41" s="509">
        <f t="shared" ca="1" si="24"/>
        <v>0</v>
      </c>
      <c r="BZ41" s="509">
        <f t="shared" ca="1" si="24"/>
        <v>0</v>
      </c>
      <c r="CA41" s="509">
        <f t="shared" ca="1" si="24"/>
        <v>0</v>
      </c>
      <c r="CB41" s="509">
        <f t="shared" ca="1" si="24"/>
        <v>0</v>
      </c>
      <c r="CC41" s="509">
        <f t="shared" ca="1" si="24"/>
        <v>0</v>
      </c>
      <c r="CD41" s="509">
        <f t="shared" ca="1" si="24"/>
        <v>0</v>
      </c>
      <c r="CE41" s="509">
        <f t="shared" ca="1" si="24"/>
        <v>0</v>
      </c>
      <c r="CF41" s="509">
        <f t="shared" ca="1" si="24"/>
        <v>0</v>
      </c>
      <c r="CG41" s="507"/>
      <c r="CH41" s="507"/>
    </row>
    <row r="42" spans="1:86">
      <c r="A42" s="159" t="str">
        <f>IF(OR(A41=Abandonment!$B$4,A41=""),"",'Success Cash Flow'!A41+1)</f>
        <v/>
      </c>
      <c r="B42" s="257">
        <f>Revenue!S43</f>
        <v>0</v>
      </c>
      <c r="C42" s="257">
        <f>Revenue!T43</f>
        <v>0</v>
      </c>
      <c r="D42" s="257">
        <f>Revenue!U43</f>
        <v>0</v>
      </c>
      <c r="E42" s="257">
        <f t="shared" si="18"/>
        <v>0</v>
      </c>
      <c r="F42" s="257">
        <f>Exploration!X67</f>
        <v>0</v>
      </c>
      <c r="G42" s="257">
        <f>Development!BX123</f>
        <v>0</v>
      </c>
      <c r="H42" s="257">
        <f>Abandonment!K48</f>
        <v>0</v>
      </c>
      <c r="I42" s="257">
        <f>Operations!P51</f>
        <v>0</v>
      </c>
      <c r="J42" s="257">
        <f t="shared" si="9"/>
        <v>0</v>
      </c>
      <c r="K42" s="257">
        <f t="shared" si="10"/>
        <v>0</v>
      </c>
      <c r="L42" s="257">
        <f>Royalty!AM44*Development!$BP$88</f>
        <v>0</v>
      </c>
      <c r="M42" s="257">
        <f>'Provincial Tax'!X42*Development!$BP$88</f>
        <v>0</v>
      </c>
      <c r="N42" s="257">
        <f>'Federal Tax'!X43*Development!$BP$88</f>
        <v>0</v>
      </c>
      <c r="O42" s="257">
        <f t="shared" si="11"/>
        <v>0</v>
      </c>
      <c r="P42" s="257">
        <f t="shared" si="12"/>
        <v>0</v>
      </c>
      <c r="Q42" s="217"/>
      <c r="R42" s="217"/>
      <c r="S42" s="500"/>
      <c r="T42" s="500"/>
      <c r="U42" s="500"/>
      <c r="V42" s="500"/>
      <c r="W42" s="500"/>
      <c r="X42" s="500"/>
      <c r="Y42" s="496"/>
      <c r="Z42" s="496"/>
      <c r="AA42" s="496"/>
      <c r="AB42" s="496"/>
      <c r="AC42" s="501">
        <f>IF(Thresholds!$E$1=Lists!$A$8,Exploration!U67,IF(Thresholds!$E$1=Lists!$A$9,Exploration!V67,IF(Thresholds!$E$1=Lists!$A$10,Exploration!W67,IF(Thresholds!$E$1=Lists!$A$11,Development!AV123,Development!BE123-Development!AV123))))</f>
        <v>0</v>
      </c>
      <c r="AD42" s="501">
        <f t="shared" si="13"/>
        <v>0</v>
      </c>
      <c r="AE42" s="501"/>
      <c r="AF42" s="513"/>
      <c r="AG42" s="509">
        <f t="shared" ref="AG42:AV49" ca="1" si="26">IF(OR($A42="",$A42&lt;$AG$2-1),0,IF($A42=$AG$2-1,AG$7,1/(1+AG$6)^($A42-$AG$2+0.5+$AI$1)))</f>
        <v>0</v>
      </c>
      <c r="AH42" s="509">
        <f t="shared" ca="1" si="26"/>
        <v>0</v>
      </c>
      <c r="AI42" s="509">
        <f t="shared" ca="1" si="26"/>
        <v>0</v>
      </c>
      <c r="AJ42" s="509">
        <f t="shared" ca="1" si="26"/>
        <v>0</v>
      </c>
      <c r="AK42" s="509">
        <f t="shared" ca="1" si="26"/>
        <v>0</v>
      </c>
      <c r="AL42" s="509">
        <f t="shared" ca="1" si="26"/>
        <v>0</v>
      </c>
      <c r="AM42" s="509">
        <f t="shared" ca="1" si="26"/>
        <v>0</v>
      </c>
      <c r="AN42" s="509">
        <f t="shared" ca="1" si="26"/>
        <v>0</v>
      </c>
      <c r="AO42" s="509">
        <f t="shared" ca="1" si="26"/>
        <v>0</v>
      </c>
      <c r="AP42" s="509">
        <f t="shared" ca="1" si="26"/>
        <v>0</v>
      </c>
      <c r="AQ42" s="509">
        <f t="shared" ca="1" si="26"/>
        <v>0</v>
      </c>
      <c r="AR42" s="509">
        <f t="shared" ca="1" si="26"/>
        <v>0</v>
      </c>
      <c r="AS42" s="509">
        <f t="shared" ca="1" si="26"/>
        <v>0</v>
      </c>
      <c r="AT42" s="509">
        <f t="shared" ca="1" si="26"/>
        <v>0</v>
      </c>
      <c r="AU42" s="509">
        <f t="shared" ca="1" si="26"/>
        <v>0</v>
      </c>
      <c r="AV42" s="509">
        <f t="shared" ca="1" si="26"/>
        <v>0</v>
      </c>
      <c r="AW42" s="509">
        <f t="shared" ca="1" si="25"/>
        <v>0</v>
      </c>
      <c r="AX42" s="509">
        <f t="shared" ca="1" si="25"/>
        <v>0</v>
      </c>
      <c r="AY42" s="509">
        <f t="shared" ca="1" si="25"/>
        <v>0</v>
      </c>
      <c r="AZ42" s="509">
        <f t="shared" ca="1" si="25"/>
        <v>0</v>
      </c>
      <c r="BA42" s="509">
        <f t="shared" ca="1" si="25"/>
        <v>0</v>
      </c>
      <c r="BB42" s="509">
        <f t="shared" ca="1" si="25"/>
        <v>0</v>
      </c>
      <c r="BC42" s="509">
        <f t="shared" ca="1" si="25"/>
        <v>0</v>
      </c>
      <c r="BD42" s="509">
        <f t="shared" ca="1" si="25"/>
        <v>0</v>
      </c>
      <c r="BE42" s="509">
        <f t="shared" ca="1" si="25"/>
        <v>0</v>
      </c>
      <c r="BF42" s="509">
        <f t="shared" ca="1" si="25"/>
        <v>0</v>
      </c>
      <c r="BG42" s="509">
        <f t="shared" ca="1" si="25"/>
        <v>0</v>
      </c>
      <c r="BH42" s="509">
        <f t="shared" ca="1" si="25"/>
        <v>0</v>
      </c>
      <c r="BI42" s="509">
        <f t="shared" ca="1" si="25"/>
        <v>0</v>
      </c>
      <c r="BJ42" s="509">
        <f t="shared" ca="1" si="25"/>
        <v>0</v>
      </c>
      <c r="BK42" s="509">
        <f t="shared" ca="1" si="25"/>
        <v>0</v>
      </c>
      <c r="BL42" s="509">
        <f t="shared" ca="1" si="25"/>
        <v>0</v>
      </c>
      <c r="BM42" s="509">
        <f t="shared" ref="BM42:CB49" ca="1" si="27">IF(OR($A42="",$A42&lt;$AG$2-1),0,IF($A42=$AG$2-1,BM$7,1/(1+BM$6)^($A42-$AG$2+0.5+$AI$1)))</f>
        <v>0</v>
      </c>
      <c r="BN42" s="509">
        <f t="shared" ca="1" si="27"/>
        <v>0</v>
      </c>
      <c r="BO42" s="509">
        <f t="shared" ca="1" si="27"/>
        <v>0</v>
      </c>
      <c r="BP42" s="509">
        <f t="shared" ca="1" si="27"/>
        <v>0</v>
      </c>
      <c r="BQ42" s="509">
        <f t="shared" ca="1" si="27"/>
        <v>0</v>
      </c>
      <c r="BR42" s="509">
        <f t="shared" ca="1" si="27"/>
        <v>0</v>
      </c>
      <c r="BS42" s="509">
        <f t="shared" ca="1" si="27"/>
        <v>0</v>
      </c>
      <c r="BT42" s="509">
        <f t="shared" ca="1" si="27"/>
        <v>0</v>
      </c>
      <c r="BU42" s="509">
        <f t="shared" ca="1" si="27"/>
        <v>0</v>
      </c>
      <c r="BV42" s="509">
        <f t="shared" ca="1" si="27"/>
        <v>0</v>
      </c>
      <c r="BW42" s="509">
        <f t="shared" ca="1" si="27"/>
        <v>0</v>
      </c>
      <c r="BX42" s="509">
        <f t="shared" ca="1" si="27"/>
        <v>0</v>
      </c>
      <c r="BY42" s="509">
        <f t="shared" ca="1" si="27"/>
        <v>0</v>
      </c>
      <c r="BZ42" s="509">
        <f t="shared" ca="1" si="27"/>
        <v>0</v>
      </c>
      <c r="CA42" s="509">
        <f t="shared" ca="1" si="27"/>
        <v>0</v>
      </c>
      <c r="CB42" s="509">
        <f t="shared" ca="1" si="27"/>
        <v>0</v>
      </c>
      <c r="CC42" s="509">
        <f t="shared" ref="CC42:CF49" ca="1" si="28">IF(OR($A42="",$A42&lt;$AG$2-1),0,IF($A42=$AG$2-1,CC$7,1/(1+CC$6)^($A42-$AG$2+0.5+$AI$1)))</f>
        <v>0</v>
      </c>
      <c r="CD42" s="509">
        <f t="shared" ca="1" si="28"/>
        <v>0</v>
      </c>
      <c r="CE42" s="509">
        <f t="shared" ca="1" si="28"/>
        <v>0</v>
      </c>
      <c r="CF42" s="509">
        <f t="shared" ca="1" si="28"/>
        <v>0</v>
      </c>
      <c r="CG42" s="507"/>
      <c r="CH42" s="507"/>
    </row>
    <row r="43" spans="1:86">
      <c r="A43" s="159" t="str">
        <f>IF(OR(A42=Abandonment!$B$4,A42=""),"",'Success Cash Flow'!A42+1)</f>
        <v/>
      </c>
      <c r="B43" s="257">
        <f>Revenue!S44</f>
        <v>0</v>
      </c>
      <c r="C43" s="257">
        <f>Revenue!T44</f>
        <v>0</v>
      </c>
      <c r="D43" s="257">
        <f>Revenue!U44</f>
        <v>0</v>
      </c>
      <c r="E43" s="257">
        <f t="shared" si="18"/>
        <v>0</v>
      </c>
      <c r="F43" s="257">
        <f>Exploration!X68</f>
        <v>0</v>
      </c>
      <c r="G43" s="257">
        <f>Development!BX124</f>
        <v>0</v>
      </c>
      <c r="H43" s="257">
        <f>Abandonment!K49</f>
        <v>0</v>
      </c>
      <c r="I43" s="257">
        <f>Operations!P52</f>
        <v>0</v>
      </c>
      <c r="J43" s="257">
        <f t="shared" si="9"/>
        <v>0</v>
      </c>
      <c r="K43" s="257">
        <f t="shared" si="10"/>
        <v>0</v>
      </c>
      <c r="L43" s="257">
        <f>Royalty!AM45*Development!$BP$88</f>
        <v>0</v>
      </c>
      <c r="M43" s="257">
        <f>'Provincial Tax'!X43*Development!$BP$88</f>
        <v>0</v>
      </c>
      <c r="N43" s="257">
        <f>'Federal Tax'!X44*Development!$BP$88</f>
        <v>0</v>
      </c>
      <c r="O43" s="257">
        <f t="shared" si="11"/>
        <v>0</v>
      </c>
      <c r="P43" s="257">
        <f t="shared" si="12"/>
        <v>0</v>
      </c>
      <c r="Q43" s="217"/>
      <c r="R43" s="217"/>
      <c r="S43" s="500"/>
      <c r="T43" s="500"/>
      <c r="U43" s="500"/>
      <c r="V43" s="500"/>
      <c r="W43" s="500"/>
      <c r="X43" s="500"/>
      <c r="Y43" s="496"/>
      <c r="Z43" s="496"/>
      <c r="AA43" s="496"/>
      <c r="AB43" s="496"/>
      <c r="AC43" s="501">
        <f>IF(Thresholds!$E$1=Lists!$A$8,Exploration!U68,IF(Thresholds!$E$1=Lists!$A$9,Exploration!V68,IF(Thresholds!$E$1=Lists!$A$10,Exploration!W68,IF(Thresholds!$E$1=Lists!$A$11,Development!AV124,Development!BE124-Development!AV124))))</f>
        <v>0</v>
      </c>
      <c r="AD43" s="501">
        <f t="shared" si="13"/>
        <v>0</v>
      </c>
      <c r="AE43" s="501"/>
      <c r="AF43" s="513"/>
      <c r="AG43" s="509">
        <f t="shared" ca="1" si="26"/>
        <v>0</v>
      </c>
      <c r="AH43" s="509">
        <f t="shared" ca="1" si="26"/>
        <v>0</v>
      </c>
      <c r="AI43" s="509">
        <f t="shared" ca="1" si="26"/>
        <v>0</v>
      </c>
      <c r="AJ43" s="509">
        <f t="shared" ca="1" si="26"/>
        <v>0</v>
      </c>
      <c r="AK43" s="509">
        <f t="shared" ca="1" si="26"/>
        <v>0</v>
      </c>
      <c r="AL43" s="509">
        <f t="shared" ca="1" si="26"/>
        <v>0</v>
      </c>
      <c r="AM43" s="509">
        <f t="shared" ca="1" si="26"/>
        <v>0</v>
      </c>
      <c r="AN43" s="509">
        <f t="shared" ca="1" si="26"/>
        <v>0</v>
      </c>
      <c r="AO43" s="509">
        <f t="shared" ca="1" si="26"/>
        <v>0</v>
      </c>
      <c r="AP43" s="509">
        <f t="shared" ca="1" si="26"/>
        <v>0</v>
      </c>
      <c r="AQ43" s="509">
        <f t="shared" ca="1" si="26"/>
        <v>0</v>
      </c>
      <c r="AR43" s="509">
        <f t="shared" ca="1" si="26"/>
        <v>0</v>
      </c>
      <c r="AS43" s="509">
        <f t="shared" ca="1" si="26"/>
        <v>0</v>
      </c>
      <c r="AT43" s="509">
        <f t="shared" ca="1" si="26"/>
        <v>0</v>
      </c>
      <c r="AU43" s="509">
        <f t="shared" ca="1" si="26"/>
        <v>0</v>
      </c>
      <c r="AV43" s="509">
        <f t="shared" ca="1" si="26"/>
        <v>0</v>
      </c>
      <c r="AW43" s="509">
        <f t="shared" ca="1" si="25"/>
        <v>0</v>
      </c>
      <c r="AX43" s="509">
        <f t="shared" ca="1" si="25"/>
        <v>0</v>
      </c>
      <c r="AY43" s="509">
        <f t="shared" ca="1" si="25"/>
        <v>0</v>
      </c>
      <c r="AZ43" s="509">
        <f t="shared" ca="1" si="25"/>
        <v>0</v>
      </c>
      <c r="BA43" s="509">
        <f t="shared" ca="1" si="25"/>
        <v>0</v>
      </c>
      <c r="BB43" s="509">
        <f t="shared" ca="1" si="25"/>
        <v>0</v>
      </c>
      <c r="BC43" s="509">
        <f t="shared" ca="1" si="25"/>
        <v>0</v>
      </c>
      <c r="BD43" s="509">
        <f t="shared" ca="1" si="25"/>
        <v>0</v>
      </c>
      <c r="BE43" s="509">
        <f t="shared" ca="1" si="25"/>
        <v>0</v>
      </c>
      <c r="BF43" s="509">
        <f t="shared" ca="1" si="25"/>
        <v>0</v>
      </c>
      <c r="BG43" s="509">
        <f t="shared" ca="1" si="25"/>
        <v>0</v>
      </c>
      <c r="BH43" s="509">
        <f t="shared" ca="1" si="25"/>
        <v>0</v>
      </c>
      <c r="BI43" s="509">
        <f t="shared" ca="1" si="25"/>
        <v>0</v>
      </c>
      <c r="BJ43" s="509">
        <f t="shared" ca="1" si="25"/>
        <v>0</v>
      </c>
      <c r="BK43" s="509">
        <f t="shared" ca="1" si="25"/>
        <v>0</v>
      </c>
      <c r="BL43" s="509">
        <f t="shared" ca="1" si="25"/>
        <v>0</v>
      </c>
      <c r="BM43" s="509">
        <f t="shared" ca="1" si="27"/>
        <v>0</v>
      </c>
      <c r="BN43" s="509">
        <f t="shared" ca="1" si="27"/>
        <v>0</v>
      </c>
      <c r="BO43" s="509">
        <f t="shared" ca="1" si="27"/>
        <v>0</v>
      </c>
      <c r="BP43" s="509">
        <f t="shared" ca="1" si="27"/>
        <v>0</v>
      </c>
      <c r="BQ43" s="509">
        <f t="shared" ca="1" si="27"/>
        <v>0</v>
      </c>
      <c r="BR43" s="509">
        <f t="shared" ca="1" si="27"/>
        <v>0</v>
      </c>
      <c r="BS43" s="509">
        <f t="shared" ca="1" si="27"/>
        <v>0</v>
      </c>
      <c r="BT43" s="509">
        <f t="shared" ca="1" si="27"/>
        <v>0</v>
      </c>
      <c r="BU43" s="509">
        <f t="shared" ca="1" si="27"/>
        <v>0</v>
      </c>
      <c r="BV43" s="509">
        <f t="shared" ca="1" si="27"/>
        <v>0</v>
      </c>
      <c r="BW43" s="509">
        <f t="shared" ca="1" si="27"/>
        <v>0</v>
      </c>
      <c r="BX43" s="509">
        <f t="shared" ca="1" si="27"/>
        <v>0</v>
      </c>
      <c r="BY43" s="509">
        <f t="shared" ca="1" si="27"/>
        <v>0</v>
      </c>
      <c r="BZ43" s="509">
        <f t="shared" ca="1" si="27"/>
        <v>0</v>
      </c>
      <c r="CA43" s="509">
        <f t="shared" ca="1" si="27"/>
        <v>0</v>
      </c>
      <c r="CB43" s="509">
        <f t="shared" ca="1" si="27"/>
        <v>0</v>
      </c>
      <c r="CC43" s="509">
        <f t="shared" ca="1" si="28"/>
        <v>0</v>
      </c>
      <c r="CD43" s="509">
        <f t="shared" ca="1" si="28"/>
        <v>0</v>
      </c>
      <c r="CE43" s="509">
        <f t="shared" ca="1" si="28"/>
        <v>0</v>
      </c>
      <c r="CF43" s="509">
        <f t="shared" ca="1" si="28"/>
        <v>0</v>
      </c>
      <c r="CG43" s="507"/>
      <c r="CH43" s="507"/>
    </row>
    <row r="44" spans="1:86">
      <c r="A44" s="159" t="str">
        <f>IF(OR(A43=Abandonment!$B$4,A43=""),"",'Success Cash Flow'!A43+1)</f>
        <v/>
      </c>
      <c r="B44" s="257">
        <f>Revenue!S45</f>
        <v>0</v>
      </c>
      <c r="C44" s="257">
        <f>Revenue!T45</f>
        <v>0</v>
      </c>
      <c r="D44" s="257">
        <f>Revenue!U45</f>
        <v>0</v>
      </c>
      <c r="E44" s="257">
        <f t="shared" si="18"/>
        <v>0</v>
      </c>
      <c r="F44" s="257">
        <f>Exploration!X69</f>
        <v>0</v>
      </c>
      <c r="G44" s="257">
        <f>Development!BX125</f>
        <v>0</v>
      </c>
      <c r="H44" s="257">
        <f>Abandonment!K50</f>
        <v>0</v>
      </c>
      <c r="I44" s="257">
        <f>Operations!P53</f>
        <v>0</v>
      </c>
      <c r="J44" s="257">
        <f t="shared" si="9"/>
        <v>0</v>
      </c>
      <c r="K44" s="257">
        <f t="shared" si="10"/>
        <v>0</v>
      </c>
      <c r="L44" s="257">
        <f>Royalty!AM46*Development!$BP$88</f>
        <v>0</v>
      </c>
      <c r="M44" s="257">
        <f>'Provincial Tax'!X44*Development!$BP$88</f>
        <v>0</v>
      </c>
      <c r="N44" s="257">
        <f>'Federal Tax'!X45*Development!$BP$88</f>
        <v>0</v>
      </c>
      <c r="O44" s="257">
        <f t="shared" si="11"/>
        <v>0</v>
      </c>
      <c r="P44" s="257">
        <f t="shared" si="12"/>
        <v>0</v>
      </c>
      <c r="Q44" s="217"/>
      <c r="R44" s="217"/>
      <c r="S44" s="500"/>
      <c r="T44" s="500"/>
      <c r="U44" s="500"/>
      <c r="V44" s="500"/>
      <c r="W44" s="500"/>
      <c r="X44" s="500"/>
      <c r="Y44" s="496"/>
      <c r="Z44" s="496"/>
      <c r="AA44" s="496"/>
      <c r="AB44" s="496"/>
      <c r="AC44" s="501">
        <f>IF(Thresholds!$E$1=Lists!$A$8,Exploration!U69,IF(Thresholds!$E$1=Lists!$A$9,Exploration!V69,IF(Thresholds!$E$1=Lists!$A$10,Exploration!W69,IF(Thresholds!$E$1=Lists!$A$11,Development!AV125,Development!BE125-Development!AV125))))</f>
        <v>0</v>
      </c>
      <c r="AD44" s="501">
        <f t="shared" si="13"/>
        <v>0</v>
      </c>
      <c r="AE44" s="501"/>
      <c r="AF44" s="513"/>
      <c r="AG44" s="509">
        <f t="shared" ca="1" si="26"/>
        <v>0</v>
      </c>
      <c r="AH44" s="509">
        <f t="shared" ca="1" si="26"/>
        <v>0</v>
      </c>
      <c r="AI44" s="509">
        <f t="shared" ca="1" si="26"/>
        <v>0</v>
      </c>
      <c r="AJ44" s="509">
        <f t="shared" ca="1" si="26"/>
        <v>0</v>
      </c>
      <c r="AK44" s="509">
        <f t="shared" ca="1" si="26"/>
        <v>0</v>
      </c>
      <c r="AL44" s="509">
        <f t="shared" ca="1" si="26"/>
        <v>0</v>
      </c>
      <c r="AM44" s="509">
        <f t="shared" ca="1" si="26"/>
        <v>0</v>
      </c>
      <c r="AN44" s="509">
        <f t="shared" ca="1" si="26"/>
        <v>0</v>
      </c>
      <c r="AO44" s="509">
        <f t="shared" ca="1" si="26"/>
        <v>0</v>
      </c>
      <c r="AP44" s="509">
        <f t="shared" ca="1" si="26"/>
        <v>0</v>
      </c>
      <c r="AQ44" s="509">
        <f t="shared" ca="1" si="26"/>
        <v>0</v>
      </c>
      <c r="AR44" s="509">
        <f t="shared" ca="1" si="26"/>
        <v>0</v>
      </c>
      <c r="AS44" s="509">
        <f t="shared" ca="1" si="26"/>
        <v>0</v>
      </c>
      <c r="AT44" s="509">
        <f t="shared" ca="1" si="26"/>
        <v>0</v>
      </c>
      <c r="AU44" s="509">
        <f t="shared" ca="1" si="26"/>
        <v>0</v>
      </c>
      <c r="AV44" s="509">
        <f t="shared" ca="1" si="26"/>
        <v>0</v>
      </c>
      <c r="AW44" s="509">
        <f t="shared" ca="1" si="25"/>
        <v>0</v>
      </c>
      <c r="AX44" s="509">
        <f t="shared" ca="1" si="25"/>
        <v>0</v>
      </c>
      <c r="AY44" s="509">
        <f t="shared" ca="1" si="25"/>
        <v>0</v>
      </c>
      <c r="AZ44" s="509">
        <f t="shared" ca="1" si="25"/>
        <v>0</v>
      </c>
      <c r="BA44" s="509">
        <f t="shared" ca="1" si="25"/>
        <v>0</v>
      </c>
      <c r="BB44" s="509">
        <f t="shared" ca="1" si="25"/>
        <v>0</v>
      </c>
      <c r="BC44" s="509">
        <f t="shared" ca="1" si="25"/>
        <v>0</v>
      </c>
      <c r="BD44" s="509">
        <f t="shared" ca="1" si="25"/>
        <v>0</v>
      </c>
      <c r="BE44" s="509">
        <f t="shared" ca="1" si="25"/>
        <v>0</v>
      </c>
      <c r="BF44" s="509">
        <f t="shared" ca="1" si="25"/>
        <v>0</v>
      </c>
      <c r="BG44" s="509">
        <f t="shared" ca="1" si="25"/>
        <v>0</v>
      </c>
      <c r="BH44" s="509">
        <f t="shared" ca="1" si="25"/>
        <v>0</v>
      </c>
      <c r="BI44" s="509">
        <f t="shared" ca="1" si="25"/>
        <v>0</v>
      </c>
      <c r="BJ44" s="509">
        <f t="shared" ca="1" si="25"/>
        <v>0</v>
      </c>
      <c r="BK44" s="509">
        <f t="shared" ca="1" si="25"/>
        <v>0</v>
      </c>
      <c r="BL44" s="509">
        <f t="shared" ca="1" si="25"/>
        <v>0</v>
      </c>
      <c r="BM44" s="509">
        <f t="shared" ca="1" si="27"/>
        <v>0</v>
      </c>
      <c r="BN44" s="509">
        <f t="shared" ca="1" si="27"/>
        <v>0</v>
      </c>
      <c r="BO44" s="509">
        <f t="shared" ca="1" si="27"/>
        <v>0</v>
      </c>
      <c r="BP44" s="509">
        <f t="shared" ca="1" si="27"/>
        <v>0</v>
      </c>
      <c r="BQ44" s="509">
        <f t="shared" ca="1" si="27"/>
        <v>0</v>
      </c>
      <c r="BR44" s="509">
        <f t="shared" ca="1" si="27"/>
        <v>0</v>
      </c>
      <c r="BS44" s="509">
        <f t="shared" ca="1" si="27"/>
        <v>0</v>
      </c>
      <c r="BT44" s="509">
        <f t="shared" ca="1" si="27"/>
        <v>0</v>
      </c>
      <c r="BU44" s="509">
        <f t="shared" ca="1" si="27"/>
        <v>0</v>
      </c>
      <c r="BV44" s="509">
        <f t="shared" ca="1" si="27"/>
        <v>0</v>
      </c>
      <c r="BW44" s="509">
        <f t="shared" ca="1" si="27"/>
        <v>0</v>
      </c>
      <c r="BX44" s="509">
        <f t="shared" ca="1" si="27"/>
        <v>0</v>
      </c>
      <c r="BY44" s="509">
        <f t="shared" ca="1" si="27"/>
        <v>0</v>
      </c>
      <c r="BZ44" s="509">
        <f t="shared" ca="1" si="27"/>
        <v>0</v>
      </c>
      <c r="CA44" s="509">
        <f t="shared" ca="1" si="27"/>
        <v>0</v>
      </c>
      <c r="CB44" s="509">
        <f t="shared" ca="1" si="27"/>
        <v>0</v>
      </c>
      <c r="CC44" s="509">
        <f t="shared" ca="1" si="28"/>
        <v>0</v>
      </c>
      <c r="CD44" s="509">
        <f t="shared" ca="1" si="28"/>
        <v>0</v>
      </c>
      <c r="CE44" s="509">
        <f t="shared" ca="1" si="28"/>
        <v>0</v>
      </c>
      <c r="CF44" s="509">
        <f t="shared" ca="1" si="28"/>
        <v>0</v>
      </c>
      <c r="CG44" s="507"/>
      <c r="CH44" s="507"/>
    </row>
    <row r="45" spans="1:86">
      <c r="A45" s="159" t="str">
        <f>IF(OR(A44=Abandonment!$B$4,A44=""),"",'Success Cash Flow'!A44+1)</f>
        <v/>
      </c>
      <c r="B45" s="257">
        <f>Revenue!S46</f>
        <v>0</v>
      </c>
      <c r="C45" s="257">
        <f>Revenue!T46</f>
        <v>0</v>
      </c>
      <c r="D45" s="257">
        <f>Revenue!U46</f>
        <v>0</v>
      </c>
      <c r="E45" s="257">
        <f t="shared" si="18"/>
        <v>0</v>
      </c>
      <c r="F45" s="257">
        <f>Exploration!X70</f>
        <v>0</v>
      </c>
      <c r="G45" s="257">
        <f>Development!BX126</f>
        <v>0</v>
      </c>
      <c r="H45" s="257">
        <f>Abandonment!K51</f>
        <v>0</v>
      </c>
      <c r="I45" s="257">
        <f>Operations!P54</f>
        <v>0</v>
      </c>
      <c r="J45" s="257">
        <f t="shared" si="9"/>
        <v>0</v>
      </c>
      <c r="K45" s="257">
        <f t="shared" si="10"/>
        <v>0</v>
      </c>
      <c r="L45" s="257">
        <f>Royalty!AM47*Development!$BP$88</f>
        <v>0</v>
      </c>
      <c r="M45" s="257">
        <f>'Provincial Tax'!X45*Development!$BP$88</f>
        <v>0</v>
      </c>
      <c r="N45" s="257">
        <f>'Federal Tax'!X46*Development!$BP$88</f>
        <v>0</v>
      </c>
      <c r="O45" s="257">
        <f t="shared" si="11"/>
        <v>0</v>
      </c>
      <c r="P45" s="257">
        <f t="shared" si="12"/>
        <v>0</v>
      </c>
      <c r="Q45" s="217"/>
      <c r="R45" s="217"/>
      <c r="S45" s="500"/>
      <c r="T45" s="500"/>
      <c r="U45" s="500"/>
      <c r="V45" s="500"/>
      <c r="W45" s="500"/>
      <c r="X45" s="500"/>
      <c r="Y45" s="496"/>
      <c r="Z45" s="496"/>
      <c r="AA45" s="496"/>
      <c r="AB45" s="496"/>
      <c r="AC45" s="501">
        <f>IF(Thresholds!$E$1=Lists!$A$8,Exploration!U70,IF(Thresholds!$E$1=Lists!$A$9,Exploration!V70,IF(Thresholds!$E$1=Lists!$A$10,Exploration!W70,IF(Thresholds!$E$1=Lists!$A$11,Development!AV126,Development!BE126-Development!AV126))))</f>
        <v>0</v>
      </c>
      <c r="AD45" s="501">
        <f t="shared" si="13"/>
        <v>0</v>
      </c>
      <c r="AE45" s="501"/>
      <c r="AF45" s="513"/>
      <c r="AG45" s="509">
        <f t="shared" ca="1" si="26"/>
        <v>0</v>
      </c>
      <c r="AH45" s="509">
        <f t="shared" ca="1" si="26"/>
        <v>0</v>
      </c>
      <c r="AI45" s="509">
        <f t="shared" ca="1" si="26"/>
        <v>0</v>
      </c>
      <c r="AJ45" s="509">
        <f t="shared" ca="1" si="26"/>
        <v>0</v>
      </c>
      <c r="AK45" s="509">
        <f t="shared" ca="1" si="26"/>
        <v>0</v>
      </c>
      <c r="AL45" s="509">
        <f t="shared" ca="1" si="26"/>
        <v>0</v>
      </c>
      <c r="AM45" s="509">
        <f t="shared" ca="1" si="26"/>
        <v>0</v>
      </c>
      <c r="AN45" s="509">
        <f t="shared" ca="1" si="26"/>
        <v>0</v>
      </c>
      <c r="AO45" s="509">
        <f t="shared" ca="1" si="26"/>
        <v>0</v>
      </c>
      <c r="AP45" s="509">
        <f t="shared" ca="1" si="26"/>
        <v>0</v>
      </c>
      <c r="AQ45" s="509">
        <f t="shared" ca="1" si="26"/>
        <v>0</v>
      </c>
      <c r="AR45" s="509">
        <f t="shared" ca="1" si="26"/>
        <v>0</v>
      </c>
      <c r="AS45" s="509">
        <f t="shared" ca="1" si="26"/>
        <v>0</v>
      </c>
      <c r="AT45" s="509">
        <f t="shared" ca="1" si="26"/>
        <v>0</v>
      </c>
      <c r="AU45" s="509">
        <f t="shared" ca="1" si="26"/>
        <v>0</v>
      </c>
      <c r="AV45" s="509">
        <f t="shared" ca="1" si="26"/>
        <v>0</v>
      </c>
      <c r="AW45" s="509">
        <f t="shared" ca="1" si="25"/>
        <v>0</v>
      </c>
      <c r="AX45" s="509">
        <f t="shared" ca="1" si="25"/>
        <v>0</v>
      </c>
      <c r="AY45" s="509">
        <f t="shared" ca="1" si="25"/>
        <v>0</v>
      </c>
      <c r="AZ45" s="509">
        <f t="shared" ca="1" si="25"/>
        <v>0</v>
      </c>
      <c r="BA45" s="509">
        <f t="shared" ca="1" si="25"/>
        <v>0</v>
      </c>
      <c r="BB45" s="509">
        <f t="shared" ca="1" si="25"/>
        <v>0</v>
      </c>
      <c r="BC45" s="509">
        <f t="shared" ca="1" si="25"/>
        <v>0</v>
      </c>
      <c r="BD45" s="509">
        <f t="shared" ca="1" si="25"/>
        <v>0</v>
      </c>
      <c r="BE45" s="509">
        <f t="shared" ca="1" si="25"/>
        <v>0</v>
      </c>
      <c r="BF45" s="509">
        <f t="shared" ca="1" si="25"/>
        <v>0</v>
      </c>
      <c r="BG45" s="509">
        <f t="shared" ca="1" si="25"/>
        <v>0</v>
      </c>
      <c r="BH45" s="509">
        <f t="shared" ca="1" si="25"/>
        <v>0</v>
      </c>
      <c r="BI45" s="509">
        <f t="shared" ca="1" si="25"/>
        <v>0</v>
      </c>
      <c r="BJ45" s="509">
        <f t="shared" ca="1" si="25"/>
        <v>0</v>
      </c>
      <c r="BK45" s="509">
        <f t="shared" ca="1" si="25"/>
        <v>0</v>
      </c>
      <c r="BL45" s="509">
        <f t="shared" ca="1" si="25"/>
        <v>0</v>
      </c>
      <c r="BM45" s="509">
        <f t="shared" ca="1" si="27"/>
        <v>0</v>
      </c>
      <c r="BN45" s="509">
        <f t="shared" ca="1" si="27"/>
        <v>0</v>
      </c>
      <c r="BO45" s="509">
        <f t="shared" ca="1" si="27"/>
        <v>0</v>
      </c>
      <c r="BP45" s="509">
        <f t="shared" ca="1" si="27"/>
        <v>0</v>
      </c>
      <c r="BQ45" s="509">
        <f t="shared" ca="1" si="27"/>
        <v>0</v>
      </c>
      <c r="BR45" s="509">
        <f t="shared" ca="1" si="27"/>
        <v>0</v>
      </c>
      <c r="BS45" s="509">
        <f t="shared" ca="1" si="27"/>
        <v>0</v>
      </c>
      <c r="BT45" s="509">
        <f t="shared" ca="1" si="27"/>
        <v>0</v>
      </c>
      <c r="BU45" s="509">
        <f t="shared" ca="1" si="27"/>
        <v>0</v>
      </c>
      <c r="BV45" s="509">
        <f t="shared" ca="1" si="27"/>
        <v>0</v>
      </c>
      <c r="BW45" s="509">
        <f t="shared" ca="1" si="27"/>
        <v>0</v>
      </c>
      <c r="BX45" s="509">
        <f t="shared" ca="1" si="27"/>
        <v>0</v>
      </c>
      <c r="BY45" s="509">
        <f t="shared" ca="1" si="27"/>
        <v>0</v>
      </c>
      <c r="BZ45" s="509">
        <f t="shared" ca="1" si="27"/>
        <v>0</v>
      </c>
      <c r="CA45" s="509">
        <f t="shared" ca="1" si="27"/>
        <v>0</v>
      </c>
      <c r="CB45" s="509">
        <f t="shared" ca="1" si="27"/>
        <v>0</v>
      </c>
      <c r="CC45" s="509">
        <f t="shared" ca="1" si="28"/>
        <v>0</v>
      </c>
      <c r="CD45" s="509">
        <f t="shared" ca="1" si="28"/>
        <v>0</v>
      </c>
      <c r="CE45" s="509">
        <f t="shared" ca="1" si="28"/>
        <v>0</v>
      </c>
      <c r="CF45" s="509">
        <f t="shared" ca="1" si="28"/>
        <v>0</v>
      </c>
      <c r="CG45" s="507"/>
      <c r="CH45" s="507"/>
    </row>
    <row r="46" spans="1:86">
      <c r="A46" s="159" t="str">
        <f>IF(OR(A45=Abandonment!$B$4,A45=""),"",'Success Cash Flow'!A45+1)</f>
        <v/>
      </c>
      <c r="B46" s="257">
        <f>Revenue!S47</f>
        <v>0</v>
      </c>
      <c r="C46" s="257">
        <f>Revenue!T47</f>
        <v>0</v>
      </c>
      <c r="D46" s="257">
        <f>Revenue!U47</f>
        <v>0</v>
      </c>
      <c r="E46" s="257">
        <f t="shared" si="18"/>
        <v>0</v>
      </c>
      <c r="F46" s="257">
        <f>Exploration!X71</f>
        <v>0</v>
      </c>
      <c r="G46" s="257">
        <f>Development!BX127</f>
        <v>0</v>
      </c>
      <c r="H46" s="257">
        <f>Abandonment!K52</f>
        <v>0</v>
      </c>
      <c r="I46" s="257">
        <f>Operations!P55</f>
        <v>0</v>
      </c>
      <c r="J46" s="257">
        <f t="shared" si="9"/>
        <v>0</v>
      </c>
      <c r="K46" s="257">
        <f t="shared" si="10"/>
        <v>0</v>
      </c>
      <c r="L46" s="257">
        <f>Royalty!AM48*Development!$BP$88</f>
        <v>0</v>
      </c>
      <c r="M46" s="257">
        <f>'Provincial Tax'!X46*Development!$BP$88</f>
        <v>0</v>
      </c>
      <c r="N46" s="257">
        <f>'Federal Tax'!X47*Development!$BP$88</f>
        <v>0</v>
      </c>
      <c r="O46" s="257">
        <f t="shared" si="11"/>
        <v>0</v>
      </c>
      <c r="P46" s="257">
        <f t="shared" si="12"/>
        <v>0</v>
      </c>
      <c r="Q46" s="217"/>
      <c r="R46" s="217"/>
      <c r="S46" s="500"/>
      <c r="T46" s="500"/>
      <c r="U46" s="500"/>
      <c r="V46" s="500"/>
      <c r="W46" s="500"/>
      <c r="X46" s="500"/>
      <c r="Y46" s="496"/>
      <c r="Z46" s="496"/>
      <c r="AA46" s="496"/>
      <c r="AB46" s="496"/>
      <c r="AC46" s="501">
        <f>IF(Thresholds!$E$1=Lists!$A$8,Exploration!U71,IF(Thresholds!$E$1=Lists!$A$9,Exploration!V71,IF(Thresholds!$E$1=Lists!$A$10,Exploration!W71,IF(Thresholds!$E$1=Lists!$A$11,Development!AV127,Development!BE127-Development!AV127))))</f>
        <v>0</v>
      </c>
      <c r="AD46" s="501">
        <f t="shared" si="13"/>
        <v>0</v>
      </c>
      <c r="AE46" s="501"/>
      <c r="AF46" s="513"/>
      <c r="AG46" s="509">
        <f t="shared" ca="1" si="26"/>
        <v>0</v>
      </c>
      <c r="AH46" s="509">
        <f t="shared" ca="1" si="26"/>
        <v>0</v>
      </c>
      <c r="AI46" s="509">
        <f t="shared" ca="1" si="26"/>
        <v>0</v>
      </c>
      <c r="AJ46" s="509">
        <f t="shared" ca="1" si="26"/>
        <v>0</v>
      </c>
      <c r="AK46" s="509">
        <f t="shared" ca="1" si="26"/>
        <v>0</v>
      </c>
      <c r="AL46" s="509">
        <f t="shared" ca="1" si="26"/>
        <v>0</v>
      </c>
      <c r="AM46" s="509">
        <f t="shared" ca="1" si="26"/>
        <v>0</v>
      </c>
      <c r="AN46" s="509">
        <f t="shared" ca="1" si="26"/>
        <v>0</v>
      </c>
      <c r="AO46" s="509">
        <f t="shared" ca="1" si="26"/>
        <v>0</v>
      </c>
      <c r="AP46" s="509">
        <f t="shared" ca="1" si="26"/>
        <v>0</v>
      </c>
      <c r="AQ46" s="509">
        <f t="shared" ca="1" si="26"/>
        <v>0</v>
      </c>
      <c r="AR46" s="509">
        <f t="shared" ca="1" si="26"/>
        <v>0</v>
      </c>
      <c r="AS46" s="509">
        <f t="shared" ca="1" si="26"/>
        <v>0</v>
      </c>
      <c r="AT46" s="509">
        <f t="shared" ca="1" si="26"/>
        <v>0</v>
      </c>
      <c r="AU46" s="509">
        <f t="shared" ca="1" si="26"/>
        <v>0</v>
      </c>
      <c r="AV46" s="509">
        <f t="shared" ca="1" si="26"/>
        <v>0</v>
      </c>
      <c r="AW46" s="509">
        <f t="shared" ca="1" si="25"/>
        <v>0</v>
      </c>
      <c r="AX46" s="509">
        <f t="shared" ca="1" si="25"/>
        <v>0</v>
      </c>
      <c r="AY46" s="509">
        <f t="shared" ca="1" si="25"/>
        <v>0</v>
      </c>
      <c r="AZ46" s="509">
        <f t="shared" ca="1" si="25"/>
        <v>0</v>
      </c>
      <c r="BA46" s="509">
        <f t="shared" ca="1" si="25"/>
        <v>0</v>
      </c>
      <c r="BB46" s="509">
        <f t="shared" ca="1" si="25"/>
        <v>0</v>
      </c>
      <c r="BC46" s="509">
        <f t="shared" ca="1" si="25"/>
        <v>0</v>
      </c>
      <c r="BD46" s="509">
        <f t="shared" ca="1" si="25"/>
        <v>0</v>
      </c>
      <c r="BE46" s="509">
        <f t="shared" ca="1" si="25"/>
        <v>0</v>
      </c>
      <c r="BF46" s="509">
        <f t="shared" ca="1" si="25"/>
        <v>0</v>
      </c>
      <c r="BG46" s="509">
        <f t="shared" ca="1" si="25"/>
        <v>0</v>
      </c>
      <c r="BH46" s="509">
        <f t="shared" ca="1" si="25"/>
        <v>0</v>
      </c>
      <c r="BI46" s="509">
        <f t="shared" ca="1" si="25"/>
        <v>0</v>
      </c>
      <c r="BJ46" s="509">
        <f t="shared" ca="1" si="25"/>
        <v>0</v>
      </c>
      <c r="BK46" s="509">
        <f t="shared" ca="1" si="25"/>
        <v>0</v>
      </c>
      <c r="BL46" s="509">
        <f t="shared" ca="1" si="25"/>
        <v>0</v>
      </c>
      <c r="BM46" s="509">
        <f t="shared" ca="1" si="27"/>
        <v>0</v>
      </c>
      <c r="BN46" s="509">
        <f t="shared" ca="1" si="27"/>
        <v>0</v>
      </c>
      <c r="BO46" s="509">
        <f t="shared" ca="1" si="27"/>
        <v>0</v>
      </c>
      <c r="BP46" s="509">
        <f t="shared" ca="1" si="27"/>
        <v>0</v>
      </c>
      <c r="BQ46" s="509">
        <f t="shared" ca="1" si="27"/>
        <v>0</v>
      </c>
      <c r="BR46" s="509">
        <f t="shared" ca="1" si="27"/>
        <v>0</v>
      </c>
      <c r="BS46" s="509">
        <f t="shared" ca="1" si="27"/>
        <v>0</v>
      </c>
      <c r="BT46" s="509">
        <f t="shared" ca="1" si="27"/>
        <v>0</v>
      </c>
      <c r="BU46" s="509">
        <f t="shared" ca="1" si="27"/>
        <v>0</v>
      </c>
      <c r="BV46" s="509">
        <f t="shared" ca="1" si="27"/>
        <v>0</v>
      </c>
      <c r="BW46" s="509">
        <f t="shared" ca="1" si="27"/>
        <v>0</v>
      </c>
      <c r="BX46" s="509">
        <f t="shared" ca="1" si="27"/>
        <v>0</v>
      </c>
      <c r="BY46" s="509">
        <f t="shared" ca="1" si="27"/>
        <v>0</v>
      </c>
      <c r="BZ46" s="509">
        <f t="shared" ca="1" si="27"/>
        <v>0</v>
      </c>
      <c r="CA46" s="509">
        <f t="shared" ca="1" si="27"/>
        <v>0</v>
      </c>
      <c r="CB46" s="509">
        <f t="shared" ca="1" si="27"/>
        <v>0</v>
      </c>
      <c r="CC46" s="509">
        <f t="shared" ca="1" si="28"/>
        <v>0</v>
      </c>
      <c r="CD46" s="509">
        <f t="shared" ca="1" si="28"/>
        <v>0</v>
      </c>
      <c r="CE46" s="509">
        <f t="shared" ca="1" si="28"/>
        <v>0</v>
      </c>
      <c r="CF46" s="509">
        <f t="shared" ca="1" si="28"/>
        <v>0</v>
      </c>
      <c r="CG46" s="507"/>
      <c r="CH46" s="507"/>
    </row>
    <row r="47" spans="1:86">
      <c r="A47" s="159" t="str">
        <f>IF(OR(A46=Abandonment!$B$4,A46=""),"",'Success Cash Flow'!A46+1)</f>
        <v/>
      </c>
      <c r="B47" s="257">
        <f>Revenue!S48</f>
        <v>0</v>
      </c>
      <c r="C47" s="257">
        <f>Revenue!T48</f>
        <v>0</v>
      </c>
      <c r="D47" s="257">
        <f>Revenue!U48</f>
        <v>0</v>
      </c>
      <c r="E47" s="257">
        <f t="shared" si="18"/>
        <v>0</v>
      </c>
      <c r="F47" s="257">
        <f>Exploration!X72</f>
        <v>0</v>
      </c>
      <c r="G47" s="257">
        <f>Development!BX128</f>
        <v>0</v>
      </c>
      <c r="H47" s="257">
        <f>Abandonment!K53</f>
        <v>0</v>
      </c>
      <c r="I47" s="257">
        <f>Operations!P56</f>
        <v>0</v>
      </c>
      <c r="J47" s="257">
        <f t="shared" si="9"/>
        <v>0</v>
      </c>
      <c r="K47" s="257">
        <f t="shared" si="10"/>
        <v>0</v>
      </c>
      <c r="L47" s="257">
        <f>Royalty!AM49*Development!$BP$88</f>
        <v>0</v>
      </c>
      <c r="M47" s="257">
        <f>'Provincial Tax'!X47*Development!$BP$88</f>
        <v>0</v>
      </c>
      <c r="N47" s="257">
        <f>'Federal Tax'!X48*Development!$BP$88</f>
        <v>0</v>
      </c>
      <c r="O47" s="257">
        <f t="shared" si="11"/>
        <v>0</v>
      </c>
      <c r="P47" s="257">
        <f t="shared" si="12"/>
        <v>0</v>
      </c>
      <c r="Q47" s="217"/>
      <c r="R47" s="217"/>
      <c r="S47" s="500"/>
      <c r="T47" s="500"/>
      <c r="U47" s="500"/>
      <c r="V47" s="500"/>
      <c r="W47" s="500"/>
      <c r="X47" s="500"/>
      <c r="Y47" s="496"/>
      <c r="Z47" s="496"/>
      <c r="AA47" s="496"/>
      <c r="AB47" s="496"/>
      <c r="AC47" s="501">
        <f>IF(Thresholds!$E$1=Lists!$A$8,Exploration!U72,IF(Thresholds!$E$1=Lists!$A$9,Exploration!V72,IF(Thresholds!$E$1=Lists!$A$10,Exploration!W72,IF(Thresholds!$E$1=Lists!$A$11,Development!AV128,Development!BE128-Development!AV128))))</f>
        <v>0</v>
      </c>
      <c r="AD47" s="501">
        <f t="shared" si="13"/>
        <v>0</v>
      </c>
      <c r="AE47" s="501"/>
      <c r="AF47" s="513"/>
      <c r="AG47" s="509">
        <f t="shared" ca="1" si="26"/>
        <v>0</v>
      </c>
      <c r="AH47" s="509">
        <f t="shared" ca="1" si="26"/>
        <v>0</v>
      </c>
      <c r="AI47" s="509">
        <f t="shared" ca="1" si="26"/>
        <v>0</v>
      </c>
      <c r="AJ47" s="509">
        <f t="shared" ca="1" si="26"/>
        <v>0</v>
      </c>
      <c r="AK47" s="509">
        <f t="shared" ca="1" si="26"/>
        <v>0</v>
      </c>
      <c r="AL47" s="509">
        <f t="shared" ca="1" si="26"/>
        <v>0</v>
      </c>
      <c r="AM47" s="509">
        <f t="shared" ca="1" si="26"/>
        <v>0</v>
      </c>
      <c r="AN47" s="509">
        <f t="shared" ca="1" si="26"/>
        <v>0</v>
      </c>
      <c r="AO47" s="509">
        <f t="shared" ca="1" si="26"/>
        <v>0</v>
      </c>
      <c r="AP47" s="509">
        <f t="shared" ca="1" si="26"/>
        <v>0</v>
      </c>
      <c r="AQ47" s="509">
        <f t="shared" ca="1" si="26"/>
        <v>0</v>
      </c>
      <c r="AR47" s="509">
        <f t="shared" ca="1" si="26"/>
        <v>0</v>
      </c>
      <c r="AS47" s="509">
        <f t="shared" ca="1" si="26"/>
        <v>0</v>
      </c>
      <c r="AT47" s="509">
        <f t="shared" ca="1" si="26"/>
        <v>0</v>
      </c>
      <c r="AU47" s="509">
        <f t="shared" ca="1" si="26"/>
        <v>0</v>
      </c>
      <c r="AV47" s="509">
        <f t="shared" ca="1" si="26"/>
        <v>0</v>
      </c>
      <c r="AW47" s="509">
        <f t="shared" ca="1" si="25"/>
        <v>0</v>
      </c>
      <c r="AX47" s="509">
        <f t="shared" ca="1" si="25"/>
        <v>0</v>
      </c>
      <c r="AY47" s="509">
        <f t="shared" ca="1" si="25"/>
        <v>0</v>
      </c>
      <c r="AZ47" s="509">
        <f t="shared" ca="1" si="25"/>
        <v>0</v>
      </c>
      <c r="BA47" s="509">
        <f t="shared" ca="1" si="25"/>
        <v>0</v>
      </c>
      <c r="BB47" s="509">
        <f t="shared" ca="1" si="25"/>
        <v>0</v>
      </c>
      <c r="BC47" s="509">
        <f t="shared" ca="1" si="25"/>
        <v>0</v>
      </c>
      <c r="BD47" s="509">
        <f t="shared" ca="1" si="25"/>
        <v>0</v>
      </c>
      <c r="BE47" s="509">
        <f t="shared" ca="1" si="25"/>
        <v>0</v>
      </c>
      <c r="BF47" s="509">
        <f t="shared" ca="1" si="25"/>
        <v>0</v>
      </c>
      <c r="BG47" s="509">
        <f t="shared" ca="1" si="25"/>
        <v>0</v>
      </c>
      <c r="BH47" s="509">
        <f t="shared" ca="1" si="25"/>
        <v>0</v>
      </c>
      <c r="BI47" s="509">
        <f t="shared" ca="1" si="25"/>
        <v>0</v>
      </c>
      <c r="BJ47" s="509">
        <f t="shared" ca="1" si="25"/>
        <v>0</v>
      </c>
      <c r="BK47" s="509">
        <f t="shared" ca="1" si="25"/>
        <v>0</v>
      </c>
      <c r="BL47" s="509">
        <f t="shared" ca="1" si="25"/>
        <v>0</v>
      </c>
      <c r="BM47" s="509">
        <f t="shared" ca="1" si="27"/>
        <v>0</v>
      </c>
      <c r="BN47" s="509">
        <f t="shared" ca="1" si="27"/>
        <v>0</v>
      </c>
      <c r="BO47" s="509">
        <f t="shared" ca="1" si="27"/>
        <v>0</v>
      </c>
      <c r="BP47" s="509">
        <f t="shared" ca="1" si="27"/>
        <v>0</v>
      </c>
      <c r="BQ47" s="509">
        <f t="shared" ca="1" si="27"/>
        <v>0</v>
      </c>
      <c r="BR47" s="509">
        <f t="shared" ca="1" si="27"/>
        <v>0</v>
      </c>
      <c r="BS47" s="509">
        <f t="shared" ca="1" si="27"/>
        <v>0</v>
      </c>
      <c r="BT47" s="509">
        <f t="shared" ca="1" si="27"/>
        <v>0</v>
      </c>
      <c r="BU47" s="509">
        <f t="shared" ca="1" si="27"/>
        <v>0</v>
      </c>
      <c r="BV47" s="509">
        <f t="shared" ca="1" si="27"/>
        <v>0</v>
      </c>
      <c r="BW47" s="509">
        <f t="shared" ca="1" si="27"/>
        <v>0</v>
      </c>
      <c r="BX47" s="509">
        <f t="shared" ca="1" si="27"/>
        <v>0</v>
      </c>
      <c r="BY47" s="509">
        <f t="shared" ca="1" si="27"/>
        <v>0</v>
      </c>
      <c r="BZ47" s="509">
        <f t="shared" ca="1" si="27"/>
        <v>0</v>
      </c>
      <c r="CA47" s="509">
        <f t="shared" ca="1" si="27"/>
        <v>0</v>
      </c>
      <c r="CB47" s="509">
        <f t="shared" ca="1" si="27"/>
        <v>0</v>
      </c>
      <c r="CC47" s="509">
        <f t="shared" ca="1" si="28"/>
        <v>0</v>
      </c>
      <c r="CD47" s="509">
        <f t="shared" ca="1" si="28"/>
        <v>0</v>
      </c>
      <c r="CE47" s="509">
        <f t="shared" ca="1" si="28"/>
        <v>0</v>
      </c>
      <c r="CF47" s="509">
        <f t="shared" ca="1" si="28"/>
        <v>0</v>
      </c>
      <c r="CG47" s="507"/>
      <c r="CH47" s="507"/>
    </row>
    <row r="48" spans="1:86">
      <c r="A48" s="159" t="str">
        <f>IF(OR(A47=Abandonment!$B$4,A47=""),"",'Success Cash Flow'!A47+1)</f>
        <v/>
      </c>
      <c r="B48" s="257">
        <f>Revenue!S49</f>
        <v>0</v>
      </c>
      <c r="C48" s="257">
        <f>Revenue!T49</f>
        <v>0</v>
      </c>
      <c r="D48" s="257">
        <f>Revenue!U49</f>
        <v>0</v>
      </c>
      <c r="E48" s="257">
        <f t="shared" si="18"/>
        <v>0</v>
      </c>
      <c r="F48" s="257">
        <f>Exploration!X73</f>
        <v>0</v>
      </c>
      <c r="G48" s="257">
        <f>Development!BX129</f>
        <v>0</v>
      </c>
      <c r="H48" s="257">
        <f>Abandonment!K54</f>
        <v>0</v>
      </c>
      <c r="I48" s="257">
        <f>Operations!P57</f>
        <v>0</v>
      </c>
      <c r="J48" s="257">
        <f t="shared" si="9"/>
        <v>0</v>
      </c>
      <c r="K48" s="257">
        <f t="shared" si="10"/>
        <v>0</v>
      </c>
      <c r="L48" s="257">
        <f>Royalty!AM50*Development!$BP$88</f>
        <v>0</v>
      </c>
      <c r="M48" s="257">
        <f>'Provincial Tax'!X48*Development!$BP$88</f>
        <v>0</v>
      </c>
      <c r="N48" s="257">
        <f>'Federal Tax'!X49*Development!$BP$88</f>
        <v>0</v>
      </c>
      <c r="O48" s="257">
        <f t="shared" si="11"/>
        <v>0</v>
      </c>
      <c r="P48" s="257">
        <f t="shared" si="12"/>
        <v>0</v>
      </c>
      <c r="Q48" s="217"/>
      <c r="R48" s="217"/>
      <c r="S48" s="500"/>
      <c r="T48" s="500"/>
      <c r="U48" s="500"/>
      <c r="V48" s="500"/>
      <c r="W48" s="500"/>
      <c r="X48" s="500"/>
      <c r="Y48" s="496"/>
      <c r="Z48" s="496"/>
      <c r="AA48" s="496"/>
      <c r="AB48" s="496"/>
      <c r="AC48" s="501">
        <f>IF(Thresholds!$E$1=Lists!$A$8,Exploration!U73,IF(Thresholds!$E$1=Lists!$A$9,Exploration!V73,IF(Thresholds!$E$1=Lists!$A$10,Exploration!W73,IF(Thresholds!$E$1=Lists!$A$11,Development!AV129,Development!BE129-Development!AV129))))</f>
        <v>0</v>
      </c>
      <c r="AD48" s="501">
        <f t="shared" si="13"/>
        <v>0</v>
      </c>
      <c r="AE48" s="501"/>
      <c r="AF48" s="513"/>
      <c r="AG48" s="509">
        <f t="shared" ca="1" si="26"/>
        <v>0</v>
      </c>
      <c r="AH48" s="509">
        <f t="shared" ca="1" si="26"/>
        <v>0</v>
      </c>
      <c r="AI48" s="509">
        <f t="shared" ca="1" si="26"/>
        <v>0</v>
      </c>
      <c r="AJ48" s="509">
        <f t="shared" ca="1" si="26"/>
        <v>0</v>
      </c>
      <c r="AK48" s="509">
        <f t="shared" ca="1" si="26"/>
        <v>0</v>
      </c>
      <c r="AL48" s="509">
        <f t="shared" ca="1" si="26"/>
        <v>0</v>
      </c>
      <c r="AM48" s="509">
        <f t="shared" ca="1" si="26"/>
        <v>0</v>
      </c>
      <c r="AN48" s="509">
        <f t="shared" ca="1" si="26"/>
        <v>0</v>
      </c>
      <c r="AO48" s="509">
        <f t="shared" ca="1" si="26"/>
        <v>0</v>
      </c>
      <c r="AP48" s="509">
        <f t="shared" ca="1" si="26"/>
        <v>0</v>
      </c>
      <c r="AQ48" s="509">
        <f t="shared" ca="1" si="26"/>
        <v>0</v>
      </c>
      <c r="AR48" s="509">
        <f t="shared" ca="1" si="26"/>
        <v>0</v>
      </c>
      <c r="AS48" s="509">
        <f t="shared" ca="1" si="26"/>
        <v>0</v>
      </c>
      <c r="AT48" s="509">
        <f t="shared" ca="1" si="26"/>
        <v>0</v>
      </c>
      <c r="AU48" s="509">
        <f t="shared" ca="1" si="26"/>
        <v>0</v>
      </c>
      <c r="AV48" s="509">
        <f t="shared" ca="1" si="26"/>
        <v>0</v>
      </c>
      <c r="AW48" s="509">
        <f t="shared" ca="1" si="25"/>
        <v>0</v>
      </c>
      <c r="AX48" s="509">
        <f t="shared" ca="1" si="25"/>
        <v>0</v>
      </c>
      <c r="AY48" s="509">
        <f t="shared" ca="1" si="25"/>
        <v>0</v>
      </c>
      <c r="AZ48" s="509">
        <f t="shared" ca="1" si="25"/>
        <v>0</v>
      </c>
      <c r="BA48" s="509">
        <f t="shared" ca="1" si="25"/>
        <v>0</v>
      </c>
      <c r="BB48" s="509">
        <f t="shared" ca="1" si="25"/>
        <v>0</v>
      </c>
      <c r="BC48" s="509">
        <f t="shared" ca="1" si="25"/>
        <v>0</v>
      </c>
      <c r="BD48" s="509">
        <f t="shared" ca="1" si="25"/>
        <v>0</v>
      </c>
      <c r="BE48" s="509">
        <f t="shared" ca="1" si="25"/>
        <v>0</v>
      </c>
      <c r="BF48" s="509">
        <f t="shared" ca="1" si="25"/>
        <v>0</v>
      </c>
      <c r="BG48" s="509">
        <f t="shared" ca="1" si="25"/>
        <v>0</v>
      </c>
      <c r="BH48" s="509">
        <f t="shared" ca="1" si="25"/>
        <v>0</v>
      </c>
      <c r="BI48" s="509">
        <f t="shared" ca="1" si="25"/>
        <v>0</v>
      </c>
      <c r="BJ48" s="509">
        <f t="shared" ca="1" si="25"/>
        <v>0</v>
      </c>
      <c r="BK48" s="509">
        <f t="shared" ca="1" si="25"/>
        <v>0</v>
      </c>
      <c r="BL48" s="509">
        <f t="shared" ca="1" si="25"/>
        <v>0</v>
      </c>
      <c r="BM48" s="509">
        <f t="shared" ca="1" si="27"/>
        <v>0</v>
      </c>
      <c r="BN48" s="509">
        <f t="shared" ca="1" si="27"/>
        <v>0</v>
      </c>
      <c r="BO48" s="509">
        <f t="shared" ca="1" si="27"/>
        <v>0</v>
      </c>
      <c r="BP48" s="509">
        <f t="shared" ca="1" si="27"/>
        <v>0</v>
      </c>
      <c r="BQ48" s="509">
        <f t="shared" ca="1" si="27"/>
        <v>0</v>
      </c>
      <c r="BR48" s="509">
        <f t="shared" ca="1" si="27"/>
        <v>0</v>
      </c>
      <c r="BS48" s="509">
        <f t="shared" ca="1" si="27"/>
        <v>0</v>
      </c>
      <c r="BT48" s="509">
        <f t="shared" ca="1" si="27"/>
        <v>0</v>
      </c>
      <c r="BU48" s="509">
        <f t="shared" ca="1" si="27"/>
        <v>0</v>
      </c>
      <c r="BV48" s="509">
        <f t="shared" ca="1" si="27"/>
        <v>0</v>
      </c>
      <c r="BW48" s="509">
        <f t="shared" ca="1" si="27"/>
        <v>0</v>
      </c>
      <c r="BX48" s="509">
        <f t="shared" ca="1" si="27"/>
        <v>0</v>
      </c>
      <c r="BY48" s="509">
        <f t="shared" ca="1" si="27"/>
        <v>0</v>
      </c>
      <c r="BZ48" s="509">
        <f t="shared" ca="1" si="27"/>
        <v>0</v>
      </c>
      <c r="CA48" s="509">
        <f t="shared" ca="1" si="27"/>
        <v>0</v>
      </c>
      <c r="CB48" s="509">
        <f t="shared" ca="1" si="27"/>
        <v>0</v>
      </c>
      <c r="CC48" s="509">
        <f t="shared" ca="1" si="28"/>
        <v>0</v>
      </c>
      <c r="CD48" s="509">
        <f t="shared" ca="1" si="28"/>
        <v>0</v>
      </c>
      <c r="CE48" s="509">
        <f t="shared" ca="1" si="28"/>
        <v>0</v>
      </c>
      <c r="CF48" s="509">
        <f t="shared" ca="1" si="28"/>
        <v>0</v>
      </c>
      <c r="CG48" s="507"/>
      <c r="CH48" s="507"/>
    </row>
    <row r="49" spans="1:86">
      <c r="A49" s="159" t="str">
        <f>IF(OR(A48=Abandonment!$B$4,A48=""),"",'Success Cash Flow'!A48+1)</f>
        <v/>
      </c>
      <c r="B49" s="257">
        <f>Revenue!S50</f>
        <v>0</v>
      </c>
      <c r="C49" s="257">
        <f>Revenue!T50</f>
        <v>0</v>
      </c>
      <c r="D49" s="257">
        <f>Revenue!U50</f>
        <v>0</v>
      </c>
      <c r="E49" s="257">
        <f t="shared" si="18"/>
        <v>0</v>
      </c>
      <c r="F49" s="257">
        <f>Exploration!X74</f>
        <v>0</v>
      </c>
      <c r="G49" s="257">
        <f>Development!BX130</f>
        <v>0</v>
      </c>
      <c r="H49" s="257">
        <f>Abandonment!K55</f>
        <v>0</v>
      </c>
      <c r="I49" s="257">
        <f>Operations!P58</f>
        <v>0</v>
      </c>
      <c r="J49" s="257">
        <f t="shared" si="9"/>
        <v>0</v>
      </c>
      <c r="K49" s="257">
        <f t="shared" si="10"/>
        <v>0</v>
      </c>
      <c r="L49" s="257">
        <f>Royalty!AM51*Development!$BP$88</f>
        <v>0</v>
      </c>
      <c r="M49" s="257">
        <f>'Provincial Tax'!X49*Development!$BP$88</f>
        <v>0</v>
      </c>
      <c r="N49" s="257">
        <f>'Federal Tax'!X50*Development!$BP$88</f>
        <v>0</v>
      </c>
      <c r="O49" s="257">
        <f t="shared" si="11"/>
        <v>0</v>
      </c>
      <c r="P49" s="257">
        <f t="shared" si="12"/>
        <v>0</v>
      </c>
      <c r="Q49" s="217"/>
      <c r="R49" s="217"/>
      <c r="S49" s="500"/>
      <c r="T49" s="500"/>
      <c r="U49" s="500"/>
      <c r="V49" s="500"/>
      <c r="W49" s="500"/>
      <c r="X49" s="500"/>
      <c r="Y49" s="496"/>
      <c r="Z49" s="496"/>
      <c r="AA49" s="496"/>
      <c r="AB49" s="496"/>
      <c r="AC49" s="501">
        <f>IF(Thresholds!$E$1=Lists!$A$8,Exploration!U74,IF(Thresholds!$E$1=Lists!$A$9,Exploration!V74,IF(Thresholds!$E$1=Lists!$A$10,Exploration!W74,IF(Thresholds!$E$1=Lists!$A$11,Development!AV130,Development!BE130-Development!AV130))))</f>
        <v>0</v>
      </c>
      <c r="AD49" s="501">
        <f t="shared" si="13"/>
        <v>0</v>
      </c>
      <c r="AE49" s="501"/>
      <c r="AF49" s="513"/>
      <c r="AG49" s="509">
        <f t="shared" ca="1" si="26"/>
        <v>0</v>
      </c>
      <c r="AH49" s="509">
        <f t="shared" ca="1" si="26"/>
        <v>0</v>
      </c>
      <c r="AI49" s="509">
        <f t="shared" ca="1" si="26"/>
        <v>0</v>
      </c>
      <c r="AJ49" s="509">
        <f t="shared" ca="1" si="26"/>
        <v>0</v>
      </c>
      <c r="AK49" s="509">
        <f t="shared" ca="1" si="26"/>
        <v>0</v>
      </c>
      <c r="AL49" s="509">
        <f t="shared" ca="1" si="26"/>
        <v>0</v>
      </c>
      <c r="AM49" s="509">
        <f t="shared" ca="1" si="26"/>
        <v>0</v>
      </c>
      <c r="AN49" s="509">
        <f t="shared" ca="1" si="26"/>
        <v>0</v>
      </c>
      <c r="AO49" s="509">
        <f t="shared" ca="1" si="26"/>
        <v>0</v>
      </c>
      <c r="AP49" s="509">
        <f t="shared" ca="1" si="26"/>
        <v>0</v>
      </c>
      <c r="AQ49" s="509">
        <f t="shared" ca="1" si="26"/>
        <v>0</v>
      </c>
      <c r="AR49" s="509">
        <f t="shared" ca="1" si="26"/>
        <v>0</v>
      </c>
      <c r="AS49" s="509">
        <f t="shared" ca="1" si="26"/>
        <v>0</v>
      </c>
      <c r="AT49" s="509">
        <f t="shared" ca="1" si="26"/>
        <v>0</v>
      </c>
      <c r="AU49" s="509">
        <f t="shared" ca="1" si="26"/>
        <v>0</v>
      </c>
      <c r="AV49" s="509">
        <f t="shared" ca="1" si="26"/>
        <v>0</v>
      </c>
      <c r="AW49" s="509">
        <f t="shared" ca="1" si="25"/>
        <v>0</v>
      </c>
      <c r="AX49" s="509">
        <f t="shared" ca="1" si="25"/>
        <v>0</v>
      </c>
      <c r="AY49" s="509">
        <f t="shared" ca="1" si="25"/>
        <v>0</v>
      </c>
      <c r="AZ49" s="509">
        <f t="shared" ca="1" si="25"/>
        <v>0</v>
      </c>
      <c r="BA49" s="509">
        <f t="shared" ca="1" si="25"/>
        <v>0</v>
      </c>
      <c r="BB49" s="509">
        <f t="shared" ca="1" si="25"/>
        <v>0</v>
      </c>
      <c r="BC49" s="509">
        <f t="shared" ca="1" si="25"/>
        <v>0</v>
      </c>
      <c r="BD49" s="509">
        <f t="shared" ca="1" si="25"/>
        <v>0</v>
      </c>
      <c r="BE49" s="509">
        <f t="shared" ca="1" si="25"/>
        <v>0</v>
      </c>
      <c r="BF49" s="509">
        <f t="shared" ca="1" si="25"/>
        <v>0</v>
      </c>
      <c r="BG49" s="509">
        <f t="shared" ca="1" si="25"/>
        <v>0</v>
      </c>
      <c r="BH49" s="509">
        <f t="shared" ca="1" si="25"/>
        <v>0</v>
      </c>
      <c r="BI49" s="509">
        <f t="shared" ca="1" si="25"/>
        <v>0</v>
      </c>
      <c r="BJ49" s="509">
        <f t="shared" ca="1" si="25"/>
        <v>0</v>
      </c>
      <c r="BK49" s="509">
        <f t="shared" ca="1" si="25"/>
        <v>0</v>
      </c>
      <c r="BL49" s="509">
        <f t="shared" ca="1" si="25"/>
        <v>0</v>
      </c>
      <c r="BM49" s="509">
        <f t="shared" ca="1" si="27"/>
        <v>0</v>
      </c>
      <c r="BN49" s="509">
        <f t="shared" ca="1" si="27"/>
        <v>0</v>
      </c>
      <c r="BO49" s="509">
        <f t="shared" ca="1" si="27"/>
        <v>0</v>
      </c>
      <c r="BP49" s="509">
        <f t="shared" ca="1" si="27"/>
        <v>0</v>
      </c>
      <c r="BQ49" s="509">
        <f t="shared" ca="1" si="27"/>
        <v>0</v>
      </c>
      <c r="BR49" s="509">
        <f t="shared" ca="1" si="27"/>
        <v>0</v>
      </c>
      <c r="BS49" s="509">
        <f t="shared" ca="1" si="27"/>
        <v>0</v>
      </c>
      <c r="BT49" s="509">
        <f t="shared" ca="1" si="27"/>
        <v>0</v>
      </c>
      <c r="BU49" s="509">
        <f t="shared" ca="1" si="27"/>
        <v>0</v>
      </c>
      <c r="BV49" s="509">
        <f t="shared" ca="1" si="27"/>
        <v>0</v>
      </c>
      <c r="BW49" s="509">
        <f t="shared" ca="1" si="27"/>
        <v>0</v>
      </c>
      <c r="BX49" s="509">
        <f t="shared" ca="1" si="27"/>
        <v>0</v>
      </c>
      <c r="BY49" s="509">
        <f t="shared" ca="1" si="27"/>
        <v>0</v>
      </c>
      <c r="BZ49" s="509">
        <f t="shared" ca="1" si="27"/>
        <v>0</v>
      </c>
      <c r="CA49" s="509">
        <f t="shared" ca="1" si="27"/>
        <v>0</v>
      </c>
      <c r="CB49" s="509">
        <f t="shared" ca="1" si="27"/>
        <v>0</v>
      </c>
      <c r="CC49" s="509">
        <f t="shared" ca="1" si="28"/>
        <v>0</v>
      </c>
      <c r="CD49" s="509">
        <f t="shared" ca="1" si="28"/>
        <v>0</v>
      </c>
      <c r="CE49" s="509">
        <f t="shared" ca="1" si="28"/>
        <v>0</v>
      </c>
      <c r="CF49" s="509">
        <f t="shared" ca="1" si="28"/>
        <v>0</v>
      </c>
      <c r="CG49" s="507"/>
      <c r="CH49" s="507"/>
    </row>
    <row r="50" spans="1:86">
      <c r="A50" s="161"/>
      <c r="B50" s="161"/>
      <c r="C50" s="161"/>
      <c r="D50" s="259">
        <f>Revenue!U51</f>
        <v>0</v>
      </c>
      <c r="E50" s="161"/>
      <c r="F50" s="161"/>
      <c r="G50" s="161"/>
      <c r="H50" s="161"/>
      <c r="I50" s="272"/>
      <c r="J50" s="161"/>
      <c r="K50" s="161"/>
      <c r="L50" s="161"/>
      <c r="M50" s="272"/>
      <c r="N50" s="272"/>
      <c r="O50" s="161"/>
      <c r="P50" s="161"/>
      <c r="Q50" s="167"/>
      <c r="R50" s="167"/>
      <c r="S50" s="506"/>
      <c r="T50" s="506"/>
      <c r="U50" s="506"/>
      <c r="V50" s="506"/>
      <c r="W50" s="506"/>
      <c r="X50" s="506"/>
      <c r="Y50" s="496"/>
      <c r="Z50" s="496"/>
      <c r="AA50" s="496"/>
      <c r="AB50" s="496"/>
      <c r="AC50" s="501"/>
      <c r="AD50" s="501"/>
      <c r="AE50" s="501"/>
      <c r="AF50" s="513"/>
      <c r="AG50" s="509"/>
      <c r="AH50" s="509"/>
      <c r="AI50" s="509"/>
      <c r="AJ50" s="509"/>
      <c r="AK50" s="509"/>
      <c r="AL50" s="509"/>
      <c r="AM50" s="509"/>
      <c r="AN50" s="509"/>
      <c r="AO50" s="509"/>
      <c r="AP50" s="509"/>
      <c r="AQ50" s="509"/>
      <c r="AR50" s="509"/>
      <c r="AS50" s="509"/>
      <c r="AT50" s="509"/>
      <c r="AU50" s="509"/>
      <c r="AV50" s="509"/>
      <c r="AW50" s="509"/>
      <c r="AX50" s="509"/>
      <c r="AY50" s="509"/>
      <c r="AZ50" s="509"/>
      <c r="BA50" s="509"/>
      <c r="BB50" s="509"/>
      <c r="BC50" s="509"/>
      <c r="BD50" s="509"/>
      <c r="BE50" s="509"/>
      <c r="BF50" s="509"/>
      <c r="BG50" s="509"/>
      <c r="BH50" s="509"/>
      <c r="BI50" s="509"/>
      <c r="BJ50" s="509"/>
      <c r="BK50" s="509"/>
      <c r="BL50" s="509"/>
      <c r="BM50" s="509"/>
      <c r="BN50" s="509"/>
      <c r="BO50" s="509"/>
      <c r="BP50" s="509"/>
      <c r="BQ50" s="509"/>
      <c r="BR50" s="509"/>
      <c r="BS50" s="509"/>
      <c r="BT50" s="509"/>
      <c r="BU50" s="509"/>
      <c r="BV50" s="509"/>
      <c r="BW50" s="509"/>
      <c r="BX50" s="509"/>
      <c r="BY50" s="509"/>
      <c r="BZ50" s="509"/>
      <c r="CA50" s="509"/>
      <c r="CB50" s="509"/>
      <c r="CC50" s="509"/>
      <c r="CD50" s="509"/>
      <c r="CE50" s="509"/>
      <c r="CF50" s="509"/>
      <c r="CG50" s="507"/>
      <c r="CH50" s="507"/>
    </row>
  </sheetData>
  <sheetProtection algorithmName="SHA-512" hashValue="kW1UtRHPNJQEOKOHeHCxDSfOnea3o3m/8n3+5plQMdvLi4YBWPsGbmAzRZGZzYIDIzx/bDZmkJvXI/MKgHJ1Wg==" saltValue="qxQfEXSuJDbhKpsO8rfwHg==" spinCount="100000" sheet="1" objects="1" scenarios="1"/>
  <hyperlinks>
    <hyperlink ref="H4" location="Abandonment!A1" display="Abandon"/>
    <hyperlink ref="N4" location="'Federal Tax'!A1" display="Federal"/>
    <hyperlink ref="M4" location="'Provincial Tax'!A1" display="Provincial"/>
    <hyperlink ref="L4" location="Royalty!A1" display="Royalty"/>
    <hyperlink ref="I4" location="Operations!A1" display="Operating"/>
    <hyperlink ref="G4" location="Development!A1" display="Capital"/>
    <hyperlink ref="F4" location="Exploration!A1" display="Exploration"/>
    <hyperlink ref="G1" location="Guide" display="Guide"/>
    <hyperlink ref="G2" location="Input" display="Input"/>
  </hyperlinks>
  <pageMargins left="0.7" right="0.7" top="0.75" bottom="0.75" header="0.3" footer="0.3"/>
  <pageSetup paperSize="9" scale="66" fitToWidth="0" orientation="landscape" r:id="rId1"/>
  <headerFooter>
    <oddFooter>&amp;LNova Scotia Exploration Economics Model&amp;Rwww.indeva.com</oddFooter>
  </headerFooter>
  <colBreaks count="1" manualBreakCount="1">
    <brk id="16"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FF00"/>
    <pageSetUpPr fitToPage="1"/>
  </sheetPr>
  <dimension ref="A1:W44"/>
  <sheetViews>
    <sheetView showGridLines="0" showRowColHeaders="0" zoomScaleNormal="100" workbookViewId="0">
      <pane ySplit="1" topLeftCell="A2" activePane="bottomLeft" state="frozen"/>
      <selection activeCell="D43" sqref="D43"/>
      <selection pane="bottomLeft" activeCell="E40" sqref="E40"/>
    </sheetView>
  </sheetViews>
  <sheetFormatPr defaultRowHeight="14.5"/>
  <cols>
    <col min="1" max="1" width="5.1796875" style="4" customWidth="1"/>
    <col min="2" max="2" width="7.1796875" customWidth="1"/>
    <col min="3" max="3" width="14" customWidth="1"/>
    <col min="4" max="4" width="113.81640625" customWidth="1"/>
    <col min="5" max="5" width="19.7265625" customWidth="1"/>
  </cols>
  <sheetData>
    <row r="1" spans="1:23" ht="20.25" customHeight="1">
      <c r="A1" s="380"/>
      <c r="B1" s="441" t="s">
        <v>776</v>
      </c>
      <c r="C1" s="441" t="s">
        <v>790</v>
      </c>
      <c r="D1" s="442" t="s">
        <v>777</v>
      </c>
      <c r="E1" s="443" t="s">
        <v>774</v>
      </c>
      <c r="F1" s="380"/>
      <c r="G1" s="380"/>
      <c r="H1" s="380"/>
      <c r="I1" s="380"/>
      <c r="J1" s="380"/>
      <c r="K1" s="380"/>
      <c r="L1" s="380"/>
      <c r="M1" s="380"/>
      <c r="N1" s="380"/>
      <c r="O1" s="380"/>
      <c r="P1" s="380"/>
      <c r="Q1" s="380"/>
      <c r="R1" s="380"/>
      <c r="S1" s="380"/>
      <c r="T1" s="380"/>
      <c r="U1" s="380"/>
      <c r="V1" s="380"/>
      <c r="W1" s="380"/>
    </row>
    <row r="2" spans="1:23" ht="91.5" customHeight="1">
      <c r="A2" s="380"/>
      <c r="B2" s="444">
        <v>1</v>
      </c>
      <c r="C2" s="444" t="s">
        <v>766</v>
      </c>
      <c r="D2" s="445" t="s">
        <v>838</v>
      </c>
      <c r="E2" s="446"/>
      <c r="F2" s="380"/>
      <c r="G2" s="380"/>
      <c r="H2" s="380"/>
      <c r="I2" s="380"/>
      <c r="J2" s="380"/>
      <c r="K2" s="380"/>
      <c r="L2" s="380"/>
      <c r="M2" s="380"/>
      <c r="N2" s="380"/>
      <c r="O2" s="380"/>
      <c r="P2" s="380"/>
      <c r="Q2" s="380"/>
      <c r="R2" s="380"/>
      <c r="S2" s="380"/>
      <c r="T2" s="380"/>
      <c r="U2" s="380"/>
      <c r="V2" s="380"/>
      <c r="W2" s="380"/>
    </row>
    <row r="3" spans="1:23" ht="21.75" customHeight="1">
      <c r="A3" s="380"/>
      <c r="B3" s="520" t="s">
        <v>791</v>
      </c>
      <c r="C3" s="521"/>
      <c r="D3" s="521"/>
      <c r="E3" s="522"/>
      <c r="F3" s="380"/>
      <c r="G3" s="380"/>
      <c r="H3" s="380"/>
      <c r="I3" s="380"/>
      <c r="J3" s="380"/>
      <c r="K3" s="380"/>
      <c r="L3" s="380"/>
      <c r="M3" s="380"/>
      <c r="N3" s="380"/>
      <c r="O3" s="380"/>
      <c r="P3" s="380"/>
      <c r="Q3" s="380"/>
      <c r="R3" s="380"/>
      <c r="S3" s="380"/>
      <c r="T3" s="380"/>
      <c r="U3" s="380"/>
      <c r="V3" s="380"/>
      <c r="W3" s="380"/>
    </row>
    <row r="4" spans="1:23" ht="68.25" customHeight="1">
      <c r="A4" s="380"/>
      <c r="B4" s="444">
        <f>B2+1</f>
        <v>2</v>
      </c>
      <c r="C4" s="447" t="s">
        <v>792</v>
      </c>
      <c r="D4" s="448" t="s">
        <v>907</v>
      </c>
      <c r="E4" s="449" t="s">
        <v>143</v>
      </c>
      <c r="F4" s="380"/>
      <c r="G4" s="380"/>
      <c r="H4" s="380"/>
      <c r="I4" s="380"/>
      <c r="J4" s="380"/>
      <c r="K4" s="380"/>
      <c r="L4" s="380"/>
      <c r="M4" s="380"/>
      <c r="N4" s="380"/>
      <c r="O4" s="380"/>
      <c r="P4" s="380"/>
      <c r="Q4" s="380"/>
      <c r="R4" s="380"/>
      <c r="S4" s="380"/>
      <c r="T4" s="380"/>
      <c r="U4" s="380"/>
      <c r="V4" s="380"/>
      <c r="W4" s="380"/>
    </row>
    <row r="5" spans="1:23" ht="41.25" customHeight="1">
      <c r="A5" s="380"/>
      <c r="B5" s="444">
        <f t="shared" ref="B5:B11" si="0">B4+1</f>
        <v>3</v>
      </c>
      <c r="C5" s="447" t="s">
        <v>890</v>
      </c>
      <c r="D5" s="450" t="s">
        <v>891</v>
      </c>
      <c r="E5" s="449" t="s">
        <v>892</v>
      </c>
      <c r="F5" s="380"/>
      <c r="G5" s="380"/>
      <c r="H5" s="380"/>
      <c r="I5" s="380"/>
      <c r="J5" s="380"/>
      <c r="K5" s="380"/>
      <c r="L5" s="380"/>
      <c r="M5" s="380"/>
      <c r="N5" s="380"/>
      <c r="O5" s="380"/>
      <c r="P5" s="380"/>
      <c r="Q5" s="380"/>
      <c r="R5" s="380"/>
      <c r="S5" s="380"/>
      <c r="T5" s="380"/>
      <c r="U5" s="380"/>
      <c r="V5" s="380"/>
      <c r="W5" s="380"/>
    </row>
    <row r="6" spans="1:23" ht="51.75" customHeight="1">
      <c r="A6" s="380"/>
      <c r="B6" s="444">
        <f t="shared" si="0"/>
        <v>4</v>
      </c>
      <c r="C6" s="447" t="s">
        <v>793</v>
      </c>
      <c r="D6" s="445" t="s">
        <v>903</v>
      </c>
      <c r="E6" s="449" t="s">
        <v>143</v>
      </c>
      <c r="F6" s="380"/>
      <c r="G6" s="380"/>
      <c r="H6" s="380"/>
      <c r="I6" s="380"/>
      <c r="J6" s="380"/>
      <c r="K6" s="380"/>
      <c r="L6" s="380"/>
      <c r="M6" s="380"/>
      <c r="N6" s="380"/>
      <c r="O6" s="380"/>
      <c r="P6" s="380"/>
      <c r="Q6" s="380"/>
      <c r="R6" s="380"/>
      <c r="S6" s="380"/>
      <c r="T6" s="380"/>
      <c r="U6" s="380"/>
      <c r="V6" s="380"/>
      <c r="W6" s="380"/>
    </row>
    <row r="7" spans="1:23" ht="45.75" customHeight="1">
      <c r="A7" s="380"/>
      <c r="B7" s="444">
        <f t="shared" si="0"/>
        <v>5</v>
      </c>
      <c r="C7" s="447" t="s">
        <v>387</v>
      </c>
      <c r="D7" s="448" t="s">
        <v>837</v>
      </c>
      <c r="E7" s="449" t="s">
        <v>811</v>
      </c>
      <c r="F7" s="380"/>
      <c r="G7" s="380"/>
      <c r="H7" s="380"/>
      <c r="I7" s="380"/>
      <c r="J7" s="380"/>
      <c r="K7" s="380"/>
      <c r="L7" s="380"/>
      <c r="M7" s="380"/>
      <c r="N7" s="380"/>
      <c r="O7" s="380"/>
      <c r="P7" s="380"/>
      <c r="Q7" s="380"/>
      <c r="R7" s="380"/>
      <c r="S7" s="380"/>
      <c r="T7" s="380"/>
      <c r="U7" s="380"/>
      <c r="V7" s="380"/>
      <c r="W7" s="380"/>
    </row>
    <row r="8" spans="1:23" ht="41.25" customHeight="1">
      <c r="A8" s="380"/>
      <c r="B8" s="444">
        <f t="shared" si="0"/>
        <v>6</v>
      </c>
      <c r="C8" s="447" t="s">
        <v>794</v>
      </c>
      <c r="D8" s="445" t="s">
        <v>809</v>
      </c>
      <c r="E8" s="449" t="s">
        <v>794</v>
      </c>
      <c r="F8" s="380"/>
      <c r="G8" s="380"/>
      <c r="H8" s="380"/>
      <c r="I8" s="380"/>
      <c r="J8" s="380"/>
      <c r="K8" s="380"/>
      <c r="L8" s="380"/>
      <c r="M8" s="380"/>
      <c r="N8" s="380"/>
      <c r="O8" s="380"/>
      <c r="P8" s="380"/>
      <c r="Q8" s="380"/>
      <c r="R8" s="380"/>
      <c r="S8" s="380"/>
      <c r="T8" s="380"/>
      <c r="U8" s="380"/>
      <c r="V8" s="380"/>
      <c r="W8" s="380"/>
    </row>
    <row r="9" spans="1:23" ht="57.75" customHeight="1">
      <c r="A9" s="380"/>
      <c r="B9" s="444">
        <f t="shared" si="0"/>
        <v>7</v>
      </c>
      <c r="C9" s="447" t="s">
        <v>0</v>
      </c>
      <c r="D9" s="448" t="s">
        <v>812</v>
      </c>
      <c r="E9" s="449" t="s">
        <v>0</v>
      </c>
      <c r="F9" s="380"/>
      <c r="G9" s="380"/>
      <c r="H9" s="380"/>
      <c r="I9" s="380"/>
      <c r="J9" s="380"/>
      <c r="K9" s="380"/>
      <c r="L9" s="380"/>
      <c r="M9" s="380"/>
      <c r="N9" s="380"/>
      <c r="O9" s="380"/>
      <c r="P9" s="380"/>
      <c r="Q9" s="380"/>
      <c r="R9" s="380"/>
      <c r="S9" s="380"/>
      <c r="T9" s="380"/>
      <c r="U9" s="380"/>
      <c r="V9" s="380"/>
      <c r="W9" s="380"/>
    </row>
    <row r="10" spans="1:23" ht="28.5" customHeight="1">
      <c r="A10" s="380"/>
      <c r="B10" s="444">
        <f t="shared" si="0"/>
        <v>8</v>
      </c>
      <c r="C10" s="447" t="s">
        <v>795</v>
      </c>
      <c r="D10" s="445" t="s">
        <v>908</v>
      </c>
      <c r="E10" s="449" t="s">
        <v>810</v>
      </c>
      <c r="F10" s="380"/>
      <c r="G10" s="380"/>
      <c r="H10" s="380"/>
      <c r="I10" s="380"/>
      <c r="J10" s="380"/>
      <c r="K10" s="380"/>
      <c r="L10" s="380"/>
      <c r="M10" s="380"/>
      <c r="N10" s="380"/>
      <c r="O10" s="380"/>
      <c r="P10" s="380"/>
      <c r="Q10" s="380"/>
      <c r="R10" s="380"/>
      <c r="S10" s="380"/>
      <c r="T10" s="380"/>
      <c r="U10" s="380"/>
      <c r="V10" s="380"/>
      <c r="W10" s="380"/>
    </row>
    <row r="11" spans="1:23" ht="17.25" customHeight="1">
      <c r="A11" s="380"/>
      <c r="B11" s="444">
        <f t="shared" si="0"/>
        <v>9</v>
      </c>
      <c r="C11" s="447" t="s">
        <v>835</v>
      </c>
      <c r="D11" s="450" t="s">
        <v>836</v>
      </c>
      <c r="E11" s="449" t="s">
        <v>834</v>
      </c>
      <c r="F11" s="380"/>
      <c r="G11" s="380"/>
      <c r="H11" s="380"/>
      <c r="I11" s="380"/>
      <c r="J11" s="380"/>
      <c r="K11" s="380"/>
      <c r="L11" s="380"/>
      <c r="M11" s="380"/>
      <c r="N11" s="380"/>
      <c r="O11" s="380"/>
      <c r="P11" s="380"/>
      <c r="Q11" s="380"/>
      <c r="R11" s="380"/>
      <c r="S11" s="380"/>
      <c r="T11" s="380"/>
      <c r="U11" s="380"/>
      <c r="V11" s="380"/>
      <c r="W11" s="380"/>
    </row>
    <row r="12" spans="1:23" ht="22.5" customHeight="1">
      <c r="A12" s="380"/>
      <c r="B12" s="523" t="s">
        <v>796</v>
      </c>
      <c r="C12" s="524"/>
      <c r="D12" s="524"/>
      <c r="E12" s="525"/>
      <c r="F12" s="380"/>
      <c r="G12" s="380"/>
      <c r="H12" s="380"/>
      <c r="I12" s="380"/>
      <c r="J12" s="380"/>
      <c r="K12" s="380"/>
      <c r="L12" s="380"/>
      <c r="M12" s="380"/>
      <c r="N12" s="380"/>
      <c r="O12" s="380"/>
      <c r="P12" s="380"/>
      <c r="Q12" s="380"/>
      <c r="R12" s="380"/>
      <c r="S12" s="380"/>
      <c r="T12" s="380"/>
      <c r="U12" s="380"/>
      <c r="V12" s="380"/>
      <c r="W12" s="380"/>
    </row>
    <row r="13" spans="1:23" ht="68.25" customHeight="1">
      <c r="A13" s="380"/>
      <c r="B13" s="444">
        <f>B10+1</f>
        <v>9</v>
      </c>
      <c r="C13" s="447" t="s">
        <v>796</v>
      </c>
      <c r="D13" s="445" t="s">
        <v>807</v>
      </c>
      <c r="E13" s="446"/>
      <c r="F13" s="380"/>
      <c r="G13" s="380"/>
      <c r="H13" s="380"/>
      <c r="I13" s="380"/>
      <c r="J13" s="380"/>
      <c r="K13" s="380"/>
      <c r="L13" s="380"/>
      <c r="M13" s="380"/>
      <c r="N13" s="380"/>
      <c r="O13" s="380"/>
      <c r="P13" s="380"/>
      <c r="Q13" s="380"/>
      <c r="R13" s="380"/>
      <c r="S13" s="380"/>
      <c r="T13" s="380"/>
      <c r="U13" s="380"/>
      <c r="V13" s="380"/>
      <c r="W13" s="380"/>
    </row>
    <row r="14" spans="1:23" ht="55.5" customHeight="1">
      <c r="A14" s="380"/>
      <c r="B14" s="444">
        <f>B13+1</f>
        <v>10</v>
      </c>
      <c r="C14" s="447" t="s">
        <v>770</v>
      </c>
      <c r="D14" s="448" t="s">
        <v>1064</v>
      </c>
      <c r="E14" s="449" t="s">
        <v>771</v>
      </c>
      <c r="F14" s="380"/>
      <c r="G14" s="380"/>
      <c r="H14" s="380"/>
      <c r="I14" s="380"/>
      <c r="J14" s="380"/>
      <c r="K14" s="380"/>
      <c r="L14" s="380"/>
      <c r="M14" s="380"/>
      <c r="N14" s="380"/>
      <c r="O14" s="380"/>
      <c r="P14" s="380"/>
      <c r="Q14" s="380"/>
      <c r="R14" s="380"/>
      <c r="S14" s="380"/>
      <c r="T14" s="380"/>
      <c r="U14" s="380"/>
      <c r="V14" s="380"/>
      <c r="W14" s="380"/>
    </row>
    <row r="15" spans="1:23" ht="109.5" customHeight="1">
      <c r="A15" s="380"/>
      <c r="B15" s="444">
        <f>B14+1</f>
        <v>11</v>
      </c>
      <c r="C15" s="447" t="s">
        <v>769</v>
      </c>
      <c r="D15" s="451" t="s">
        <v>808</v>
      </c>
      <c r="E15" s="449" t="s">
        <v>41</v>
      </c>
      <c r="F15" s="380"/>
      <c r="G15" s="380"/>
      <c r="H15" s="380"/>
      <c r="I15" s="380"/>
      <c r="J15" s="380"/>
      <c r="K15" s="380"/>
      <c r="L15" s="380"/>
      <c r="M15" s="380"/>
      <c r="N15" s="380"/>
      <c r="O15" s="380"/>
      <c r="P15" s="380"/>
      <c r="Q15" s="380"/>
      <c r="R15" s="380"/>
      <c r="S15" s="380"/>
      <c r="T15" s="380"/>
      <c r="U15" s="380"/>
      <c r="V15" s="380"/>
      <c r="W15" s="380"/>
    </row>
    <row r="16" spans="1:23" ht="42" customHeight="1">
      <c r="A16" s="380"/>
      <c r="B16" s="444">
        <f>B15+1</f>
        <v>12</v>
      </c>
      <c r="C16" s="447" t="s">
        <v>778</v>
      </c>
      <c r="D16" s="452" t="s">
        <v>889</v>
      </c>
      <c r="E16" s="449" t="s">
        <v>781</v>
      </c>
      <c r="F16" s="380"/>
      <c r="G16" s="380"/>
      <c r="H16" s="380"/>
      <c r="I16" s="380"/>
      <c r="J16" s="380"/>
      <c r="K16" s="380"/>
      <c r="L16" s="380"/>
      <c r="M16" s="380"/>
      <c r="N16" s="380"/>
      <c r="O16" s="380"/>
      <c r="P16" s="380"/>
      <c r="Q16" s="380"/>
      <c r="R16" s="380"/>
      <c r="S16" s="380"/>
      <c r="T16" s="380"/>
      <c r="U16" s="380"/>
      <c r="V16" s="380"/>
      <c r="W16" s="380"/>
    </row>
    <row r="17" spans="1:23" ht="84" customHeight="1">
      <c r="A17" s="380"/>
      <c r="B17" s="444">
        <f>B16+1</f>
        <v>13</v>
      </c>
      <c r="C17" s="447" t="s">
        <v>775</v>
      </c>
      <c r="D17" s="451" t="s">
        <v>904</v>
      </c>
      <c r="E17" s="449" t="s">
        <v>296</v>
      </c>
      <c r="F17" s="380"/>
      <c r="G17" s="380"/>
      <c r="H17" s="380"/>
      <c r="I17" s="380"/>
      <c r="J17" s="380"/>
      <c r="K17" s="380"/>
      <c r="L17" s="380"/>
      <c r="M17" s="380"/>
      <c r="N17" s="380"/>
      <c r="O17" s="380"/>
      <c r="P17" s="380"/>
      <c r="Q17" s="380"/>
      <c r="R17" s="380"/>
      <c r="S17" s="380"/>
      <c r="T17" s="380"/>
      <c r="U17" s="380"/>
      <c r="V17" s="380"/>
      <c r="W17" s="380"/>
    </row>
    <row r="18" spans="1:23" ht="35.25" customHeight="1">
      <c r="A18" s="380"/>
      <c r="B18" s="526" t="s">
        <v>797</v>
      </c>
      <c r="C18" s="527"/>
      <c r="D18" s="527"/>
      <c r="E18" s="528"/>
      <c r="F18" s="380"/>
      <c r="G18" s="380"/>
      <c r="H18" s="380"/>
      <c r="I18" s="380"/>
      <c r="J18" s="380"/>
      <c r="K18" s="380"/>
      <c r="L18" s="380"/>
      <c r="M18" s="380"/>
      <c r="N18" s="380"/>
      <c r="O18" s="380"/>
      <c r="P18" s="380"/>
      <c r="Q18" s="380"/>
      <c r="R18" s="380"/>
      <c r="S18" s="380"/>
      <c r="T18" s="380"/>
      <c r="U18" s="380"/>
      <c r="V18" s="380"/>
      <c r="W18" s="380"/>
    </row>
    <row r="19" spans="1:23">
      <c r="A19" s="380"/>
      <c r="B19" s="444">
        <f>B17+1</f>
        <v>14</v>
      </c>
      <c r="C19" s="447" t="s">
        <v>226</v>
      </c>
      <c r="D19" s="452" t="s">
        <v>813</v>
      </c>
      <c r="E19" s="449" t="s">
        <v>226</v>
      </c>
      <c r="F19" s="380"/>
      <c r="G19" s="380"/>
      <c r="H19" s="380"/>
      <c r="I19" s="380"/>
      <c r="J19" s="380"/>
      <c r="K19" s="380"/>
      <c r="L19" s="380"/>
      <c r="M19" s="380"/>
      <c r="N19" s="380"/>
      <c r="O19" s="380"/>
      <c r="P19" s="380"/>
      <c r="Q19" s="380"/>
      <c r="R19" s="380"/>
      <c r="S19" s="380"/>
      <c r="T19" s="380"/>
      <c r="U19" s="380"/>
      <c r="V19" s="380"/>
      <c r="W19" s="380"/>
    </row>
    <row r="20" spans="1:23">
      <c r="A20" s="380"/>
      <c r="B20" s="444">
        <f>B19+1</f>
        <v>15</v>
      </c>
      <c r="C20" s="447" t="s">
        <v>798</v>
      </c>
      <c r="D20" s="451" t="s">
        <v>814</v>
      </c>
      <c r="E20" s="449" t="s">
        <v>798</v>
      </c>
      <c r="F20" s="380"/>
      <c r="G20" s="380"/>
      <c r="H20" s="380"/>
      <c r="I20" s="380"/>
      <c r="J20" s="380"/>
      <c r="K20" s="380"/>
      <c r="L20" s="380"/>
      <c r="M20" s="380"/>
      <c r="N20" s="380"/>
      <c r="O20" s="380"/>
      <c r="P20" s="380"/>
      <c r="Q20" s="380"/>
      <c r="R20" s="380"/>
      <c r="S20" s="380"/>
      <c r="T20" s="380"/>
      <c r="U20" s="380"/>
      <c r="V20" s="380"/>
      <c r="W20" s="380"/>
    </row>
    <row r="21" spans="1:23">
      <c r="A21" s="380"/>
      <c r="B21" s="444">
        <f t="shared" ref="B21:B30" si="1">B20+1</f>
        <v>16</v>
      </c>
      <c r="C21" s="447" t="s">
        <v>799</v>
      </c>
      <c r="D21" s="452" t="s">
        <v>815</v>
      </c>
      <c r="E21" s="449" t="s">
        <v>799</v>
      </c>
      <c r="F21" s="380"/>
      <c r="G21" s="380"/>
      <c r="H21" s="380"/>
      <c r="I21" s="380"/>
      <c r="J21" s="380"/>
      <c r="K21" s="380"/>
      <c r="L21" s="380"/>
      <c r="M21" s="380"/>
      <c r="N21" s="380"/>
      <c r="O21" s="380"/>
      <c r="P21" s="380"/>
      <c r="Q21" s="380"/>
      <c r="R21" s="380"/>
      <c r="S21" s="380"/>
      <c r="T21" s="380"/>
      <c r="U21" s="380"/>
      <c r="V21" s="380"/>
      <c r="W21" s="380"/>
    </row>
    <row r="22" spans="1:23">
      <c r="A22" s="380"/>
      <c r="B22" s="444">
        <f t="shared" si="1"/>
        <v>17</v>
      </c>
      <c r="C22" s="447" t="s">
        <v>15</v>
      </c>
      <c r="D22" s="451" t="s">
        <v>816</v>
      </c>
      <c r="E22" s="449" t="s">
        <v>15</v>
      </c>
      <c r="F22" s="380"/>
      <c r="G22" s="380"/>
      <c r="H22" s="380"/>
      <c r="I22" s="380"/>
      <c r="J22" s="380"/>
      <c r="K22" s="380"/>
      <c r="L22" s="380"/>
      <c r="M22" s="380"/>
      <c r="N22" s="380"/>
      <c r="O22" s="380"/>
      <c r="P22" s="380"/>
      <c r="Q22" s="380"/>
      <c r="R22" s="380"/>
      <c r="S22" s="380"/>
      <c r="T22" s="380"/>
      <c r="U22" s="380"/>
      <c r="V22" s="380"/>
      <c r="W22" s="380"/>
    </row>
    <row r="23" spans="1:23">
      <c r="A23" s="380"/>
      <c r="B23" s="444">
        <f t="shared" si="1"/>
        <v>18</v>
      </c>
      <c r="C23" s="447" t="s">
        <v>134</v>
      </c>
      <c r="D23" s="452" t="s">
        <v>817</v>
      </c>
      <c r="E23" s="449" t="s">
        <v>134</v>
      </c>
      <c r="F23" s="380"/>
      <c r="G23" s="380"/>
      <c r="H23" s="380"/>
      <c r="I23" s="380"/>
      <c r="J23" s="380"/>
      <c r="K23" s="380"/>
      <c r="L23" s="380"/>
      <c r="M23" s="380"/>
      <c r="N23" s="380"/>
      <c r="O23" s="380"/>
      <c r="P23" s="380"/>
      <c r="Q23" s="380"/>
      <c r="R23" s="380"/>
      <c r="S23" s="380"/>
      <c r="T23" s="380"/>
      <c r="U23" s="380"/>
      <c r="V23" s="380"/>
      <c r="W23" s="380"/>
    </row>
    <row r="24" spans="1:23">
      <c r="A24" s="380"/>
      <c r="B24" s="444">
        <f t="shared" si="1"/>
        <v>19</v>
      </c>
      <c r="C24" s="447" t="s">
        <v>19</v>
      </c>
      <c r="D24" s="451" t="s">
        <v>905</v>
      </c>
      <c r="E24" s="449" t="s">
        <v>19</v>
      </c>
      <c r="F24" s="380"/>
      <c r="G24" s="380"/>
      <c r="H24" s="380"/>
      <c r="I24" s="380"/>
      <c r="J24" s="380"/>
      <c r="K24" s="380"/>
      <c r="L24" s="380"/>
      <c r="M24" s="380"/>
      <c r="N24" s="380"/>
      <c r="O24" s="380"/>
      <c r="P24" s="380"/>
      <c r="Q24" s="380"/>
      <c r="R24" s="380"/>
      <c r="S24" s="380"/>
      <c r="T24" s="380"/>
      <c r="U24" s="380"/>
      <c r="V24" s="380"/>
      <c r="W24" s="380"/>
    </row>
    <row r="25" spans="1:23">
      <c r="A25" s="380"/>
      <c r="B25" s="444">
        <f t="shared" si="1"/>
        <v>20</v>
      </c>
      <c r="C25" s="447" t="s">
        <v>38</v>
      </c>
      <c r="D25" s="452" t="s">
        <v>906</v>
      </c>
      <c r="E25" s="449" t="s">
        <v>38</v>
      </c>
      <c r="F25" s="380"/>
      <c r="G25" s="380"/>
      <c r="H25" s="380"/>
      <c r="I25" s="380"/>
      <c r="J25" s="380"/>
      <c r="K25" s="380"/>
      <c r="L25" s="380"/>
      <c r="M25" s="380"/>
      <c r="N25" s="380"/>
      <c r="O25" s="380"/>
      <c r="P25" s="380"/>
      <c r="Q25" s="380"/>
      <c r="R25" s="380"/>
      <c r="S25" s="380"/>
      <c r="T25" s="380"/>
      <c r="U25" s="380"/>
      <c r="V25" s="380"/>
      <c r="W25" s="380"/>
    </row>
    <row r="26" spans="1:23">
      <c r="A26" s="380"/>
      <c r="B26" s="444">
        <f t="shared" si="1"/>
        <v>21</v>
      </c>
      <c r="C26" s="447" t="s">
        <v>800</v>
      </c>
      <c r="D26" s="451" t="s">
        <v>818</v>
      </c>
      <c r="E26" s="449" t="s">
        <v>823</v>
      </c>
      <c r="F26" s="380"/>
      <c r="G26" s="380"/>
      <c r="H26" s="380"/>
      <c r="I26" s="380"/>
      <c r="J26" s="380"/>
      <c r="K26" s="380"/>
      <c r="L26" s="380"/>
      <c r="M26" s="380"/>
      <c r="N26" s="380"/>
      <c r="O26" s="380"/>
      <c r="P26" s="380"/>
      <c r="Q26" s="380"/>
      <c r="R26" s="380"/>
      <c r="S26" s="380"/>
      <c r="T26" s="380"/>
      <c r="U26" s="380"/>
      <c r="V26" s="380"/>
      <c r="W26" s="380"/>
    </row>
    <row r="27" spans="1:23">
      <c r="A27" s="380"/>
      <c r="B27" s="444">
        <f t="shared" si="1"/>
        <v>22</v>
      </c>
      <c r="C27" s="447" t="s">
        <v>801</v>
      </c>
      <c r="D27" s="452" t="s">
        <v>819</v>
      </c>
      <c r="E27" s="449" t="s">
        <v>824</v>
      </c>
      <c r="F27" s="380"/>
      <c r="G27" s="380"/>
      <c r="H27" s="380"/>
      <c r="I27" s="380"/>
      <c r="J27" s="380"/>
      <c r="K27" s="380"/>
      <c r="L27" s="380"/>
      <c r="M27" s="380"/>
      <c r="N27" s="380"/>
      <c r="O27" s="380"/>
      <c r="P27" s="380"/>
      <c r="Q27" s="380"/>
      <c r="R27" s="380"/>
      <c r="S27" s="380"/>
      <c r="T27" s="380"/>
      <c r="U27" s="380"/>
      <c r="V27" s="380"/>
      <c r="W27" s="380"/>
    </row>
    <row r="28" spans="1:23" ht="29">
      <c r="A28" s="380"/>
      <c r="B28" s="444">
        <f t="shared" si="1"/>
        <v>23</v>
      </c>
      <c r="C28" s="447" t="s">
        <v>802</v>
      </c>
      <c r="D28" s="451" t="s">
        <v>820</v>
      </c>
      <c r="E28" s="449" t="s">
        <v>825</v>
      </c>
      <c r="F28" s="380"/>
      <c r="G28" s="380"/>
      <c r="H28" s="380"/>
      <c r="I28" s="380"/>
      <c r="J28" s="380"/>
      <c r="K28" s="380"/>
      <c r="L28" s="380"/>
      <c r="M28" s="380"/>
      <c r="N28" s="380"/>
      <c r="O28" s="380"/>
      <c r="P28" s="380"/>
      <c r="Q28" s="380"/>
      <c r="R28" s="380"/>
      <c r="S28" s="380"/>
      <c r="T28" s="380"/>
      <c r="U28" s="380"/>
      <c r="V28" s="380"/>
      <c r="W28" s="380"/>
    </row>
    <row r="29" spans="1:23" ht="29">
      <c r="A29" s="380"/>
      <c r="B29" s="444">
        <f t="shared" si="1"/>
        <v>24</v>
      </c>
      <c r="C29" s="447" t="s">
        <v>803</v>
      </c>
      <c r="D29" s="452" t="s">
        <v>821</v>
      </c>
      <c r="E29" s="449" t="s">
        <v>826</v>
      </c>
      <c r="F29" s="380"/>
      <c r="G29" s="380"/>
      <c r="H29" s="380"/>
      <c r="I29" s="380"/>
      <c r="J29" s="380"/>
      <c r="K29" s="380"/>
      <c r="L29" s="380"/>
      <c r="M29" s="380"/>
      <c r="N29" s="380"/>
      <c r="O29" s="380"/>
      <c r="P29" s="380"/>
      <c r="Q29" s="380"/>
      <c r="R29" s="380"/>
      <c r="S29" s="380"/>
      <c r="T29" s="380"/>
      <c r="U29" s="380"/>
      <c r="V29" s="380"/>
      <c r="W29" s="380"/>
    </row>
    <row r="30" spans="1:23" ht="29">
      <c r="A30" s="380"/>
      <c r="B30" s="444">
        <f t="shared" si="1"/>
        <v>25</v>
      </c>
      <c r="C30" s="447" t="s">
        <v>804</v>
      </c>
      <c r="D30" s="451" t="s">
        <v>822</v>
      </c>
      <c r="E30" s="449" t="s">
        <v>827</v>
      </c>
      <c r="F30" s="380"/>
      <c r="G30" s="380"/>
      <c r="H30" s="380"/>
      <c r="I30" s="380"/>
      <c r="J30" s="380"/>
      <c r="K30" s="380"/>
      <c r="L30" s="380"/>
      <c r="M30" s="380"/>
      <c r="N30" s="380"/>
      <c r="O30" s="380"/>
      <c r="P30" s="380"/>
      <c r="Q30" s="380"/>
      <c r="R30" s="380"/>
      <c r="S30" s="380"/>
      <c r="T30" s="380"/>
      <c r="U30" s="380"/>
      <c r="V30" s="380"/>
      <c r="W30" s="380"/>
    </row>
    <row r="31" spans="1:23" ht="21">
      <c r="A31" s="380"/>
      <c r="B31" s="529" t="s">
        <v>805</v>
      </c>
      <c r="C31" s="530"/>
      <c r="D31" s="530"/>
      <c r="E31" s="531"/>
      <c r="F31" s="380"/>
      <c r="G31" s="380"/>
      <c r="H31" s="380"/>
      <c r="I31" s="380"/>
      <c r="J31" s="380"/>
      <c r="K31" s="380"/>
      <c r="L31" s="380"/>
      <c r="M31" s="380"/>
      <c r="N31" s="380"/>
      <c r="O31" s="380"/>
      <c r="P31" s="380"/>
      <c r="Q31" s="380"/>
      <c r="R31" s="380"/>
      <c r="S31" s="380"/>
      <c r="T31" s="380"/>
      <c r="U31" s="380"/>
      <c r="V31" s="380"/>
      <c r="W31" s="380"/>
    </row>
    <row r="32" spans="1:23">
      <c r="A32" s="380"/>
      <c r="B32" s="444">
        <f>B30+1</f>
        <v>26</v>
      </c>
      <c r="C32" s="447" t="s">
        <v>806</v>
      </c>
      <c r="D32" s="452" t="s">
        <v>829</v>
      </c>
      <c r="E32" s="449" t="s">
        <v>828</v>
      </c>
      <c r="F32" s="380"/>
      <c r="G32" s="380"/>
      <c r="H32" s="380"/>
      <c r="I32" s="380"/>
      <c r="J32" s="380"/>
      <c r="K32" s="380"/>
      <c r="L32" s="380"/>
      <c r="M32" s="380"/>
      <c r="N32" s="380"/>
      <c r="O32" s="380"/>
      <c r="P32" s="380"/>
      <c r="Q32" s="380"/>
      <c r="R32" s="380"/>
      <c r="S32" s="380"/>
      <c r="T32" s="380"/>
      <c r="U32" s="380"/>
      <c r="V32" s="380"/>
      <c r="W32" s="380"/>
    </row>
    <row r="33" spans="1:23">
      <c r="A33" s="380"/>
      <c r="B33" s="380"/>
      <c r="C33" s="380"/>
      <c r="D33" s="380"/>
      <c r="E33" s="380"/>
      <c r="F33" s="380"/>
      <c r="G33" s="380"/>
      <c r="H33" s="380"/>
      <c r="I33" s="380"/>
      <c r="J33" s="380"/>
      <c r="K33" s="380"/>
      <c r="L33" s="380"/>
      <c r="M33" s="380"/>
      <c r="N33" s="380"/>
      <c r="O33" s="380"/>
      <c r="P33" s="380"/>
      <c r="Q33" s="380"/>
      <c r="R33" s="380"/>
      <c r="S33" s="380"/>
      <c r="T33" s="380"/>
      <c r="U33" s="380"/>
      <c r="V33" s="380"/>
      <c r="W33" s="380"/>
    </row>
    <row r="34" spans="1:23">
      <c r="A34" s="380"/>
      <c r="B34" s="380"/>
      <c r="C34" s="380"/>
      <c r="D34" s="380"/>
      <c r="E34" s="380"/>
      <c r="F34" s="380"/>
      <c r="G34" s="380"/>
      <c r="H34" s="380"/>
      <c r="I34" s="380"/>
      <c r="J34" s="380"/>
      <c r="K34" s="380"/>
      <c r="L34" s="380"/>
      <c r="M34" s="380"/>
      <c r="N34" s="380"/>
      <c r="O34" s="380"/>
      <c r="P34" s="380"/>
      <c r="Q34" s="380"/>
      <c r="R34" s="380"/>
      <c r="S34" s="380"/>
      <c r="T34" s="380"/>
      <c r="U34" s="380"/>
      <c r="V34" s="380"/>
      <c r="W34" s="380"/>
    </row>
    <row r="35" spans="1:23">
      <c r="A35" s="380"/>
      <c r="B35" s="380"/>
      <c r="C35" s="380"/>
      <c r="D35" s="380"/>
      <c r="E35" s="380"/>
      <c r="F35" s="380"/>
      <c r="G35" s="380"/>
      <c r="H35" s="380"/>
      <c r="I35" s="380"/>
      <c r="J35" s="380"/>
      <c r="K35" s="380"/>
      <c r="L35" s="380"/>
      <c r="M35" s="380"/>
      <c r="N35" s="380"/>
      <c r="O35" s="380"/>
      <c r="P35" s="380"/>
      <c r="Q35" s="380"/>
      <c r="R35" s="380"/>
      <c r="S35" s="380"/>
      <c r="T35" s="380"/>
      <c r="U35" s="380"/>
      <c r="V35" s="380"/>
      <c r="W35" s="380"/>
    </row>
    <row r="36" spans="1:23">
      <c r="A36" s="380"/>
      <c r="B36" s="380"/>
      <c r="C36" s="380"/>
      <c r="D36" s="380"/>
      <c r="E36" s="380"/>
      <c r="F36" s="380"/>
      <c r="G36" s="380"/>
      <c r="H36" s="380"/>
      <c r="I36" s="380"/>
      <c r="J36" s="380"/>
      <c r="K36" s="380"/>
      <c r="L36" s="380"/>
      <c r="M36" s="380"/>
      <c r="N36" s="380"/>
      <c r="O36" s="380"/>
      <c r="P36" s="380"/>
      <c r="Q36" s="380"/>
      <c r="R36" s="380"/>
      <c r="S36" s="380"/>
      <c r="T36" s="380"/>
      <c r="U36" s="380"/>
      <c r="V36" s="380"/>
      <c r="W36" s="380"/>
    </row>
    <row r="37" spans="1:23">
      <c r="A37" s="380"/>
      <c r="B37" s="380"/>
      <c r="C37" s="380"/>
      <c r="D37" s="380"/>
      <c r="E37" s="380"/>
      <c r="F37" s="380"/>
      <c r="G37" s="380"/>
      <c r="H37" s="380"/>
      <c r="I37" s="380"/>
      <c r="J37" s="380"/>
      <c r="K37" s="380"/>
      <c r="L37" s="380"/>
      <c r="M37" s="380"/>
      <c r="N37" s="380"/>
      <c r="O37" s="380"/>
      <c r="P37" s="380"/>
      <c r="Q37" s="380"/>
      <c r="R37" s="380"/>
      <c r="S37" s="380"/>
      <c r="T37" s="380"/>
      <c r="U37" s="380"/>
      <c r="V37" s="380"/>
      <c r="W37" s="380"/>
    </row>
    <row r="38" spans="1:23" ht="46.5" customHeight="1">
      <c r="A38" s="380"/>
      <c r="B38" s="380"/>
      <c r="C38" s="453" t="s">
        <v>870</v>
      </c>
      <c r="D38" s="380"/>
      <c r="E38" s="454" t="s">
        <v>871</v>
      </c>
      <c r="F38" s="380"/>
      <c r="G38" s="380"/>
      <c r="H38" s="380"/>
      <c r="I38" s="380"/>
      <c r="J38" s="380"/>
      <c r="K38" s="380"/>
      <c r="L38" s="380"/>
      <c r="M38" s="380"/>
      <c r="N38" s="380"/>
      <c r="O38" s="380"/>
      <c r="P38" s="380"/>
      <c r="Q38" s="380"/>
      <c r="R38" s="380"/>
      <c r="S38" s="380"/>
      <c r="T38" s="380"/>
      <c r="U38" s="380"/>
      <c r="V38" s="380"/>
      <c r="W38" s="380"/>
    </row>
    <row r="39" spans="1:23">
      <c r="A39" s="380"/>
      <c r="B39" s="380"/>
      <c r="C39" s="380"/>
      <c r="D39" s="380"/>
      <c r="E39" s="380"/>
      <c r="F39" s="380"/>
      <c r="G39" s="380"/>
      <c r="H39" s="380"/>
      <c r="I39" s="380"/>
      <c r="J39" s="380"/>
      <c r="K39" s="380"/>
      <c r="L39" s="380"/>
      <c r="M39" s="380"/>
      <c r="N39" s="380"/>
      <c r="O39" s="380"/>
      <c r="P39" s="380"/>
      <c r="Q39" s="380"/>
      <c r="R39" s="380"/>
      <c r="S39" s="380"/>
      <c r="T39" s="380"/>
      <c r="U39" s="380"/>
      <c r="V39" s="380"/>
      <c r="W39" s="380"/>
    </row>
    <row r="40" spans="1:23">
      <c r="A40" s="380"/>
      <c r="B40" s="380"/>
      <c r="C40" s="380"/>
      <c r="D40" s="380"/>
      <c r="E40" s="380"/>
      <c r="F40" s="380"/>
      <c r="G40" s="380"/>
      <c r="H40" s="380"/>
      <c r="I40" s="380"/>
      <c r="J40" s="380"/>
      <c r="K40" s="380"/>
      <c r="L40" s="380"/>
      <c r="M40" s="380"/>
      <c r="N40" s="380"/>
      <c r="O40" s="380"/>
      <c r="P40" s="380"/>
      <c r="Q40" s="380"/>
      <c r="R40" s="380"/>
      <c r="S40" s="380"/>
      <c r="T40" s="380"/>
      <c r="U40" s="380"/>
      <c r="V40" s="380"/>
      <c r="W40" s="380"/>
    </row>
    <row r="41" spans="1:23">
      <c r="A41" s="380"/>
      <c r="B41" s="380"/>
      <c r="C41" s="380"/>
      <c r="D41" s="380"/>
      <c r="E41" s="380"/>
      <c r="F41" s="380"/>
      <c r="G41" s="380"/>
      <c r="H41" s="380"/>
      <c r="I41" s="380"/>
      <c r="J41" s="380"/>
      <c r="K41" s="380"/>
      <c r="L41" s="380"/>
      <c r="M41" s="380"/>
      <c r="N41" s="380"/>
      <c r="O41" s="380"/>
      <c r="P41" s="380"/>
      <c r="Q41" s="380"/>
      <c r="R41" s="380"/>
      <c r="S41" s="380"/>
      <c r="T41" s="380"/>
      <c r="U41" s="380"/>
      <c r="V41" s="380"/>
      <c r="W41" s="380"/>
    </row>
    <row r="42" spans="1:23">
      <c r="A42" s="380"/>
      <c r="B42" s="380"/>
      <c r="C42" s="380"/>
      <c r="D42" s="380"/>
      <c r="E42" s="380"/>
      <c r="F42" s="380"/>
      <c r="G42" s="380"/>
      <c r="H42" s="380"/>
      <c r="I42" s="380"/>
      <c r="J42" s="380"/>
      <c r="K42" s="380"/>
      <c r="L42" s="380"/>
      <c r="M42" s="380"/>
      <c r="N42" s="380"/>
      <c r="O42" s="380"/>
      <c r="P42" s="380"/>
      <c r="Q42" s="380"/>
      <c r="R42" s="380"/>
      <c r="S42" s="380"/>
      <c r="T42" s="380"/>
      <c r="U42" s="380"/>
      <c r="V42" s="380"/>
      <c r="W42" s="380"/>
    </row>
    <row r="43" spans="1:23">
      <c r="A43" s="380"/>
      <c r="B43" s="380"/>
      <c r="C43" s="380"/>
      <c r="D43" s="380"/>
      <c r="E43" s="380"/>
      <c r="F43" s="380"/>
      <c r="G43" s="380"/>
      <c r="H43" s="380"/>
      <c r="I43" s="380"/>
      <c r="J43" s="380"/>
      <c r="K43" s="380"/>
      <c r="L43" s="380"/>
      <c r="M43" s="380"/>
      <c r="N43" s="380"/>
      <c r="O43" s="380"/>
      <c r="P43" s="380"/>
      <c r="Q43" s="380"/>
      <c r="R43" s="380"/>
      <c r="S43" s="380"/>
      <c r="T43" s="380"/>
      <c r="U43" s="380"/>
      <c r="V43" s="380"/>
      <c r="W43" s="380"/>
    </row>
    <row r="44" spans="1:23">
      <c r="A44" s="380"/>
      <c r="B44" s="380"/>
      <c r="C44" s="380"/>
      <c r="D44" s="380"/>
      <c r="E44" s="380"/>
      <c r="F44" s="380"/>
      <c r="G44" s="380"/>
      <c r="H44" s="380"/>
      <c r="I44" s="380"/>
      <c r="J44" s="380"/>
      <c r="K44" s="380"/>
      <c r="L44" s="380"/>
      <c r="M44" s="380"/>
      <c r="N44" s="380"/>
      <c r="O44" s="380"/>
      <c r="P44" s="380"/>
      <c r="Q44" s="380"/>
      <c r="R44" s="380"/>
      <c r="S44" s="380"/>
      <c r="T44" s="380"/>
      <c r="U44" s="380"/>
      <c r="V44" s="380"/>
      <c r="W44" s="380"/>
    </row>
  </sheetData>
  <sheetProtection algorithmName="SHA-512" hashValue="xcYvYOvrMI5Wlpv3sPmZEFaiW9boQgzxnmPR1GggtixJTLB/8MORvcswr1ZmFp1CCpb5VyS5T/rl6a5iZJ7VCg==" saltValue="T3/Up/39k3yY7sOoGSRsuQ==" spinCount="100000" sheet="1" objects="1" scenarios="1"/>
  <mergeCells count="4">
    <mergeCell ref="B3:E3"/>
    <mergeCell ref="B12:E12"/>
    <mergeCell ref="B18:E18"/>
    <mergeCell ref="B31:E31"/>
  </mergeCells>
  <hyperlinks>
    <hyperlink ref="E4" location="Input" display="Input"/>
    <hyperlink ref="E15" location="Costs" display="Costs"/>
    <hyperlink ref="E14" location="Economics" display="Economics"/>
    <hyperlink ref="E16" location="Schedule" display="Schedule"/>
    <hyperlink ref="E17" location="Override" display="Override"/>
    <hyperlink ref="E6" location="Input" display="Input"/>
    <hyperlink ref="E7" location="cashflow" display="cashflow"/>
    <hyperlink ref="E8" location="thresholds" display="thresholds"/>
    <hyperlink ref="E9" location="Sensitivities" display="Sensitivities"/>
    <hyperlink ref="E10" location="Government_Take" display="Government_Take"/>
    <hyperlink ref="E19" location="Exploration" display="Exploration"/>
    <hyperlink ref="E20" location="Development" display="Development"/>
    <hyperlink ref="E21" location="Production" display="Production"/>
    <hyperlink ref="E22" location="Revenue" display="Revenue"/>
    <hyperlink ref="E23" location="Operations" display="Operations"/>
    <hyperlink ref="E24" location="Abandonment" display="Abandonment"/>
    <hyperlink ref="E25" location="Royalty" display="Royalty"/>
    <hyperlink ref="E26" location="Federal_Tax" display="Federal_Tax"/>
    <hyperlink ref="E27" location="Provincial_Tax" display="Provincial_Tax"/>
    <hyperlink ref="E28" location="Success_Cash" display="Success_Cash"/>
    <hyperlink ref="E29" location="Risked_Cash" display="Risked_Cash"/>
    <hyperlink ref="E30" location="Selected_Economics" display="Selected_Economics"/>
    <hyperlink ref="E32" location="User_Area" display="User_Area"/>
    <hyperlink ref="E11" location="Price_Charts" display="Price_Charts"/>
    <hyperlink ref="E38" r:id="rId1"/>
    <hyperlink ref="E5" location="Developments" display="Developments"/>
  </hyperlinks>
  <pageMargins left="0.70866141732283505" right="0.70866141732283505" top="0.74803149606299202" bottom="0.74803149606299202" header="0.31496062992126" footer="0.31496062992126"/>
  <pageSetup paperSize="9" scale="57" orientation="portrait" r:id="rId2"/>
  <headerFooter>
    <oddHeader>&amp;LNova Scotia Department of Energy&amp;CExploration Economics Model&amp;R&amp;D</oddHeader>
    <oddFooter>&amp;LNova Scotia Exploration Economics Model&amp;Rwww.indeva.com</oddFooter>
  </headerFooter>
  <rowBreaks count="1" manualBreakCount="1">
    <brk id="41" max="16383" man="1"/>
  </rowBreaks>
  <colBreaks count="1" manualBreakCount="1">
    <brk id="6" max="1048575" man="1"/>
  </colBreak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3" tint="0.79998168889431442"/>
    <pageSetUpPr fitToPage="1"/>
  </sheetPr>
  <dimension ref="A1:AI132"/>
  <sheetViews>
    <sheetView showGridLines="0" zoomScale="75" zoomScaleNormal="75" workbookViewId="0">
      <pane xSplit="1" ySplit="10" topLeftCell="B11" activePane="bottomRight" state="frozen"/>
      <selection activeCell="D43" sqref="D43"/>
      <selection pane="topRight" activeCell="D43" sqref="D43"/>
      <selection pane="bottomLeft" activeCell="D43" sqref="D43"/>
      <selection pane="bottomRight" activeCell="B11" sqref="B11"/>
    </sheetView>
  </sheetViews>
  <sheetFormatPr defaultRowHeight="14.5"/>
  <cols>
    <col min="1" max="1" width="22.453125" customWidth="1"/>
    <col min="2" max="3" width="12.1796875" customWidth="1"/>
    <col min="4" max="4" width="15.81640625" customWidth="1"/>
    <col min="5" max="5" width="12.7265625" customWidth="1"/>
    <col min="6" max="6" width="10.81640625" customWidth="1"/>
    <col min="7" max="7" width="10.54296875" customWidth="1"/>
    <col min="9" max="9" width="14.26953125" customWidth="1"/>
    <col min="14" max="14" width="10.26953125" bestFit="1" customWidth="1"/>
  </cols>
  <sheetData>
    <row r="1" spans="1:35" ht="18.5">
      <c r="A1" s="142" t="str">
        <f>Input!B8</f>
        <v>Prospect X</v>
      </c>
      <c r="B1" s="142" t="s">
        <v>429</v>
      </c>
      <c r="C1" s="142"/>
      <c r="D1" s="93"/>
      <c r="E1" s="93"/>
      <c r="F1" s="143" t="s">
        <v>768</v>
      </c>
      <c r="G1" s="93"/>
      <c r="H1" s="93"/>
      <c r="I1" s="93"/>
      <c r="J1" s="93"/>
      <c r="K1" s="93"/>
      <c r="L1" s="93"/>
      <c r="M1" s="93"/>
      <c r="N1" s="93"/>
      <c r="O1" s="93"/>
      <c r="P1" s="93"/>
      <c r="Q1" s="93"/>
      <c r="R1" s="93"/>
      <c r="S1" s="93"/>
      <c r="T1" s="93"/>
      <c r="U1" s="93"/>
      <c r="V1" s="93"/>
      <c r="W1" s="93"/>
      <c r="X1" s="93"/>
      <c r="Y1" s="93"/>
      <c r="Z1" s="93"/>
      <c r="AA1" s="93"/>
      <c r="AB1" s="93"/>
      <c r="AC1" s="93"/>
      <c r="AD1" s="93"/>
      <c r="AE1" s="93"/>
      <c r="AF1" s="93"/>
      <c r="AG1" s="93"/>
      <c r="AH1" s="93"/>
      <c r="AI1" s="93"/>
    </row>
    <row r="2" spans="1:35" ht="18.5">
      <c r="A2" s="93"/>
      <c r="B2" s="93"/>
      <c r="C2" s="93"/>
      <c r="D2" s="93"/>
      <c r="E2" s="93"/>
      <c r="F2" s="143" t="s">
        <v>143</v>
      </c>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row>
    <row r="3" spans="1:35">
      <c r="A3" s="134" t="s">
        <v>430</v>
      </c>
      <c r="B3" s="273" t="str">
        <f>FIXED(RIGHT(LEFT(Thresholds!E4,10),1),0)</f>
        <v>2</v>
      </c>
      <c r="C3" s="273"/>
      <c r="D3" s="134" t="str">
        <f>RIGHT(Thresholds!E4,LEN(Thresholds!E4)-13)</f>
        <v>Base +1.5% /y</v>
      </c>
      <c r="E3" s="93"/>
      <c r="F3" s="93"/>
      <c r="G3" s="93"/>
      <c r="H3" s="93"/>
      <c r="I3" s="93"/>
      <c r="J3" s="93"/>
      <c r="K3" s="93"/>
      <c r="L3" s="93"/>
      <c r="M3" s="93"/>
      <c r="N3" s="93"/>
      <c r="O3" s="93"/>
      <c r="P3" s="93"/>
      <c r="Q3" s="93"/>
      <c r="R3" s="93"/>
      <c r="S3" s="93"/>
      <c r="T3" s="93"/>
      <c r="U3" s="93"/>
      <c r="V3" s="93"/>
      <c r="W3" s="93"/>
      <c r="X3" s="93"/>
      <c r="Y3" s="93"/>
      <c r="Z3" s="93"/>
      <c r="AA3" s="93"/>
      <c r="AB3" s="93"/>
      <c r="AC3" s="93"/>
      <c r="AD3" s="93"/>
      <c r="AE3" s="93"/>
      <c r="AF3" s="93"/>
      <c r="AG3" s="93"/>
      <c r="AH3" s="93"/>
      <c r="AI3" s="93"/>
    </row>
    <row r="4" spans="1:35">
      <c r="A4" s="134" t="s">
        <v>431</v>
      </c>
      <c r="B4" s="134">
        <f>(B3-1)*10</f>
        <v>10</v>
      </c>
      <c r="C4" s="167"/>
      <c r="D4" s="93"/>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row>
    <row r="5" spans="1:35">
      <c r="A5" s="144" t="s">
        <v>432</v>
      </c>
      <c r="B5" s="134">
        <f>YEAR('Cost Assumptions'!O5)</f>
        <v>2015</v>
      </c>
      <c r="C5" s="93"/>
      <c r="D5" s="93"/>
      <c r="E5" s="93"/>
      <c r="F5" s="93"/>
      <c r="G5" s="93"/>
      <c r="H5" s="93"/>
      <c r="I5" s="93"/>
      <c r="J5" s="93"/>
      <c r="K5" s="93"/>
      <c r="L5" s="93"/>
      <c r="M5" s="93"/>
      <c r="N5" s="93"/>
      <c r="O5" s="93"/>
      <c r="P5" s="93"/>
      <c r="Q5" s="93"/>
      <c r="R5" s="93"/>
      <c r="S5" s="93"/>
      <c r="T5" s="93"/>
      <c r="U5" s="93"/>
      <c r="V5" s="93"/>
      <c r="W5" s="93"/>
      <c r="X5" s="93"/>
      <c r="Y5" s="93"/>
      <c r="Z5" s="93"/>
      <c r="AA5" s="93"/>
      <c r="AB5" s="93"/>
      <c r="AC5" s="93"/>
      <c r="AD5" s="93"/>
      <c r="AE5" s="93"/>
      <c r="AF5" s="93"/>
      <c r="AG5" s="93"/>
      <c r="AH5" s="93"/>
      <c r="AI5" s="93"/>
    </row>
    <row r="6" spans="1:35">
      <c r="A6" s="134"/>
      <c r="B6" s="134">
        <f t="shared" ref="B6:G6" si="0">A6+1</f>
        <v>1</v>
      </c>
      <c r="C6" s="134">
        <f t="shared" si="0"/>
        <v>2</v>
      </c>
      <c r="D6" s="134">
        <f t="shared" si="0"/>
        <v>3</v>
      </c>
      <c r="E6" s="134">
        <f t="shared" si="0"/>
        <v>4</v>
      </c>
      <c r="F6" s="134">
        <f t="shared" si="0"/>
        <v>5</v>
      </c>
      <c r="G6" s="134">
        <f t="shared" si="0"/>
        <v>6</v>
      </c>
      <c r="H6" s="93"/>
      <c r="I6" s="93"/>
      <c r="J6" s="93"/>
      <c r="K6" s="93"/>
      <c r="L6" s="93"/>
      <c r="M6" s="93"/>
      <c r="N6" s="93"/>
      <c r="O6" s="93"/>
      <c r="P6" s="93"/>
      <c r="Q6" s="93"/>
      <c r="R6" s="93"/>
      <c r="S6" s="93"/>
      <c r="T6" s="93"/>
      <c r="U6" s="93"/>
      <c r="V6" s="93"/>
      <c r="W6" s="93"/>
      <c r="X6" s="93"/>
      <c r="Y6" s="93"/>
      <c r="Z6" s="93"/>
      <c r="AA6" s="93"/>
      <c r="AB6" s="93"/>
      <c r="AC6" s="93"/>
      <c r="AD6" s="93"/>
      <c r="AE6" s="93"/>
      <c r="AF6" s="93"/>
      <c r="AG6" s="93"/>
      <c r="AH6" s="93"/>
      <c r="AI6" s="93"/>
    </row>
    <row r="7" spans="1:35">
      <c r="A7" s="157"/>
      <c r="B7" s="139" t="s">
        <v>433</v>
      </c>
      <c r="C7" s="139" t="s">
        <v>433</v>
      </c>
      <c r="D7" s="139" t="s">
        <v>434</v>
      </c>
      <c r="E7" s="139" t="s">
        <v>435</v>
      </c>
      <c r="F7" s="139" t="s">
        <v>436</v>
      </c>
      <c r="G7" s="139" t="s">
        <v>437</v>
      </c>
      <c r="H7" s="93"/>
      <c r="I7" s="139" t="s">
        <v>438</v>
      </c>
      <c r="J7" s="93"/>
      <c r="K7" s="139" t="s">
        <v>57</v>
      </c>
      <c r="L7" s="93"/>
      <c r="M7" s="93"/>
      <c r="N7" s="93"/>
      <c r="O7" s="93"/>
      <c r="P7" s="93"/>
      <c r="Q7" s="93"/>
      <c r="R7" s="93"/>
      <c r="S7" s="93"/>
      <c r="T7" s="93"/>
      <c r="U7" s="93"/>
      <c r="V7" s="93"/>
      <c r="W7" s="93"/>
      <c r="X7" s="93"/>
      <c r="Y7" s="93"/>
      <c r="Z7" s="93"/>
      <c r="AA7" s="93"/>
      <c r="AB7" s="93"/>
      <c r="AC7" s="93"/>
      <c r="AD7" s="93"/>
      <c r="AE7" s="93"/>
      <c r="AF7" s="93"/>
      <c r="AG7" s="93"/>
      <c r="AH7" s="93"/>
      <c r="AI7" s="93"/>
    </row>
    <row r="8" spans="1:35">
      <c r="A8" s="159" t="s">
        <v>14</v>
      </c>
      <c r="B8" s="140" t="s">
        <v>1053</v>
      </c>
      <c r="C8" s="140" t="s">
        <v>647</v>
      </c>
      <c r="D8" s="140" t="s">
        <v>439</v>
      </c>
      <c r="E8" s="140"/>
      <c r="F8" s="140" t="s">
        <v>438</v>
      </c>
      <c r="G8" s="140" t="s">
        <v>440</v>
      </c>
      <c r="H8" s="93"/>
      <c r="I8" s="140" t="s">
        <v>57</v>
      </c>
      <c r="J8" s="93"/>
      <c r="K8" s="159"/>
      <c r="L8" s="93"/>
      <c r="M8" s="93"/>
      <c r="N8" s="93"/>
      <c r="O8" s="93"/>
      <c r="P8" s="93"/>
      <c r="Q8" s="93"/>
      <c r="R8" s="93"/>
      <c r="S8" s="93"/>
      <c r="T8" s="93"/>
      <c r="U8" s="93"/>
      <c r="V8" s="93"/>
      <c r="W8" s="93"/>
      <c r="X8" s="93"/>
      <c r="Y8" s="93"/>
      <c r="Z8" s="93"/>
      <c r="AA8" s="93"/>
      <c r="AB8" s="93"/>
      <c r="AC8" s="93"/>
      <c r="AD8" s="93"/>
      <c r="AE8" s="93"/>
      <c r="AF8" s="93"/>
      <c r="AG8" s="93"/>
      <c r="AH8" s="93"/>
      <c r="AI8" s="93"/>
    </row>
    <row r="9" spans="1:35">
      <c r="A9" s="161"/>
      <c r="B9" s="148" t="s">
        <v>441</v>
      </c>
      <c r="C9" s="148" t="s">
        <v>441</v>
      </c>
      <c r="D9" s="148" t="s">
        <v>442</v>
      </c>
      <c r="E9" s="148" t="s">
        <v>443</v>
      </c>
      <c r="F9" s="148"/>
      <c r="G9" s="148" t="s">
        <v>444</v>
      </c>
      <c r="H9" s="93"/>
      <c r="I9" s="161"/>
      <c r="J9" s="93"/>
      <c r="K9" s="161"/>
      <c r="L9" s="93"/>
      <c r="M9" s="93"/>
      <c r="N9" s="93"/>
      <c r="O9" s="93"/>
      <c r="P9" s="93"/>
      <c r="Q9" s="93"/>
      <c r="R9" s="93"/>
      <c r="S9" s="93"/>
      <c r="T9" s="93"/>
      <c r="U9" s="93"/>
      <c r="V9" s="93"/>
      <c r="W9" s="93"/>
      <c r="X9" s="93"/>
      <c r="Y9" s="93"/>
      <c r="Z9" s="93"/>
      <c r="AA9" s="93"/>
      <c r="AB9" s="93"/>
      <c r="AC9" s="93"/>
      <c r="AD9" s="93"/>
      <c r="AE9" s="93"/>
      <c r="AF9" s="93"/>
      <c r="AG9" s="93"/>
      <c r="AH9" s="93"/>
      <c r="AI9" s="93"/>
    </row>
    <row r="10" spans="1:35">
      <c r="A10" s="93"/>
      <c r="B10" s="93"/>
      <c r="C10" s="93"/>
      <c r="D10" s="93"/>
      <c r="E10" s="93"/>
      <c r="F10" s="93"/>
      <c r="G10" s="93"/>
      <c r="H10" s="93"/>
      <c r="I10" s="145"/>
      <c r="J10" s="93"/>
      <c r="K10" s="93"/>
      <c r="L10" s="93"/>
      <c r="M10" s="93"/>
      <c r="N10" s="93">
        <v>1</v>
      </c>
      <c r="O10" s="93"/>
      <c r="P10" s="93"/>
      <c r="Q10" s="93"/>
      <c r="R10" s="93"/>
      <c r="S10" s="93"/>
      <c r="T10" s="93"/>
      <c r="U10" s="93"/>
      <c r="V10" s="93"/>
      <c r="W10" s="93"/>
      <c r="X10" s="93"/>
      <c r="Y10" s="93"/>
      <c r="Z10" s="93"/>
      <c r="AA10" s="93"/>
      <c r="AB10" s="93"/>
      <c r="AC10" s="93"/>
      <c r="AD10" s="93"/>
      <c r="AE10" s="93"/>
      <c r="AF10" s="93"/>
      <c r="AG10" s="93"/>
      <c r="AH10" s="93"/>
      <c r="AI10" s="93"/>
    </row>
    <row r="11" spans="1:35">
      <c r="A11" s="157">
        <f>'Success Cash Flow'!A10</f>
        <v>2015</v>
      </c>
      <c r="B11" s="202">
        <f>INDEX('Economic Assumptions'!$B$12:$CC$60,$K11,$B$4+B$6)+'Economic Assumptions'!B$9*'Selected Economics'!$N11</f>
        <v>36.800000000000004</v>
      </c>
      <c r="C11" s="202">
        <f>INDEX('Economic Assumptions'!$B$12:$CC$60,$K11,$B$4+C$6)+'Economic Assumptions'!C$9*'Selected Economics'!$N11</f>
        <v>46</v>
      </c>
      <c r="D11" s="202">
        <f>INDEX('Economic Assumptions'!$B$12:$CC$60,$K11,$B$4+D$6)+'Economic Assumptions'!D$9*'Selected Economics'!$N11</f>
        <v>2.75</v>
      </c>
      <c r="E11" s="274">
        <f>INDEX('Economic Assumptions'!$B$12:$CC$60,$K11,$B$4+E$6)</f>
        <v>0.76</v>
      </c>
      <c r="F11" s="256">
        <f>INDEX('Economic Assumptions'!$B$12:$CC$60,$K11,$B$4+F$6)</f>
        <v>2.5000000000000001E-2</v>
      </c>
      <c r="G11" s="256">
        <f>INDEX('Economic Assumptions'!$B$12:$CC$60,$K11,$B$4+G$6)</f>
        <v>2.5000000000000001E-2</v>
      </c>
      <c r="H11" s="93"/>
      <c r="I11" s="275">
        <f t="shared" ref="I11:I50" si="1">VLOOKUP(A11,$M$11:$N$53,2)</f>
        <v>1</v>
      </c>
      <c r="J11" s="93"/>
      <c r="K11" s="157">
        <f>A11-'Economic Assumptions'!A12+1</f>
        <v>4</v>
      </c>
      <c r="L11" s="93"/>
      <c r="M11" s="93">
        <f>'Economic Assumptions'!A12</f>
        <v>2012</v>
      </c>
      <c r="N11" s="276">
        <f>IF(M11&lt;=$B$5,1,(1+INDEX('Economic Assumptions'!$B$12:$CC$60,K11,$B$4+F$6))*N10)</f>
        <v>1</v>
      </c>
      <c r="O11" s="93"/>
      <c r="P11" s="93"/>
      <c r="Q11" s="93"/>
      <c r="R11" s="93"/>
      <c r="S11" s="93"/>
      <c r="T11" s="93"/>
      <c r="U11" s="93"/>
      <c r="V11" s="93"/>
      <c r="W11" s="93"/>
      <c r="X11" s="93"/>
      <c r="Y11" s="93"/>
      <c r="Z11" s="93"/>
      <c r="AA11" s="93"/>
      <c r="AB11" s="93"/>
      <c r="AC11" s="93"/>
      <c r="AD11" s="93"/>
      <c r="AE11" s="93"/>
      <c r="AF11" s="93"/>
      <c r="AG11" s="93"/>
      <c r="AH11" s="93"/>
      <c r="AI11" s="93"/>
    </row>
    <row r="12" spans="1:35">
      <c r="A12" s="159">
        <f>A11+1</f>
        <v>2016</v>
      </c>
      <c r="B12" s="204">
        <f>INDEX('Economic Assumptions'!$B$12:$CC$60,$K12,$B$4+B$6)+'Economic Assumptions'!B$9*'Selected Economics'!$N12</f>
        <v>44</v>
      </c>
      <c r="C12" s="204">
        <f>INDEX('Economic Assumptions'!$B$12:$CC$60,$K12,$B$4+C$6)+'Economic Assumptions'!C$9*'Selected Economics'!$N12</f>
        <v>55</v>
      </c>
      <c r="D12" s="204">
        <f>INDEX('Economic Assumptions'!$B$12:$CC$60,$K12,$B$4+D$6)+'Economic Assumptions'!D$9*'Selected Economics'!$N12</f>
        <v>3</v>
      </c>
      <c r="E12" s="277">
        <f>INDEX('Economic Assumptions'!$B$12:$CC$60,$K12,$B$4+E$6)</f>
        <v>0.78</v>
      </c>
      <c r="F12" s="258">
        <f>INDEX('Economic Assumptions'!$B$12:$CC$60,$K12,$B$4+F$6)</f>
        <v>2.5000000000000001E-2</v>
      </c>
      <c r="G12" s="258">
        <f>INDEX('Economic Assumptions'!$B$12:$CC$60,$K12,$B$4+G$6)</f>
        <v>2.5000000000000001E-2</v>
      </c>
      <c r="H12" s="93"/>
      <c r="I12" s="278">
        <f t="shared" si="1"/>
        <v>1.0249999999999999</v>
      </c>
      <c r="J12" s="93"/>
      <c r="K12" s="159">
        <f>K11+1</f>
        <v>5</v>
      </c>
      <c r="L12" s="93"/>
      <c r="M12" s="93">
        <f>'Economic Assumptions'!A13</f>
        <v>2013</v>
      </c>
      <c r="N12" s="276">
        <f>IF(M12&lt;=$B$5,1,(1+INDEX('Economic Assumptions'!$B$12:$CC$60,M12-$M$11,$B$4+F$6))*N11)</f>
        <v>1</v>
      </c>
      <c r="O12" s="93"/>
      <c r="P12" s="93"/>
      <c r="Q12" s="93"/>
      <c r="R12" s="93"/>
      <c r="S12" s="93"/>
      <c r="T12" s="93"/>
      <c r="U12" s="93"/>
      <c r="V12" s="93"/>
      <c r="W12" s="93"/>
      <c r="X12" s="93"/>
      <c r="Y12" s="93"/>
      <c r="Z12" s="93"/>
      <c r="AA12" s="93"/>
      <c r="AB12" s="93"/>
      <c r="AC12" s="93"/>
      <c r="AD12" s="93"/>
      <c r="AE12" s="93"/>
      <c r="AF12" s="93"/>
      <c r="AG12" s="93"/>
      <c r="AH12" s="93"/>
      <c r="AI12" s="93"/>
    </row>
    <row r="13" spans="1:35">
      <c r="A13" s="159">
        <f t="shared" ref="A13:A50" si="2">A12+1</f>
        <v>2017</v>
      </c>
      <c r="B13" s="204">
        <f>INDEX('Economic Assumptions'!$B$12:$CC$60,$K13,$B$4+B$6)+'Economic Assumptions'!B$9*'Selected Economics'!$N13</f>
        <v>56.66</v>
      </c>
      <c r="C13" s="204">
        <f>INDEX('Economic Assumptions'!$B$12:$CC$60,$K13,$B$4+C$6)+'Economic Assumptions'!C$9*'Selected Economics'!$N13</f>
        <v>70.824999999999989</v>
      </c>
      <c r="D13" s="204">
        <f>INDEX('Economic Assumptions'!$B$12:$CC$60,$K13,$B$4+D$6)+'Economic Assumptions'!D$9*'Selected Economics'!$N13</f>
        <v>3.5449999999999999</v>
      </c>
      <c r="E13" s="277">
        <f>INDEX('Economic Assumptions'!$B$12:$CC$60,$K13,$B$4+E$6)</f>
        <v>0.85</v>
      </c>
      <c r="F13" s="258">
        <f>INDEX('Economic Assumptions'!$B$12:$CC$60,$K13,$B$4+F$6)</f>
        <v>2.5000000000000001E-2</v>
      </c>
      <c r="G13" s="258">
        <f>INDEX('Economic Assumptions'!$B$12:$CC$60,$K13,$B$4+G$6)</f>
        <v>2.5000000000000001E-2</v>
      </c>
      <c r="H13" s="93"/>
      <c r="I13" s="278">
        <f t="shared" si="1"/>
        <v>1.0506249999999999</v>
      </c>
      <c r="J13" s="93"/>
      <c r="K13" s="159">
        <f t="shared" ref="K13:K50" si="3">K12+1</f>
        <v>6</v>
      </c>
      <c r="L13" s="93"/>
      <c r="M13" s="93">
        <f>'Economic Assumptions'!A14</f>
        <v>2014</v>
      </c>
      <c r="N13" s="276">
        <f>IF(M13&lt;=$B$5,1,(1+INDEX('Economic Assumptions'!$B$12:$CC$60,M13-$M$11,$B$4+F$6))*N12)</f>
        <v>1</v>
      </c>
      <c r="O13" s="93"/>
      <c r="P13" s="93"/>
      <c r="Q13" s="93"/>
      <c r="R13" s="93"/>
      <c r="S13" s="93"/>
      <c r="T13" s="93"/>
      <c r="U13" s="93"/>
      <c r="V13" s="93"/>
      <c r="W13" s="93"/>
      <c r="X13" s="93"/>
      <c r="Y13" s="93"/>
      <c r="Z13" s="93"/>
      <c r="AA13" s="93"/>
      <c r="AB13" s="93"/>
      <c r="AC13" s="93"/>
      <c r="AD13" s="93"/>
      <c r="AE13" s="93"/>
      <c r="AF13" s="93"/>
      <c r="AG13" s="93"/>
      <c r="AH13" s="93"/>
      <c r="AI13" s="93"/>
    </row>
    <row r="14" spans="1:35">
      <c r="A14" s="159">
        <f t="shared" si="2"/>
        <v>2018</v>
      </c>
      <c r="B14" s="204">
        <f>INDEX('Economic Assumptions'!$B$12:$CC$60,$K14,$B$4+B$6)+'Economic Assumptions'!B$9*'Selected Economics'!$N14</f>
        <v>61.509899999999988</v>
      </c>
      <c r="C14" s="204">
        <f>INDEX('Economic Assumptions'!$B$12:$CC$60,$K14,$B$4+C$6)+'Economic Assumptions'!C$9*'Selected Economics'!$N14</f>
        <v>76.887374999999977</v>
      </c>
      <c r="D14" s="204">
        <f>INDEX('Economic Assumptions'!$B$12:$CC$60,$K14,$B$4+D$6)+'Economic Assumptions'!D$9*'Selected Economics'!$N14</f>
        <v>4.0981749999999995</v>
      </c>
      <c r="E14" s="277">
        <f>INDEX('Economic Assumptions'!$B$12:$CC$60,$K14,$B$4+E$6)</f>
        <v>0.85</v>
      </c>
      <c r="F14" s="258">
        <f>INDEX('Economic Assumptions'!$B$12:$CC$60,$K14,$B$4+F$6)</f>
        <v>2.5000000000000001E-2</v>
      </c>
      <c r="G14" s="258">
        <f>INDEX('Economic Assumptions'!$B$12:$CC$60,$K14,$B$4+G$6)</f>
        <v>2.5000000000000001E-2</v>
      </c>
      <c r="H14" s="93"/>
      <c r="I14" s="278">
        <f t="shared" si="1"/>
        <v>1.0768906249999999</v>
      </c>
      <c r="J14" s="93"/>
      <c r="K14" s="159">
        <f t="shared" si="3"/>
        <v>7</v>
      </c>
      <c r="L14" s="93"/>
      <c r="M14" s="93">
        <f>'Economic Assumptions'!A15</f>
        <v>2015</v>
      </c>
      <c r="N14" s="276">
        <f>IF(M14&lt;=$B$5,1,(1+INDEX('Economic Assumptions'!$B$12:$CC$60,M14-$M$11,$B$4+F$6))*N13)</f>
        <v>1</v>
      </c>
      <c r="O14" s="93"/>
      <c r="P14" s="93"/>
      <c r="Q14" s="93"/>
      <c r="R14" s="93"/>
      <c r="S14" s="93"/>
      <c r="T14" s="93"/>
      <c r="U14" s="93"/>
      <c r="V14" s="93"/>
      <c r="W14" s="93"/>
      <c r="X14" s="93"/>
      <c r="Y14" s="93"/>
      <c r="Z14" s="93"/>
      <c r="AA14" s="93"/>
      <c r="AB14" s="93"/>
      <c r="AC14" s="93"/>
      <c r="AD14" s="93"/>
      <c r="AE14" s="93"/>
      <c r="AF14" s="93"/>
      <c r="AG14" s="93"/>
      <c r="AH14" s="93"/>
      <c r="AI14" s="93"/>
    </row>
    <row r="15" spans="1:35">
      <c r="A15" s="159">
        <f t="shared" si="2"/>
        <v>2019</v>
      </c>
      <c r="B15" s="204">
        <f>INDEX('Economic Assumptions'!$B$12:$CC$60,$K15,$B$4+B$6)+'Economic Assumptions'!B$9*'Selected Economics'!$N15</f>
        <v>66.432548499999982</v>
      </c>
      <c r="C15" s="204">
        <f>INDEX('Economic Assumptions'!$B$12:$CC$60,$K15,$B$4+C$6)+'Economic Assumptions'!C$9*'Selected Economics'!$N15</f>
        <v>83.040685624999966</v>
      </c>
      <c r="D15" s="204">
        <f>INDEX('Economic Assumptions'!$B$12:$CC$60,$K15,$B$4+D$6)+'Economic Assumptions'!D$9*'Selected Economics'!$N15</f>
        <v>4.659647624999999</v>
      </c>
      <c r="E15" s="277">
        <f>INDEX('Economic Assumptions'!$B$12:$CC$60,$K15,$B$4+E$6)</f>
        <v>0.85</v>
      </c>
      <c r="F15" s="258">
        <f>INDEX('Economic Assumptions'!$B$12:$CC$60,$K15,$B$4+F$6)</f>
        <v>2.5000000000000001E-2</v>
      </c>
      <c r="G15" s="258">
        <f>INDEX('Economic Assumptions'!$B$12:$CC$60,$K15,$B$4+G$6)</f>
        <v>2.5000000000000001E-2</v>
      </c>
      <c r="H15" s="93"/>
      <c r="I15" s="278">
        <f t="shared" si="1"/>
        <v>1.1038128906249998</v>
      </c>
      <c r="J15" s="93"/>
      <c r="K15" s="159">
        <f t="shared" si="3"/>
        <v>8</v>
      </c>
      <c r="L15" s="93"/>
      <c r="M15" s="93">
        <f>'Economic Assumptions'!A16</f>
        <v>2016</v>
      </c>
      <c r="N15" s="276">
        <f>IF(M15&lt;=$B$5,1,(1+INDEX('Economic Assumptions'!$B$12:$CC$60,M15-$M$11,$B$4+F$6))*N14)</f>
        <v>1.0249999999999999</v>
      </c>
      <c r="O15" s="93"/>
      <c r="P15" s="93"/>
      <c r="Q15" s="93"/>
      <c r="R15" s="93"/>
      <c r="S15" s="93"/>
      <c r="T15" s="93"/>
      <c r="U15" s="93"/>
      <c r="V15" s="93"/>
      <c r="W15" s="93"/>
      <c r="X15" s="93"/>
      <c r="Y15" s="93"/>
      <c r="Z15" s="93"/>
      <c r="AA15" s="93"/>
      <c r="AB15" s="93"/>
      <c r="AC15" s="93"/>
      <c r="AD15" s="93"/>
      <c r="AE15" s="93"/>
      <c r="AF15" s="93"/>
      <c r="AG15" s="93"/>
      <c r="AH15" s="93"/>
      <c r="AI15" s="93"/>
    </row>
    <row r="16" spans="1:35">
      <c r="A16" s="159">
        <f t="shared" si="2"/>
        <v>2020</v>
      </c>
      <c r="B16" s="204">
        <f>INDEX('Economic Assumptions'!$B$12:$CC$60,$K16,$B$4+B$6)+'Economic Assumptions'!B$9*'Selected Economics'!$N16</f>
        <v>68.38903672749997</v>
      </c>
      <c r="C16" s="204">
        <f>INDEX('Economic Assumptions'!$B$12:$CC$60,$K16,$B$4+C$6)+'Economic Assumptions'!C$9*'Selected Economics'!$N16</f>
        <v>85.486295909374945</v>
      </c>
      <c r="D16" s="204">
        <f>INDEX('Economic Assumptions'!$B$12:$CC$60,$K16,$B$4+D$6)+'Economic Assumptions'!D$9*'Selected Economics'!$N16</f>
        <v>4.9795423393749987</v>
      </c>
      <c r="E16" s="277">
        <f>INDEX('Economic Assumptions'!$B$12:$CC$60,$K16,$B$4+E$6)</f>
        <v>0.85</v>
      </c>
      <c r="F16" s="258">
        <f>INDEX('Economic Assumptions'!$B$12:$CC$60,$K16,$B$4+F$6)</f>
        <v>2.5000000000000001E-2</v>
      </c>
      <c r="G16" s="258">
        <f>INDEX('Economic Assumptions'!$B$12:$CC$60,$K16,$B$4+G$6)</f>
        <v>2.5000000000000001E-2</v>
      </c>
      <c r="H16" s="93"/>
      <c r="I16" s="278">
        <f t="shared" si="1"/>
        <v>1.1314082128906247</v>
      </c>
      <c r="J16" s="93"/>
      <c r="K16" s="159">
        <f t="shared" si="3"/>
        <v>9</v>
      </c>
      <c r="L16" s="93"/>
      <c r="M16" s="93">
        <f>'Economic Assumptions'!A17</f>
        <v>2017</v>
      </c>
      <c r="N16" s="276">
        <f>IF(M16&lt;=$B$5,1,(1+INDEX('Economic Assumptions'!$B$12:$CC$60,M16-$M$11,$B$4+F$6))*N15)</f>
        <v>1.0506249999999999</v>
      </c>
      <c r="O16" s="93"/>
      <c r="P16" s="93"/>
      <c r="Q16" s="93"/>
      <c r="R16" s="93"/>
      <c r="S16" s="93"/>
      <c r="T16" s="93"/>
      <c r="U16" s="93"/>
      <c r="V16" s="93"/>
      <c r="W16" s="93"/>
      <c r="X16" s="93"/>
      <c r="Y16" s="93"/>
      <c r="Z16" s="93"/>
      <c r="AA16" s="93"/>
      <c r="AB16" s="93"/>
      <c r="AC16" s="93"/>
      <c r="AD16" s="93"/>
      <c r="AE16" s="93"/>
      <c r="AF16" s="93"/>
      <c r="AG16" s="93"/>
      <c r="AH16" s="93"/>
      <c r="AI16" s="93"/>
    </row>
    <row r="17" spans="1:35">
      <c r="A17" s="159">
        <f t="shared" si="2"/>
        <v>2021</v>
      </c>
      <c r="B17" s="204">
        <f>INDEX('Economic Assumptions'!$B$12:$CC$60,$K17,$B$4+B$6)+'Economic Assumptions'!B$9*'Selected Economics'!$N17</f>
        <v>70.389272278412449</v>
      </c>
      <c r="C17" s="204">
        <f>INDEX('Economic Assumptions'!$B$12:$CC$60,$K17,$B$4+C$6)+'Economic Assumptions'!C$9*'Selected Economics'!$N17</f>
        <v>87.986590348015554</v>
      </c>
      <c r="D17" s="204">
        <f>INDEX('Economic Assumptions'!$B$12:$CC$60,$K17,$B$4+D$6)+'Economic Assumptions'!D$9*'Selected Economics'!$N17</f>
        <v>5.1254854744656226</v>
      </c>
      <c r="E17" s="277">
        <f>INDEX('Economic Assumptions'!$B$12:$CC$60,$K17,$B$4+E$6)</f>
        <v>0.85</v>
      </c>
      <c r="F17" s="258">
        <f>INDEX('Economic Assumptions'!$B$12:$CC$60,$K17,$B$4+F$6)</f>
        <v>2.5000000000000001E-2</v>
      </c>
      <c r="G17" s="258">
        <f>INDEX('Economic Assumptions'!$B$12:$CC$60,$K17,$B$4+G$6)</f>
        <v>2.5000000000000001E-2</v>
      </c>
      <c r="H17" s="93"/>
      <c r="I17" s="278">
        <f t="shared" si="1"/>
        <v>1.1596934182128902</v>
      </c>
      <c r="J17" s="93"/>
      <c r="K17" s="159">
        <f t="shared" si="3"/>
        <v>10</v>
      </c>
      <c r="L17" s="93"/>
      <c r="M17" s="93">
        <f>'Economic Assumptions'!A18</f>
        <v>2018</v>
      </c>
      <c r="N17" s="276">
        <f>IF(M17&lt;=$B$5,1,(1+INDEX('Economic Assumptions'!$B$12:$CC$60,M17-$M$11,$B$4+F$6))*N16)</f>
        <v>1.0768906249999999</v>
      </c>
      <c r="O17" s="93"/>
      <c r="P17" s="93"/>
      <c r="Q17" s="93"/>
      <c r="R17" s="93"/>
      <c r="S17" s="93"/>
      <c r="T17" s="93"/>
      <c r="U17" s="93"/>
      <c r="V17" s="93"/>
      <c r="W17" s="93"/>
      <c r="X17" s="93"/>
      <c r="Y17" s="93"/>
      <c r="Z17" s="93"/>
      <c r="AA17" s="93"/>
      <c r="AB17" s="93"/>
      <c r="AC17" s="93"/>
      <c r="AD17" s="93"/>
      <c r="AE17" s="93"/>
      <c r="AF17" s="93"/>
      <c r="AG17" s="93"/>
      <c r="AH17" s="93"/>
      <c r="AI17" s="93"/>
    </row>
    <row r="18" spans="1:35">
      <c r="A18" s="159">
        <f t="shared" si="2"/>
        <v>2022</v>
      </c>
      <c r="B18" s="204">
        <f>INDEX('Economic Assumptions'!$B$12:$CC$60,$K18,$B$4+B$6)+'Economic Assumptions'!B$9*'Selected Economics'!$N18</f>
        <v>72.434127362588626</v>
      </c>
      <c r="C18" s="204">
        <f>INDEX('Economic Assumptions'!$B$12:$CC$60,$K18,$B$4+C$6)+'Economic Assumptions'!C$9*'Selected Economics'!$N18</f>
        <v>90.542659203235772</v>
      </c>
      <c r="D18" s="204">
        <f>INDEX('Economic Assumptions'!$B$12:$CC$60,$K18,$B$4+D$6)+'Economic Assumptions'!D$9*'Selected Economics'!$N18</f>
        <v>5.2746865065826052</v>
      </c>
      <c r="E18" s="277">
        <f>INDEX('Economic Assumptions'!$B$12:$CC$60,$K18,$B$4+E$6)</f>
        <v>0.85</v>
      </c>
      <c r="F18" s="258">
        <f>INDEX('Economic Assumptions'!$B$12:$CC$60,$K18,$B$4+F$6)</f>
        <v>2.5000000000000001E-2</v>
      </c>
      <c r="G18" s="258">
        <f>INDEX('Economic Assumptions'!$B$12:$CC$60,$K18,$B$4+G$6)</f>
        <v>2.5000000000000001E-2</v>
      </c>
      <c r="H18" s="93"/>
      <c r="I18" s="278">
        <f t="shared" si="1"/>
        <v>1.1886857536682123</v>
      </c>
      <c r="J18" s="93"/>
      <c r="K18" s="159">
        <f t="shared" si="3"/>
        <v>11</v>
      </c>
      <c r="L18" s="93"/>
      <c r="M18" s="93">
        <f>'Economic Assumptions'!A19</f>
        <v>2019</v>
      </c>
      <c r="N18" s="276">
        <f>IF(M18&lt;=$B$5,1,(1+INDEX('Economic Assumptions'!$B$12:$CC$60,M18-$M$11,$B$4+F$6))*N17)</f>
        <v>1.1038128906249998</v>
      </c>
      <c r="O18" s="93"/>
      <c r="P18" s="93"/>
      <c r="Q18" s="93"/>
      <c r="R18" s="93"/>
      <c r="S18" s="93"/>
      <c r="T18" s="93"/>
      <c r="U18" s="93"/>
      <c r="V18" s="93"/>
      <c r="W18" s="93"/>
      <c r="X18" s="93"/>
      <c r="Y18" s="93"/>
      <c r="Z18" s="93"/>
      <c r="AA18" s="93"/>
      <c r="AB18" s="93"/>
      <c r="AC18" s="93"/>
      <c r="AD18" s="93"/>
      <c r="AE18" s="93"/>
      <c r="AF18" s="93"/>
      <c r="AG18" s="93"/>
      <c r="AH18" s="93"/>
      <c r="AI18" s="93"/>
    </row>
    <row r="19" spans="1:35">
      <c r="A19" s="159">
        <f t="shared" si="2"/>
        <v>2023</v>
      </c>
      <c r="B19" s="204">
        <f>INDEX('Economic Assumptions'!$B$12:$CC$60,$K19,$B$4+B$6)+'Economic Assumptions'!B$9*'Selected Economics'!$N19</f>
        <v>74.524490513027445</v>
      </c>
      <c r="C19" s="204">
        <f>INDEX('Economic Assumptions'!$B$12:$CC$60,$K19,$B$4+C$6)+'Economic Assumptions'!C$9*'Selected Economics'!$N19</f>
        <v>93.155613141284292</v>
      </c>
      <c r="D19" s="204">
        <f>INDEX('Economic Assumptions'!$B$12:$CC$60,$K19,$B$4+D$6)+'Economic Assumptions'!D$9*'Selected Economics'!$N19</f>
        <v>5.4272103354313428</v>
      </c>
      <c r="E19" s="277">
        <f>INDEX('Economic Assumptions'!$B$12:$CC$60,$K19,$B$4+E$6)</f>
        <v>0.85</v>
      </c>
      <c r="F19" s="258">
        <f>INDEX('Economic Assumptions'!$B$12:$CC$60,$K19,$B$4+F$6)</f>
        <v>2.5000000000000001E-2</v>
      </c>
      <c r="G19" s="258">
        <f>INDEX('Economic Assumptions'!$B$12:$CC$60,$K19,$B$4+G$6)</f>
        <v>2.5000000000000001E-2</v>
      </c>
      <c r="H19" s="93"/>
      <c r="I19" s="278">
        <f t="shared" si="1"/>
        <v>1.2184028975099175</v>
      </c>
      <c r="J19" s="93"/>
      <c r="K19" s="159">
        <f t="shared" si="3"/>
        <v>12</v>
      </c>
      <c r="L19" s="93"/>
      <c r="M19" s="93">
        <f>'Economic Assumptions'!A20</f>
        <v>2020</v>
      </c>
      <c r="N19" s="276">
        <f>IF(M19&lt;=$B$5,1,(1+INDEX('Economic Assumptions'!$B$12:$CC$60,M19-$M$11,$B$4+F$6))*N18)</f>
        <v>1.1314082128906247</v>
      </c>
      <c r="O19" s="93"/>
      <c r="P19" s="93"/>
      <c r="Q19" s="93"/>
      <c r="R19" s="93"/>
      <c r="S19" s="93"/>
      <c r="T19" s="93"/>
      <c r="U19" s="93"/>
      <c r="V19" s="93"/>
      <c r="W19" s="93"/>
      <c r="X19" s="93"/>
      <c r="Y19" s="93"/>
      <c r="Z19" s="93"/>
      <c r="AA19" s="93"/>
      <c r="AB19" s="93"/>
      <c r="AC19" s="93"/>
      <c r="AD19" s="93"/>
      <c r="AE19" s="93"/>
      <c r="AF19" s="93"/>
      <c r="AG19" s="93"/>
      <c r="AH19" s="93"/>
      <c r="AI19" s="93"/>
    </row>
    <row r="20" spans="1:35">
      <c r="A20" s="159">
        <f t="shared" si="2"/>
        <v>2024</v>
      </c>
      <c r="B20" s="204">
        <f>INDEX('Economic Assumptions'!$B$12:$CC$60,$K20,$B$4+B$6)+'Economic Assumptions'!B$9*'Selected Economics'!$N20</f>
        <v>76.661266879322838</v>
      </c>
      <c r="C20" s="204">
        <f>INDEX('Economic Assumptions'!$B$12:$CC$60,$K20,$B$4+C$6)+'Economic Assumptions'!C$9*'Selected Economics'!$N20</f>
        <v>95.826583599153537</v>
      </c>
      <c r="D20" s="204">
        <f>INDEX('Economic Assumptions'!$B$12:$CC$60,$K20,$B$4+D$6)+'Economic Assumptions'!D$9*'Selected Economics'!$N20</f>
        <v>5.5831230746815619</v>
      </c>
      <c r="E20" s="277">
        <f>INDEX('Economic Assumptions'!$B$12:$CC$60,$K20,$B$4+E$6)</f>
        <v>0.85</v>
      </c>
      <c r="F20" s="258">
        <f>INDEX('Economic Assumptions'!$B$12:$CC$60,$K20,$B$4+F$6)</f>
        <v>2.5000000000000001E-2</v>
      </c>
      <c r="G20" s="258">
        <f>INDEX('Economic Assumptions'!$B$12:$CC$60,$K20,$B$4+G$6)</f>
        <v>2.5000000000000001E-2</v>
      </c>
      <c r="H20" s="93"/>
      <c r="I20" s="278">
        <f t="shared" si="1"/>
        <v>1.2488629699476652</v>
      </c>
      <c r="J20" s="93"/>
      <c r="K20" s="159">
        <f t="shared" si="3"/>
        <v>13</v>
      </c>
      <c r="L20" s="93"/>
      <c r="M20" s="93">
        <f>'Economic Assumptions'!A21</f>
        <v>2021</v>
      </c>
      <c r="N20" s="276">
        <f>IF(M20&lt;=$B$5,1,(1+INDEX('Economic Assumptions'!$B$12:$CC$60,M20-$M$11,$B$4+F$6))*N19)</f>
        <v>1.1596934182128902</v>
      </c>
      <c r="O20" s="93"/>
      <c r="P20" s="93"/>
      <c r="Q20" s="93"/>
      <c r="R20" s="93"/>
      <c r="S20" s="93"/>
      <c r="T20" s="93"/>
      <c r="U20" s="93"/>
      <c r="V20" s="93"/>
      <c r="W20" s="93"/>
      <c r="X20" s="93"/>
      <c r="Y20" s="93"/>
      <c r="Z20" s="93"/>
      <c r="AA20" s="93"/>
      <c r="AB20" s="93"/>
      <c r="AC20" s="93"/>
      <c r="AD20" s="93"/>
      <c r="AE20" s="93"/>
      <c r="AF20" s="93"/>
      <c r="AG20" s="93"/>
      <c r="AH20" s="93"/>
      <c r="AI20" s="93"/>
    </row>
    <row r="21" spans="1:35">
      <c r="A21" s="159">
        <f t="shared" si="2"/>
        <v>2025</v>
      </c>
      <c r="B21" s="204">
        <f>INDEX('Economic Assumptions'!$B$12:$CC$60,$K21,$B$4+B$6)+'Economic Assumptions'!B$9*'Selected Economics'!$N21</f>
        <v>78.84537852624166</v>
      </c>
      <c r="C21" s="204">
        <f>INDEX('Economic Assumptions'!$B$12:$CC$60,$K21,$B$4+C$6)+'Economic Assumptions'!C$9*'Selected Economics'!$N21</f>
        <v>98.556723157802068</v>
      </c>
      <c r="D21" s="204">
        <f>INDEX('Economic Assumptions'!$B$12:$CC$60,$K21,$B$4+D$6)+'Economic Assumptions'!D$9*'Selected Economics'!$N21</f>
        <v>5.7424920737838159</v>
      </c>
      <c r="E21" s="277">
        <f>INDEX('Economic Assumptions'!$B$12:$CC$60,$K21,$B$4+E$6)</f>
        <v>0.85</v>
      </c>
      <c r="F21" s="258">
        <f>INDEX('Economic Assumptions'!$B$12:$CC$60,$K21,$B$4+F$6)</f>
        <v>2.5000000000000001E-2</v>
      </c>
      <c r="G21" s="258">
        <f>INDEX('Economic Assumptions'!$B$12:$CC$60,$K21,$B$4+G$6)</f>
        <v>2.5000000000000001E-2</v>
      </c>
      <c r="H21" s="93"/>
      <c r="I21" s="278">
        <f t="shared" si="1"/>
        <v>1.2800845441963566</v>
      </c>
      <c r="J21" s="93"/>
      <c r="K21" s="159">
        <f t="shared" si="3"/>
        <v>14</v>
      </c>
      <c r="L21" s="93"/>
      <c r="M21" s="93">
        <f>'Economic Assumptions'!A22</f>
        <v>2022</v>
      </c>
      <c r="N21" s="276">
        <f>IF(M21&lt;=$B$5,1,(1+INDEX('Economic Assumptions'!$B$12:$CC$60,M21-$M$11,$B$4+F$6))*N20)</f>
        <v>1.1886857536682123</v>
      </c>
      <c r="O21" s="93"/>
      <c r="P21" s="93"/>
      <c r="Q21" s="93"/>
      <c r="R21" s="93"/>
      <c r="S21" s="93"/>
      <c r="T21" s="93"/>
      <c r="U21" s="93"/>
      <c r="V21" s="93"/>
      <c r="W21" s="93"/>
      <c r="X21" s="93"/>
      <c r="Y21" s="93"/>
      <c r="Z21" s="93"/>
      <c r="AA21" s="93"/>
      <c r="AB21" s="93"/>
      <c r="AC21" s="93"/>
      <c r="AD21" s="93"/>
      <c r="AE21" s="93"/>
      <c r="AF21" s="93"/>
      <c r="AG21" s="93"/>
      <c r="AH21" s="93"/>
      <c r="AI21" s="93"/>
    </row>
    <row r="22" spans="1:35">
      <c r="A22" s="159">
        <f t="shared" si="2"/>
        <v>2026</v>
      </c>
      <c r="B22" s="204">
        <f>INDEX('Economic Assumptions'!$B$12:$CC$60,$K22,$B$4+B$6)+'Economic Assumptions'!B$9*'Selected Economics'!$N22</f>
        <v>81.077764737520212</v>
      </c>
      <c r="C22" s="204">
        <f>INDEX('Economic Assumptions'!$B$12:$CC$60,$K22,$B$4+C$6)+'Economic Assumptions'!C$9*'Selected Economics'!$N22</f>
        <v>101.34720592190025</v>
      </c>
      <c r="D22" s="204">
        <f>INDEX('Economic Assumptions'!$B$12:$CC$60,$K22,$B$4+D$6)+'Economic Assumptions'!D$9*'Selected Economics'!$N22</f>
        <v>5.8925931926212067</v>
      </c>
      <c r="E22" s="277">
        <f>INDEX('Economic Assumptions'!$B$12:$CC$60,$K22,$B$4+E$6)</f>
        <v>0.85</v>
      </c>
      <c r="F22" s="258">
        <f>INDEX('Economic Assumptions'!$B$12:$CC$60,$K22,$B$4+F$6)</f>
        <v>2.5000000000000001E-2</v>
      </c>
      <c r="G22" s="258">
        <f>INDEX('Economic Assumptions'!$B$12:$CC$60,$K22,$B$4+G$6)</f>
        <v>2.5000000000000001E-2</v>
      </c>
      <c r="H22" s="93"/>
      <c r="I22" s="278">
        <f t="shared" si="1"/>
        <v>1.3120866578012655</v>
      </c>
      <c r="J22" s="93"/>
      <c r="K22" s="159">
        <f t="shared" si="3"/>
        <v>15</v>
      </c>
      <c r="L22" s="93"/>
      <c r="M22" s="93">
        <f>'Economic Assumptions'!A23</f>
        <v>2023</v>
      </c>
      <c r="N22" s="276">
        <f>IF(M22&lt;=$B$5,1,(1+INDEX('Economic Assumptions'!$B$12:$CC$60,M22-$M$11,$B$4+F$6))*N21)</f>
        <v>1.2184028975099175</v>
      </c>
      <c r="O22" s="93"/>
      <c r="P22" s="93"/>
      <c r="Q22" s="93"/>
      <c r="R22" s="93"/>
      <c r="S22" s="93"/>
      <c r="T22" s="93"/>
      <c r="U22" s="93"/>
      <c r="V22" s="93"/>
      <c r="W22" s="93"/>
      <c r="X22" s="93"/>
      <c r="Y22" s="93"/>
      <c r="Z22" s="93"/>
      <c r="AA22" s="93"/>
      <c r="AB22" s="93"/>
      <c r="AC22" s="93"/>
      <c r="AD22" s="93"/>
      <c r="AE22" s="93"/>
      <c r="AF22" s="93"/>
      <c r="AG22" s="93"/>
      <c r="AH22" s="93"/>
      <c r="AI22" s="93"/>
    </row>
    <row r="23" spans="1:35">
      <c r="A23" s="159">
        <f t="shared" si="2"/>
        <v>2027</v>
      </c>
      <c r="B23" s="204">
        <f>INDEX('Economic Assumptions'!$B$12:$CC$60,$K23,$B$4+B$6)+'Economic Assumptions'!B$9*'Selected Economics'!$N23</f>
        <v>83.359382324968706</v>
      </c>
      <c r="C23" s="204">
        <f>INDEX('Economic Assumptions'!$B$12:$CC$60,$K23,$B$4+C$6)+'Economic Assumptions'!C$9*'Selected Economics'!$N23</f>
        <v>104.19922790621088</v>
      </c>
      <c r="D23" s="204">
        <f>INDEX('Economic Assumptions'!$B$12:$CC$60,$K23,$B$4+D$6)+'Economic Assumptions'!D$9*'Selected Economics'!$N23</f>
        <v>6.0457453749627916</v>
      </c>
      <c r="E23" s="277">
        <f>INDEX('Economic Assumptions'!$B$12:$CC$60,$K23,$B$4+E$6)</f>
        <v>0.85</v>
      </c>
      <c r="F23" s="258">
        <f>INDEX('Economic Assumptions'!$B$12:$CC$60,$K23,$B$4+F$6)</f>
        <v>2.5000000000000001E-2</v>
      </c>
      <c r="G23" s="258">
        <f>INDEX('Economic Assumptions'!$B$12:$CC$60,$K23,$B$4+G$6)</f>
        <v>2.5000000000000001E-2</v>
      </c>
      <c r="H23" s="93"/>
      <c r="I23" s="278">
        <f t="shared" si="1"/>
        <v>1.3448888242462971</v>
      </c>
      <c r="J23" s="93"/>
      <c r="K23" s="159">
        <f t="shared" si="3"/>
        <v>16</v>
      </c>
      <c r="L23" s="93"/>
      <c r="M23" s="93">
        <f>'Economic Assumptions'!A24</f>
        <v>2024</v>
      </c>
      <c r="N23" s="276">
        <f>IF(M23&lt;=$B$5,1,(1+INDEX('Economic Assumptions'!$B$12:$CC$60,M23-$M$11,$B$4+F$6))*N22)</f>
        <v>1.2488629699476652</v>
      </c>
      <c r="O23" s="93"/>
      <c r="P23" s="93"/>
      <c r="Q23" s="93"/>
      <c r="R23" s="93"/>
      <c r="S23" s="93"/>
      <c r="T23" s="93"/>
      <c r="U23" s="93"/>
      <c r="V23" s="93"/>
      <c r="W23" s="93"/>
      <c r="X23" s="93"/>
      <c r="Y23" s="93"/>
      <c r="Z23" s="93"/>
      <c r="AA23" s="93"/>
      <c r="AB23" s="93"/>
      <c r="AC23" s="93"/>
      <c r="AD23" s="93"/>
      <c r="AE23" s="93"/>
      <c r="AF23" s="93"/>
      <c r="AG23" s="93"/>
      <c r="AH23" s="93"/>
      <c r="AI23" s="93"/>
    </row>
    <row r="24" spans="1:35">
      <c r="A24" s="159">
        <f t="shared" si="2"/>
        <v>2028</v>
      </c>
      <c r="B24" s="204">
        <f>INDEX('Economic Assumptions'!$B$12:$CC$60,$K24,$B$4+B$6)+'Economic Assumptions'!B$9*'Selected Economics'!$N24</f>
        <v>85.691205942974719</v>
      </c>
      <c r="C24" s="204">
        <f>INDEX('Economic Assumptions'!$B$12:$CC$60,$K24,$B$4+C$6)+'Economic Assumptions'!C$9*'Selected Economics'!$N24</f>
        <v>107.11400742871839</v>
      </c>
      <c r="D24" s="204">
        <f>INDEX('Economic Assumptions'!$B$12:$CC$60,$K24,$B$4+D$6)+'Economic Assumptions'!D$9*'Selected Economics'!$N24</f>
        <v>6.2020043810951542</v>
      </c>
      <c r="E24" s="277">
        <f>INDEX('Economic Assumptions'!$B$12:$CC$60,$K24,$B$4+E$6)</f>
        <v>0.85</v>
      </c>
      <c r="F24" s="258">
        <f>INDEX('Economic Assumptions'!$B$12:$CC$60,$K24,$B$4+F$6)</f>
        <v>2.5000000000000001E-2</v>
      </c>
      <c r="G24" s="258">
        <f>INDEX('Economic Assumptions'!$B$12:$CC$60,$K24,$B$4+G$6)</f>
        <v>2.5000000000000001E-2</v>
      </c>
      <c r="H24" s="93"/>
      <c r="I24" s="278">
        <f t="shared" si="1"/>
        <v>1.3785110448524545</v>
      </c>
      <c r="J24" s="93"/>
      <c r="K24" s="159">
        <f t="shared" si="3"/>
        <v>17</v>
      </c>
      <c r="L24" s="93"/>
      <c r="M24" s="93">
        <f>'Economic Assumptions'!A25</f>
        <v>2025</v>
      </c>
      <c r="N24" s="276">
        <f>IF(M24&lt;=$B$5,1,(1+INDEX('Economic Assumptions'!$B$12:$CC$60,M24-$M$11,$B$4+F$6))*N23)</f>
        <v>1.2800845441963566</v>
      </c>
      <c r="O24" s="93"/>
      <c r="P24" s="93"/>
      <c r="Q24" s="93"/>
      <c r="R24" s="93"/>
      <c r="S24" s="93"/>
      <c r="T24" s="93"/>
      <c r="U24" s="93"/>
      <c r="V24" s="93"/>
      <c r="W24" s="93"/>
      <c r="X24" s="93"/>
      <c r="Y24" s="93"/>
      <c r="Z24" s="93"/>
      <c r="AA24" s="93"/>
      <c r="AB24" s="93"/>
      <c r="AC24" s="93"/>
      <c r="AD24" s="93"/>
      <c r="AE24" s="93"/>
      <c r="AF24" s="93"/>
      <c r="AG24" s="93"/>
      <c r="AH24" s="93"/>
      <c r="AI24" s="93"/>
    </row>
    <row r="25" spans="1:35">
      <c r="A25" s="159">
        <f t="shared" si="2"/>
        <v>2029</v>
      </c>
      <c r="B25" s="204">
        <f>INDEX('Economic Assumptions'!$B$12:$CC$60,$K25,$B$4+B$6)+'Economic Assumptions'!B$9*'Selected Economics'!$N25</f>
        <v>88.074228408497788</v>
      </c>
      <c r="C25" s="204">
        <f>INDEX('Economic Assumptions'!$B$12:$CC$60,$K25,$B$4+C$6)+'Economic Assumptions'!C$9*'Selected Economics'!$N25</f>
        <v>110.09278551062224</v>
      </c>
      <c r="D25" s="204">
        <f>INDEX('Economic Assumptions'!$B$12:$CC$60,$K25,$B$4+D$6)+'Economic Assumptions'!D$9*'Selected Economics'!$N25</f>
        <v>6.3614269326383504</v>
      </c>
      <c r="E25" s="277">
        <f>INDEX('Economic Assumptions'!$B$12:$CC$60,$K25,$B$4+E$6)</f>
        <v>0.85</v>
      </c>
      <c r="F25" s="258">
        <f>INDEX('Economic Assumptions'!$B$12:$CC$60,$K25,$B$4+F$6)</f>
        <v>2.5000000000000001E-2</v>
      </c>
      <c r="G25" s="258">
        <f>INDEX('Economic Assumptions'!$B$12:$CC$60,$K25,$B$4+G$6)</f>
        <v>2.5000000000000001E-2</v>
      </c>
      <c r="H25" s="93"/>
      <c r="I25" s="278">
        <f t="shared" si="1"/>
        <v>1.4129738209737657</v>
      </c>
      <c r="J25" s="93"/>
      <c r="K25" s="159">
        <f t="shared" si="3"/>
        <v>18</v>
      </c>
      <c r="L25" s="93"/>
      <c r="M25" s="93">
        <f>'Economic Assumptions'!A26</f>
        <v>2026</v>
      </c>
      <c r="N25" s="276">
        <f>IF(M25&lt;=$B$5,1,(1+INDEX('Economic Assumptions'!$B$12:$CC$60,M25-$M$11,$B$4+F$6))*N24)</f>
        <v>1.3120866578012655</v>
      </c>
      <c r="O25" s="93"/>
      <c r="P25" s="93"/>
      <c r="Q25" s="93"/>
      <c r="R25" s="93"/>
      <c r="S25" s="93"/>
      <c r="T25" s="93"/>
      <c r="U25" s="93"/>
      <c r="V25" s="93"/>
      <c r="W25" s="93"/>
      <c r="X25" s="93"/>
      <c r="Y25" s="93"/>
      <c r="Z25" s="93"/>
      <c r="AA25" s="93"/>
      <c r="AB25" s="93"/>
      <c r="AC25" s="93"/>
      <c r="AD25" s="93"/>
      <c r="AE25" s="93"/>
      <c r="AF25" s="93"/>
      <c r="AG25" s="93"/>
      <c r="AH25" s="93"/>
      <c r="AI25" s="93"/>
    </row>
    <row r="26" spans="1:35">
      <c r="A26" s="159">
        <f t="shared" si="2"/>
        <v>2030</v>
      </c>
      <c r="B26" s="204">
        <f>INDEX('Economic Assumptions'!$B$12:$CC$60,$K26,$B$4+B$6)+'Economic Assumptions'!B$9*'Selected Economics'!$N26</f>
        <v>90.509461026649376</v>
      </c>
      <c r="C26" s="204">
        <f>INDEX('Economic Assumptions'!$B$12:$CC$60,$K26,$B$4+C$6)+'Economic Assumptions'!C$9*'Selected Economics'!$N26</f>
        <v>113.13682628331172</v>
      </c>
      <c r="D26" s="204">
        <f>INDEX('Economic Assumptions'!$B$12:$CC$60,$K26,$B$4+D$6)+'Economic Assumptions'!D$9*'Selected Economics'!$N26</f>
        <v>6.524070728527529</v>
      </c>
      <c r="E26" s="277">
        <f>INDEX('Economic Assumptions'!$B$12:$CC$60,$K26,$B$4+E$6)</f>
        <v>0.85</v>
      </c>
      <c r="F26" s="258">
        <f>INDEX('Economic Assumptions'!$B$12:$CC$60,$K26,$B$4+F$6)</f>
        <v>2.5000000000000001E-2</v>
      </c>
      <c r="G26" s="258">
        <f>INDEX('Economic Assumptions'!$B$12:$CC$60,$K26,$B$4+G$6)</f>
        <v>2.5000000000000001E-2</v>
      </c>
      <c r="H26" s="93"/>
      <c r="I26" s="278">
        <f t="shared" si="1"/>
        <v>1.4482981664981096</v>
      </c>
      <c r="J26" s="93"/>
      <c r="K26" s="159">
        <f t="shared" si="3"/>
        <v>19</v>
      </c>
      <c r="L26" s="93"/>
      <c r="M26" s="93">
        <f>'Economic Assumptions'!A27</f>
        <v>2027</v>
      </c>
      <c r="N26" s="276">
        <f>IF(M26&lt;=$B$5,1,(1+INDEX('Economic Assumptions'!$B$12:$CC$60,M26-$M$11,$B$4+F$6))*N25)</f>
        <v>1.3448888242462971</v>
      </c>
      <c r="O26" s="93"/>
      <c r="P26" s="93"/>
      <c r="Q26" s="93"/>
      <c r="R26" s="93"/>
      <c r="S26" s="93"/>
      <c r="T26" s="93"/>
      <c r="U26" s="93"/>
      <c r="V26" s="93"/>
      <c r="W26" s="93"/>
      <c r="X26" s="93"/>
      <c r="Y26" s="93"/>
      <c r="Z26" s="93"/>
      <c r="AA26" s="93"/>
      <c r="AB26" s="93"/>
      <c r="AC26" s="93"/>
      <c r="AD26" s="93"/>
      <c r="AE26" s="93"/>
      <c r="AF26" s="93"/>
      <c r="AG26" s="93"/>
      <c r="AH26" s="93"/>
      <c r="AI26" s="93"/>
    </row>
    <row r="27" spans="1:35">
      <c r="A27" s="159">
        <f t="shared" si="2"/>
        <v>2031</v>
      </c>
      <c r="B27" s="204">
        <f>INDEX('Economic Assumptions'!$B$12:$CC$60,$K27,$B$4+B$6)+'Economic Assumptions'!B$9*'Selected Economics'!$N27</f>
        <v>92.997933921953603</v>
      </c>
      <c r="C27" s="204">
        <f>INDEX('Economic Assumptions'!$B$12:$CC$60,$K27,$B$4+C$6)+'Economic Assumptions'!C$9*'Selected Economics'!$N27</f>
        <v>116.24741740244201</v>
      </c>
      <c r="D27" s="204">
        <f>INDEX('Economic Assumptions'!$B$12:$CC$60,$K27,$B$4+D$6)+'Economic Assumptions'!D$9*'Selected Economics'!$N27</f>
        <v>6.6899944612537912</v>
      </c>
      <c r="E27" s="277">
        <f>INDEX('Economic Assumptions'!$B$12:$CC$60,$K27,$B$4+E$6)</f>
        <v>0.85</v>
      </c>
      <c r="F27" s="258">
        <f>INDEX('Economic Assumptions'!$B$12:$CC$60,$K27,$B$4+F$6)</f>
        <v>2.5000000000000001E-2</v>
      </c>
      <c r="G27" s="258">
        <f>INDEX('Economic Assumptions'!$B$12:$CC$60,$K27,$B$4+G$6)</f>
        <v>2.5000000000000001E-2</v>
      </c>
      <c r="H27" s="93"/>
      <c r="I27" s="278">
        <f t="shared" si="1"/>
        <v>1.4845056206605622</v>
      </c>
      <c r="J27" s="93"/>
      <c r="K27" s="159">
        <f t="shared" si="3"/>
        <v>20</v>
      </c>
      <c r="L27" s="93"/>
      <c r="M27" s="93">
        <f>'Economic Assumptions'!A28</f>
        <v>2028</v>
      </c>
      <c r="N27" s="276">
        <f>IF(M27&lt;=$B$5,1,(1+INDEX('Economic Assumptions'!$B$12:$CC$60,M27-$M$11,$B$4+F$6))*N26)</f>
        <v>1.3785110448524545</v>
      </c>
      <c r="O27" s="93"/>
      <c r="P27" s="93"/>
      <c r="Q27" s="93"/>
      <c r="R27" s="93"/>
      <c r="S27" s="93"/>
      <c r="T27" s="93"/>
      <c r="U27" s="93"/>
      <c r="V27" s="93"/>
      <c r="W27" s="93"/>
      <c r="X27" s="93"/>
      <c r="Y27" s="93"/>
      <c r="Z27" s="93"/>
      <c r="AA27" s="93"/>
      <c r="AB27" s="93"/>
      <c r="AC27" s="93"/>
      <c r="AD27" s="93"/>
      <c r="AE27" s="93"/>
      <c r="AF27" s="93"/>
      <c r="AG27" s="93"/>
      <c r="AH27" s="93"/>
      <c r="AI27" s="93"/>
    </row>
    <row r="28" spans="1:35">
      <c r="A28" s="159">
        <f t="shared" si="2"/>
        <v>2032</v>
      </c>
      <c r="B28" s="204">
        <f>INDEX('Economic Assumptions'!$B$12:$CC$60,$K28,$B$4+B$6)+'Economic Assumptions'!B$9*'Selected Economics'!$N28</f>
        <v>95.540696375385963</v>
      </c>
      <c r="C28" s="204">
        <f>INDEX('Economic Assumptions'!$B$12:$CC$60,$K28,$B$4+C$6)+'Economic Assumptions'!C$9*'Selected Economics'!$N28</f>
        <v>119.42587046923246</v>
      </c>
      <c r="D28" s="204">
        <f>INDEX('Economic Assumptions'!$B$12:$CC$60,$K28,$B$4+D$6)+'Economic Assumptions'!D$9*'Selected Economics'!$N28</f>
        <v>6.8592578333684262</v>
      </c>
      <c r="E28" s="277">
        <f>INDEX('Economic Assumptions'!$B$12:$CC$60,$K28,$B$4+E$6)</f>
        <v>0.85</v>
      </c>
      <c r="F28" s="258">
        <f>INDEX('Economic Assumptions'!$B$12:$CC$60,$K28,$B$4+F$6)</f>
        <v>2.5000000000000001E-2</v>
      </c>
      <c r="G28" s="258">
        <f>INDEX('Economic Assumptions'!$B$12:$CC$60,$K28,$B$4+G$6)</f>
        <v>2.5000000000000001E-2</v>
      </c>
      <c r="H28" s="93"/>
      <c r="I28" s="278">
        <f t="shared" si="1"/>
        <v>1.5216182611770761</v>
      </c>
      <c r="J28" s="93"/>
      <c r="K28" s="159">
        <f t="shared" si="3"/>
        <v>21</v>
      </c>
      <c r="L28" s="93"/>
      <c r="M28" s="93">
        <f>'Economic Assumptions'!A29</f>
        <v>2029</v>
      </c>
      <c r="N28" s="276">
        <f>IF(M28&lt;=$B$5,1,(1+INDEX('Economic Assumptions'!$B$12:$CC$60,M28-$M$11,$B$4+F$6))*N27)</f>
        <v>1.4129738209737657</v>
      </c>
      <c r="O28" s="93"/>
      <c r="P28" s="93"/>
      <c r="Q28" s="93"/>
      <c r="R28" s="93"/>
      <c r="S28" s="93"/>
      <c r="T28" s="93"/>
      <c r="U28" s="93"/>
      <c r="V28" s="93"/>
      <c r="W28" s="93"/>
      <c r="X28" s="93"/>
      <c r="Y28" s="93"/>
      <c r="Z28" s="93"/>
      <c r="AA28" s="93"/>
      <c r="AB28" s="93"/>
      <c r="AC28" s="93"/>
      <c r="AD28" s="93"/>
      <c r="AE28" s="93"/>
      <c r="AF28" s="93"/>
      <c r="AG28" s="93"/>
      <c r="AH28" s="93"/>
      <c r="AI28" s="93"/>
    </row>
    <row r="29" spans="1:35">
      <c r="A29" s="159">
        <f t="shared" si="2"/>
        <v>2033</v>
      </c>
      <c r="B29" s="204">
        <f>INDEX('Economic Assumptions'!$B$12:$CC$60,$K29,$B$4+B$6)+'Economic Assumptions'!B$9*'Selected Economics'!$N29</f>
        <v>98.138817167288835</v>
      </c>
      <c r="C29" s="204">
        <f>INDEX('Economic Assumptions'!$B$12:$CC$60,$K29,$B$4+C$6)+'Economic Assumptions'!C$9*'Selected Economics'!$N29</f>
        <v>122.67352145911107</v>
      </c>
      <c r="D29" s="204">
        <f>INDEX('Economic Assumptions'!$B$12:$CC$60,$K29,$B$4+D$6)+'Economic Assumptions'!D$9*'Selected Economics'!$N29</f>
        <v>7.0319215742547287</v>
      </c>
      <c r="E29" s="277">
        <f>INDEX('Economic Assumptions'!$B$12:$CC$60,$K29,$B$4+E$6)</f>
        <v>0.85</v>
      </c>
      <c r="F29" s="258">
        <f>INDEX('Economic Assumptions'!$B$12:$CC$60,$K29,$B$4+F$6)</f>
        <v>2.5000000000000001E-2</v>
      </c>
      <c r="G29" s="258">
        <f>INDEX('Economic Assumptions'!$B$12:$CC$60,$K29,$B$4+G$6)</f>
        <v>2.5000000000000001E-2</v>
      </c>
      <c r="H29" s="93"/>
      <c r="I29" s="278">
        <f t="shared" si="1"/>
        <v>1.5596587177065029</v>
      </c>
      <c r="J29" s="93"/>
      <c r="K29" s="159">
        <f t="shared" si="3"/>
        <v>22</v>
      </c>
      <c r="L29" s="93"/>
      <c r="M29" s="93">
        <f>'Economic Assumptions'!A30</f>
        <v>2030</v>
      </c>
      <c r="N29" s="276">
        <f>IF(M29&lt;=$B$5,1,(1+INDEX('Economic Assumptions'!$B$12:$CC$60,M29-$M$11,$B$4+F$6))*N28)</f>
        <v>1.4482981664981096</v>
      </c>
      <c r="O29" s="93"/>
      <c r="P29" s="93"/>
      <c r="Q29" s="93"/>
      <c r="R29" s="93"/>
      <c r="S29" s="93"/>
      <c r="T29" s="93"/>
      <c r="U29" s="93"/>
      <c r="V29" s="93"/>
      <c r="W29" s="93"/>
      <c r="X29" s="93"/>
      <c r="Y29" s="93"/>
      <c r="Z29" s="93"/>
      <c r="AA29" s="93"/>
      <c r="AB29" s="93"/>
      <c r="AC29" s="93"/>
      <c r="AD29" s="93"/>
      <c r="AE29" s="93"/>
      <c r="AF29" s="93"/>
      <c r="AG29" s="93"/>
      <c r="AH29" s="93"/>
      <c r="AI29" s="93"/>
    </row>
    <row r="30" spans="1:35">
      <c r="A30" s="159">
        <f t="shared" si="2"/>
        <v>2034</v>
      </c>
      <c r="B30" s="204">
        <f>INDEX('Economic Assumptions'!$B$12:$CC$60,$K30,$B$4+B$6)+'Economic Assumptions'!B$9*'Selected Economics'!$N30</f>
        <v>100.79338492626437</v>
      </c>
      <c r="C30" s="204">
        <f>INDEX('Economic Assumptions'!$B$12:$CC$60,$K30,$B$4+C$6)+'Economic Assumptions'!C$9*'Selected Economics'!$N30</f>
        <v>125.99173115783047</v>
      </c>
      <c r="D30" s="204">
        <f>INDEX('Economic Assumptions'!$B$12:$CC$60,$K30,$B$4+D$6)+'Economic Assumptions'!D$9*'Selected Economics'!$N30</f>
        <v>7.2080474571716477</v>
      </c>
      <c r="E30" s="277">
        <f>INDEX('Economic Assumptions'!$B$12:$CC$60,$K30,$B$4+E$6)</f>
        <v>0.85</v>
      </c>
      <c r="F30" s="258">
        <f>INDEX('Economic Assumptions'!$B$12:$CC$60,$K30,$B$4+F$6)</f>
        <v>2.5000000000000001E-2</v>
      </c>
      <c r="G30" s="258">
        <f>INDEX('Economic Assumptions'!$B$12:$CC$60,$K30,$B$4+G$6)</f>
        <v>2.5000000000000001E-2</v>
      </c>
      <c r="H30" s="93"/>
      <c r="I30" s="278">
        <f t="shared" si="1"/>
        <v>1.5986501856491653</v>
      </c>
      <c r="J30" s="93"/>
      <c r="K30" s="159">
        <f t="shared" si="3"/>
        <v>23</v>
      </c>
      <c r="L30" s="93"/>
      <c r="M30" s="93">
        <f>'Economic Assumptions'!A31</f>
        <v>2031</v>
      </c>
      <c r="N30" s="276">
        <f>IF(M30&lt;=$B$5,1,(1+INDEX('Economic Assumptions'!$B$12:$CC$60,M30-$M$11,$B$4+F$6))*N29)</f>
        <v>1.4845056206605622</v>
      </c>
      <c r="O30" s="93"/>
      <c r="P30" s="93"/>
      <c r="Q30" s="93"/>
      <c r="R30" s="93"/>
      <c r="S30" s="93"/>
      <c r="T30" s="93"/>
      <c r="U30" s="93"/>
      <c r="V30" s="93"/>
      <c r="W30" s="93"/>
      <c r="X30" s="93"/>
      <c r="Y30" s="93"/>
      <c r="Z30" s="93"/>
      <c r="AA30" s="93"/>
      <c r="AB30" s="93"/>
      <c r="AC30" s="93"/>
      <c r="AD30" s="93"/>
      <c r="AE30" s="93"/>
      <c r="AF30" s="93"/>
      <c r="AG30" s="93"/>
      <c r="AH30" s="93"/>
      <c r="AI30" s="93"/>
    </row>
    <row r="31" spans="1:35">
      <c r="A31" s="159">
        <f t="shared" si="2"/>
        <v>2035</v>
      </c>
      <c r="B31" s="204">
        <f>INDEX('Economic Assumptions'!$B$12:$CC$60,$K31,$B$4+B$6)+'Economic Assumptions'!B$9*'Selected Economics'!$N31</f>
        <v>103.5055084841465</v>
      </c>
      <c r="C31" s="204">
        <f>INDEX('Economic Assumptions'!$B$12:$CC$60,$K31,$B$4+C$6)+'Economic Assumptions'!C$9*'Selected Economics'!$N31</f>
        <v>129.38188560518313</v>
      </c>
      <c r="D31" s="204">
        <f>INDEX('Economic Assumptions'!$B$12:$CC$60,$K31,$B$4+D$6)+'Economic Assumptions'!D$9*'Selected Economics'!$N31</f>
        <v>7.3876983165736094</v>
      </c>
      <c r="E31" s="277">
        <f>INDEX('Economic Assumptions'!$B$12:$CC$60,$K31,$B$4+E$6)</f>
        <v>0.85</v>
      </c>
      <c r="F31" s="258">
        <f>INDEX('Economic Assumptions'!$B$12:$CC$60,$K31,$B$4+F$6)</f>
        <v>2.5000000000000001E-2</v>
      </c>
      <c r="G31" s="258">
        <f>INDEX('Economic Assumptions'!$B$12:$CC$60,$K31,$B$4+G$6)</f>
        <v>2.5000000000000001E-2</v>
      </c>
      <c r="H31" s="93"/>
      <c r="I31" s="278">
        <f t="shared" si="1"/>
        <v>1.6386164402903942</v>
      </c>
      <c r="J31" s="93"/>
      <c r="K31" s="159">
        <f t="shared" si="3"/>
        <v>24</v>
      </c>
      <c r="L31" s="93"/>
      <c r="M31" s="93">
        <f>'Economic Assumptions'!A32</f>
        <v>2032</v>
      </c>
      <c r="N31" s="276">
        <f>IF(M31&lt;=$B$5,1,(1+INDEX('Economic Assumptions'!$B$12:$CC$60,M31-$M$11,$B$4+F$6))*N30)</f>
        <v>1.5216182611770761</v>
      </c>
      <c r="O31" s="93"/>
      <c r="P31" s="93"/>
      <c r="Q31" s="93"/>
      <c r="R31" s="93"/>
      <c r="S31" s="93"/>
      <c r="T31" s="93"/>
      <c r="U31" s="93"/>
      <c r="V31" s="93"/>
      <c r="W31" s="93"/>
      <c r="X31" s="93"/>
      <c r="Y31" s="93"/>
      <c r="Z31" s="93"/>
      <c r="AA31" s="93"/>
      <c r="AB31" s="93"/>
      <c r="AC31" s="93"/>
      <c r="AD31" s="93"/>
      <c r="AE31" s="93"/>
      <c r="AF31" s="93"/>
      <c r="AG31" s="93"/>
      <c r="AH31" s="93"/>
      <c r="AI31" s="93"/>
    </row>
    <row r="32" spans="1:35">
      <c r="A32" s="159">
        <f t="shared" si="2"/>
        <v>2036</v>
      </c>
      <c r="B32" s="204">
        <f>INDEX('Economic Assumptions'!$B$12:$CC$60,$K32,$B$4+B$6)+'Economic Assumptions'!B$9*'Selected Economics'!$N32</f>
        <v>106.27631723715669</v>
      </c>
      <c r="C32" s="204">
        <f>INDEX('Economic Assumptions'!$B$12:$CC$60,$K32,$B$4+C$6)+'Economic Assumptions'!C$9*'Selected Economics'!$N32</f>
        <v>132.84539654644584</v>
      </c>
      <c r="D32" s="204">
        <f>INDEX('Economic Assumptions'!$B$12:$CC$60,$K32,$B$4+D$6)+'Economic Assumptions'!D$9*'Selected Economics'!$N32</f>
        <v>7.5709380657109051</v>
      </c>
      <c r="E32" s="277">
        <f>INDEX('Economic Assumptions'!$B$12:$CC$60,$K32,$B$4+E$6)</f>
        <v>0.85</v>
      </c>
      <c r="F32" s="258">
        <f>INDEX('Economic Assumptions'!$B$12:$CC$60,$K32,$B$4+F$6)</f>
        <v>2.5000000000000001E-2</v>
      </c>
      <c r="G32" s="258">
        <f>INDEX('Economic Assumptions'!$B$12:$CC$60,$K32,$B$4+G$6)</f>
        <v>2.5000000000000001E-2</v>
      </c>
      <c r="H32" s="93"/>
      <c r="I32" s="278">
        <f t="shared" si="1"/>
        <v>1.6795818512976539</v>
      </c>
      <c r="J32" s="93"/>
      <c r="K32" s="159">
        <f t="shared" si="3"/>
        <v>25</v>
      </c>
      <c r="L32" s="93"/>
      <c r="M32" s="93">
        <f>'Economic Assumptions'!A33</f>
        <v>2033</v>
      </c>
      <c r="N32" s="276">
        <f>IF(M32&lt;=$B$5,1,(1+INDEX('Economic Assumptions'!$B$12:$CC$60,M32-$M$11,$B$4+F$6))*N31)</f>
        <v>1.5596587177065029</v>
      </c>
      <c r="O32" s="93"/>
      <c r="P32" s="93"/>
      <c r="Q32" s="93"/>
      <c r="R32" s="93"/>
      <c r="S32" s="93"/>
      <c r="T32" s="93"/>
      <c r="U32" s="93"/>
      <c r="V32" s="93"/>
      <c r="W32" s="93"/>
      <c r="X32" s="93"/>
      <c r="Y32" s="93"/>
      <c r="Z32" s="93"/>
      <c r="AA32" s="93"/>
      <c r="AB32" s="93"/>
      <c r="AC32" s="93"/>
      <c r="AD32" s="93"/>
      <c r="AE32" s="93"/>
      <c r="AF32" s="93"/>
      <c r="AG32" s="93"/>
      <c r="AH32" s="93"/>
      <c r="AI32" s="93"/>
    </row>
    <row r="33" spans="1:35">
      <c r="A33" s="159">
        <f t="shared" si="2"/>
        <v>2037</v>
      </c>
      <c r="B33" s="204">
        <f>INDEX('Economic Assumptions'!$B$12:$CC$60,$K33,$B$4+B$6)+'Economic Assumptions'!B$9*'Selected Economics'!$N33</f>
        <v>109.10696151334825</v>
      </c>
      <c r="C33" s="204">
        <f>INDEX('Economic Assumptions'!$B$12:$CC$60,$K33,$B$4+C$6)+'Economic Assumptions'!C$9*'Selected Economics'!$N33</f>
        <v>136.38370189168529</v>
      </c>
      <c r="D33" s="204">
        <f>INDEX('Economic Assumptions'!$B$12:$CC$60,$K33,$B$4+D$6)+'Economic Assumptions'!D$9*'Selected Economics'!$N33</f>
        <v>7.7578317145151194</v>
      </c>
      <c r="E33" s="277">
        <f>INDEX('Economic Assumptions'!$B$12:$CC$60,$K33,$B$4+E$6)</f>
        <v>0.85</v>
      </c>
      <c r="F33" s="258">
        <f>INDEX('Economic Assumptions'!$B$12:$CC$60,$K33,$B$4+F$6)</f>
        <v>2.5000000000000001E-2</v>
      </c>
      <c r="G33" s="258">
        <f>INDEX('Economic Assumptions'!$B$12:$CC$60,$K33,$B$4+G$6)</f>
        <v>2.5000000000000001E-2</v>
      </c>
      <c r="H33" s="93"/>
      <c r="I33" s="278">
        <f t="shared" si="1"/>
        <v>1.721571397580095</v>
      </c>
      <c r="J33" s="93"/>
      <c r="K33" s="159">
        <f t="shared" si="3"/>
        <v>26</v>
      </c>
      <c r="L33" s="93"/>
      <c r="M33" s="93">
        <f>'Economic Assumptions'!A34</f>
        <v>2034</v>
      </c>
      <c r="N33" s="276">
        <f>IF(M33&lt;=$B$5,1,(1+INDEX('Economic Assumptions'!$B$12:$CC$60,M33-$M$11,$B$4+F$6))*N32)</f>
        <v>1.5986501856491653</v>
      </c>
      <c r="O33" s="93"/>
      <c r="P33" s="93"/>
      <c r="Q33" s="93"/>
      <c r="R33" s="93"/>
      <c r="S33" s="93"/>
      <c r="T33" s="93"/>
      <c r="U33" s="93"/>
      <c r="V33" s="93"/>
      <c r="W33" s="93"/>
      <c r="X33" s="93"/>
      <c r="Y33" s="93"/>
      <c r="Z33" s="93"/>
      <c r="AA33" s="93"/>
      <c r="AB33" s="93"/>
      <c r="AC33" s="93"/>
      <c r="AD33" s="93"/>
      <c r="AE33" s="93"/>
      <c r="AF33" s="93"/>
      <c r="AG33" s="93"/>
      <c r="AH33" s="93"/>
      <c r="AI33" s="93"/>
    </row>
    <row r="34" spans="1:35">
      <c r="A34" s="159">
        <f t="shared" si="2"/>
        <v>2038</v>
      </c>
      <c r="B34" s="204">
        <f>INDEX('Economic Assumptions'!$B$12:$CC$60,$K34,$B$4+B$6)+'Economic Assumptions'!B$9*'Selected Economics'!$N34</f>
        <v>111.99861294644721</v>
      </c>
      <c r="C34" s="204">
        <f>INDEX('Economic Assumptions'!$B$12:$CC$60,$K34,$B$4+C$6)+'Economic Assumptions'!C$9*'Selected Economics'!$N34</f>
        <v>139.99826618305897</v>
      </c>
      <c r="D34" s="204">
        <f>INDEX('Economic Assumptions'!$B$12:$CC$60,$K34,$B$4+D$6)+'Economic Assumptions'!D$9*'Selected Economics'!$N34</f>
        <v>7.9484453877741288</v>
      </c>
      <c r="E34" s="277">
        <f>INDEX('Economic Assumptions'!$B$12:$CC$60,$K34,$B$4+E$6)</f>
        <v>0.85</v>
      </c>
      <c r="F34" s="258">
        <f>INDEX('Economic Assumptions'!$B$12:$CC$60,$K34,$B$4+F$6)</f>
        <v>2.5000000000000001E-2</v>
      </c>
      <c r="G34" s="258">
        <f>INDEX('Economic Assumptions'!$B$12:$CC$60,$K34,$B$4+G$6)</f>
        <v>2.5000000000000001E-2</v>
      </c>
      <c r="H34" s="93"/>
      <c r="I34" s="278">
        <f t="shared" si="1"/>
        <v>1.7646106825195973</v>
      </c>
      <c r="J34" s="93"/>
      <c r="K34" s="159">
        <f t="shared" si="3"/>
        <v>27</v>
      </c>
      <c r="L34" s="93"/>
      <c r="M34" s="93">
        <f>'Economic Assumptions'!A35</f>
        <v>2035</v>
      </c>
      <c r="N34" s="276">
        <f>IF(M34&lt;=$B$5,1,(1+INDEX('Economic Assumptions'!$B$12:$CC$60,M34-$M$11,$B$4+F$6))*N33)</f>
        <v>1.6386164402903942</v>
      </c>
      <c r="O34" s="93"/>
      <c r="P34" s="93"/>
      <c r="Q34" s="93"/>
      <c r="R34" s="93"/>
      <c r="S34" s="93"/>
      <c r="T34" s="93"/>
      <c r="U34" s="93"/>
      <c r="V34" s="93"/>
      <c r="W34" s="93"/>
      <c r="X34" s="93"/>
      <c r="Y34" s="93"/>
      <c r="Z34" s="93"/>
      <c r="AA34" s="93"/>
      <c r="AB34" s="93"/>
      <c r="AC34" s="93"/>
      <c r="AD34" s="93"/>
      <c r="AE34" s="93"/>
      <c r="AF34" s="93"/>
      <c r="AG34" s="93"/>
      <c r="AH34" s="93"/>
      <c r="AI34" s="93"/>
    </row>
    <row r="35" spans="1:35">
      <c r="A35" s="159">
        <f t="shared" si="2"/>
        <v>2039</v>
      </c>
      <c r="B35" s="204">
        <f>INDEX('Economic Assumptions'!$B$12:$CC$60,$K35,$B$4+B$6)+'Economic Assumptions'!B$9*'Selected Economics'!$N35</f>
        <v>114.95246485619862</v>
      </c>
      <c r="C35" s="204">
        <f>INDEX('Economic Assumptions'!$B$12:$CC$60,$K35,$B$4+C$6)+'Economic Assumptions'!C$9*'Selected Economics'!$N35</f>
        <v>143.69058107024824</v>
      </c>
      <c r="D35" s="204">
        <f>INDEX('Economic Assumptions'!$B$12:$CC$60,$K35,$B$4+D$6)+'Economic Assumptions'!D$9*'Selected Economics'!$N35</f>
        <v>8.1428463436012883</v>
      </c>
      <c r="E35" s="277">
        <f>INDEX('Economic Assumptions'!$B$12:$CC$60,$K35,$B$4+E$6)</f>
        <v>0.85</v>
      </c>
      <c r="F35" s="258">
        <f>INDEX('Economic Assumptions'!$B$12:$CC$60,$K35,$B$4+F$6)</f>
        <v>2.5000000000000001E-2</v>
      </c>
      <c r="G35" s="258">
        <f>INDEX('Economic Assumptions'!$B$12:$CC$60,$K35,$B$4+G$6)</f>
        <v>2.5000000000000001E-2</v>
      </c>
      <c r="H35" s="93"/>
      <c r="I35" s="278">
        <f t="shared" si="1"/>
        <v>1.8087259495825871</v>
      </c>
      <c r="J35" s="93"/>
      <c r="K35" s="159">
        <f t="shared" si="3"/>
        <v>28</v>
      </c>
      <c r="L35" s="93"/>
      <c r="M35" s="93">
        <f>'Economic Assumptions'!A36</f>
        <v>2036</v>
      </c>
      <c r="N35" s="276">
        <f>IF(M35&lt;=$B$5,1,(1+INDEX('Economic Assumptions'!$B$12:$CC$60,M35-$M$11,$B$4+F$6))*N34)</f>
        <v>1.6795818512976539</v>
      </c>
      <c r="O35" s="93"/>
      <c r="P35" s="93"/>
      <c r="Q35" s="93"/>
      <c r="R35" s="93"/>
      <c r="S35" s="93"/>
      <c r="T35" s="93"/>
      <c r="U35" s="93"/>
      <c r="V35" s="93"/>
      <c r="W35" s="93"/>
      <c r="X35" s="93"/>
      <c r="Y35" s="93"/>
      <c r="Z35" s="93"/>
      <c r="AA35" s="93"/>
      <c r="AB35" s="93"/>
      <c r="AC35" s="93"/>
      <c r="AD35" s="93"/>
      <c r="AE35" s="93"/>
      <c r="AF35" s="93"/>
      <c r="AG35" s="93"/>
      <c r="AH35" s="93"/>
      <c r="AI35" s="93"/>
    </row>
    <row r="36" spans="1:35">
      <c r="A36" s="159">
        <f t="shared" si="2"/>
        <v>2040</v>
      </c>
      <c r="B36" s="204">
        <f>INDEX('Economic Assumptions'!$B$12:$CC$60,$K36,$B$4+B$6)+'Economic Assumptions'!B$9*'Selected Economics'!$N36</f>
        <v>117.96973263532962</v>
      </c>
      <c r="C36" s="204">
        <f>INDEX('Economic Assumptions'!$B$12:$CC$60,$K36,$B$4+C$6)+'Economic Assumptions'!C$9*'Selected Economics'!$N36</f>
        <v>147.46216579416199</v>
      </c>
      <c r="D36" s="204">
        <f>INDEX('Economic Assumptions'!$B$12:$CC$60,$K36,$B$4+D$6)+'Economic Assumptions'!D$9*'Selected Economics'!$N36</f>
        <v>8.3411029922034885</v>
      </c>
      <c r="E36" s="277">
        <f>INDEX('Economic Assumptions'!$B$12:$CC$60,$K36,$B$4+E$6)</f>
        <v>0.85</v>
      </c>
      <c r="F36" s="258">
        <f>INDEX('Economic Assumptions'!$B$12:$CC$60,$K36,$B$4+F$6)</f>
        <v>2.5000000000000001E-2</v>
      </c>
      <c r="G36" s="258">
        <f>INDEX('Economic Assumptions'!$B$12:$CC$60,$K36,$B$4+G$6)</f>
        <v>2.5000000000000001E-2</v>
      </c>
      <c r="H36" s="93"/>
      <c r="I36" s="278">
        <f t="shared" si="1"/>
        <v>1.8539440983221516</v>
      </c>
      <c r="J36" s="93"/>
      <c r="K36" s="159">
        <f t="shared" si="3"/>
        <v>29</v>
      </c>
      <c r="L36" s="93"/>
      <c r="M36" s="93">
        <f>'Economic Assumptions'!A37</f>
        <v>2037</v>
      </c>
      <c r="N36" s="276">
        <f>IF(M36&lt;=$B$5,1,(1+INDEX('Economic Assumptions'!$B$12:$CC$60,M36-$M$11,$B$4+F$6))*N35)</f>
        <v>1.721571397580095</v>
      </c>
      <c r="O36" s="93"/>
      <c r="P36" s="93"/>
      <c r="Q36" s="93"/>
      <c r="R36" s="93"/>
      <c r="S36" s="93"/>
      <c r="T36" s="93"/>
      <c r="U36" s="93"/>
      <c r="V36" s="93"/>
      <c r="W36" s="93"/>
      <c r="X36" s="93"/>
      <c r="Y36" s="93"/>
      <c r="Z36" s="93"/>
      <c r="AA36" s="93"/>
      <c r="AB36" s="93"/>
      <c r="AC36" s="93"/>
      <c r="AD36" s="93"/>
      <c r="AE36" s="93"/>
      <c r="AF36" s="93"/>
      <c r="AG36" s="93"/>
      <c r="AH36" s="93"/>
      <c r="AI36" s="93"/>
    </row>
    <row r="37" spans="1:35">
      <c r="A37" s="159">
        <f t="shared" si="2"/>
        <v>2041</v>
      </c>
      <c r="B37" s="204">
        <f>INDEX('Economic Assumptions'!$B$12:$CC$60,$K37,$B$4+B$6)+'Economic Assumptions'!B$9*'Selected Economics'!$N37</f>
        <v>121.92657115549683</v>
      </c>
      <c r="C37" s="204">
        <f>INDEX('Economic Assumptions'!$B$12:$CC$60,$K37,$B$4+C$6)+'Economic Assumptions'!C$9*'Selected Economics'!$N37</f>
        <v>152.408213944371</v>
      </c>
      <c r="D37" s="204">
        <f>INDEX('Economic Assumptions'!$B$12:$CC$60,$K37,$B$4+D$6)+'Economic Assumptions'!D$9*'Selected Economics'!$N37</f>
        <v>8.620350292819106</v>
      </c>
      <c r="E37" s="277">
        <f>INDEX('Economic Assumptions'!$B$12:$CC$60,$K37,$B$4+E$6)</f>
        <v>0.85</v>
      </c>
      <c r="F37" s="258">
        <f>INDEX('Economic Assumptions'!$B$12:$CC$60,$K37,$B$4+F$6)</f>
        <v>2.5000000000000001E-2</v>
      </c>
      <c r="G37" s="258">
        <f>INDEX('Economic Assumptions'!$B$12:$CC$60,$K37,$B$4+G$6)</f>
        <v>2.5000000000000001E-2</v>
      </c>
      <c r="H37" s="93"/>
      <c r="I37" s="278">
        <f t="shared" si="1"/>
        <v>1.9002927007802053</v>
      </c>
      <c r="J37" s="93"/>
      <c r="K37" s="159">
        <f t="shared" si="3"/>
        <v>30</v>
      </c>
      <c r="L37" s="93"/>
      <c r="M37" s="93">
        <f>'Economic Assumptions'!A38</f>
        <v>2038</v>
      </c>
      <c r="N37" s="276">
        <f>IF(M37&lt;=$B$5,1,(1+INDEX('Economic Assumptions'!$B$12:$CC$60,M37-$M$11,$B$4+F$6))*N36)</f>
        <v>1.7646106825195973</v>
      </c>
      <c r="O37" s="93"/>
      <c r="P37" s="93"/>
      <c r="Q37" s="93"/>
      <c r="R37" s="93"/>
      <c r="S37" s="93"/>
      <c r="T37" s="93"/>
      <c r="U37" s="93"/>
      <c r="V37" s="93"/>
      <c r="W37" s="93"/>
      <c r="X37" s="93"/>
      <c r="Y37" s="93"/>
      <c r="Z37" s="93"/>
      <c r="AA37" s="93"/>
      <c r="AB37" s="93"/>
      <c r="AC37" s="93"/>
      <c r="AD37" s="93"/>
      <c r="AE37" s="93"/>
      <c r="AF37" s="93"/>
      <c r="AG37" s="93"/>
      <c r="AH37" s="93"/>
      <c r="AI37" s="93"/>
    </row>
    <row r="38" spans="1:35">
      <c r="A38" s="159">
        <f t="shared" si="2"/>
        <v>2042</v>
      </c>
      <c r="B38" s="204">
        <f>INDEX('Economic Assumptions'!$B$12:$CC$60,$K38,$B$4+B$6)+'Economic Assumptions'!B$9*'Selected Economics'!$N38</f>
        <v>125.99744456673248</v>
      </c>
      <c r="C38" s="204">
        <f>INDEX('Economic Assumptions'!$B$12:$CC$60,$K38,$B$4+C$6)+'Economic Assumptions'!C$9*'Selected Economics'!$N38</f>
        <v>157.49680570841554</v>
      </c>
      <c r="D38" s="204">
        <f>INDEX('Economic Assumptions'!$B$12:$CC$60,$K38,$B$4+D$6)+'Economic Assumptions'!D$9*'Selected Economics'!$N38</f>
        <v>8.9076395718372723</v>
      </c>
      <c r="E38" s="277">
        <f>INDEX('Economic Assumptions'!$B$12:$CC$60,$K38,$B$4+E$6)</f>
        <v>0.85</v>
      </c>
      <c r="F38" s="258">
        <f>INDEX('Economic Assumptions'!$B$12:$CC$60,$K38,$B$4+F$6)</f>
        <v>2.5000000000000001E-2</v>
      </c>
      <c r="G38" s="258">
        <f>INDEX('Economic Assumptions'!$B$12:$CC$60,$K38,$B$4+G$6)</f>
        <v>2.5000000000000001E-2</v>
      </c>
      <c r="H38" s="93"/>
      <c r="I38" s="278">
        <f t="shared" si="1"/>
        <v>1.9478000182997102</v>
      </c>
      <c r="J38" s="93"/>
      <c r="K38" s="159">
        <f t="shared" si="3"/>
        <v>31</v>
      </c>
      <c r="L38" s="93"/>
      <c r="M38" s="93">
        <f>'Economic Assumptions'!A39</f>
        <v>2039</v>
      </c>
      <c r="N38" s="276">
        <f>IF(M38&lt;=$B$5,1,(1+INDEX('Economic Assumptions'!$B$12:$CC$60,M38-$M$11,$B$4+F$6))*N37)</f>
        <v>1.8087259495825871</v>
      </c>
      <c r="O38" s="93"/>
      <c r="P38" s="93"/>
      <c r="Q38" s="93"/>
      <c r="R38" s="93"/>
      <c r="S38" s="93"/>
      <c r="T38" s="93"/>
      <c r="U38" s="93"/>
      <c r="V38" s="93"/>
      <c r="W38" s="93"/>
      <c r="X38" s="93"/>
      <c r="Y38" s="93"/>
      <c r="Z38" s="93"/>
      <c r="AA38" s="93"/>
      <c r="AB38" s="93"/>
      <c r="AC38" s="93"/>
      <c r="AD38" s="93"/>
      <c r="AE38" s="93"/>
      <c r="AF38" s="93"/>
      <c r="AG38" s="93"/>
      <c r="AH38" s="93"/>
      <c r="AI38" s="93"/>
    </row>
    <row r="39" spans="1:35">
      <c r="A39" s="159">
        <f t="shared" si="2"/>
        <v>2043</v>
      </c>
      <c r="B39" s="204">
        <f>INDEX('Economic Assumptions'!$B$12:$CC$60,$K39,$B$4+B$6)+'Economic Assumptions'!B$9*'Selected Economics'!$N39</f>
        <v>130.18543045023426</v>
      </c>
      <c r="C39" s="204">
        <f>INDEX('Economic Assumptions'!$B$12:$CC$60,$K39,$B$4+C$6)+'Economic Assumptions'!C$9*'Selected Economics'!$N39</f>
        <v>162.73178806279276</v>
      </c>
      <c r="D39" s="204">
        <f>INDEX('Economic Assumptions'!$B$12:$CC$60,$K39,$B$4+D$6)+'Economic Assumptions'!D$9*'Selected Economics'!$N39</f>
        <v>9.2031877906563579</v>
      </c>
      <c r="E39" s="277">
        <f>INDEX('Economic Assumptions'!$B$12:$CC$60,$K39,$B$4+E$6)</f>
        <v>0.85</v>
      </c>
      <c r="F39" s="258">
        <f>INDEX('Economic Assumptions'!$B$12:$CC$60,$K39,$B$4+F$6)</f>
        <v>2.5000000000000001E-2</v>
      </c>
      <c r="G39" s="258">
        <f>INDEX('Economic Assumptions'!$B$12:$CC$60,$K39,$B$4+G$6)</f>
        <v>2.5000000000000001E-2</v>
      </c>
      <c r="H39" s="93"/>
      <c r="I39" s="278">
        <f t="shared" si="1"/>
        <v>1.9964950187572028</v>
      </c>
      <c r="J39" s="93"/>
      <c r="K39" s="159">
        <f t="shared" si="3"/>
        <v>32</v>
      </c>
      <c r="L39" s="93"/>
      <c r="M39" s="93">
        <f>'Economic Assumptions'!A40</f>
        <v>2040</v>
      </c>
      <c r="N39" s="276">
        <f>IF(M39&lt;=$B$5,1,(1+INDEX('Economic Assumptions'!$B$12:$CC$60,M39-$M$11,$B$4+F$6))*N38)</f>
        <v>1.8539440983221516</v>
      </c>
      <c r="O39" s="93"/>
      <c r="P39" s="93"/>
      <c r="Q39" s="93"/>
      <c r="R39" s="93"/>
      <c r="S39" s="93"/>
      <c r="T39" s="93"/>
      <c r="U39" s="93"/>
      <c r="V39" s="93"/>
      <c r="W39" s="93"/>
      <c r="X39" s="93"/>
      <c r="Y39" s="93"/>
      <c r="Z39" s="93"/>
      <c r="AA39" s="93"/>
      <c r="AB39" s="93"/>
      <c r="AC39" s="93"/>
      <c r="AD39" s="93"/>
      <c r="AE39" s="93"/>
      <c r="AF39" s="93"/>
      <c r="AG39" s="93"/>
      <c r="AH39" s="93"/>
      <c r="AI39" s="93"/>
    </row>
    <row r="40" spans="1:35">
      <c r="A40" s="159">
        <f t="shared" si="2"/>
        <v>2044</v>
      </c>
      <c r="B40" s="204">
        <f>INDEX('Economic Assumptions'!$B$12:$CC$60,$K40,$B$4+B$6)+'Economic Assumptions'!B$9*'Selected Economics'!$N40</f>
        <v>134.49368672736358</v>
      </c>
      <c r="C40" s="204">
        <f>INDEX('Economic Assumptions'!$B$12:$CC$60,$K40,$B$4+C$6)+'Economic Assumptions'!C$9*'Selected Economics'!$N40</f>
        <v>168.11710840920438</v>
      </c>
      <c r="D40" s="204">
        <f>INDEX('Economic Assumptions'!$B$12:$CC$60,$K40,$B$4+D$6)+'Economic Assumptions'!D$9*'Selected Economics'!$N40</f>
        <v>9.5072175733887683</v>
      </c>
      <c r="E40" s="277">
        <f>INDEX('Economic Assumptions'!$B$12:$CC$60,$K40,$B$4+E$6)</f>
        <v>0.85</v>
      </c>
      <c r="F40" s="258">
        <f>INDEX('Economic Assumptions'!$B$12:$CC$60,$K40,$B$4+F$6)</f>
        <v>2.5000000000000001E-2</v>
      </c>
      <c r="G40" s="258">
        <f>INDEX('Economic Assumptions'!$B$12:$CC$60,$K40,$B$4+G$6)</f>
        <v>2.5000000000000001E-2</v>
      </c>
      <c r="H40" s="93"/>
      <c r="I40" s="278">
        <f t="shared" si="1"/>
        <v>2.0464073942261325</v>
      </c>
      <c r="J40" s="93"/>
      <c r="K40" s="159">
        <f t="shared" si="3"/>
        <v>33</v>
      </c>
      <c r="L40" s="93"/>
      <c r="M40" s="93">
        <f>'Economic Assumptions'!A41</f>
        <v>2041</v>
      </c>
      <c r="N40" s="276">
        <f>IF(M40&lt;=$B$5,1,(1+INDEX('Economic Assumptions'!$B$12:$CC$60,M40-$M$11,$B$4+F$6))*N39)</f>
        <v>1.9002927007802053</v>
      </c>
      <c r="O40" s="93"/>
      <c r="P40" s="93"/>
      <c r="Q40" s="93"/>
      <c r="R40" s="93"/>
      <c r="S40" s="93"/>
      <c r="T40" s="93"/>
      <c r="U40" s="93"/>
      <c r="V40" s="93"/>
      <c r="W40" s="93"/>
      <c r="X40" s="93"/>
      <c r="Y40" s="93"/>
      <c r="Z40" s="93"/>
      <c r="AA40" s="93"/>
      <c r="AB40" s="93"/>
      <c r="AC40" s="93"/>
      <c r="AD40" s="93"/>
      <c r="AE40" s="93"/>
      <c r="AF40" s="93"/>
      <c r="AG40" s="93"/>
      <c r="AH40" s="93"/>
      <c r="AI40" s="93"/>
    </row>
    <row r="41" spans="1:35">
      <c r="A41" s="159">
        <f t="shared" si="2"/>
        <v>2045</v>
      </c>
      <c r="B41" s="204">
        <f>INDEX('Economic Assumptions'!$B$12:$CC$60,$K41,$B$4+B$6)+'Economic Assumptions'!B$9*'Selected Economics'!$N41</f>
        <v>138.92545371915924</v>
      </c>
      <c r="C41" s="204">
        <f>INDEX('Economic Assumptions'!$B$12:$CC$60,$K41,$B$4+C$6)+'Economic Assumptions'!C$9*'Selected Economics'!$N41</f>
        <v>173.65681714894896</v>
      </c>
      <c r="D41" s="204">
        <f>INDEX('Economic Assumptions'!$B$12:$CC$60,$K41,$B$4+D$6)+'Economic Assumptions'!D$9*'Selected Economics'!$N41</f>
        <v>9.8199573520089789</v>
      </c>
      <c r="E41" s="277">
        <f>INDEX('Economic Assumptions'!$B$12:$CC$60,$K41,$B$4+E$6)</f>
        <v>0.85</v>
      </c>
      <c r="F41" s="258">
        <f>INDEX('Economic Assumptions'!$B$12:$CC$60,$K41,$B$4+F$6)</f>
        <v>2.5000000000000001E-2</v>
      </c>
      <c r="G41" s="258">
        <f>INDEX('Economic Assumptions'!$B$12:$CC$60,$K41,$B$4+G$6)</f>
        <v>2.5000000000000001E-2</v>
      </c>
      <c r="H41" s="93"/>
      <c r="I41" s="278">
        <f t="shared" si="1"/>
        <v>2.0975675790817858</v>
      </c>
      <c r="J41" s="93"/>
      <c r="K41" s="159">
        <f t="shared" si="3"/>
        <v>34</v>
      </c>
      <c r="L41" s="93"/>
      <c r="M41" s="93">
        <f>'Economic Assumptions'!A42</f>
        <v>2042</v>
      </c>
      <c r="N41" s="276">
        <f>IF(M41&lt;=$B$5,1,(1+INDEX('Economic Assumptions'!$B$12:$CC$60,M41-$M$11,$B$4+F$6))*N40)</f>
        <v>1.9478000182997102</v>
      </c>
      <c r="O41" s="93"/>
      <c r="P41" s="93"/>
      <c r="Q41" s="93"/>
      <c r="R41" s="93"/>
      <c r="S41" s="93"/>
      <c r="T41" s="93"/>
      <c r="U41" s="93"/>
      <c r="V41" s="93"/>
      <c r="W41" s="93"/>
      <c r="X41" s="93"/>
      <c r="Y41" s="93"/>
      <c r="Z41" s="93"/>
      <c r="AA41" s="93"/>
      <c r="AB41" s="93"/>
      <c r="AC41" s="93"/>
      <c r="AD41" s="93"/>
      <c r="AE41" s="93"/>
      <c r="AF41" s="93"/>
      <c r="AG41" s="93"/>
      <c r="AH41" s="93"/>
      <c r="AI41" s="93"/>
    </row>
    <row r="42" spans="1:35">
      <c r="A42" s="159">
        <f t="shared" si="2"/>
        <v>2046</v>
      </c>
      <c r="B42" s="204">
        <f>INDEX('Economic Assumptions'!$B$12:$CC$60,$K42,$B$4+B$6)+'Economic Assumptions'!B$9*'Selected Economics'!$N42</f>
        <v>143.48405625810395</v>
      </c>
      <c r="C42" s="204">
        <f>INDEX('Economic Assumptions'!$B$12:$CC$60,$K42,$B$4+C$6)+'Economic Assumptions'!C$9*'Selected Economics'!$N42</f>
        <v>179.35507032262984</v>
      </c>
      <c r="D42" s="204">
        <f>INDEX('Economic Assumptions'!$B$12:$CC$60,$K42,$B$4+D$6)+'Economic Assumptions'!D$9*'Selected Economics'!$N42</f>
        <v>10.141641515183977</v>
      </c>
      <c r="E42" s="277">
        <f>INDEX('Economic Assumptions'!$B$12:$CC$60,$K42,$B$4+E$6)</f>
        <v>0.85</v>
      </c>
      <c r="F42" s="258">
        <f>INDEX('Economic Assumptions'!$B$12:$CC$60,$K42,$B$4+F$6)</f>
        <v>2.5000000000000001E-2</v>
      </c>
      <c r="G42" s="258">
        <f>INDEX('Economic Assumptions'!$B$12:$CC$60,$K42,$B$4+G$6)</f>
        <v>2.5000000000000001E-2</v>
      </c>
      <c r="H42" s="93"/>
      <c r="I42" s="278">
        <f t="shared" si="1"/>
        <v>2.1500067685588302</v>
      </c>
      <c r="J42" s="93"/>
      <c r="K42" s="159">
        <f t="shared" si="3"/>
        <v>35</v>
      </c>
      <c r="L42" s="93"/>
      <c r="M42" s="93">
        <f>'Economic Assumptions'!A43</f>
        <v>2043</v>
      </c>
      <c r="N42" s="276">
        <f>IF(M42&lt;=$B$5,1,(1+INDEX('Economic Assumptions'!$B$12:$CC$60,M42-$M$11,$B$4+F$6))*N41)</f>
        <v>1.9964950187572028</v>
      </c>
      <c r="O42" s="93"/>
      <c r="P42" s="93"/>
      <c r="Q42" s="93"/>
      <c r="R42" s="93"/>
      <c r="S42" s="93"/>
      <c r="T42" s="93"/>
      <c r="U42" s="93"/>
      <c r="V42" s="93"/>
      <c r="W42" s="93"/>
      <c r="X42" s="93"/>
      <c r="Y42" s="93"/>
      <c r="Z42" s="93"/>
      <c r="AA42" s="93"/>
      <c r="AB42" s="93"/>
      <c r="AC42" s="93"/>
      <c r="AD42" s="93"/>
      <c r="AE42" s="93"/>
      <c r="AF42" s="93"/>
      <c r="AG42" s="93"/>
      <c r="AH42" s="93"/>
      <c r="AI42" s="93"/>
    </row>
    <row r="43" spans="1:35">
      <c r="A43" s="159">
        <f t="shared" si="2"/>
        <v>2047</v>
      </c>
      <c r="B43" s="204">
        <f>INDEX('Economic Assumptions'!$B$12:$CC$60,$K43,$B$4+B$6)+'Economic Assumptions'!B$9*'Selected Economics'!$N43</f>
        <v>148.17290585346177</v>
      </c>
      <c r="C43" s="204">
        <f>INDEX('Economic Assumptions'!$B$12:$CC$60,$K43,$B$4+C$6)+'Economic Assumptions'!C$9*'Selected Economics'!$N43</f>
        <v>185.2161323168271</v>
      </c>
      <c r="D43" s="204">
        <f>INDEX('Economic Assumptions'!$B$12:$CC$60,$K43,$B$4+D$6)+'Economic Assumptions'!D$9*'Selected Economics'!$N43</f>
        <v>10.47251056087897</v>
      </c>
      <c r="E43" s="277">
        <f>INDEX('Economic Assumptions'!$B$12:$CC$60,$K43,$B$4+E$6)</f>
        <v>0.85</v>
      </c>
      <c r="F43" s="258">
        <f>INDEX('Economic Assumptions'!$B$12:$CC$60,$K43,$B$4+F$6)</f>
        <v>2.5000000000000001E-2</v>
      </c>
      <c r="G43" s="258">
        <f>INDEX('Economic Assumptions'!$B$12:$CC$60,$K43,$B$4+G$6)</f>
        <v>2.5000000000000001E-2</v>
      </c>
      <c r="H43" s="93"/>
      <c r="I43" s="278">
        <f t="shared" si="1"/>
        <v>2.2037569377728006</v>
      </c>
      <c r="J43" s="93"/>
      <c r="K43" s="159">
        <f t="shared" si="3"/>
        <v>36</v>
      </c>
      <c r="L43" s="93"/>
      <c r="M43" s="93">
        <f>'Economic Assumptions'!A44</f>
        <v>2044</v>
      </c>
      <c r="N43" s="276">
        <f>IF(M43&lt;=$B$5,1,(1+INDEX('Economic Assumptions'!$B$12:$CC$60,M43-$M$11,$B$4+F$6))*N42)</f>
        <v>2.0464073942261325</v>
      </c>
      <c r="O43" s="93"/>
      <c r="P43" s="93"/>
      <c r="Q43" s="93"/>
      <c r="R43" s="93"/>
      <c r="S43" s="93"/>
      <c r="T43" s="93"/>
      <c r="U43" s="93"/>
      <c r="V43" s="93"/>
      <c r="W43" s="93"/>
      <c r="X43" s="93"/>
      <c r="Y43" s="93"/>
      <c r="Z43" s="93"/>
      <c r="AA43" s="93"/>
      <c r="AB43" s="93"/>
      <c r="AC43" s="93"/>
      <c r="AD43" s="93"/>
      <c r="AE43" s="93"/>
      <c r="AF43" s="93"/>
      <c r="AG43" s="93"/>
      <c r="AH43" s="93"/>
      <c r="AI43" s="93"/>
    </row>
    <row r="44" spans="1:35">
      <c r="A44" s="159">
        <f t="shared" si="2"/>
        <v>2048</v>
      </c>
      <c r="B44" s="204">
        <f>INDEX('Economic Assumptions'!$B$12:$CC$60,$K44,$B$4+B$6)+'Economic Assumptions'!B$9*'Selected Economics'!$N44</f>
        <v>152.99550291153713</v>
      </c>
      <c r="C44" s="204">
        <f>INDEX('Economic Assumptions'!$B$12:$CC$60,$K44,$B$4+C$6)+'Economic Assumptions'!C$9*'Selected Economics'!$N44</f>
        <v>191.24437863942126</v>
      </c>
      <c r="D44" s="204">
        <f>INDEX('Economic Assumptions'!$B$12:$CC$60,$K44,$B$4+D$6)+'Economic Assumptions'!D$9*'Selected Economics'!$N44</f>
        <v>10.812811252833571</v>
      </c>
      <c r="E44" s="277">
        <f>INDEX('Economic Assumptions'!$B$12:$CC$60,$K44,$B$4+E$6)</f>
        <v>0.85</v>
      </c>
      <c r="F44" s="258">
        <f>INDEX('Economic Assumptions'!$B$12:$CC$60,$K44,$B$4+F$6)</f>
        <v>2.5000000000000001E-2</v>
      </c>
      <c r="G44" s="258">
        <f>INDEX('Economic Assumptions'!$B$12:$CC$60,$K44,$B$4+G$6)</f>
        <v>2.5000000000000001E-2</v>
      </c>
      <c r="H44" s="93"/>
      <c r="I44" s="278">
        <f t="shared" si="1"/>
        <v>2.2588508612171205</v>
      </c>
      <c r="J44" s="93"/>
      <c r="K44" s="159">
        <f t="shared" si="3"/>
        <v>37</v>
      </c>
      <c r="L44" s="93"/>
      <c r="M44" s="93">
        <f>'Economic Assumptions'!A45</f>
        <v>2045</v>
      </c>
      <c r="N44" s="276">
        <f>IF(M44&lt;=$B$5,1,(1+INDEX('Economic Assumptions'!$B$12:$CC$60,M44-$M$11,$B$4+F$6))*N43)</f>
        <v>2.0975675790817858</v>
      </c>
      <c r="O44" s="93"/>
      <c r="P44" s="93"/>
      <c r="Q44" s="93"/>
      <c r="R44" s="93"/>
      <c r="S44" s="93"/>
      <c r="T44" s="93"/>
      <c r="U44" s="93"/>
      <c r="V44" s="93"/>
      <c r="W44" s="93"/>
      <c r="X44" s="93"/>
      <c r="Y44" s="93"/>
      <c r="Z44" s="93"/>
      <c r="AA44" s="93"/>
      <c r="AB44" s="93"/>
      <c r="AC44" s="93"/>
      <c r="AD44" s="93"/>
      <c r="AE44" s="93"/>
      <c r="AF44" s="93"/>
      <c r="AG44" s="93"/>
      <c r="AH44" s="93"/>
      <c r="AI44" s="93"/>
    </row>
    <row r="45" spans="1:35">
      <c r="A45" s="159">
        <f t="shared" si="2"/>
        <v>2049</v>
      </c>
      <c r="B45" s="204">
        <f>INDEX('Economic Assumptions'!$B$12:$CC$60,$K45,$B$4+B$6)+'Economic Assumptions'!B$9*'Selected Economics'!$N45</f>
        <v>157.95543901224045</v>
      </c>
      <c r="C45" s="204">
        <f>INDEX('Economic Assumptions'!$B$12:$CC$60,$K45,$B$4+C$6)+'Economic Assumptions'!C$9*'Selected Economics'!$N45</f>
        <v>197.44429876530037</v>
      </c>
      <c r="D45" s="204">
        <f>INDEX('Economic Assumptions'!$B$12:$CC$60,$K45,$B$4+D$6)+'Economic Assumptions'!D$9*'Selected Economics'!$N45</f>
        <v>11.162796781006026</v>
      </c>
      <c r="E45" s="277">
        <f>INDEX('Economic Assumptions'!$B$12:$CC$60,$K45,$B$4+E$6)</f>
        <v>0.85</v>
      </c>
      <c r="F45" s="258">
        <f>INDEX('Economic Assumptions'!$B$12:$CC$60,$K45,$B$4+F$6)</f>
        <v>2.5000000000000001E-2</v>
      </c>
      <c r="G45" s="258">
        <f>INDEX('Economic Assumptions'!$B$12:$CC$60,$K45,$B$4+G$6)</f>
        <v>2.5000000000000001E-2</v>
      </c>
      <c r="H45" s="93"/>
      <c r="I45" s="278">
        <f t="shared" si="1"/>
        <v>2.3153221327475482</v>
      </c>
      <c r="J45" s="93"/>
      <c r="K45" s="159">
        <f t="shared" si="3"/>
        <v>38</v>
      </c>
      <c r="L45" s="93"/>
      <c r="M45" s="93">
        <f>'Economic Assumptions'!A46</f>
        <v>2046</v>
      </c>
      <c r="N45" s="276">
        <f>IF(M45&lt;=$B$5,1,(1+INDEX('Economic Assumptions'!$B$12:$CC$60,M45-$M$11,$B$4+F$6))*N44)</f>
        <v>2.1500067685588302</v>
      </c>
      <c r="O45" s="93"/>
      <c r="P45" s="93"/>
      <c r="Q45" s="93"/>
      <c r="R45" s="93"/>
      <c r="S45" s="93"/>
      <c r="T45" s="93"/>
      <c r="U45" s="93"/>
      <c r="V45" s="93"/>
      <c r="W45" s="93"/>
      <c r="X45" s="93"/>
      <c r="Y45" s="93"/>
      <c r="Z45" s="93"/>
      <c r="AA45" s="93"/>
      <c r="AB45" s="93"/>
      <c r="AC45" s="93"/>
      <c r="AD45" s="93"/>
      <c r="AE45" s="93"/>
      <c r="AF45" s="93"/>
      <c r="AG45" s="93"/>
      <c r="AH45" s="93"/>
      <c r="AI45" s="93"/>
    </row>
    <row r="46" spans="1:35">
      <c r="A46" s="159">
        <f t="shared" si="2"/>
        <v>2050</v>
      </c>
      <c r="B46" s="204">
        <f>INDEX('Economic Assumptions'!$B$12:$CC$60,$K46,$B$4+B$6)+'Economic Assumptions'!B$9*'Selected Economics'!$N46</f>
        <v>163.05639924338007</v>
      </c>
      <c r="C46" s="204">
        <f>INDEX('Economic Assumptions'!$B$12:$CC$60,$K46,$B$4+C$6)+'Economic Assumptions'!C$9*'Selected Economics'!$N46</f>
        <v>203.82049905422488</v>
      </c>
      <c r="D46" s="204">
        <f>INDEX('Economic Assumptions'!$B$12:$CC$60,$K46,$B$4+D$6)+'Economic Assumptions'!D$9*'Selected Economics'!$N46</f>
        <v>11.522726926085566</v>
      </c>
      <c r="E46" s="277">
        <f>INDEX('Economic Assumptions'!$B$12:$CC$60,$K46,$B$4+E$6)</f>
        <v>0.85</v>
      </c>
      <c r="F46" s="258">
        <f>INDEX('Economic Assumptions'!$B$12:$CC$60,$K46,$B$4+F$6)</f>
        <v>2.5000000000000001E-2</v>
      </c>
      <c r="G46" s="258">
        <f>INDEX('Economic Assumptions'!$B$12:$CC$60,$K46,$B$4+G$6)</f>
        <v>2.5000000000000001E-2</v>
      </c>
      <c r="H46" s="93"/>
      <c r="I46" s="278">
        <f t="shared" si="1"/>
        <v>2.3732051860662366</v>
      </c>
      <c r="J46" s="93"/>
      <c r="K46" s="159">
        <f t="shared" si="3"/>
        <v>39</v>
      </c>
      <c r="L46" s="93"/>
      <c r="M46" s="93">
        <f>'Economic Assumptions'!A47</f>
        <v>2047</v>
      </c>
      <c r="N46" s="276">
        <f>IF(M46&lt;=$B$5,1,(1+INDEX('Economic Assumptions'!$B$12:$CC$60,M46-$M$11,$B$4+F$6))*N45)</f>
        <v>2.2037569377728006</v>
      </c>
      <c r="O46" s="93"/>
      <c r="P46" s="93"/>
      <c r="Q46" s="93"/>
      <c r="R46" s="93"/>
      <c r="S46" s="93"/>
      <c r="T46" s="93"/>
      <c r="U46" s="93"/>
      <c r="V46" s="93"/>
      <c r="W46" s="93"/>
      <c r="X46" s="93"/>
      <c r="Y46" s="93"/>
      <c r="Z46" s="93"/>
      <c r="AA46" s="93"/>
      <c r="AB46" s="93"/>
      <c r="AC46" s="93"/>
      <c r="AD46" s="93"/>
      <c r="AE46" s="93"/>
      <c r="AF46" s="93"/>
      <c r="AG46" s="93"/>
      <c r="AH46" s="93"/>
      <c r="AI46" s="93"/>
    </row>
    <row r="47" spans="1:35">
      <c r="A47" s="159">
        <f t="shared" si="2"/>
        <v>2051</v>
      </c>
      <c r="B47" s="204">
        <f>INDEX('Economic Assumptions'!$B$12:$CC$60,$K47,$B$4+B$6)+'Economic Assumptions'!B$9*'Selected Economics'!$N47</f>
        <v>168.30216459413566</v>
      </c>
      <c r="C47" s="204">
        <f>INDEX('Economic Assumptions'!$B$12:$CC$60,$K47,$B$4+C$6)+'Economic Assumptions'!C$9*'Selected Economics'!$N47</f>
        <v>210.37770574266938</v>
      </c>
      <c r="D47" s="204">
        <f>INDEX('Economic Assumptions'!$B$12:$CC$60,$K47,$B$4+D$6)+'Economic Assumptions'!D$9*'Selected Economics'!$N47</f>
        <v>11.892868228175411</v>
      </c>
      <c r="E47" s="277">
        <f>INDEX('Economic Assumptions'!$B$12:$CC$60,$K47,$B$4+E$6)</f>
        <v>0.85</v>
      </c>
      <c r="F47" s="258">
        <f>INDEX('Economic Assumptions'!$B$12:$CC$60,$K47,$B$4+F$6)</f>
        <v>2.5000000000000001E-2</v>
      </c>
      <c r="G47" s="258">
        <f>INDEX('Economic Assumptions'!$B$12:$CC$60,$K47,$B$4+G$6)</f>
        <v>2.5000000000000001E-2</v>
      </c>
      <c r="H47" s="93"/>
      <c r="I47" s="278">
        <f t="shared" si="1"/>
        <v>2.4325353157178924</v>
      </c>
      <c r="J47" s="93"/>
      <c r="K47" s="159">
        <f t="shared" si="3"/>
        <v>40</v>
      </c>
      <c r="L47" s="93"/>
      <c r="M47" s="93">
        <f>'Economic Assumptions'!A48</f>
        <v>2048</v>
      </c>
      <c r="N47" s="276">
        <f>IF(M47&lt;=$B$5,1,(1+INDEX('Economic Assumptions'!$B$12:$CC$60,M47-$M$11,$B$4+F$6))*N46)</f>
        <v>2.2588508612171205</v>
      </c>
      <c r="O47" s="93"/>
      <c r="P47" s="93"/>
      <c r="Q47" s="93"/>
      <c r="R47" s="93"/>
      <c r="S47" s="93"/>
      <c r="T47" s="93"/>
      <c r="U47" s="93"/>
      <c r="V47" s="93"/>
      <c r="W47" s="93"/>
      <c r="X47" s="93"/>
      <c r="Y47" s="93"/>
      <c r="Z47" s="93"/>
      <c r="AA47" s="93"/>
      <c r="AB47" s="93"/>
      <c r="AC47" s="93"/>
      <c r="AD47" s="93"/>
      <c r="AE47" s="93"/>
      <c r="AF47" s="93"/>
      <c r="AG47" s="93"/>
      <c r="AH47" s="93"/>
      <c r="AI47" s="93"/>
    </row>
    <row r="48" spans="1:35">
      <c r="A48" s="159">
        <f t="shared" si="2"/>
        <v>2052</v>
      </c>
      <c r="B48" s="204">
        <f>INDEX('Economic Assumptions'!$B$12:$CC$60,$K48,$B$4+B$6)+'Economic Assumptions'!B$9*'Selected Economics'!$N48</f>
        <v>173.69661440920521</v>
      </c>
      <c r="C48" s="204">
        <f>INDEX('Economic Assumptions'!$B$12:$CC$60,$K48,$B$4+C$6)+'Economic Assumptions'!C$9*'Selected Economics'!$N48</f>
        <v>217.12076801150633</v>
      </c>
      <c r="D48" s="204">
        <f>INDEX('Economic Assumptions'!$B$12:$CC$60,$K48,$B$4+D$6)+'Economic Assumptions'!D$9*'Selected Economics'!$N48</f>
        <v>12.273494159751568</v>
      </c>
      <c r="E48" s="277">
        <f>INDEX('Economic Assumptions'!$B$12:$CC$60,$K48,$B$4+E$6)</f>
        <v>0.85</v>
      </c>
      <c r="F48" s="258">
        <f>INDEX('Economic Assumptions'!$B$12:$CC$60,$K48,$B$4+F$6)</f>
        <v>2.5000000000000001E-2</v>
      </c>
      <c r="G48" s="258">
        <f>INDEX('Economic Assumptions'!$B$12:$CC$60,$K48,$B$4+G$6)</f>
        <v>2.5000000000000001E-2</v>
      </c>
      <c r="H48" s="93"/>
      <c r="I48" s="278">
        <f t="shared" si="1"/>
        <v>2.4933486986108395</v>
      </c>
      <c r="J48" s="93"/>
      <c r="K48" s="159">
        <f t="shared" si="3"/>
        <v>41</v>
      </c>
      <c r="L48" s="93"/>
      <c r="M48" s="93">
        <f>'Economic Assumptions'!A49</f>
        <v>2049</v>
      </c>
      <c r="N48" s="276">
        <f>IF(M48&lt;=$B$5,1,(1+INDEX('Economic Assumptions'!$B$12:$CC$60,M48-$M$11,$B$4+F$6))*N47)</f>
        <v>2.3153221327475482</v>
      </c>
      <c r="O48" s="93"/>
      <c r="P48" s="93"/>
      <c r="Q48" s="93"/>
      <c r="R48" s="93"/>
      <c r="S48" s="93"/>
      <c r="T48" s="93"/>
      <c r="U48" s="93"/>
      <c r="V48" s="93"/>
      <c r="W48" s="93"/>
      <c r="X48" s="93"/>
      <c r="Y48" s="93"/>
      <c r="Z48" s="93"/>
      <c r="AA48" s="93"/>
      <c r="AB48" s="93"/>
      <c r="AC48" s="93"/>
      <c r="AD48" s="93"/>
      <c r="AE48" s="93"/>
      <c r="AF48" s="93"/>
      <c r="AG48" s="93"/>
      <c r="AH48" s="93"/>
      <c r="AI48" s="93"/>
    </row>
    <row r="49" spans="1:35">
      <c r="A49" s="159">
        <f t="shared" si="2"/>
        <v>2053</v>
      </c>
      <c r="B49" s="204">
        <f>INDEX('Economic Assumptions'!$B$12:$CC$60,$K49,$B$4+B$6)+'Economic Assumptions'!B$9*'Selected Economics'!$N49</f>
        <v>179.24372890515474</v>
      </c>
      <c r="C49" s="204">
        <f>INDEX('Economic Assumptions'!$B$12:$CC$60,$K49,$B$4+C$6)+'Economic Assumptions'!C$9*'Selected Economics'!$N49</f>
        <v>224.05466113144323</v>
      </c>
      <c r="D49" s="204">
        <f>INDEX('Economic Assumptions'!$B$12:$CC$60,$K49,$B$4+D$6)+'Economic Assumptions'!D$9*'Selected Economics'!$N49</f>
        <v>12.664885303005205</v>
      </c>
      <c r="E49" s="277">
        <f>INDEX('Economic Assumptions'!$B$12:$CC$60,$K49,$B$4+E$6)</f>
        <v>0.85</v>
      </c>
      <c r="F49" s="258">
        <f>INDEX('Economic Assumptions'!$B$12:$CC$60,$K49,$B$4+F$6)</f>
        <v>2.5000000000000001E-2</v>
      </c>
      <c r="G49" s="258">
        <f>INDEX('Economic Assumptions'!$B$12:$CC$60,$K49,$B$4+G$6)</f>
        <v>2.5000000000000001E-2</v>
      </c>
      <c r="H49" s="93"/>
      <c r="I49" s="278">
        <f t="shared" si="1"/>
        <v>2.5556824160761105</v>
      </c>
      <c r="J49" s="93"/>
      <c r="K49" s="159">
        <f t="shared" si="3"/>
        <v>42</v>
      </c>
      <c r="L49" s="93"/>
      <c r="M49" s="93">
        <f>'Economic Assumptions'!A50</f>
        <v>2050</v>
      </c>
      <c r="N49" s="276">
        <f>IF(M49&lt;=$B$5,1,(1+INDEX('Economic Assumptions'!$B$12:$CC$60,M49-$M$11,$B$4+F$6))*N48)</f>
        <v>2.3732051860662366</v>
      </c>
      <c r="O49" s="93"/>
      <c r="P49" s="93"/>
      <c r="Q49" s="93"/>
      <c r="R49" s="93"/>
      <c r="S49" s="93"/>
      <c r="T49" s="93"/>
      <c r="U49" s="93"/>
      <c r="V49" s="93"/>
      <c r="W49" s="93"/>
      <c r="X49" s="93"/>
      <c r="Y49" s="93"/>
      <c r="Z49" s="93"/>
      <c r="AA49" s="93"/>
      <c r="AB49" s="93"/>
      <c r="AC49" s="93"/>
      <c r="AD49" s="93"/>
      <c r="AE49" s="93"/>
      <c r="AF49" s="93"/>
      <c r="AG49" s="93"/>
      <c r="AH49" s="93"/>
      <c r="AI49" s="93"/>
    </row>
    <row r="50" spans="1:35">
      <c r="A50" s="161">
        <f t="shared" si="2"/>
        <v>2054</v>
      </c>
      <c r="B50" s="206">
        <f>INDEX('Economic Assumptions'!$B$12:$CC$60,$K50,$B$4+B$6)+'Economic Assumptions'!B$9*'Selected Economics'!$N50</f>
        <v>184.94759175053881</v>
      </c>
      <c r="C50" s="206">
        <f>INDEX('Economic Assumptions'!$B$12:$CC$60,$K50,$B$4+C$6)+'Economic Assumptions'!C$9*'Selected Economics'!$N50</f>
        <v>231.1844896881733</v>
      </c>
      <c r="D50" s="206">
        <f>INDEX('Economic Assumptions'!$B$12:$CC$60,$K50,$B$4+D$6)+'Economic Assumptions'!D$9*'Selected Economics'!$N50</f>
        <v>13.06732953167908</v>
      </c>
      <c r="E50" s="279">
        <f>INDEX('Economic Assumptions'!$B$12:$CC$60,$K50,$B$4+E$6)</f>
        <v>0.85</v>
      </c>
      <c r="F50" s="260">
        <f>INDEX('Economic Assumptions'!$B$12:$CC$60,$K50,$B$4+F$6)</f>
        <v>2.5000000000000001E-2</v>
      </c>
      <c r="G50" s="260">
        <f>INDEX('Economic Assumptions'!$B$12:$CC$60,$K50,$B$4+G$6)</f>
        <v>2.5000000000000001E-2</v>
      </c>
      <c r="H50" s="93"/>
      <c r="I50" s="280">
        <f t="shared" si="1"/>
        <v>2.6195744764780131</v>
      </c>
      <c r="J50" s="93"/>
      <c r="K50" s="161">
        <f t="shared" si="3"/>
        <v>43</v>
      </c>
      <c r="L50" s="93"/>
      <c r="M50" s="93">
        <f>'Economic Assumptions'!A51</f>
        <v>2051</v>
      </c>
      <c r="N50" s="276">
        <f>IF(M50&lt;=$B$5,1,(1+INDEX('Economic Assumptions'!$B$12:$CC$60,M50-$M$11,$B$4+F$6))*N49)</f>
        <v>2.4325353157178924</v>
      </c>
      <c r="O50" s="93"/>
      <c r="P50" s="93"/>
      <c r="Q50" s="93"/>
      <c r="R50" s="93"/>
      <c r="S50" s="93"/>
      <c r="T50" s="93"/>
      <c r="U50" s="93"/>
      <c r="V50" s="93"/>
      <c r="W50" s="93"/>
      <c r="X50" s="93"/>
      <c r="Y50" s="93"/>
      <c r="Z50" s="93"/>
      <c r="AA50" s="93"/>
      <c r="AB50" s="93"/>
      <c r="AC50" s="93"/>
      <c r="AD50" s="93"/>
      <c r="AE50" s="93"/>
      <c r="AF50" s="93"/>
      <c r="AG50" s="93"/>
      <c r="AH50" s="93"/>
      <c r="AI50" s="93"/>
    </row>
    <row r="51" spans="1:35">
      <c r="A51" s="93"/>
      <c r="B51" s="93"/>
      <c r="C51" s="93"/>
      <c r="D51" s="93"/>
      <c r="E51" s="93"/>
      <c r="F51" s="93"/>
      <c r="G51" s="93"/>
      <c r="H51" s="93"/>
      <c r="I51" s="93"/>
      <c r="J51" s="93"/>
      <c r="K51" s="93"/>
      <c r="L51" s="93"/>
      <c r="M51" s="93">
        <f>'Economic Assumptions'!A52</f>
        <v>2052</v>
      </c>
      <c r="N51" s="276">
        <f>IF(M51&lt;=$B$5,1,(1+INDEX('Economic Assumptions'!$B$12:$CC$60,M51-$M$11,$B$4+F$6))*N50)</f>
        <v>2.4933486986108395</v>
      </c>
      <c r="O51" s="93"/>
      <c r="P51" s="93"/>
      <c r="Q51" s="93"/>
      <c r="R51" s="93"/>
      <c r="S51" s="93"/>
      <c r="T51" s="93"/>
      <c r="U51" s="93"/>
      <c r="V51" s="93"/>
      <c r="W51" s="93"/>
      <c r="X51" s="93"/>
      <c r="Y51" s="93"/>
      <c r="Z51" s="93"/>
      <c r="AA51" s="93"/>
      <c r="AB51" s="93"/>
      <c r="AC51" s="93"/>
      <c r="AD51" s="93"/>
      <c r="AE51" s="93"/>
      <c r="AF51" s="93"/>
      <c r="AG51" s="93"/>
      <c r="AH51" s="93"/>
      <c r="AI51" s="93"/>
    </row>
    <row r="52" spans="1:35">
      <c r="A52" s="93"/>
      <c r="B52" s="93"/>
      <c r="C52" s="93"/>
      <c r="D52" s="93"/>
      <c r="E52" s="93"/>
      <c r="F52" s="93"/>
      <c r="G52" s="93"/>
      <c r="H52" s="93"/>
      <c r="I52" s="93"/>
      <c r="J52" s="93"/>
      <c r="K52" s="93"/>
      <c r="L52" s="93"/>
      <c r="M52" s="93">
        <f>'Economic Assumptions'!A53</f>
        <v>2053</v>
      </c>
      <c r="N52" s="276">
        <f>IF(M52&lt;=$B$5,1,(1+INDEX('Economic Assumptions'!$B$12:$CC$60,M52-$M$11,$B$4+F$6))*N51)</f>
        <v>2.5556824160761105</v>
      </c>
      <c r="O52" s="93"/>
      <c r="P52" s="93"/>
      <c r="Q52" s="93"/>
      <c r="R52" s="93"/>
      <c r="S52" s="93"/>
      <c r="T52" s="93"/>
      <c r="U52" s="93"/>
      <c r="V52" s="93"/>
      <c r="W52" s="93"/>
      <c r="X52" s="93"/>
      <c r="Y52" s="93"/>
      <c r="Z52" s="93"/>
      <c r="AA52" s="93"/>
      <c r="AB52" s="93"/>
      <c r="AC52" s="93"/>
      <c r="AD52" s="93"/>
      <c r="AE52" s="93"/>
      <c r="AF52" s="93"/>
      <c r="AG52" s="93"/>
      <c r="AH52" s="93"/>
      <c r="AI52" s="93"/>
    </row>
    <row r="53" spans="1:35">
      <c r="A53" s="93"/>
      <c r="B53" s="93"/>
      <c r="C53" s="93"/>
      <c r="D53" s="93"/>
      <c r="E53" s="93"/>
      <c r="F53" s="93"/>
      <c r="G53" s="93"/>
      <c r="H53" s="93"/>
      <c r="I53" s="93"/>
      <c r="J53" s="93"/>
      <c r="K53" s="93"/>
      <c r="L53" s="93"/>
      <c r="M53" s="93">
        <f>'Economic Assumptions'!A54</f>
        <v>2054</v>
      </c>
      <c r="N53" s="276">
        <f>IF(M53&lt;=$B$5,1,(1+INDEX('Economic Assumptions'!$B$12:$CC$60,M53-$M$11,$B$4+F$6))*N52)</f>
        <v>2.6195744764780131</v>
      </c>
      <c r="O53" s="93"/>
      <c r="P53" s="93"/>
      <c r="Q53" s="93"/>
      <c r="R53" s="93"/>
      <c r="S53" s="93"/>
      <c r="T53" s="93"/>
      <c r="U53" s="93"/>
      <c r="V53" s="93"/>
      <c r="W53" s="93"/>
      <c r="X53" s="93"/>
      <c r="Y53" s="93"/>
      <c r="Z53" s="93"/>
      <c r="AA53" s="93"/>
      <c r="AB53" s="93"/>
      <c r="AC53" s="93"/>
      <c r="AD53" s="93"/>
      <c r="AE53" s="93"/>
      <c r="AF53" s="93"/>
      <c r="AG53" s="93"/>
      <c r="AH53" s="93"/>
      <c r="AI53" s="93"/>
    </row>
    <row r="54" spans="1:35">
      <c r="A54" s="93"/>
      <c r="B54" s="93"/>
      <c r="C54" s="93"/>
      <c r="D54" s="93"/>
      <c r="E54" s="93"/>
      <c r="F54" s="93"/>
      <c r="G54" s="93"/>
      <c r="H54" s="93"/>
      <c r="I54" s="93"/>
      <c r="J54" s="93"/>
      <c r="K54" s="93"/>
      <c r="L54" s="93"/>
      <c r="M54" s="93">
        <f>'Economic Assumptions'!A55</f>
        <v>2055</v>
      </c>
      <c r="N54" s="276">
        <f>IF(M54&lt;=$B$5,1,(1+INDEX('Economic Assumptions'!$B$12:$CC$60,M54-$M$11,$B$4+F$6))*N53)</f>
        <v>2.6850638383899632</v>
      </c>
      <c r="O54" s="93"/>
      <c r="P54" s="93"/>
      <c r="Q54" s="93"/>
      <c r="R54" s="93"/>
      <c r="S54" s="93"/>
      <c r="T54" s="93"/>
      <c r="U54" s="93"/>
      <c r="V54" s="93"/>
      <c r="W54" s="93"/>
      <c r="X54" s="93"/>
      <c r="Y54" s="93"/>
      <c r="Z54" s="93"/>
      <c r="AA54" s="93"/>
      <c r="AB54" s="93"/>
      <c r="AC54" s="93"/>
      <c r="AD54" s="93"/>
      <c r="AE54" s="93"/>
      <c r="AF54" s="93"/>
      <c r="AG54" s="93"/>
      <c r="AH54" s="93"/>
      <c r="AI54" s="93"/>
    </row>
    <row r="55" spans="1:35">
      <c r="A55" s="93"/>
      <c r="B55" s="93"/>
      <c r="C55" s="93"/>
      <c r="D55" s="93"/>
      <c r="E55" s="93"/>
      <c r="F55" s="93"/>
      <c r="G55" s="93"/>
      <c r="H55" s="93"/>
      <c r="I55" s="93"/>
      <c r="J55" s="93"/>
      <c r="K55" s="93"/>
      <c r="L55" s="93"/>
      <c r="M55" s="93"/>
      <c r="N55" s="93"/>
      <c r="O55" s="93"/>
      <c r="P55" s="93"/>
      <c r="Q55" s="93"/>
      <c r="R55" s="93"/>
      <c r="S55" s="93"/>
      <c r="T55" s="93"/>
      <c r="U55" s="93"/>
      <c r="V55" s="93"/>
      <c r="W55" s="93"/>
      <c r="X55" s="93"/>
      <c r="Y55" s="93"/>
      <c r="Z55" s="93"/>
      <c r="AA55" s="93"/>
      <c r="AB55" s="93"/>
      <c r="AC55" s="93"/>
      <c r="AD55" s="93"/>
      <c r="AE55" s="93"/>
      <c r="AF55" s="93"/>
      <c r="AG55" s="93"/>
      <c r="AH55" s="93"/>
      <c r="AI55" s="93"/>
    </row>
    <row r="56" spans="1:35">
      <c r="A56" s="93"/>
      <c r="B56" s="93"/>
      <c r="C56" s="93"/>
      <c r="D56" s="93"/>
      <c r="E56" s="93"/>
      <c r="F56" s="93"/>
      <c r="G56" s="93"/>
      <c r="H56" s="93"/>
      <c r="I56" s="93"/>
      <c r="J56" s="93"/>
      <c r="K56" s="93"/>
      <c r="L56" s="93"/>
      <c r="M56" s="93"/>
      <c r="N56" s="93"/>
      <c r="O56" s="93"/>
      <c r="P56" s="93"/>
      <c r="Q56" s="93"/>
      <c r="R56" s="93"/>
      <c r="S56" s="93"/>
      <c r="T56" s="93"/>
      <c r="U56" s="93"/>
      <c r="V56" s="93"/>
      <c r="W56" s="93"/>
      <c r="X56" s="93"/>
      <c r="Y56" s="93"/>
      <c r="Z56" s="93"/>
      <c r="AA56" s="93"/>
      <c r="AB56" s="93"/>
      <c r="AC56" s="93"/>
      <c r="AD56" s="93"/>
      <c r="AE56" s="93"/>
      <c r="AF56" s="93"/>
      <c r="AG56" s="93"/>
      <c r="AH56" s="93"/>
      <c r="AI56" s="93"/>
    </row>
    <row r="57" spans="1:35">
      <c r="A57" s="93"/>
      <c r="B57" s="93"/>
      <c r="C57" s="93"/>
      <c r="D57" s="93"/>
      <c r="E57" s="93"/>
      <c r="F57" s="93"/>
      <c r="G57" s="93"/>
      <c r="H57" s="93"/>
      <c r="I57" s="93"/>
      <c r="J57" s="93"/>
      <c r="K57" s="93"/>
      <c r="L57" s="93"/>
      <c r="M57" s="93"/>
      <c r="N57" s="93"/>
      <c r="O57" s="93"/>
      <c r="P57" s="93"/>
      <c r="Q57" s="93"/>
      <c r="R57" s="93"/>
      <c r="S57" s="93"/>
      <c r="T57" s="93"/>
      <c r="U57" s="93"/>
      <c r="V57" s="93"/>
      <c r="W57" s="93"/>
      <c r="X57" s="93"/>
      <c r="Y57" s="93"/>
      <c r="Z57" s="93"/>
      <c r="AA57" s="93"/>
      <c r="AB57" s="93"/>
      <c r="AC57" s="93"/>
      <c r="AD57" s="93"/>
      <c r="AE57" s="93"/>
      <c r="AF57" s="93"/>
      <c r="AG57" s="93"/>
      <c r="AH57" s="93"/>
      <c r="AI57" s="93"/>
    </row>
    <row r="58" spans="1:35">
      <c r="A58" s="93"/>
      <c r="B58" s="93"/>
      <c r="C58" s="93"/>
      <c r="D58" s="93"/>
      <c r="E58" s="93"/>
      <c r="F58" s="93"/>
      <c r="G58" s="93"/>
      <c r="H58" s="93"/>
      <c r="I58" s="93"/>
      <c r="J58" s="93"/>
      <c r="K58" s="93"/>
      <c r="L58" s="93"/>
      <c r="M58" s="93"/>
      <c r="N58" s="93"/>
      <c r="O58" s="93"/>
      <c r="P58" s="93"/>
      <c r="Q58" s="93"/>
      <c r="R58" s="93"/>
      <c r="S58" s="93"/>
      <c r="T58" s="93"/>
      <c r="U58" s="93"/>
      <c r="V58" s="93"/>
      <c r="W58" s="93"/>
      <c r="X58" s="93"/>
      <c r="Y58" s="93"/>
      <c r="Z58" s="93"/>
      <c r="AA58" s="93"/>
      <c r="AB58" s="93"/>
      <c r="AC58" s="93"/>
      <c r="AD58" s="93"/>
      <c r="AE58" s="93"/>
      <c r="AF58" s="93"/>
      <c r="AG58" s="93"/>
      <c r="AH58" s="93"/>
      <c r="AI58" s="93"/>
    </row>
    <row r="59" spans="1:35">
      <c r="A59" s="93"/>
      <c r="B59" s="93"/>
      <c r="C59" s="93"/>
      <c r="D59" s="93"/>
      <c r="E59" s="93"/>
      <c r="F59" s="93"/>
      <c r="G59" s="93"/>
      <c r="H59" s="93"/>
      <c r="I59" s="93"/>
      <c r="J59" s="93"/>
      <c r="K59" s="93"/>
      <c r="L59" s="93"/>
      <c r="M59" s="93"/>
      <c r="N59" s="93"/>
      <c r="O59" s="93"/>
      <c r="P59" s="93"/>
      <c r="Q59" s="93"/>
      <c r="R59" s="93"/>
      <c r="S59" s="93"/>
      <c r="T59" s="93"/>
      <c r="U59" s="93"/>
      <c r="V59" s="93"/>
      <c r="W59" s="93"/>
      <c r="X59" s="93"/>
      <c r="Y59" s="93"/>
      <c r="Z59" s="93"/>
      <c r="AA59" s="93"/>
      <c r="AB59" s="93"/>
      <c r="AC59" s="93"/>
      <c r="AD59" s="93"/>
      <c r="AE59" s="93"/>
      <c r="AF59" s="93"/>
      <c r="AG59" s="93"/>
      <c r="AH59" s="93"/>
      <c r="AI59" s="93"/>
    </row>
    <row r="60" spans="1:35">
      <c r="A60" s="93"/>
      <c r="B60" s="93"/>
      <c r="C60" s="93"/>
      <c r="D60" s="93"/>
      <c r="E60" s="93"/>
      <c r="F60" s="93"/>
      <c r="G60" s="93"/>
      <c r="H60" s="93"/>
      <c r="I60" s="93"/>
      <c r="J60" s="93"/>
      <c r="K60" s="93"/>
      <c r="L60" s="93"/>
      <c r="M60" s="93"/>
      <c r="N60" s="93"/>
      <c r="O60" s="93"/>
      <c r="P60" s="93"/>
      <c r="Q60" s="93"/>
      <c r="R60" s="93"/>
      <c r="S60" s="93"/>
      <c r="T60" s="93"/>
      <c r="U60" s="93"/>
      <c r="V60" s="93"/>
      <c r="W60" s="93"/>
      <c r="X60" s="93"/>
      <c r="Y60" s="93"/>
      <c r="Z60" s="93"/>
      <c r="AA60" s="93"/>
      <c r="AB60" s="93"/>
      <c r="AC60" s="93"/>
      <c r="AD60" s="93"/>
      <c r="AE60" s="93"/>
      <c r="AF60" s="93"/>
      <c r="AG60" s="93"/>
      <c r="AH60" s="93"/>
      <c r="AI60" s="93"/>
    </row>
    <row r="61" spans="1:35">
      <c r="A61" s="93"/>
      <c r="B61" s="93"/>
      <c r="C61" s="93"/>
      <c r="D61" s="93"/>
      <c r="E61" s="93"/>
      <c r="F61" s="93"/>
      <c r="G61" s="93"/>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93"/>
    </row>
    <row r="62" spans="1:35">
      <c r="A62" s="93"/>
      <c r="B62" s="93"/>
      <c r="C62" s="93"/>
      <c r="D62" s="93"/>
      <c r="E62" s="93"/>
      <c r="F62" s="93"/>
      <c r="G62" s="93"/>
      <c r="H62" s="93"/>
      <c r="I62" s="93"/>
      <c r="J62" s="93"/>
      <c r="K62" s="93"/>
      <c r="L62" s="93"/>
      <c r="M62" s="93"/>
      <c r="N62" s="93"/>
      <c r="O62" s="93"/>
      <c r="P62" s="93"/>
      <c r="Q62" s="93"/>
      <c r="R62" s="93"/>
      <c r="S62" s="93"/>
      <c r="T62" s="93"/>
      <c r="U62" s="93"/>
      <c r="V62" s="93"/>
      <c r="W62" s="93"/>
      <c r="X62" s="93"/>
      <c r="Y62" s="93"/>
      <c r="Z62" s="93"/>
      <c r="AA62" s="93"/>
      <c r="AB62" s="93"/>
      <c r="AC62" s="93"/>
      <c r="AD62" s="93"/>
      <c r="AE62" s="93"/>
      <c r="AF62" s="93"/>
      <c r="AG62" s="93"/>
      <c r="AH62" s="93"/>
      <c r="AI62" s="93"/>
    </row>
    <row r="63" spans="1:35">
      <c r="A63" s="93"/>
      <c r="B63" s="93"/>
      <c r="C63" s="93"/>
      <c r="D63" s="93"/>
      <c r="E63" s="93"/>
      <c r="F63" s="93"/>
      <c r="G63" s="93"/>
      <c r="H63" s="93"/>
      <c r="I63" s="93"/>
      <c r="J63" s="93"/>
      <c r="K63" s="93"/>
      <c r="L63" s="93"/>
      <c r="M63" s="93"/>
      <c r="N63" s="93"/>
      <c r="O63" s="93"/>
      <c r="P63" s="93"/>
      <c r="Q63" s="93"/>
      <c r="R63" s="93"/>
      <c r="S63" s="93"/>
      <c r="T63" s="93"/>
      <c r="U63" s="93"/>
      <c r="V63" s="93"/>
      <c r="W63" s="93"/>
      <c r="X63" s="93"/>
      <c r="Y63" s="93"/>
      <c r="Z63" s="93"/>
      <c r="AA63" s="93"/>
      <c r="AB63" s="93"/>
      <c r="AC63" s="93"/>
      <c r="AD63" s="93"/>
      <c r="AE63" s="93"/>
      <c r="AF63" s="93"/>
      <c r="AG63" s="93"/>
      <c r="AH63" s="93"/>
      <c r="AI63" s="93"/>
    </row>
    <row r="64" spans="1:35">
      <c r="A64" s="93"/>
      <c r="B64" s="93"/>
      <c r="C64" s="93"/>
      <c r="D64" s="93"/>
      <c r="E64" s="93"/>
      <c r="F64" s="93"/>
      <c r="G64" s="93"/>
      <c r="H64" s="93"/>
      <c r="I64" s="93"/>
      <c r="J64" s="93"/>
      <c r="K64" s="93"/>
      <c r="L64" s="93"/>
      <c r="M64" s="93"/>
      <c r="N64" s="93"/>
      <c r="O64" s="93"/>
      <c r="P64" s="93"/>
      <c r="Q64" s="93"/>
      <c r="R64" s="93"/>
      <c r="S64" s="93"/>
      <c r="T64" s="93"/>
      <c r="U64" s="93"/>
      <c r="V64" s="93"/>
      <c r="W64" s="93"/>
      <c r="X64" s="93"/>
      <c r="Y64" s="93"/>
      <c r="Z64" s="93"/>
      <c r="AA64" s="93"/>
      <c r="AB64" s="93"/>
      <c r="AC64" s="93"/>
      <c r="AD64" s="93"/>
      <c r="AE64" s="93"/>
      <c r="AF64" s="93"/>
      <c r="AG64" s="93"/>
      <c r="AH64" s="93"/>
      <c r="AI64" s="93"/>
    </row>
    <row r="65" spans="1:35">
      <c r="A65" s="93"/>
      <c r="B65" s="93"/>
      <c r="C65" s="93"/>
      <c r="D65" s="93"/>
      <c r="E65" s="93"/>
      <c r="F65" s="93"/>
      <c r="G65" s="93"/>
      <c r="H65" s="93"/>
      <c r="I65" s="93"/>
      <c r="J65" s="93"/>
      <c r="K65" s="93"/>
      <c r="L65" s="93"/>
      <c r="M65" s="93"/>
      <c r="N65" s="93"/>
      <c r="O65" s="93"/>
      <c r="P65" s="93"/>
      <c r="Q65" s="93"/>
      <c r="R65" s="93"/>
      <c r="S65" s="93"/>
      <c r="T65" s="93"/>
      <c r="U65" s="93"/>
      <c r="V65" s="93"/>
      <c r="W65" s="93"/>
      <c r="X65" s="93"/>
      <c r="Y65" s="93"/>
      <c r="Z65" s="93"/>
      <c r="AA65" s="93"/>
      <c r="AB65" s="93"/>
      <c r="AC65" s="93"/>
      <c r="AD65" s="93"/>
      <c r="AE65" s="93"/>
      <c r="AF65" s="93"/>
      <c r="AG65" s="93"/>
      <c r="AH65" s="93"/>
      <c r="AI65" s="93"/>
    </row>
    <row r="66" spans="1:35">
      <c r="A66" s="93"/>
      <c r="B66" s="93"/>
      <c r="C66" s="93"/>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3"/>
      <c r="AG66" s="93"/>
      <c r="AH66" s="93"/>
      <c r="AI66" s="93"/>
    </row>
    <row r="67" spans="1:35">
      <c r="A67" s="93"/>
      <c r="B67" s="93"/>
      <c r="C67" s="93"/>
      <c r="D67" s="93"/>
      <c r="E67" s="93"/>
      <c r="F67" s="93"/>
      <c r="G67" s="93"/>
      <c r="H67" s="93"/>
      <c r="I67" s="93"/>
      <c r="J67" s="93"/>
      <c r="K67" s="93"/>
      <c r="L67" s="93"/>
      <c r="M67" s="93"/>
      <c r="N67" s="93"/>
      <c r="O67" s="93"/>
      <c r="P67" s="93"/>
      <c r="Q67" s="93"/>
      <c r="R67" s="93"/>
      <c r="S67" s="93"/>
      <c r="T67" s="93"/>
      <c r="U67" s="93"/>
      <c r="V67" s="93"/>
      <c r="W67" s="93"/>
      <c r="X67" s="93"/>
      <c r="Y67" s="93"/>
      <c r="Z67" s="93"/>
      <c r="AA67" s="93"/>
      <c r="AB67" s="93"/>
      <c r="AC67" s="93"/>
      <c r="AD67" s="93"/>
      <c r="AE67" s="93"/>
      <c r="AF67" s="93"/>
      <c r="AG67" s="93"/>
      <c r="AH67" s="93"/>
      <c r="AI67" s="93"/>
    </row>
    <row r="68" spans="1:35">
      <c r="A68" s="93"/>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93"/>
    </row>
    <row r="69" spans="1:35">
      <c r="A69" s="93"/>
      <c r="B69" s="93"/>
      <c r="C69" s="93"/>
      <c r="D69" s="93"/>
      <c r="E69" s="93"/>
      <c r="F69" s="93"/>
      <c r="G69" s="93"/>
      <c r="H69" s="93"/>
      <c r="I69" s="93"/>
      <c r="J69" s="93"/>
      <c r="K69" s="93"/>
      <c r="L69" s="93"/>
      <c r="M69" s="93"/>
      <c r="N69" s="93"/>
      <c r="O69" s="93"/>
      <c r="P69" s="93"/>
      <c r="Q69" s="93"/>
      <c r="R69" s="93"/>
      <c r="S69" s="93"/>
      <c r="T69" s="93"/>
      <c r="U69" s="93"/>
      <c r="V69" s="93"/>
      <c r="W69" s="93"/>
      <c r="X69" s="93"/>
      <c r="Y69" s="93"/>
      <c r="Z69" s="93"/>
      <c r="AA69" s="93"/>
      <c r="AB69" s="93"/>
      <c r="AC69" s="93"/>
      <c r="AD69" s="93"/>
      <c r="AE69" s="93"/>
      <c r="AF69" s="93"/>
      <c r="AG69" s="93"/>
      <c r="AH69" s="93"/>
      <c r="AI69" s="93"/>
    </row>
    <row r="70" spans="1:35">
      <c r="A70" s="93"/>
      <c r="B70" s="93"/>
      <c r="C70" s="93"/>
      <c r="D70" s="93"/>
      <c r="E70" s="93"/>
      <c r="F70" s="93"/>
      <c r="G70" s="93"/>
      <c r="H70" s="93"/>
      <c r="I70" s="93"/>
      <c r="J70" s="93"/>
      <c r="K70" s="93"/>
      <c r="L70" s="93"/>
      <c r="M70" s="93"/>
      <c r="N70" s="93"/>
      <c r="O70" s="93"/>
      <c r="P70" s="93"/>
      <c r="Q70" s="93"/>
      <c r="R70" s="93"/>
      <c r="S70" s="93"/>
      <c r="T70" s="93"/>
      <c r="U70" s="93"/>
      <c r="V70" s="93"/>
      <c r="W70" s="93"/>
      <c r="X70" s="93"/>
      <c r="Y70" s="93"/>
      <c r="Z70" s="93"/>
      <c r="AA70" s="93"/>
      <c r="AB70" s="93"/>
      <c r="AC70" s="93"/>
      <c r="AD70" s="93"/>
      <c r="AE70" s="93"/>
      <c r="AF70" s="93"/>
      <c r="AG70" s="93"/>
      <c r="AH70" s="93"/>
      <c r="AI70" s="93"/>
    </row>
    <row r="71" spans="1:35">
      <c r="A71" s="93"/>
      <c r="B71" s="93"/>
      <c r="C71" s="93"/>
      <c r="D71" s="93"/>
      <c r="E71" s="93"/>
      <c r="F71" s="93"/>
      <c r="G71" s="93"/>
      <c r="H71" s="93"/>
      <c r="I71" s="93"/>
      <c r="J71" s="93"/>
      <c r="K71" s="93"/>
      <c r="L71" s="93"/>
      <c r="M71" s="93"/>
      <c r="N71" s="93"/>
      <c r="O71" s="93"/>
      <c r="P71" s="93"/>
      <c r="Q71" s="93"/>
      <c r="R71" s="93"/>
      <c r="S71" s="93"/>
      <c r="T71" s="93"/>
      <c r="U71" s="93"/>
      <c r="V71" s="93"/>
      <c r="W71" s="93"/>
      <c r="X71" s="93"/>
      <c r="Y71" s="93"/>
      <c r="Z71" s="93"/>
      <c r="AA71" s="93"/>
      <c r="AB71" s="93"/>
      <c r="AC71" s="93"/>
      <c r="AD71" s="93"/>
      <c r="AE71" s="93"/>
      <c r="AF71" s="93"/>
      <c r="AG71" s="93"/>
      <c r="AH71" s="93"/>
      <c r="AI71" s="93"/>
    </row>
    <row r="72" spans="1:35">
      <c r="A72" s="93"/>
      <c r="B72" s="93"/>
      <c r="C72" s="93"/>
      <c r="D72" s="93"/>
      <c r="E72" s="93"/>
      <c r="F72" s="93"/>
      <c r="G72" s="93"/>
      <c r="H72" s="93"/>
      <c r="I72" s="93"/>
      <c r="J72" s="93"/>
      <c r="K72" s="93"/>
      <c r="L72" s="93"/>
      <c r="M72" s="93"/>
      <c r="N72" s="93"/>
      <c r="O72" s="93"/>
      <c r="P72" s="93"/>
      <c r="Q72" s="93"/>
      <c r="R72" s="93"/>
      <c r="S72" s="93"/>
      <c r="T72" s="93"/>
      <c r="U72" s="93"/>
      <c r="V72" s="93"/>
      <c r="W72" s="93"/>
      <c r="X72" s="93"/>
      <c r="Y72" s="93"/>
      <c r="Z72" s="93"/>
      <c r="AA72" s="93"/>
      <c r="AB72" s="93"/>
      <c r="AC72" s="93"/>
      <c r="AD72" s="93"/>
      <c r="AE72" s="93"/>
      <c r="AF72" s="93"/>
      <c r="AG72" s="93"/>
      <c r="AH72" s="93"/>
      <c r="AI72" s="93"/>
    </row>
    <row r="73" spans="1:35">
      <c r="A73" s="93"/>
      <c r="B73" s="93"/>
      <c r="C73" s="93"/>
      <c r="D73" s="93"/>
      <c r="E73" s="93"/>
      <c r="F73" s="93"/>
      <c r="G73" s="93"/>
      <c r="H73" s="93"/>
      <c r="I73" s="93"/>
      <c r="J73" s="93"/>
      <c r="K73" s="93"/>
      <c r="L73" s="93"/>
      <c r="M73" s="93"/>
      <c r="N73" s="93"/>
      <c r="O73" s="93"/>
      <c r="P73" s="93"/>
      <c r="Q73" s="93"/>
      <c r="R73" s="93"/>
      <c r="S73" s="93"/>
      <c r="T73" s="93"/>
      <c r="U73" s="93"/>
      <c r="V73" s="93"/>
      <c r="W73" s="93"/>
      <c r="X73" s="93"/>
      <c r="Y73" s="93"/>
      <c r="Z73" s="93"/>
      <c r="AA73" s="93"/>
      <c r="AB73" s="93"/>
      <c r="AC73" s="93"/>
      <c r="AD73" s="93"/>
      <c r="AE73" s="93"/>
      <c r="AF73" s="93"/>
      <c r="AG73" s="93"/>
      <c r="AH73" s="93"/>
      <c r="AI73" s="93"/>
    </row>
    <row r="74" spans="1:35">
      <c r="A74" s="93"/>
      <c r="B74" s="93"/>
      <c r="C74" s="93"/>
      <c r="D74" s="93"/>
      <c r="E74" s="93"/>
      <c r="F74" s="93"/>
      <c r="G74" s="93"/>
      <c r="H74" s="93"/>
      <c r="I74" s="93"/>
      <c r="J74" s="93"/>
      <c r="K74" s="93"/>
      <c r="L74" s="93"/>
      <c r="M74" s="93"/>
      <c r="N74" s="93"/>
      <c r="O74" s="93"/>
      <c r="P74" s="93"/>
      <c r="Q74" s="93"/>
      <c r="R74" s="93"/>
      <c r="S74" s="93"/>
      <c r="T74" s="93"/>
      <c r="U74" s="93"/>
      <c r="V74" s="93"/>
      <c r="W74" s="93"/>
      <c r="X74" s="93"/>
      <c r="Y74" s="93"/>
      <c r="Z74" s="93"/>
      <c r="AA74" s="93"/>
      <c r="AB74" s="93"/>
      <c r="AC74" s="93"/>
      <c r="AD74" s="93"/>
      <c r="AE74" s="93"/>
      <c r="AF74" s="93"/>
      <c r="AG74" s="93"/>
      <c r="AH74" s="93"/>
      <c r="AI74" s="93"/>
    </row>
    <row r="75" spans="1:35">
      <c r="A75" s="93"/>
      <c r="B75" s="93"/>
      <c r="C75" s="93"/>
      <c r="D75" s="93"/>
      <c r="E75" s="93"/>
      <c r="F75" s="93"/>
      <c r="G75" s="93"/>
      <c r="H75" s="93"/>
      <c r="I75" s="93"/>
      <c r="J75" s="93"/>
      <c r="K75" s="93"/>
      <c r="L75" s="93"/>
      <c r="M75" s="93"/>
      <c r="N75" s="93"/>
      <c r="O75" s="93"/>
      <c r="P75" s="93"/>
      <c r="Q75" s="93"/>
      <c r="R75" s="93"/>
      <c r="S75" s="93"/>
      <c r="T75" s="93"/>
      <c r="U75" s="93"/>
      <c r="V75" s="93"/>
      <c r="W75" s="93"/>
      <c r="X75" s="93"/>
      <c r="Y75" s="93"/>
      <c r="Z75" s="93"/>
      <c r="AA75" s="93"/>
      <c r="AB75" s="93"/>
      <c r="AC75" s="93"/>
      <c r="AD75" s="93"/>
      <c r="AE75" s="93"/>
      <c r="AF75" s="93"/>
      <c r="AG75" s="93"/>
      <c r="AH75" s="93"/>
      <c r="AI75" s="93"/>
    </row>
    <row r="76" spans="1:35">
      <c r="A76" s="93"/>
      <c r="B76" s="93"/>
      <c r="C76" s="93"/>
      <c r="D76" s="93"/>
      <c r="E76" s="93"/>
      <c r="F76" s="93"/>
      <c r="G76" s="93"/>
      <c r="H76" s="93"/>
      <c r="I76" s="93"/>
      <c r="J76" s="93"/>
      <c r="K76" s="93"/>
      <c r="L76" s="93"/>
      <c r="M76" s="93"/>
      <c r="N76" s="93"/>
      <c r="O76" s="93"/>
      <c r="P76" s="93"/>
      <c r="Q76" s="93"/>
      <c r="R76" s="93"/>
      <c r="S76" s="93"/>
      <c r="T76" s="93"/>
      <c r="U76" s="93"/>
      <c r="V76" s="93"/>
      <c r="W76" s="93"/>
      <c r="X76" s="93"/>
      <c r="Y76" s="93"/>
      <c r="Z76" s="93"/>
      <c r="AA76" s="93"/>
      <c r="AB76" s="93"/>
      <c r="AC76" s="93"/>
      <c r="AD76" s="93"/>
      <c r="AE76" s="93"/>
      <c r="AF76" s="93"/>
      <c r="AG76" s="93"/>
      <c r="AH76" s="93"/>
      <c r="AI76" s="93"/>
    </row>
    <row r="77" spans="1:35">
      <c r="A77" s="93"/>
      <c r="B77" s="93"/>
      <c r="C77" s="93"/>
      <c r="D77" s="93"/>
      <c r="E77" s="93"/>
      <c r="F77" s="93"/>
      <c r="G77" s="93"/>
      <c r="H77" s="93"/>
      <c r="I77" s="93"/>
      <c r="J77" s="93"/>
      <c r="K77" s="93"/>
      <c r="L77" s="93"/>
      <c r="M77" s="93"/>
      <c r="N77" s="93"/>
      <c r="O77" s="93"/>
      <c r="P77" s="93"/>
      <c r="Q77" s="93"/>
      <c r="R77" s="93"/>
      <c r="S77" s="93"/>
      <c r="T77" s="93"/>
      <c r="U77" s="93"/>
      <c r="V77" s="93"/>
      <c r="W77" s="93"/>
      <c r="X77" s="93"/>
      <c r="Y77" s="93"/>
      <c r="Z77" s="93"/>
      <c r="AA77" s="93"/>
      <c r="AB77" s="93"/>
      <c r="AC77" s="93"/>
      <c r="AD77" s="93"/>
      <c r="AE77" s="93"/>
      <c r="AF77" s="93"/>
      <c r="AG77" s="93"/>
      <c r="AH77" s="93"/>
      <c r="AI77" s="93"/>
    </row>
    <row r="78" spans="1:35">
      <c r="A78" s="93"/>
      <c r="B78" s="93"/>
      <c r="C78" s="93"/>
      <c r="D78" s="93"/>
      <c r="E78" s="93"/>
      <c r="F78" s="93"/>
      <c r="G78" s="93"/>
      <c r="H78" s="93"/>
      <c r="I78" s="93"/>
      <c r="J78" s="93"/>
      <c r="K78" s="93"/>
      <c r="L78" s="93"/>
      <c r="M78" s="93"/>
      <c r="N78" s="93"/>
      <c r="O78" s="93"/>
      <c r="P78" s="93"/>
      <c r="Q78" s="93"/>
      <c r="R78" s="93"/>
      <c r="S78" s="93"/>
      <c r="T78" s="93"/>
      <c r="U78" s="93"/>
      <c r="V78" s="93"/>
      <c r="W78" s="93"/>
      <c r="X78" s="93"/>
      <c r="Y78" s="93"/>
      <c r="Z78" s="93"/>
      <c r="AA78" s="93"/>
      <c r="AB78" s="93"/>
      <c r="AC78" s="93"/>
      <c r="AD78" s="93"/>
      <c r="AE78" s="93"/>
      <c r="AF78" s="93"/>
      <c r="AG78" s="93"/>
      <c r="AH78" s="93"/>
      <c r="AI78" s="93"/>
    </row>
    <row r="79" spans="1:35">
      <c r="A79" s="93"/>
      <c r="B79" s="93"/>
      <c r="C79" s="93"/>
      <c r="D79" s="93"/>
      <c r="E79" s="93"/>
      <c r="F79" s="93"/>
      <c r="G79" s="93"/>
      <c r="H79" s="93"/>
      <c r="I79" s="93"/>
      <c r="J79" s="93"/>
      <c r="K79" s="93"/>
      <c r="L79" s="93"/>
      <c r="M79" s="93"/>
      <c r="N79" s="93"/>
      <c r="O79" s="93"/>
      <c r="P79" s="93"/>
      <c r="Q79" s="93"/>
      <c r="R79" s="93"/>
      <c r="S79" s="93"/>
      <c r="T79" s="93"/>
      <c r="U79" s="93"/>
      <c r="V79" s="93"/>
      <c r="W79" s="93"/>
      <c r="X79" s="93"/>
      <c r="Y79" s="93"/>
      <c r="Z79" s="93"/>
      <c r="AA79" s="93"/>
      <c r="AB79" s="93"/>
      <c r="AC79" s="93"/>
      <c r="AD79" s="93"/>
      <c r="AE79" s="93"/>
      <c r="AF79" s="93"/>
      <c r="AG79" s="93"/>
      <c r="AH79" s="93"/>
      <c r="AI79" s="93"/>
    </row>
    <row r="80" spans="1:35">
      <c r="A80" s="93"/>
      <c r="B80" s="93"/>
      <c r="C80" s="93"/>
      <c r="D80" s="93"/>
      <c r="E80" s="93"/>
      <c r="F80" s="93"/>
      <c r="G80" s="93"/>
      <c r="H80" s="93"/>
      <c r="I80" s="93"/>
      <c r="J80" s="93"/>
      <c r="K80" s="93"/>
      <c r="L80" s="93"/>
      <c r="M80" s="93"/>
      <c r="N80" s="93"/>
      <c r="O80" s="93"/>
      <c r="P80" s="93"/>
      <c r="Q80" s="93"/>
      <c r="R80" s="93"/>
      <c r="S80" s="93"/>
      <c r="T80" s="93"/>
      <c r="U80" s="93"/>
      <c r="V80" s="93"/>
      <c r="W80" s="93"/>
      <c r="X80" s="93"/>
      <c r="Y80" s="93"/>
      <c r="Z80" s="93"/>
      <c r="AA80" s="93"/>
      <c r="AB80" s="93"/>
      <c r="AC80" s="93"/>
      <c r="AD80" s="93"/>
      <c r="AE80" s="93"/>
      <c r="AF80" s="93"/>
      <c r="AG80" s="93"/>
      <c r="AH80" s="93"/>
      <c r="AI80" s="93"/>
    </row>
    <row r="81" spans="1:35">
      <c r="A81" s="93"/>
      <c r="B81" s="93"/>
      <c r="C81" s="93"/>
      <c r="D81" s="93"/>
      <c r="E81" s="93"/>
      <c r="F81" s="93"/>
      <c r="G81" s="93"/>
      <c r="H81" s="93"/>
      <c r="I81" s="93"/>
      <c r="J81" s="93"/>
      <c r="K81" s="93"/>
      <c r="L81" s="93"/>
      <c r="M81" s="93"/>
      <c r="N81" s="93"/>
      <c r="O81" s="93"/>
      <c r="P81" s="93"/>
      <c r="Q81" s="93"/>
      <c r="R81" s="93"/>
      <c r="S81" s="93"/>
      <c r="T81" s="93"/>
      <c r="U81" s="93"/>
      <c r="V81" s="93"/>
      <c r="W81" s="93"/>
      <c r="X81" s="93"/>
      <c r="Y81" s="93"/>
      <c r="Z81" s="93"/>
      <c r="AA81" s="93"/>
      <c r="AB81" s="93"/>
      <c r="AC81" s="93"/>
      <c r="AD81" s="93"/>
      <c r="AE81" s="93"/>
      <c r="AF81" s="93"/>
      <c r="AG81" s="93"/>
      <c r="AH81" s="93"/>
      <c r="AI81" s="93"/>
    </row>
    <row r="82" spans="1:35">
      <c r="A82" s="93"/>
      <c r="B82" s="93"/>
      <c r="C82" s="93"/>
      <c r="D82" s="93"/>
      <c r="E82" s="93"/>
      <c r="F82" s="93"/>
      <c r="G82" s="93"/>
      <c r="H82" s="93"/>
      <c r="I82" s="93"/>
      <c r="J82" s="93"/>
      <c r="K82" s="93"/>
      <c r="L82" s="93"/>
      <c r="M82" s="93"/>
      <c r="N82" s="93"/>
      <c r="O82" s="93"/>
      <c r="P82" s="93"/>
      <c r="Q82" s="93"/>
      <c r="R82" s="93"/>
      <c r="S82" s="93"/>
      <c r="T82" s="93"/>
      <c r="U82" s="93"/>
      <c r="V82" s="93"/>
      <c r="W82" s="93"/>
      <c r="X82" s="93"/>
      <c r="Y82" s="93"/>
      <c r="Z82" s="93"/>
      <c r="AA82" s="93"/>
      <c r="AB82" s="93"/>
      <c r="AC82" s="93"/>
      <c r="AD82" s="93"/>
      <c r="AE82" s="93"/>
      <c r="AF82" s="93"/>
      <c r="AG82" s="93"/>
      <c r="AH82" s="93"/>
      <c r="AI82" s="93"/>
    </row>
    <row r="83" spans="1:35">
      <c r="A83" s="93"/>
      <c r="B83" s="93"/>
      <c r="C83" s="93"/>
      <c r="D83" s="93"/>
      <c r="E83" s="93"/>
      <c r="F83" s="93"/>
      <c r="G83" s="93"/>
      <c r="H83" s="93"/>
      <c r="I83" s="93"/>
      <c r="J83" s="93"/>
      <c r="K83" s="93"/>
      <c r="L83" s="93"/>
      <c r="M83" s="93"/>
      <c r="N83" s="93"/>
      <c r="O83" s="93"/>
      <c r="P83" s="93"/>
      <c r="Q83" s="93"/>
      <c r="R83" s="93"/>
      <c r="S83" s="93"/>
      <c r="T83" s="93"/>
      <c r="U83" s="93"/>
      <c r="V83" s="93"/>
      <c r="W83" s="93"/>
      <c r="X83" s="93"/>
      <c r="Y83" s="93"/>
      <c r="Z83" s="93"/>
      <c r="AA83" s="93"/>
      <c r="AB83" s="93"/>
      <c r="AC83" s="93"/>
      <c r="AD83" s="93"/>
      <c r="AE83" s="93"/>
      <c r="AF83" s="93"/>
      <c r="AG83" s="93"/>
      <c r="AH83" s="93"/>
      <c r="AI83" s="93"/>
    </row>
    <row r="84" spans="1:35">
      <c r="A84" s="93"/>
      <c r="B84" s="93"/>
      <c r="C84" s="93"/>
      <c r="D84" s="93"/>
      <c r="E84" s="93"/>
      <c r="F84" s="93"/>
      <c r="G84" s="93"/>
      <c r="H84" s="93"/>
      <c r="I84" s="93"/>
      <c r="J84" s="93"/>
      <c r="K84" s="93"/>
      <c r="L84" s="93"/>
      <c r="M84" s="93"/>
      <c r="N84" s="93"/>
      <c r="O84" s="93"/>
      <c r="P84" s="93"/>
      <c r="Q84" s="93"/>
      <c r="R84" s="93"/>
      <c r="S84" s="93"/>
      <c r="T84" s="93"/>
      <c r="U84" s="93"/>
      <c r="V84" s="93"/>
      <c r="W84" s="93"/>
      <c r="X84" s="93"/>
      <c r="Y84" s="93"/>
      <c r="Z84" s="93"/>
      <c r="AA84" s="93"/>
      <c r="AB84" s="93"/>
      <c r="AC84" s="93"/>
      <c r="AD84" s="93"/>
      <c r="AE84" s="93"/>
      <c r="AF84" s="93"/>
      <c r="AG84" s="93"/>
      <c r="AH84" s="93"/>
      <c r="AI84" s="93"/>
    </row>
    <row r="85" spans="1:35">
      <c r="A85" s="93"/>
      <c r="B85" s="93"/>
      <c r="C85" s="93"/>
      <c r="D85" s="93"/>
      <c r="E85" s="93"/>
      <c r="F85" s="93"/>
      <c r="G85" s="93"/>
      <c r="H85" s="93"/>
      <c r="I85" s="93"/>
      <c r="J85" s="93"/>
      <c r="K85" s="93"/>
      <c r="L85" s="93"/>
      <c r="M85" s="93"/>
      <c r="N85" s="93"/>
      <c r="O85" s="93"/>
      <c r="P85" s="93"/>
      <c r="Q85" s="93"/>
      <c r="R85" s="93"/>
      <c r="S85" s="93"/>
      <c r="T85" s="93"/>
      <c r="U85" s="93"/>
      <c r="V85" s="93"/>
      <c r="W85" s="93"/>
      <c r="X85" s="93"/>
      <c r="Y85" s="93"/>
      <c r="Z85" s="93"/>
      <c r="AA85" s="93"/>
      <c r="AB85" s="93"/>
      <c r="AC85" s="93"/>
      <c r="AD85" s="93"/>
      <c r="AE85" s="93"/>
      <c r="AF85" s="93"/>
      <c r="AG85" s="93"/>
      <c r="AH85" s="93"/>
      <c r="AI85" s="93"/>
    </row>
    <row r="86" spans="1:35">
      <c r="A86" s="93"/>
      <c r="B86" s="93"/>
      <c r="C86" s="93"/>
      <c r="D86" s="93"/>
      <c r="E86" s="93"/>
      <c r="F86" s="93"/>
      <c r="G86" s="93"/>
      <c r="H86" s="93"/>
      <c r="I86" s="93"/>
      <c r="J86" s="93"/>
      <c r="K86" s="93"/>
      <c r="L86" s="93"/>
      <c r="M86" s="93"/>
      <c r="N86" s="93"/>
      <c r="O86" s="93"/>
      <c r="P86" s="93"/>
      <c r="Q86" s="93"/>
      <c r="R86" s="93"/>
      <c r="S86" s="93"/>
      <c r="T86" s="93"/>
      <c r="U86" s="93"/>
      <c r="V86" s="93"/>
      <c r="W86" s="93"/>
      <c r="X86" s="93"/>
      <c r="Y86" s="93"/>
      <c r="Z86" s="93"/>
      <c r="AA86" s="93"/>
      <c r="AB86" s="93"/>
      <c r="AC86" s="93"/>
      <c r="AD86" s="93"/>
      <c r="AE86" s="93"/>
      <c r="AF86" s="93"/>
      <c r="AG86" s="93"/>
      <c r="AH86" s="93"/>
      <c r="AI86" s="93"/>
    </row>
    <row r="87" spans="1:35">
      <c r="A87" s="93"/>
      <c r="B87" s="93"/>
      <c r="C87" s="93"/>
      <c r="D87" s="93"/>
      <c r="E87" s="93"/>
      <c r="F87" s="93"/>
      <c r="G87" s="93"/>
      <c r="H87" s="93"/>
      <c r="I87" s="93"/>
      <c r="J87" s="93"/>
      <c r="K87" s="93"/>
      <c r="L87" s="93"/>
      <c r="M87" s="93"/>
      <c r="N87" s="93"/>
      <c r="O87" s="93"/>
      <c r="P87" s="93"/>
      <c r="Q87" s="93"/>
      <c r="R87" s="93"/>
      <c r="S87" s="93"/>
      <c r="T87" s="93"/>
      <c r="U87" s="93"/>
      <c r="V87" s="93"/>
      <c r="W87" s="93"/>
      <c r="X87" s="93"/>
      <c r="Y87" s="93"/>
      <c r="Z87" s="93"/>
      <c r="AA87" s="93"/>
      <c r="AB87" s="93"/>
      <c r="AC87" s="93"/>
      <c r="AD87" s="93"/>
      <c r="AE87" s="93"/>
      <c r="AF87" s="93"/>
      <c r="AG87" s="93"/>
      <c r="AH87" s="93"/>
      <c r="AI87" s="93"/>
    </row>
    <row r="88" spans="1:35">
      <c r="A88" s="93"/>
      <c r="B88" s="93"/>
      <c r="C88" s="93"/>
      <c r="D88" s="93"/>
      <c r="E88" s="93"/>
      <c r="F88" s="93"/>
      <c r="G88" s="93"/>
      <c r="H88" s="93"/>
      <c r="I88" s="93"/>
      <c r="J88" s="93"/>
      <c r="K88" s="93"/>
      <c r="L88" s="93"/>
      <c r="M88" s="93"/>
      <c r="N88" s="93"/>
      <c r="O88" s="93"/>
      <c r="P88" s="93"/>
      <c r="Q88" s="93"/>
      <c r="R88" s="93"/>
      <c r="S88" s="93"/>
      <c r="T88" s="93"/>
      <c r="U88" s="93"/>
      <c r="V88" s="93"/>
      <c r="W88" s="93"/>
      <c r="X88" s="93"/>
      <c r="Y88" s="93"/>
      <c r="Z88" s="93"/>
      <c r="AA88" s="93"/>
      <c r="AB88" s="93"/>
      <c r="AC88" s="93"/>
      <c r="AD88" s="93"/>
      <c r="AE88" s="93"/>
      <c r="AF88" s="93"/>
      <c r="AG88" s="93"/>
      <c r="AH88" s="93"/>
      <c r="AI88" s="93"/>
    </row>
    <row r="89" spans="1:35">
      <c r="A89" s="93"/>
      <c r="B89" s="93"/>
      <c r="C89" s="93"/>
      <c r="D89" s="93"/>
      <c r="E89" s="93"/>
      <c r="F89" s="93"/>
      <c r="G89" s="93"/>
      <c r="H89" s="93"/>
      <c r="I89" s="93"/>
      <c r="J89" s="93"/>
      <c r="K89" s="93"/>
      <c r="L89" s="93"/>
      <c r="M89" s="93"/>
      <c r="N89" s="93"/>
      <c r="O89" s="93"/>
      <c r="P89" s="93"/>
      <c r="Q89" s="93"/>
      <c r="R89" s="93"/>
      <c r="S89" s="93"/>
      <c r="T89" s="93"/>
      <c r="U89" s="93"/>
      <c r="V89" s="93"/>
      <c r="W89" s="93"/>
      <c r="X89" s="93"/>
      <c r="Y89" s="93"/>
      <c r="Z89" s="93"/>
      <c r="AA89" s="93"/>
      <c r="AB89" s="93"/>
      <c r="AC89" s="93"/>
      <c r="AD89" s="93"/>
      <c r="AE89" s="93"/>
      <c r="AF89" s="93"/>
      <c r="AG89" s="93"/>
      <c r="AH89" s="93"/>
      <c r="AI89" s="93"/>
    </row>
    <row r="90" spans="1:35">
      <c r="A90" s="93"/>
      <c r="B90" s="93"/>
      <c r="C90" s="93"/>
      <c r="D90" s="93"/>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c r="AG90" s="93"/>
      <c r="AH90" s="93"/>
      <c r="AI90" s="93"/>
    </row>
    <row r="91" spans="1:35">
      <c r="A91" s="93"/>
      <c r="B91" s="93"/>
      <c r="C91" s="93"/>
      <c r="D91" s="93"/>
      <c r="E91" s="93"/>
      <c r="F91" s="93"/>
      <c r="G91" s="93"/>
      <c r="H91" s="93"/>
      <c r="I91" s="93"/>
      <c r="J91" s="93"/>
      <c r="K91" s="93"/>
      <c r="L91" s="93"/>
      <c r="M91" s="93"/>
      <c r="N91" s="93"/>
      <c r="O91" s="93"/>
      <c r="P91" s="93"/>
      <c r="Q91" s="93"/>
      <c r="R91" s="93"/>
      <c r="S91" s="93"/>
      <c r="T91" s="93"/>
      <c r="U91" s="93"/>
      <c r="V91" s="93"/>
      <c r="W91" s="93"/>
      <c r="X91" s="93"/>
      <c r="Y91" s="93"/>
      <c r="Z91" s="93"/>
      <c r="AA91" s="93"/>
      <c r="AB91" s="93"/>
      <c r="AC91" s="93"/>
      <c r="AD91" s="93"/>
      <c r="AE91" s="93"/>
      <c r="AF91" s="93"/>
      <c r="AG91" s="93"/>
      <c r="AH91" s="93"/>
      <c r="AI91" s="93"/>
    </row>
    <row r="92" spans="1:35">
      <c r="A92" s="93"/>
      <c r="B92" s="93"/>
      <c r="C92" s="93"/>
      <c r="D92" s="93"/>
      <c r="E92" s="93"/>
      <c r="F92" s="93"/>
      <c r="G92" s="93"/>
      <c r="H92" s="93"/>
      <c r="I92" s="93"/>
      <c r="J92" s="93"/>
      <c r="K92" s="93"/>
      <c r="L92" s="93"/>
      <c r="M92" s="93"/>
      <c r="N92" s="93"/>
      <c r="O92" s="93"/>
      <c r="P92" s="93"/>
      <c r="Q92" s="93"/>
      <c r="R92" s="93"/>
      <c r="S92" s="93"/>
      <c r="T92" s="93"/>
      <c r="U92" s="93"/>
      <c r="V92" s="93"/>
      <c r="W92" s="93"/>
      <c r="X92" s="93"/>
      <c r="Y92" s="93"/>
      <c r="Z92" s="93"/>
      <c r="AA92" s="93"/>
      <c r="AB92" s="93"/>
      <c r="AC92" s="93"/>
      <c r="AD92" s="93"/>
      <c r="AE92" s="93"/>
      <c r="AF92" s="93"/>
      <c r="AG92" s="93"/>
      <c r="AH92" s="93"/>
      <c r="AI92" s="93"/>
    </row>
    <row r="93" spans="1:35">
      <c r="A93" s="93"/>
      <c r="B93" s="93"/>
      <c r="C93" s="93"/>
      <c r="D93" s="93"/>
      <c r="E93" s="93"/>
      <c r="F93" s="93"/>
      <c r="G93" s="93"/>
      <c r="H93" s="93"/>
      <c r="I93" s="93"/>
      <c r="J93" s="93"/>
      <c r="K93" s="93"/>
      <c r="L93" s="93"/>
      <c r="M93" s="93"/>
      <c r="N93" s="93"/>
      <c r="O93" s="93"/>
      <c r="P93" s="93"/>
      <c r="Q93" s="93"/>
      <c r="R93" s="93"/>
      <c r="S93" s="93"/>
      <c r="T93" s="93"/>
      <c r="U93" s="93"/>
      <c r="V93" s="93"/>
      <c r="W93" s="93"/>
      <c r="X93" s="93"/>
      <c r="Y93" s="93"/>
      <c r="Z93" s="93"/>
      <c r="AA93" s="93"/>
      <c r="AB93" s="93"/>
      <c r="AC93" s="93"/>
      <c r="AD93" s="93"/>
      <c r="AE93" s="93"/>
      <c r="AF93" s="93"/>
      <c r="AG93" s="93"/>
      <c r="AH93" s="93"/>
      <c r="AI93" s="93"/>
    </row>
    <row r="94" spans="1:35">
      <c r="A94" s="93"/>
      <c r="B94" s="93"/>
      <c r="C94" s="93"/>
      <c r="D94" s="93"/>
      <c r="E94" s="93"/>
      <c r="F94" s="93"/>
      <c r="G94" s="93"/>
      <c r="H94" s="93"/>
      <c r="I94" s="93"/>
      <c r="J94" s="93"/>
      <c r="K94" s="93"/>
      <c r="L94" s="93"/>
      <c r="M94" s="93"/>
      <c r="N94" s="93"/>
      <c r="O94" s="93"/>
      <c r="P94" s="93"/>
      <c r="Q94" s="93"/>
      <c r="R94" s="93"/>
      <c r="S94" s="93"/>
      <c r="T94" s="93"/>
      <c r="U94" s="93"/>
      <c r="V94" s="93"/>
      <c r="W94" s="93"/>
      <c r="X94" s="93"/>
      <c r="Y94" s="93"/>
      <c r="Z94" s="93"/>
      <c r="AA94" s="93"/>
      <c r="AB94" s="93"/>
      <c r="AC94" s="93"/>
      <c r="AD94" s="93"/>
      <c r="AE94" s="93"/>
      <c r="AF94" s="93"/>
      <c r="AG94" s="93"/>
      <c r="AH94" s="93"/>
      <c r="AI94" s="93"/>
    </row>
    <row r="95" spans="1:35">
      <c r="A95" s="93"/>
      <c r="B95" s="93"/>
      <c r="C95" s="93"/>
      <c r="D95" s="93"/>
      <c r="E95" s="93"/>
      <c r="F95" s="93"/>
      <c r="G95" s="93"/>
      <c r="H95" s="93"/>
      <c r="I95" s="93"/>
      <c r="J95" s="93"/>
      <c r="K95" s="93"/>
      <c r="L95" s="93"/>
      <c r="M95" s="93"/>
      <c r="N95" s="93"/>
      <c r="O95" s="93"/>
      <c r="P95" s="93"/>
      <c r="Q95" s="93"/>
      <c r="R95" s="93"/>
      <c r="S95" s="93"/>
      <c r="T95" s="93"/>
      <c r="U95" s="93"/>
      <c r="V95" s="93"/>
      <c r="W95" s="93"/>
      <c r="X95" s="93"/>
      <c r="Y95" s="93"/>
      <c r="Z95" s="93"/>
      <c r="AA95" s="93"/>
      <c r="AB95" s="93"/>
      <c r="AC95" s="93"/>
      <c r="AD95" s="93"/>
      <c r="AE95" s="93"/>
      <c r="AF95" s="93"/>
      <c r="AG95" s="93"/>
      <c r="AH95" s="93"/>
      <c r="AI95" s="93"/>
    </row>
    <row r="96" spans="1:35">
      <c r="A96" s="93"/>
      <c r="B96" s="93"/>
      <c r="C96" s="93"/>
      <c r="D96" s="93"/>
      <c r="E96" s="93"/>
      <c r="F96" s="93"/>
      <c r="G96" s="93"/>
      <c r="H96" s="93"/>
      <c r="I96" s="93"/>
      <c r="J96" s="93"/>
      <c r="K96" s="93"/>
      <c r="L96" s="93"/>
      <c r="M96" s="93"/>
      <c r="N96" s="93"/>
      <c r="O96" s="93"/>
      <c r="P96" s="93"/>
      <c r="Q96" s="93"/>
      <c r="R96" s="93"/>
      <c r="S96" s="93"/>
      <c r="T96" s="93"/>
      <c r="U96" s="93"/>
      <c r="V96" s="93"/>
      <c r="W96" s="93"/>
      <c r="X96" s="93"/>
      <c r="Y96" s="93"/>
      <c r="Z96" s="93"/>
      <c r="AA96" s="93"/>
      <c r="AB96" s="93"/>
      <c r="AC96" s="93"/>
      <c r="AD96" s="93"/>
      <c r="AE96" s="93"/>
      <c r="AF96" s="93"/>
      <c r="AG96" s="93"/>
      <c r="AH96" s="93"/>
      <c r="AI96" s="93"/>
    </row>
    <row r="97" spans="1:35">
      <c r="A97" s="93"/>
      <c r="B97" s="93"/>
      <c r="C97" s="93"/>
      <c r="D97" s="93"/>
      <c r="E97" s="93"/>
      <c r="F97" s="93"/>
      <c r="G97" s="93"/>
      <c r="H97" s="93"/>
      <c r="I97" s="93"/>
      <c r="J97" s="93"/>
      <c r="K97" s="93"/>
      <c r="L97" s="93"/>
      <c r="M97" s="93"/>
      <c r="N97" s="93"/>
      <c r="O97" s="93"/>
      <c r="P97" s="93"/>
      <c r="Q97" s="93"/>
      <c r="R97" s="93"/>
      <c r="S97" s="93"/>
      <c r="T97" s="93"/>
      <c r="U97" s="93"/>
      <c r="V97" s="93"/>
      <c r="W97" s="93"/>
      <c r="X97" s="93"/>
      <c r="Y97" s="93"/>
      <c r="Z97" s="93"/>
      <c r="AA97" s="93"/>
      <c r="AB97" s="93"/>
      <c r="AC97" s="93"/>
      <c r="AD97" s="93"/>
      <c r="AE97" s="93"/>
      <c r="AF97" s="93"/>
      <c r="AG97" s="93"/>
      <c r="AH97" s="93"/>
      <c r="AI97" s="93"/>
    </row>
    <row r="98" spans="1:35">
      <c r="A98" s="93"/>
      <c r="B98" s="93"/>
      <c r="C98" s="93"/>
      <c r="D98" s="93"/>
      <c r="E98" s="93"/>
      <c r="F98" s="93"/>
      <c r="G98" s="93"/>
      <c r="H98" s="93"/>
      <c r="I98" s="93"/>
      <c r="J98" s="93"/>
      <c r="K98" s="93"/>
      <c r="L98" s="93"/>
      <c r="M98" s="93"/>
      <c r="N98" s="93"/>
      <c r="O98" s="93"/>
      <c r="P98" s="93"/>
      <c r="Q98" s="93"/>
      <c r="R98" s="93"/>
      <c r="S98" s="93"/>
      <c r="T98" s="93"/>
      <c r="U98" s="93"/>
      <c r="V98" s="93"/>
      <c r="W98" s="93"/>
      <c r="X98" s="93"/>
      <c r="Y98" s="93"/>
      <c r="Z98" s="93"/>
      <c r="AA98" s="93"/>
      <c r="AB98" s="93"/>
      <c r="AC98" s="93"/>
      <c r="AD98" s="93"/>
      <c r="AE98" s="93"/>
      <c r="AF98" s="93"/>
      <c r="AG98" s="93"/>
      <c r="AH98" s="93"/>
      <c r="AI98" s="93"/>
    </row>
    <row r="99" spans="1:35">
      <c r="A99" s="93"/>
      <c r="B99" s="93"/>
      <c r="C99" s="93"/>
      <c r="D99" s="93"/>
      <c r="E99" s="93"/>
      <c r="F99" s="93"/>
      <c r="G99" s="93"/>
      <c r="H99" s="93"/>
      <c r="I99" s="93"/>
      <c r="J99" s="93"/>
      <c r="K99" s="93"/>
      <c r="L99" s="93"/>
      <c r="M99" s="93"/>
      <c r="N99" s="93"/>
      <c r="O99" s="93"/>
      <c r="P99" s="93"/>
      <c r="Q99" s="93"/>
      <c r="R99" s="93"/>
      <c r="S99" s="93"/>
      <c r="T99" s="93"/>
      <c r="U99" s="93"/>
      <c r="V99" s="93"/>
      <c r="W99" s="93"/>
      <c r="X99" s="93"/>
      <c r="Y99" s="93"/>
      <c r="Z99" s="93"/>
      <c r="AA99" s="93"/>
      <c r="AB99" s="93"/>
      <c r="AC99" s="93"/>
      <c r="AD99" s="93"/>
      <c r="AE99" s="93"/>
      <c r="AF99" s="93"/>
      <c r="AG99" s="93"/>
      <c r="AH99" s="93"/>
      <c r="AI99" s="93"/>
    </row>
    <row r="100" spans="1:35">
      <c r="A100" s="93"/>
      <c r="B100" s="93"/>
      <c r="C100" s="93"/>
      <c r="D100" s="93"/>
      <c r="E100" s="93"/>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C100" s="93"/>
      <c r="AD100" s="93"/>
      <c r="AE100" s="93"/>
      <c r="AF100" s="93"/>
      <c r="AG100" s="93"/>
      <c r="AH100" s="93"/>
      <c r="AI100" s="93"/>
    </row>
    <row r="101" spans="1:35">
      <c r="A101" s="93"/>
      <c r="B101" s="93"/>
      <c r="C101" s="93"/>
      <c r="D101" s="93"/>
      <c r="E101" s="93"/>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C101" s="93"/>
      <c r="AD101" s="93"/>
      <c r="AE101" s="93"/>
      <c r="AF101" s="93"/>
      <c r="AG101" s="93"/>
      <c r="AH101" s="93"/>
      <c r="AI101" s="93"/>
    </row>
    <row r="102" spans="1:35">
      <c r="A102" s="93"/>
      <c r="B102" s="93"/>
      <c r="C102" s="93"/>
      <c r="D102" s="93"/>
      <c r="E102" s="93"/>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C102" s="93"/>
      <c r="AD102" s="93"/>
      <c r="AE102" s="93"/>
      <c r="AF102" s="93"/>
      <c r="AG102" s="93"/>
      <c r="AH102" s="93"/>
      <c r="AI102" s="93"/>
    </row>
    <row r="103" spans="1:35">
      <c r="A103" s="93"/>
      <c r="B103" s="93"/>
      <c r="C103" s="93"/>
      <c r="D103" s="93"/>
      <c r="E103" s="93"/>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C103" s="93"/>
      <c r="AD103" s="93"/>
      <c r="AE103" s="93"/>
      <c r="AF103" s="93"/>
      <c r="AG103" s="93"/>
      <c r="AH103" s="93"/>
      <c r="AI103" s="93"/>
    </row>
    <row r="104" spans="1:35">
      <c r="A104" s="93"/>
      <c r="B104" s="93"/>
      <c r="C104" s="93"/>
      <c r="D104" s="93"/>
      <c r="E104" s="93"/>
      <c r="F104" s="93"/>
      <c r="G104" s="93"/>
      <c r="H104" s="93"/>
      <c r="I104" s="93"/>
      <c r="J104" s="93"/>
      <c r="K104" s="93"/>
      <c r="L104" s="93"/>
      <c r="M104" s="93"/>
      <c r="N104" s="93"/>
      <c r="O104" s="93"/>
      <c r="P104" s="93"/>
      <c r="Q104" s="93"/>
      <c r="R104" s="93"/>
      <c r="S104" s="93"/>
      <c r="T104" s="93"/>
      <c r="U104" s="93"/>
      <c r="V104" s="93"/>
      <c r="W104" s="93"/>
      <c r="X104" s="93"/>
      <c r="Y104" s="93"/>
      <c r="Z104" s="93"/>
      <c r="AA104" s="93"/>
      <c r="AB104" s="93"/>
      <c r="AC104" s="93"/>
      <c r="AD104" s="93"/>
      <c r="AE104" s="93"/>
      <c r="AF104" s="93"/>
      <c r="AG104" s="93"/>
      <c r="AH104" s="93"/>
      <c r="AI104" s="93"/>
    </row>
    <row r="105" spans="1:35">
      <c r="A105" s="93"/>
      <c r="B105" s="93"/>
      <c r="C105" s="93"/>
      <c r="D105" s="93"/>
      <c r="E105" s="93"/>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C105" s="93"/>
      <c r="AD105" s="93"/>
      <c r="AE105" s="93"/>
      <c r="AF105" s="93"/>
      <c r="AG105" s="93"/>
      <c r="AH105" s="93"/>
      <c r="AI105" s="93"/>
    </row>
    <row r="106" spans="1:35">
      <c r="A106" s="93"/>
      <c r="B106" s="93"/>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93"/>
      <c r="AD106" s="93"/>
      <c r="AE106" s="93"/>
      <c r="AF106" s="93"/>
      <c r="AG106" s="93"/>
      <c r="AH106" s="93"/>
      <c r="AI106" s="93"/>
    </row>
    <row r="107" spans="1:35">
      <c r="A107" s="93"/>
      <c r="B107" s="93"/>
      <c r="C107" s="93"/>
      <c r="D107" s="93"/>
      <c r="E107" s="93"/>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C107" s="93"/>
      <c r="AD107" s="93"/>
      <c r="AE107" s="93"/>
      <c r="AF107" s="93"/>
      <c r="AG107" s="93"/>
      <c r="AH107" s="93"/>
      <c r="AI107" s="93"/>
    </row>
    <row r="108" spans="1:35">
      <c r="A108" s="93"/>
      <c r="B108" s="93"/>
      <c r="C108" s="93"/>
      <c r="D108" s="93"/>
      <c r="E108" s="93"/>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C108" s="93"/>
      <c r="AD108" s="93"/>
      <c r="AE108" s="93"/>
      <c r="AF108" s="93"/>
      <c r="AG108" s="93"/>
      <c r="AH108" s="93"/>
      <c r="AI108" s="93"/>
    </row>
    <row r="109" spans="1:35">
      <c r="A109" s="93"/>
      <c r="B109" s="93"/>
      <c r="C109" s="93"/>
      <c r="D109" s="93"/>
      <c r="E109" s="93"/>
      <c r="F109" s="93"/>
      <c r="G109" s="93"/>
      <c r="H109" s="93"/>
      <c r="I109" s="93"/>
      <c r="J109" s="93"/>
      <c r="K109" s="93"/>
      <c r="L109" s="93"/>
      <c r="M109" s="93"/>
      <c r="N109" s="93"/>
      <c r="O109" s="93"/>
      <c r="P109" s="93"/>
      <c r="Q109" s="93"/>
      <c r="R109" s="93"/>
      <c r="S109" s="93"/>
      <c r="T109" s="93"/>
      <c r="U109" s="93"/>
      <c r="V109" s="93"/>
      <c r="W109" s="93"/>
      <c r="X109" s="93"/>
      <c r="Y109" s="93"/>
      <c r="Z109" s="93"/>
      <c r="AA109" s="93"/>
      <c r="AB109" s="93"/>
      <c r="AC109" s="93"/>
      <c r="AD109" s="93"/>
      <c r="AE109" s="93"/>
      <c r="AF109" s="93"/>
      <c r="AG109" s="93"/>
      <c r="AH109" s="93"/>
      <c r="AI109" s="93"/>
    </row>
    <row r="110" spans="1:35">
      <c r="A110" s="93"/>
      <c r="B110" s="93"/>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C110" s="93"/>
      <c r="AD110" s="93"/>
      <c r="AE110" s="93"/>
      <c r="AF110" s="93"/>
      <c r="AG110" s="93"/>
      <c r="AH110" s="93"/>
      <c r="AI110" s="93"/>
    </row>
    <row r="111" spans="1:35">
      <c r="A111" s="93"/>
      <c r="B111" s="93"/>
      <c r="C111" s="93"/>
      <c r="D111" s="93"/>
      <c r="E111" s="93"/>
      <c r="F111" s="93"/>
      <c r="G111" s="93"/>
      <c r="H111" s="93"/>
      <c r="I111" s="93"/>
      <c r="J111" s="93"/>
      <c r="K111" s="93"/>
      <c r="L111" s="93"/>
      <c r="M111" s="93"/>
      <c r="N111" s="93"/>
      <c r="O111" s="93"/>
      <c r="P111" s="93"/>
      <c r="Q111" s="93"/>
      <c r="R111" s="93"/>
      <c r="S111" s="93"/>
      <c r="T111" s="93"/>
      <c r="U111" s="93"/>
      <c r="V111" s="93"/>
      <c r="W111" s="93"/>
      <c r="X111" s="93"/>
      <c r="Y111" s="93"/>
      <c r="Z111" s="93"/>
      <c r="AA111" s="93"/>
      <c r="AB111" s="93"/>
      <c r="AC111" s="93"/>
      <c r="AD111" s="93"/>
      <c r="AE111" s="93"/>
      <c r="AF111" s="93"/>
      <c r="AG111" s="93"/>
      <c r="AH111" s="93"/>
      <c r="AI111" s="93"/>
    </row>
    <row r="112" spans="1:35">
      <c r="A112" s="93"/>
      <c r="B112" s="93"/>
      <c r="C112" s="93"/>
      <c r="D112" s="93"/>
      <c r="E112" s="93"/>
      <c r="F112" s="93"/>
      <c r="G112" s="93"/>
      <c r="H112" s="93"/>
      <c r="I112" s="93"/>
      <c r="J112" s="93"/>
      <c r="K112" s="93"/>
      <c r="L112" s="93"/>
      <c r="M112" s="93"/>
      <c r="N112" s="93"/>
      <c r="O112" s="93"/>
      <c r="P112" s="93"/>
      <c r="Q112" s="93"/>
      <c r="R112" s="93"/>
      <c r="S112" s="93"/>
      <c r="T112" s="93"/>
      <c r="U112" s="93"/>
      <c r="V112" s="93"/>
      <c r="W112" s="93"/>
      <c r="X112" s="93"/>
      <c r="Y112" s="93"/>
      <c r="Z112" s="93"/>
      <c r="AA112" s="93"/>
      <c r="AB112" s="93"/>
      <c r="AC112" s="93"/>
      <c r="AD112" s="93"/>
      <c r="AE112" s="93"/>
      <c r="AF112" s="93"/>
      <c r="AG112" s="93"/>
      <c r="AH112" s="93"/>
      <c r="AI112" s="93"/>
    </row>
    <row r="113" spans="1:35">
      <c r="A113" s="93"/>
      <c r="B113" s="93"/>
      <c r="C113" s="93"/>
      <c r="D113" s="93"/>
      <c r="E113" s="93"/>
      <c r="F113" s="93"/>
      <c r="G113" s="93"/>
      <c r="H113" s="93"/>
      <c r="I113" s="93"/>
      <c r="J113" s="93"/>
      <c r="K113" s="93"/>
      <c r="L113" s="93"/>
      <c r="M113" s="93"/>
      <c r="N113" s="93"/>
      <c r="O113" s="93"/>
      <c r="P113" s="93"/>
      <c r="Q113" s="93"/>
      <c r="R113" s="93"/>
      <c r="S113" s="93"/>
      <c r="T113" s="93"/>
      <c r="U113" s="93"/>
      <c r="V113" s="93"/>
      <c r="W113" s="93"/>
      <c r="X113" s="93"/>
      <c r="Y113" s="93"/>
      <c r="Z113" s="93"/>
      <c r="AA113" s="93"/>
      <c r="AB113" s="93"/>
      <c r="AC113" s="93"/>
      <c r="AD113" s="93"/>
      <c r="AE113" s="93"/>
      <c r="AF113" s="93"/>
      <c r="AG113" s="93"/>
      <c r="AH113" s="93"/>
      <c r="AI113" s="93"/>
    </row>
    <row r="114" spans="1:35">
      <c r="A114" s="93"/>
      <c r="B114" s="93"/>
      <c r="C114" s="93"/>
      <c r="D114" s="93"/>
      <c r="E114" s="93"/>
      <c r="F114" s="93"/>
      <c r="G114" s="93"/>
      <c r="H114" s="93"/>
      <c r="I114" s="93"/>
      <c r="J114" s="93"/>
      <c r="K114" s="93"/>
      <c r="L114" s="93"/>
      <c r="M114" s="93"/>
      <c r="N114" s="93"/>
      <c r="O114" s="93"/>
      <c r="P114" s="93"/>
      <c r="Q114" s="93"/>
      <c r="R114" s="93"/>
      <c r="S114" s="93"/>
      <c r="T114" s="93"/>
      <c r="U114" s="93"/>
      <c r="V114" s="93"/>
      <c r="W114" s="93"/>
      <c r="X114" s="93"/>
      <c r="Y114" s="93"/>
      <c r="Z114" s="93"/>
      <c r="AA114" s="93"/>
      <c r="AB114" s="93"/>
      <c r="AC114" s="93"/>
      <c r="AD114" s="93"/>
      <c r="AE114" s="93"/>
      <c r="AF114" s="93"/>
      <c r="AG114" s="93"/>
      <c r="AH114" s="93"/>
      <c r="AI114" s="93"/>
    </row>
    <row r="115" spans="1:35">
      <c r="A115" s="93"/>
      <c r="B115" s="93"/>
      <c r="C115" s="93"/>
      <c r="D115" s="93"/>
      <c r="E115" s="93"/>
      <c r="F115" s="93"/>
      <c r="G115" s="93"/>
      <c r="H115" s="93"/>
      <c r="I115" s="93"/>
      <c r="J115" s="93"/>
      <c r="K115" s="93"/>
      <c r="L115" s="93"/>
      <c r="M115" s="93"/>
      <c r="N115" s="93"/>
      <c r="O115" s="93"/>
      <c r="P115" s="93"/>
      <c r="Q115" s="93"/>
      <c r="R115" s="93"/>
      <c r="S115" s="93"/>
      <c r="T115" s="93"/>
      <c r="U115" s="93"/>
      <c r="V115" s="93"/>
      <c r="W115" s="93"/>
      <c r="X115" s="93"/>
      <c r="Y115" s="93"/>
      <c r="Z115" s="93"/>
      <c r="AA115" s="93"/>
      <c r="AB115" s="93"/>
      <c r="AC115" s="93"/>
      <c r="AD115" s="93"/>
      <c r="AE115" s="93"/>
      <c r="AF115" s="93"/>
      <c r="AG115" s="93"/>
      <c r="AH115" s="93"/>
      <c r="AI115" s="93"/>
    </row>
    <row r="116" spans="1:35">
      <c r="A116" s="93"/>
      <c r="B116" s="93"/>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c r="AA116" s="93"/>
      <c r="AB116" s="93"/>
      <c r="AC116" s="93"/>
      <c r="AD116" s="93"/>
      <c r="AE116" s="93"/>
      <c r="AF116" s="93"/>
      <c r="AG116" s="93"/>
      <c r="AH116" s="93"/>
      <c r="AI116" s="93"/>
    </row>
    <row r="117" spans="1:35">
      <c r="A117" s="93"/>
      <c r="B117" s="93"/>
      <c r="C117" s="93"/>
      <c r="D117" s="93"/>
      <c r="E117" s="93"/>
      <c r="F117" s="93"/>
      <c r="G117" s="93"/>
      <c r="H117" s="93"/>
      <c r="I117" s="93"/>
      <c r="J117" s="93"/>
      <c r="K117" s="93"/>
      <c r="L117" s="93"/>
      <c r="M117" s="93"/>
      <c r="N117" s="93"/>
      <c r="O117" s="93"/>
      <c r="P117" s="93"/>
      <c r="Q117" s="93"/>
      <c r="R117" s="93"/>
      <c r="S117" s="93"/>
      <c r="T117" s="93"/>
      <c r="U117" s="93"/>
      <c r="V117" s="93"/>
      <c r="W117" s="93"/>
      <c r="X117" s="93"/>
      <c r="Y117" s="93"/>
      <c r="Z117" s="93"/>
      <c r="AA117" s="93"/>
      <c r="AB117" s="93"/>
      <c r="AC117" s="93"/>
      <c r="AD117" s="93"/>
      <c r="AE117" s="93"/>
      <c r="AF117" s="93"/>
      <c r="AG117" s="93"/>
      <c r="AH117" s="93"/>
      <c r="AI117" s="93"/>
    </row>
    <row r="118" spans="1:35">
      <c r="A118" s="93"/>
      <c r="B118" s="93"/>
      <c r="C118" s="93"/>
      <c r="D118" s="93"/>
      <c r="E118" s="93"/>
      <c r="F118" s="93"/>
      <c r="G118" s="93"/>
      <c r="H118" s="93"/>
      <c r="I118" s="93"/>
      <c r="J118" s="93"/>
      <c r="K118" s="93"/>
      <c r="L118" s="93"/>
      <c r="M118" s="93"/>
      <c r="N118" s="93"/>
      <c r="O118" s="93"/>
      <c r="P118" s="93"/>
      <c r="Q118" s="93"/>
      <c r="R118" s="93"/>
      <c r="S118" s="93"/>
      <c r="T118" s="93"/>
      <c r="U118" s="93"/>
      <c r="V118" s="93"/>
      <c r="W118" s="93"/>
      <c r="X118" s="93"/>
      <c r="Y118" s="93"/>
      <c r="Z118" s="93"/>
      <c r="AA118" s="93"/>
      <c r="AB118" s="93"/>
      <c r="AC118" s="93"/>
      <c r="AD118" s="93"/>
      <c r="AE118" s="93"/>
      <c r="AF118" s="93"/>
      <c r="AG118" s="93"/>
      <c r="AH118" s="93"/>
      <c r="AI118" s="93"/>
    </row>
    <row r="119" spans="1:35">
      <c r="A119" s="93"/>
      <c r="B119" s="93"/>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c r="AA119" s="93"/>
      <c r="AB119" s="93"/>
      <c r="AC119" s="93"/>
      <c r="AD119" s="93"/>
      <c r="AE119" s="93"/>
      <c r="AF119" s="93"/>
      <c r="AG119" s="93"/>
      <c r="AH119" s="93"/>
      <c r="AI119" s="93"/>
    </row>
    <row r="120" spans="1:35">
      <c r="A120" s="93"/>
      <c r="B120" s="93"/>
      <c r="C120" s="93"/>
      <c r="D120" s="93"/>
      <c r="E120" s="93"/>
      <c r="F120" s="93"/>
      <c r="G120" s="93"/>
      <c r="H120" s="93"/>
      <c r="I120" s="93"/>
      <c r="J120" s="93"/>
      <c r="K120" s="93"/>
      <c r="L120" s="93"/>
      <c r="M120" s="93"/>
      <c r="N120" s="93"/>
      <c r="O120" s="93"/>
      <c r="P120" s="93"/>
      <c r="Q120" s="93"/>
      <c r="R120" s="93"/>
      <c r="S120" s="93"/>
      <c r="T120" s="93"/>
      <c r="U120" s="93"/>
      <c r="V120" s="93"/>
      <c r="W120" s="93"/>
      <c r="X120" s="93"/>
      <c r="Y120" s="93"/>
      <c r="Z120" s="93"/>
      <c r="AA120" s="93"/>
      <c r="AB120" s="93"/>
      <c r="AC120" s="93"/>
      <c r="AD120" s="93"/>
      <c r="AE120" s="93"/>
      <c r="AF120" s="93"/>
      <c r="AG120" s="93"/>
      <c r="AH120" s="93"/>
      <c r="AI120" s="93"/>
    </row>
    <row r="121" spans="1:35">
      <c r="A121" s="93"/>
      <c r="B121" s="93"/>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c r="AA121" s="93"/>
      <c r="AB121" s="93"/>
      <c r="AC121" s="93"/>
      <c r="AD121" s="93"/>
      <c r="AE121" s="93"/>
      <c r="AF121" s="93"/>
      <c r="AG121" s="93"/>
      <c r="AH121" s="93"/>
      <c r="AI121" s="93"/>
    </row>
    <row r="122" spans="1:35">
      <c r="A122" s="93"/>
      <c r="B122" s="93"/>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c r="AA122" s="93"/>
      <c r="AB122" s="93"/>
      <c r="AC122" s="93"/>
      <c r="AD122" s="93"/>
      <c r="AE122" s="93"/>
      <c r="AF122" s="93"/>
      <c r="AG122" s="93"/>
      <c r="AH122" s="93"/>
      <c r="AI122" s="93"/>
    </row>
    <row r="123" spans="1:35">
      <c r="A123" s="93"/>
      <c r="B123" s="93"/>
      <c r="C123" s="93"/>
      <c r="D123" s="93"/>
      <c r="E123" s="93"/>
      <c r="F123" s="93"/>
      <c r="G123" s="93"/>
      <c r="H123" s="93"/>
      <c r="I123" s="93"/>
      <c r="J123" s="93"/>
      <c r="K123" s="93"/>
      <c r="L123" s="93"/>
      <c r="M123" s="93"/>
      <c r="N123" s="93"/>
      <c r="O123" s="93"/>
      <c r="P123" s="93"/>
      <c r="Q123" s="93"/>
      <c r="R123" s="93"/>
      <c r="S123" s="93"/>
      <c r="T123" s="93"/>
      <c r="U123" s="93"/>
      <c r="V123" s="93"/>
      <c r="W123" s="93"/>
      <c r="X123" s="93"/>
      <c r="Y123" s="93"/>
      <c r="Z123" s="93"/>
      <c r="AA123" s="93"/>
      <c r="AB123" s="93"/>
      <c r="AC123" s="93"/>
      <c r="AD123" s="93"/>
      <c r="AE123" s="93"/>
      <c r="AF123" s="93"/>
      <c r="AG123" s="93"/>
      <c r="AH123" s="93"/>
      <c r="AI123" s="93"/>
    </row>
    <row r="124" spans="1:35">
      <c r="A124" s="93"/>
      <c r="B124" s="93"/>
      <c r="C124" s="93"/>
      <c r="D124" s="93"/>
      <c r="E124" s="93"/>
      <c r="F124" s="93"/>
      <c r="G124" s="93"/>
      <c r="H124" s="93"/>
      <c r="I124" s="93"/>
      <c r="J124" s="93"/>
      <c r="K124" s="93"/>
      <c r="L124" s="93"/>
      <c r="M124" s="93"/>
      <c r="N124" s="93"/>
      <c r="O124" s="93"/>
      <c r="P124" s="93"/>
      <c r="Q124" s="93"/>
      <c r="R124" s="93"/>
      <c r="S124" s="93"/>
      <c r="T124" s="93"/>
      <c r="U124" s="93"/>
      <c r="V124" s="93"/>
      <c r="W124" s="93"/>
      <c r="X124" s="93"/>
      <c r="Y124" s="93"/>
      <c r="Z124" s="93"/>
      <c r="AA124" s="93"/>
      <c r="AB124" s="93"/>
      <c r="AC124" s="93"/>
      <c r="AD124" s="93"/>
      <c r="AE124" s="93"/>
      <c r="AF124" s="93"/>
      <c r="AG124" s="93"/>
      <c r="AH124" s="93"/>
      <c r="AI124" s="93"/>
    </row>
    <row r="125" spans="1:35">
      <c r="A125" s="93"/>
      <c r="B125" s="93"/>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C125" s="93"/>
      <c r="AD125" s="93"/>
      <c r="AE125" s="93"/>
      <c r="AF125" s="93"/>
      <c r="AG125" s="93"/>
      <c r="AH125" s="93"/>
      <c r="AI125" s="93"/>
    </row>
    <row r="126" spans="1:35">
      <c r="A126" s="93"/>
      <c r="B126" s="93"/>
      <c r="C126" s="93"/>
      <c r="D126" s="93"/>
      <c r="E126" s="93"/>
      <c r="F126" s="93"/>
      <c r="G126" s="93"/>
      <c r="H126" s="93"/>
      <c r="I126" s="93"/>
      <c r="J126" s="93"/>
      <c r="K126" s="93"/>
      <c r="L126" s="93"/>
      <c r="M126" s="93"/>
      <c r="N126" s="93"/>
      <c r="O126" s="93"/>
      <c r="P126" s="93"/>
      <c r="Q126" s="93"/>
      <c r="R126" s="93"/>
      <c r="S126" s="93"/>
      <c r="T126" s="93"/>
      <c r="U126" s="93"/>
      <c r="V126" s="93"/>
      <c r="W126" s="93"/>
      <c r="X126" s="93"/>
      <c r="Y126" s="93"/>
      <c r="Z126" s="93"/>
      <c r="AA126" s="93"/>
      <c r="AB126" s="93"/>
      <c r="AC126" s="93"/>
      <c r="AD126" s="93"/>
      <c r="AE126" s="93"/>
      <c r="AF126" s="93"/>
      <c r="AG126" s="93"/>
      <c r="AH126" s="93"/>
      <c r="AI126" s="93"/>
    </row>
    <row r="127" spans="1:35">
      <c r="A127" s="93"/>
      <c r="B127" s="93"/>
      <c r="C127" s="93"/>
      <c r="D127" s="93"/>
      <c r="E127" s="93"/>
      <c r="F127" s="93"/>
      <c r="G127" s="93"/>
      <c r="H127" s="93"/>
      <c r="I127" s="93"/>
      <c r="J127" s="93"/>
      <c r="K127" s="93"/>
      <c r="L127" s="93"/>
      <c r="M127" s="93"/>
      <c r="N127" s="93"/>
      <c r="O127" s="93"/>
      <c r="P127" s="93"/>
      <c r="Q127" s="93"/>
      <c r="R127" s="93"/>
      <c r="S127" s="93"/>
      <c r="T127" s="93"/>
      <c r="U127" s="93"/>
      <c r="V127" s="93"/>
      <c r="W127" s="93"/>
      <c r="X127" s="93"/>
      <c r="Y127" s="93"/>
      <c r="Z127" s="93"/>
      <c r="AA127" s="93"/>
      <c r="AB127" s="93"/>
      <c r="AC127" s="93"/>
      <c r="AD127" s="93"/>
      <c r="AE127" s="93"/>
      <c r="AF127" s="93"/>
      <c r="AG127" s="93"/>
      <c r="AH127" s="93"/>
      <c r="AI127" s="93"/>
    </row>
    <row r="128" spans="1:35">
      <c r="A128" s="93"/>
      <c r="B128" s="93"/>
      <c r="C128" s="93"/>
      <c r="D128" s="93"/>
      <c r="E128" s="93"/>
      <c r="F128" s="93"/>
      <c r="G128" s="93"/>
      <c r="H128" s="93"/>
      <c r="I128" s="93"/>
      <c r="J128" s="93"/>
      <c r="K128" s="93"/>
      <c r="L128" s="93"/>
      <c r="M128" s="93"/>
      <c r="N128" s="93"/>
      <c r="O128" s="93"/>
      <c r="P128" s="93"/>
      <c r="Q128" s="93"/>
      <c r="R128" s="93"/>
      <c r="S128" s="93"/>
      <c r="T128" s="93"/>
      <c r="U128" s="93"/>
      <c r="V128" s="93"/>
      <c r="W128" s="93"/>
      <c r="X128" s="93"/>
      <c r="Y128" s="93"/>
      <c r="Z128" s="93"/>
      <c r="AA128" s="93"/>
      <c r="AB128" s="93"/>
      <c r="AC128" s="93"/>
      <c r="AD128" s="93"/>
      <c r="AE128" s="93"/>
      <c r="AF128" s="93"/>
      <c r="AG128" s="93"/>
      <c r="AH128" s="93"/>
      <c r="AI128" s="93"/>
    </row>
    <row r="129" spans="1:35">
      <c r="A129" s="93"/>
      <c r="B129" s="93"/>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c r="AA129" s="93"/>
      <c r="AB129" s="93"/>
      <c r="AC129" s="93"/>
      <c r="AD129" s="93"/>
      <c r="AE129" s="93"/>
      <c r="AF129" s="93"/>
      <c r="AG129" s="93"/>
      <c r="AH129" s="93"/>
      <c r="AI129" s="93"/>
    </row>
    <row r="130" spans="1:35">
      <c r="A130" s="93"/>
      <c r="B130" s="93"/>
      <c r="C130" s="93"/>
      <c r="D130" s="93"/>
      <c r="E130" s="93"/>
      <c r="F130" s="93"/>
      <c r="G130" s="93"/>
      <c r="H130" s="93"/>
      <c r="I130" s="93"/>
      <c r="J130" s="93"/>
      <c r="K130" s="93"/>
      <c r="L130" s="93"/>
      <c r="M130" s="93"/>
      <c r="N130" s="93"/>
      <c r="O130" s="93"/>
      <c r="P130" s="93"/>
      <c r="Q130" s="93"/>
      <c r="R130" s="93"/>
      <c r="S130" s="93"/>
      <c r="T130" s="93"/>
      <c r="U130" s="93"/>
      <c r="V130" s="93"/>
      <c r="W130" s="93"/>
      <c r="X130" s="93"/>
      <c r="Y130" s="93"/>
      <c r="Z130" s="93"/>
      <c r="AA130" s="93"/>
      <c r="AB130" s="93"/>
      <c r="AC130" s="93"/>
      <c r="AD130" s="93"/>
      <c r="AE130" s="93"/>
      <c r="AF130" s="93"/>
      <c r="AG130" s="93"/>
      <c r="AH130" s="93"/>
      <c r="AI130" s="93"/>
    </row>
    <row r="131" spans="1:35">
      <c r="A131" s="93"/>
      <c r="B131" s="93"/>
      <c r="C131" s="93"/>
      <c r="D131" s="93"/>
      <c r="E131" s="93"/>
      <c r="F131" s="93"/>
      <c r="G131" s="93"/>
      <c r="H131" s="93"/>
      <c r="I131" s="93"/>
      <c r="J131" s="93"/>
      <c r="K131" s="93"/>
      <c r="L131" s="93"/>
      <c r="M131" s="93"/>
      <c r="N131" s="93"/>
      <c r="O131" s="93"/>
      <c r="P131" s="93"/>
      <c r="Q131" s="93"/>
      <c r="R131" s="93"/>
      <c r="S131" s="93"/>
      <c r="T131" s="93"/>
      <c r="U131" s="93"/>
      <c r="V131" s="93"/>
      <c r="W131" s="93"/>
      <c r="X131" s="93"/>
      <c r="Y131" s="93"/>
      <c r="Z131" s="93"/>
      <c r="AA131" s="93"/>
      <c r="AB131" s="93"/>
      <c r="AC131" s="93"/>
      <c r="AD131" s="93"/>
      <c r="AE131" s="93"/>
      <c r="AF131" s="93"/>
      <c r="AG131" s="93"/>
      <c r="AH131" s="93"/>
      <c r="AI131" s="93"/>
    </row>
    <row r="132" spans="1:35">
      <c r="A132" s="93"/>
      <c r="B132" s="93"/>
      <c r="C132" s="93"/>
      <c r="D132" s="93"/>
      <c r="E132" s="93"/>
      <c r="F132" s="93"/>
      <c r="G132" s="93"/>
      <c r="H132" s="93"/>
      <c r="I132" s="93"/>
      <c r="J132" s="93"/>
      <c r="K132" s="93"/>
      <c r="L132" s="93"/>
      <c r="M132" s="93"/>
      <c r="N132" s="93"/>
      <c r="O132" s="93"/>
      <c r="P132" s="93"/>
      <c r="Q132" s="93"/>
      <c r="R132" s="93"/>
      <c r="S132" s="93"/>
      <c r="T132" s="93"/>
      <c r="U132" s="93"/>
      <c r="V132" s="93"/>
      <c r="W132" s="93"/>
      <c r="X132" s="93"/>
      <c r="Y132" s="93"/>
      <c r="Z132" s="93"/>
      <c r="AA132" s="93"/>
      <c r="AB132" s="93"/>
      <c r="AC132" s="93"/>
      <c r="AD132" s="93"/>
      <c r="AE132" s="93"/>
      <c r="AF132" s="93"/>
      <c r="AG132" s="93"/>
      <c r="AH132" s="93"/>
      <c r="AI132" s="93"/>
    </row>
  </sheetData>
  <sheetProtection algorithmName="SHA-512" hashValue="O0aBvNdfnwUhWsaxwSLrOvZ+siPZTG93ejbImWSh+9XVVm5K5b7kIURDGNEqkpqPr+vufEEov+CHZVn4mwCsxg==" saltValue="kgRNR+0KnNt/msGbhtljPg==" spinCount="100000" sheet="1" objects="1" scenarios="1"/>
  <hyperlinks>
    <hyperlink ref="F1" location="Guide" display="Guide"/>
    <hyperlink ref="F2" location="Input" display="Input"/>
  </hyperlinks>
  <pageMargins left="0.7" right="0.7" top="0.75" bottom="0.75" header="0.3" footer="0.3"/>
  <pageSetup paperSize="9" scale="63" fitToHeight="0" orientation="portrait" r:id="rId1"/>
  <headerFooter>
    <oddFooter>&amp;LNova Scotia Exploration Economics Model&amp;Rwww.indeva.com</oddFooter>
  </headerFooter>
  <colBreaks count="1" manualBreakCount="1">
    <brk id="11"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6"/>
  </sheetPr>
  <dimension ref="A1:A2"/>
  <sheetViews>
    <sheetView workbookViewId="0"/>
  </sheetViews>
  <sheetFormatPr defaultRowHeight="14.5"/>
  <cols>
    <col min="1" max="1" width="10.453125" customWidth="1"/>
  </cols>
  <sheetData>
    <row r="1" spans="1:1" ht="18.5">
      <c r="A1" s="107" t="s">
        <v>768</v>
      </c>
    </row>
    <row r="2" spans="1:1" ht="18.5">
      <c r="A2" s="107" t="s">
        <v>143</v>
      </c>
    </row>
  </sheetData>
  <hyperlinks>
    <hyperlink ref="A1" location="Guide" display="Guide"/>
    <hyperlink ref="A2" location="Input" display="Input"/>
  </hyperlink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6"/>
  </sheetPr>
  <dimension ref="A1:A2"/>
  <sheetViews>
    <sheetView workbookViewId="0"/>
  </sheetViews>
  <sheetFormatPr defaultRowHeight="14.5"/>
  <cols>
    <col min="1" max="1" width="10.1796875" customWidth="1"/>
  </cols>
  <sheetData>
    <row r="1" spans="1:1" ht="18.5">
      <c r="A1" s="107" t="s">
        <v>768</v>
      </c>
    </row>
    <row r="2" spans="1:1" ht="18.5">
      <c r="A2" s="107" t="s">
        <v>143</v>
      </c>
    </row>
  </sheetData>
  <hyperlinks>
    <hyperlink ref="A1" location="Guide" display="Guide"/>
    <hyperlink ref="A2" location="Input" display="Input"/>
  </hyperlink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6"/>
  </sheetPr>
  <dimension ref="A1:A2"/>
  <sheetViews>
    <sheetView workbookViewId="0"/>
  </sheetViews>
  <sheetFormatPr defaultRowHeight="14.5"/>
  <cols>
    <col min="1" max="1" width="10" customWidth="1"/>
  </cols>
  <sheetData>
    <row r="1" spans="1:1" ht="18.5">
      <c r="A1" s="107" t="s">
        <v>768</v>
      </c>
    </row>
    <row r="2" spans="1:1" ht="18.5">
      <c r="A2" s="107" t="s">
        <v>143</v>
      </c>
    </row>
  </sheetData>
  <hyperlinks>
    <hyperlink ref="A1" location="Guide" display="Guide"/>
    <hyperlink ref="A2" location="Input" display="Input"/>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6"/>
  </sheetPr>
  <dimension ref="A1:A2"/>
  <sheetViews>
    <sheetView workbookViewId="0"/>
  </sheetViews>
  <sheetFormatPr defaultRowHeight="14.5"/>
  <cols>
    <col min="1" max="1" width="9.81640625" customWidth="1"/>
  </cols>
  <sheetData>
    <row r="1" spans="1:1" ht="18.5">
      <c r="A1" s="107" t="s">
        <v>768</v>
      </c>
    </row>
    <row r="2" spans="1:1" ht="18.5">
      <c r="A2" s="107" t="s">
        <v>143</v>
      </c>
    </row>
  </sheetData>
  <hyperlinks>
    <hyperlink ref="A1" location="Guide" display="Guide"/>
    <hyperlink ref="A2" location="Input" display="Input"/>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6"/>
  </sheetPr>
  <dimension ref="A1:A2"/>
  <sheetViews>
    <sheetView workbookViewId="0"/>
  </sheetViews>
  <sheetFormatPr defaultRowHeight="14.5"/>
  <cols>
    <col min="1" max="1" width="9.54296875" customWidth="1"/>
  </cols>
  <sheetData>
    <row r="1" spans="1:1" ht="18.5">
      <c r="A1" s="107" t="s">
        <v>768</v>
      </c>
    </row>
    <row r="2" spans="1:1" ht="18.5">
      <c r="A2" s="107" t="s">
        <v>143</v>
      </c>
    </row>
  </sheetData>
  <hyperlinks>
    <hyperlink ref="A1" location="Guide" display="Guide"/>
    <hyperlink ref="A2" location="Input" display="Input"/>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FF00"/>
    <pageSetUpPr fitToPage="1"/>
  </sheetPr>
  <dimension ref="A1:Z183"/>
  <sheetViews>
    <sheetView showGridLines="0" showRowColHeaders="0" zoomScale="90" zoomScaleNormal="90" workbookViewId="0">
      <pane ySplit="2" topLeftCell="A3" activePane="bottomLeft" state="frozen"/>
      <selection activeCell="D43" sqref="D43"/>
      <selection pane="bottomLeft" activeCell="D17" sqref="D17"/>
    </sheetView>
  </sheetViews>
  <sheetFormatPr defaultRowHeight="14.5"/>
  <cols>
    <col min="1" max="1" width="3.7265625" customWidth="1"/>
    <col min="2" max="2" width="28" customWidth="1"/>
    <col min="3" max="3" width="14.7265625" customWidth="1"/>
    <col min="4" max="4" width="49.81640625" customWidth="1"/>
    <col min="5" max="5" width="16" customWidth="1"/>
  </cols>
  <sheetData>
    <row r="1" spans="1:26" ht="13.5" customHeight="1">
      <c r="A1" s="118"/>
      <c r="B1" s="118"/>
      <c r="C1" s="118"/>
      <c r="D1" s="118"/>
      <c r="E1" s="118"/>
      <c r="F1" s="118"/>
      <c r="G1" s="107" t="s">
        <v>768</v>
      </c>
      <c r="H1" s="118"/>
      <c r="I1" s="118"/>
      <c r="J1" s="118"/>
      <c r="K1" s="118"/>
      <c r="L1" s="118"/>
      <c r="M1" s="118"/>
      <c r="N1" s="118"/>
      <c r="O1" s="118"/>
      <c r="P1" s="118"/>
      <c r="Q1" s="118"/>
      <c r="R1" s="118"/>
      <c r="S1" s="118"/>
      <c r="T1" s="118"/>
      <c r="U1" s="118"/>
      <c r="V1" s="118"/>
      <c r="W1" s="118"/>
      <c r="X1" s="118"/>
      <c r="Y1" s="118"/>
      <c r="Z1" s="118"/>
    </row>
    <row r="2" spans="1:26" ht="13.5" customHeight="1">
      <c r="A2" s="118"/>
      <c r="B2" s="118"/>
      <c r="C2" s="118"/>
      <c r="D2" s="118"/>
      <c r="E2" s="118"/>
      <c r="F2" s="118"/>
      <c r="G2" s="107" t="s">
        <v>143</v>
      </c>
      <c r="H2" s="118"/>
      <c r="I2" s="118"/>
      <c r="J2" s="118"/>
      <c r="K2" s="118"/>
      <c r="L2" s="118"/>
      <c r="M2" s="118"/>
      <c r="N2" s="118"/>
      <c r="O2" s="118"/>
      <c r="P2" s="118"/>
      <c r="Q2" s="118"/>
      <c r="R2" s="118"/>
      <c r="S2" s="118"/>
      <c r="T2" s="118"/>
      <c r="U2" s="118"/>
      <c r="V2" s="118"/>
      <c r="W2" s="118"/>
      <c r="X2" s="118"/>
      <c r="Y2" s="118"/>
      <c r="Z2" s="118"/>
    </row>
    <row r="3" spans="1:26" ht="18" customHeight="1">
      <c r="A3" s="431"/>
      <c r="B3" s="432" t="s">
        <v>899</v>
      </c>
      <c r="C3" s="433"/>
      <c r="D3" s="433"/>
      <c r="E3" s="431"/>
      <c r="F3" s="431"/>
      <c r="G3" s="431"/>
      <c r="H3" s="431"/>
      <c r="I3" s="431"/>
      <c r="J3" s="431"/>
      <c r="K3" s="431"/>
      <c r="L3" s="431"/>
      <c r="M3" s="431"/>
      <c r="N3" s="431"/>
      <c r="O3" s="431"/>
      <c r="P3" s="431"/>
      <c r="Q3" s="431"/>
      <c r="R3" s="431"/>
      <c r="S3" s="431"/>
      <c r="T3" s="431"/>
      <c r="U3" s="431"/>
      <c r="V3" s="431"/>
      <c r="W3" s="431"/>
      <c r="X3" s="431"/>
      <c r="Y3" s="431"/>
      <c r="Z3" s="431"/>
    </row>
    <row r="4" spans="1:26">
      <c r="A4" s="431"/>
      <c r="B4" s="431"/>
      <c r="C4" s="431"/>
      <c r="D4" s="431"/>
      <c r="E4" s="431"/>
      <c r="F4" s="431"/>
      <c r="G4" s="431"/>
      <c r="H4" s="431"/>
      <c r="I4" s="431"/>
      <c r="J4" s="431"/>
      <c r="K4" s="431"/>
      <c r="L4" s="431"/>
      <c r="M4" s="431"/>
      <c r="N4" s="431"/>
      <c r="O4" s="431"/>
      <c r="P4" s="431"/>
      <c r="Q4" s="431"/>
      <c r="R4" s="431"/>
      <c r="S4" s="431"/>
      <c r="T4" s="431"/>
      <c r="U4" s="431"/>
      <c r="V4" s="431"/>
      <c r="W4" s="431"/>
      <c r="X4" s="431"/>
      <c r="Y4" s="431"/>
      <c r="Z4" s="431"/>
    </row>
    <row r="5" spans="1:26" ht="15" customHeight="1">
      <c r="A5" s="431"/>
      <c r="B5" s="532" t="s">
        <v>1051</v>
      </c>
      <c r="C5" s="532"/>
      <c r="D5" s="532"/>
      <c r="E5" s="532"/>
      <c r="F5" s="532"/>
      <c r="G5" s="434"/>
      <c r="H5" s="434"/>
      <c r="I5" s="434"/>
      <c r="J5" s="434"/>
      <c r="K5" s="434"/>
      <c r="L5" s="431"/>
      <c r="M5" s="431"/>
      <c r="N5" s="431"/>
      <c r="O5" s="431"/>
      <c r="P5" s="431"/>
      <c r="Q5" s="431"/>
      <c r="R5" s="431"/>
      <c r="S5" s="431"/>
      <c r="T5" s="431"/>
      <c r="U5" s="431"/>
      <c r="V5" s="431"/>
      <c r="W5" s="431"/>
      <c r="X5" s="431"/>
      <c r="Y5" s="431"/>
      <c r="Z5" s="431"/>
    </row>
    <row r="6" spans="1:26">
      <c r="A6" s="431"/>
      <c r="B6" s="532"/>
      <c r="C6" s="532"/>
      <c r="D6" s="532"/>
      <c r="E6" s="532"/>
      <c r="F6" s="532"/>
      <c r="G6" s="434"/>
      <c r="H6" s="434"/>
      <c r="I6" s="434"/>
      <c r="J6" s="434"/>
      <c r="K6" s="434"/>
      <c r="L6" s="431"/>
      <c r="M6" s="431"/>
      <c r="N6" s="431"/>
      <c r="O6" s="431"/>
      <c r="P6" s="431"/>
      <c r="Q6" s="431"/>
      <c r="R6" s="431"/>
      <c r="S6" s="431"/>
      <c r="T6" s="431"/>
      <c r="U6" s="431"/>
      <c r="V6" s="431"/>
      <c r="W6" s="431"/>
      <c r="X6" s="431"/>
      <c r="Y6" s="431"/>
      <c r="Z6" s="431"/>
    </row>
    <row r="7" spans="1:26">
      <c r="A7" s="431"/>
      <c r="B7" s="532"/>
      <c r="C7" s="532"/>
      <c r="D7" s="532"/>
      <c r="E7" s="532"/>
      <c r="F7" s="532"/>
      <c r="G7" s="434"/>
      <c r="H7" s="434"/>
      <c r="I7" s="434"/>
      <c r="J7" s="434"/>
      <c r="K7" s="434"/>
      <c r="L7" s="431"/>
      <c r="M7" s="431"/>
      <c r="N7" s="431"/>
      <c r="O7" s="431"/>
      <c r="P7" s="431"/>
      <c r="Q7" s="431"/>
      <c r="R7" s="431"/>
      <c r="S7" s="431"/>
      <c r="T7" s="431"/>
      <c r="U7" s="431"/>
      <c r="V7" s="431"/>
      <c r="W7" s="431"/>
      <c r="X7" s="431"/>
      <c r="Y7" s="431"/>
      <c r="Z7" s="431"/>
    </row>
    <row r="8" spans="1:26">
      <c r="A8" s="431"/>
      <c r="B8" s="532"/>
      <c r="C8" s="532"/>
      <c r="D8" s="532"/>
      <c r="E8" s="532"/>
      <c r="F8" s="532"/>
      <c r="G8" s="434"/>
      <c r="H8" s="434"/>
      <c r="I8" s="434"/>
      <c r="J8" s="434"/>
      <c r="K8" s="434"/>
      <c r="L8" s="431"/>
      <c r="M8" s="431"/>
      <c r="N8" s="431"/>
      <c r="O8" s="431"/>
      <c r="P8" s="431"/>
      <c r="Q8" s="431"/>
      <c r="R8" s="431"/>
      <c r="S8" s="431"/>
      <c r="T8" s="431"/>
      <c r="U8" s="431"/>
      <c r="V8" s="431"/>
      <c r="W8" s="431"/>
      <c r="X8" s="431"/>
      <c r="Y8" s="431"/>
      <c r="Z8" s="431"/>
    </row>
    <row r="9" spans="1:26" ht="93.75" customHeight="1">
      <c r="A9" s="431"/>
      <c r="B9" s="532"/>
      <c r="C9" s="532"/>
      <c r="D9" s="532"/>
      <c r="E9" s="532"/>
      <c r="F9" s="532"/>
      <c r="G9" s="434"/>
      <c r="H9" s="434"/>
      <c r="I9" s="434"/>
      <c r="J9" s="434"/>
      <c r="K9" s="434"/>
      <c r="L9" s="431"/>
      <c r="M9" s="431"/>
      <c r="N9" s="431"/>
      <c r="O9" s="431"/>
      <c r="P9" s="431"/>
      <c r="Q9" s="431"/>
      <c r="R9" s="431"/>
      <c r="S9" s="431"/>
      <c r="T9" s="431"/>
      <c r="U9" s="431"/>
      <c r="V9" s="431"/>
      <c r="W9" s="431"/>
      <c r="X9" s="431"/>
      <c r="Y9" s="431"/>
      <c r="Z9" s="431"/>
    </row>
    <row r="10" spans="1:26">
      <c r="A10" s="431"/>
      <c r="B10" s="532" t="s">
        <v>909</v>
      </c>
      <c r="C10" s="532"/>
      <c r="D10" s="532"/>
      <c r="E10" s="532"/>
      <c r="F10" s="532"/>
      <c r="G10" s="431"/>
      <c r="H10" s="431"/>
      <c r="I10" s="431"/>
      <c r="J10" s="431"/>
      <c r="K10" s="431"/>
      <c r="L10" s="431"/>
      <c r="M10" s="431"/>
      <c r="N10" s="431"/>
      <c r="O10" s="431"/>
      <c r="P10" s="431"/>
      <c r="Q10" s="431"/>
      <c r="R10" s="431"/>
      <c r="S10" s="431"/>
      <c r="T10" s="431"/>
      <c r="U10" s="431"/>
      <c r="V10" s="431"/>
      <c r="W10" s="431"/>
      <c r="X10" s="431"/>
      <c r="Y10" s="431"/>
      <c r="Z10" s="431"/>
    </row>
    <row r="11" spans="1:26">
      <c r="A11" s="431"/>
      <c r="B11" s="532"/>
      <c r="C11" s="532"/>
      <c r="D11" s="532"/>
      <c r="E11" s="532"/>
      <c r="F11" s="532"/>
      <c r="G11" s="431"/>
      <c r="H11" s="431"/>
      <c r="I11" s="431"/>
      <c r="J11" s="431"/>
      <c r="K11" s="431"/>
      <c r="L11" s="431"/>
      <c r="M11" s="431"/>
      <c r="N11" s="431"/>
      <c r="O11" s="431"/>
      <c r="P11" s="431"/>
      <c r="Q11" s="431"/>
      <c r="R11" s="431"/>
      <c r="S11" s="431"/>
      <c r="T11" s="431"/>
      <c r="U11" s="431"/>
      <c r="V11" s="431"/>
      <c r="W11" s="431"/>
      <c r="X11" s="431"/>
      <c r="Y11" s="431"/>
      <c r="Z11" s="431"/>
    </row>
    <row r="12" spans="1:26">
      <c r="A12" s="431"/>
      <c r="B12" s="532"/>
      <c r="C12" s="532"/>
      <c r="D12" s="532"/>
      <c r="E12" s="532"/>
      <c r="F12" s="532"/>
      <c r="G12" s="431"/>
      <c r="H12" s="431"/>
      <c r="I12" s="431"/>
      <c r="J12" s="431"/>
      <c r="K12" s="431"/>
      <c r="L12" s="431"/>
      <c r="M12" s="431"/>
      <c r="N12" s="431"/>
      <c r="O12" s="431"/>
      <c r="P12" s="431"/>
      <c r="Q12" s="431"/>
      <c r="R12" s="431"/>
      <c r="S12" s="431"/>
      <c r="T12" s="431"/>
      <c r="U12" s="431"/>
      <c r="V12" s="431"/>
      <c r="W12" s="431"/>
      <c r="X12" s="431"/>
      <c r="Y12" s="431"/>
      <c r="Z12" s="431"/>
    </row>
    <row r="13" spans="1:26">
      <c r="A13" s="431"/>
      <c r="B13" s="532"/>
      <c r="C13" s="532"/>
      <c r="D13" s="532"/>
      <c r="E13" s="532"/>
      <c r="F13" s="532"/>
      <c r="G13" s="431"/>
      <c r="H13" s="431"/>
      <c r="I13" s="431"/>
      <c r="J13" s="431"/>
      <c r="K13" s="431"/>
      <c r="L13" s="431"/>
      <c r="M13" s="431"/>
      <c r="N13" s="431"/>
      <c r="O13" s="431"/>
      <c r="P13" s="431"/>
      <c r="Q13" s="431"/>
      <c r="R13" s="431"/>
      <c r="S13" s="431"/>
      <c r="T13" s="431"/>
      <c r="U13" s="431"/>
      <c r="V13" s="431"/>
      <c r="W13" s="431"/>
      <c r="X13" s="431"/>
      <c r="Y13" s="431"/>
      <c r="Z13" s="431"/>
    </row>
    <row r="14" spans="1:26" ht="34.5" customHeight="1">
      <c r="A14" s="431"/>
      <c r="B14" s="532"/>
      <c r="C14" s="532"/>
      <c r="D14" s="532"/>
      <c r="E14" s="532"/>
      <c r="F14" s="532"/>
      <c r="G14" s="431"/>
      <c r="H14" s="431"/>
      <c r="I14" s="431"/>
      <c r="J14" s="431"/>
      <c r="K14" s="431"/>
      <c r="L14" s="431"/>
      <c r="M14" s="431"/>
      <c r="N14" s="431"/>
      <c r="O14" s="431"/>
      <c r="P14" s="431"/>
      <c r="Q14" s="431"/>
      <c r="R14" s="431"/>
      <c r="S14" s="431"/>
      <c r="T14" s="431"/>
      <c r="U14" s="431"/>
      <c r="V14" s="431"/>
      <c r="W14" s="431"/>
      <c r="X14" s="431"/>
      <c r="Y14" s="431"/>
      <c r="Z14" s="431"/>
    </row>
    <row r="15" spans="1:26" ht="62.25" customHeight="1">
      <c r="A15" s="431"/>
      <c r="B15" s="532" t="s">
        <v>910</v>
      </c>
      <c r="C15" s="532"/>
      <c r="D15" s="532"/>
      <c r="E15" s="532"/>
      <c r="F15" s="532"/>
      <c r="G15" s="431"/>
      <c r="H15" s="431"/>
      <c r="I15" s="431"/>
      <c r="J15" s="431"/>
      <c r="K15" s="431"/>
      <c r="L15" s="431"/>
      <c r="M15" s="431"/>
      <c r="N15" s="431"/>
      <c r="O15" s="431"/>
      <c r="P15" s="431"/>
      <c r="Q15" s="431"/>
      <c r="R15" s="431"/>
      <c r="S15" s="431"/>
      <c r="T15" s="431"/>
      <c r="U15" s="431"/>
      <c r="V15" s="431"/>
      <c r="W15" s="431"/>
      <c r="X15" s="431"/>
      <c r="Y15" s="431"/>
      <c r="Z15" s="431"/>
    </row>
    <row r="16" spans="1:26" ht="15.5">
      <c r="A16" s="431"/>
      <c r="B16" s="435" t="s">
        <v>900</v>
      </c>
      <c r="C16" s="436"/>
      <c r="D16" s="436"/>
      <c r="E16" s="431"/>
      <c r="F16" s="437"/>
      <c r="G16" s="431"/>
      <c r="H16" s="431"/>
      <c r="I16" s="431"/>
      <c r="J16" s="431"/>
      <c r="K16" s="431"/>
      <c r="L16" s="431"/>
      <c r="M16" s="431"/>
      <c r="N16" s="431"/>
      <c r="O16" s="431"/>
      <c r="P16" s="431"/>
      <c r="Q16" s="431"/>
      <c r="R16" s="431"/>
      <c r="S16" s="431"/>
      <c r="T16" s="431"/>
      <c r="U16" s="431"/>
      <c r="V16" s="431"/>
      <c r="W16" s="431"/>
      <c r="X16" s="431"/>
      <c r="Y16" s="431"/>
      <c r="Z16" s="431"/>
    </row>
    <row r="17" spans="1:26">
      <c r="A17" s="431"/>
      <c r="B17" s="431"/>
      <c r="C17" s="431"/>
      <c r="D17" s="431"/>
      <c r="E17" s="431"/>
      <c r="F17" s="431"/>
      <c r="G17" s="431"/>
      <c r="H17" s="431"/>
      <c r="I17" s="431"/>
      <c r="J17" s="431"/>
      <c r="K17" s="431"/>
      <c r="L17" s="431"/>
      <c r="M17" s="431"/>
      <c r="N17" s="431"/>
      <c r="O17" s="431"/>
      <c r="P17" s="431"/>
      <c r="Q17" s="431"/>
      <c r="R17" s="431"/>
      <c r="S17" s="431"/>
      <c r="T17" s="431"/>
      <c r="U17" s="431"/>
      <c r="V17" s="431"/>
      <c r="W17" s="431"/>
      <c r="X17" s="431"/>
      <c r="Y17" s="431"/>
      <c r="Z17" s="431"/>
    </row>
    <row r="18" spans="1:26">
      <c r="A18" s="431"/>
      <c r="B18" s="433" t="s">
        <v>583</v>
      </c>
      <c r="C18" s="532" t="s">
        <v>911</v>
      </c>
      <c r="D18" s="532"/>
      <c r="E18" s="532"/>
      <c r="F18" s="532"/>
      <c r="G18" s="431"/>
      <c r="H18" s="431"/>
      <c r="I18" s="431"/>
      <c r="J18" s="431"/>
      <c r="K18" s="431"/>
      <c r="L18" s="431"/>
      <c r="M18" s="431"/>
      <c r="N18" s="431"/>
      <c r="O18" s="431"/>
      <c r="P18" s="431"/>
      <c r="Q18" s="431"/>
      <c r="R18" s="431"/>
      <c r="S18" s="431"/>
      <c r="T18" s="431"/>
      <c r="U18" s="431"/>
      <c r="V18" s="431"/>
      <c r="W18" s="431"/>
      <c r="X18" s="431"/>
      <c r="Y18" s="431"/>
      <c r="Z18" s="431"/>
    </row>
    <row r="19" spans="1:26" ht="39" customHeight="1">
      <c r="A19" s="431"/>
      <c r="B19" s="431"/>
      <c r="C19" s="532"/>
      <c r="D19" s="532"/>
      <c r="E19" s="532"/>
      <c r="F19" s="532"/>
      <c r="G19" s="431"/>
      <c r="H19" s="431"/>
      <c r="I19" s="431"/>
      <c r="J19" s="431"/>
      <c r="K19" s="431"/>
      <c r="L19" s="431"/>
      <c r="M19" s="431"/>
      <c r="N19" s="431"/>
      <c r="O19" s="431"/>
      <c r="P19" s="431"/>
      <c r="Q19" s="431"/>
      <c r="R19" s="431"/>
      <c r="S19" s="431"/>
      <c r="T19" s="431"/>
      <c r="U19" s="431"/>
      <c r="V19" s="431"/>
      <c r="W19" s="431"/>
      <c r="X19" s="431"/>
      <c r="Y19" s="431"/>
      <c r="Z19" s="431"/>
    </row>
    <row r="20" spans="1:26">
      <c r="A20" s="431"/>
      <c r="B20" s="433" t="s">
        <v>893</v>
      </c>
      <c r="C20" s="532" t="s">
        <v>912</v>
      </c>
      <c r="D20" s="532"/>
      <c r="E20" s="532"/>
      <c r="F20" s="532"/>
      <c r="G20" s="431"/>
      <c r="H20" s="431"/>
      <c r="I20" s="431"/>
      <c r="J20" s="431"/>
      <c r="K20" s="431"/>
      <c r="L20" s="431"/>
      <c r="M20" s="431"/>
      <c r="N20" s="431"/>
      <c r="O20" s="431"/>
      <c r="P20" s="431"/>
      <c r="Q20" s="431"/>
      <c r="R20" s="431"/>
      <c r="S20" s="431"/>
      <c r="T20" s="431"/>
      <c r="U20" s="431"/>
      <c r="V20" s="431"/>
      <c r="W20" s="431"/>
      <c r="X20" s="431"/>
      <c r="Y20" s="431"/>
      <c r="Z20" s="431"/>
    </row>
    <row r="21" spans="1:26" ht="24.75" customHeight="1">
      <c r="A21" s="431"/>
      <c r="B21" s="431"/>
      <c r="C21" s="532"/>
      <c r="D21" s="532"/>
      <c r="E21" s="532"/>
      <c r="F21" s="532"/>
      <c r="G21" s="431"/>
      <c r="H21" s="431"/>
      <c r="I21" s="431"/>
      <c r="J21" s="431"/>
      <c r="K21" s="431"/>
      <c r="L21" s="431"/>
      <c r="M21" s="431"/>
      <c r="N21" s="431"/>
      <c r="O21" s="431"/>
      <c r="P21" s="431"/>
      <c r="Q21" s="431"/>
      <c r="R21" s="431"/>
      <c r="S21" s="431"/>
      <c r="T21" s="431"/>
      <c r="U21" s="431"/>
      <c r="V21" s="431"/>
      <c r="W21" s="431"/>
      <c r="X21" s="431"/>
      <c r="Y21" s="431"/>
      <c r="Z21" s="431"/>
    </row>
    <row r="22" spans="1:26">
      <c r="A22" s="431"/>
      <c r="B22" s="433" t="s">
        <v>853</v>
      </c>
      <c r="C22" s="532" t="s">
        <v>894</v>
      </c>
      <c r="D22" s="532"/>
      <c r="E22" s="532"/>
      <c r="F22" s="532"/>
      <c r="G22" s="431"/>
      <c r="H22" s="431"/>
      <c r="I22" s="431"/>
      <c r="J22" s="431"/>
      <c r="K22" s="431"/>
      <c r="L22" s="431"/>
      <c r="M22" s="431"/>
      <c r="N22" s="431"/>
      <c r="O22" s="431"/>
      <c r="P22" s="431"/>
      <c r="Q22" s="431"/>
      <c r="R22" s="431"/>
      <c r="S22" s="431"/>
      <c r="T22" s="431"/>
      <c r="U22" s="431"/>
      <c r="V22" s="431"/>
      <c r="W22" s="431"/>
      <c r="X22" s="431"/>
      <c r="Y22" s="431"/>
      <c r="Z22" s="431"/>
    </row>
    <row r="23" spans="1:26">
      <c r="A23" s="431"/>
      <c r="B23" s="431"/>
      <c r="C23" s="532"/>
      <c r="D23" s="532"/>
      <c r="E23" s="532"/>
      <c r="F23" s="532"/>
      <c r="G23" s="431"/>
      <c r="H23" s="431"/>
      <c r="I23" s="431"/>
      <c r="J23" s="431"/>
      <c r="K23" s="431"/>
      <c r="L23" s="431"/>
      <c r="M23" s="431"/>
      <c r="N23" s="431"/>
      <c r="O23" s="431"/>
      <c r="P23" s="431"/>
      <c r="Q23" s="431"/>
      <c r="R23" s="431"/>
      <c r="S23" s="431"/>
      <c r="T23" s="431"/>
      <c r="U23" s="431"/>
      <c r="V23" s="431"/>
      <c r="W23" s="431"/>
      <c r="X23" s="431"/>
      <c r="Y23" s="431"/>
      <c r="Z23" s="431"/>
    </row>
    <row r="24" spans="1:26" ht="22.5" customHeight="1">
      <c r="A24" s="431"/>
      <c r="B24" s="431"/>
      <c r="C24" s="532"/>
      <c r="D24" s="532"/>
      <c r="E24" s="532"/>
      <c r="F24" s="532"/>
      <c r="G24" s="431"/>
      <c r="H24" s="431"/>
      <c r="I24" s="431"/>
      <c r="J24" s="431"/>
      <c r="K24" s="431"/>
      <c r="L24" s="431"/>
      <c r="M24" s="431"/>
      <c r="N24" s="431"/>
      <c r="O24" s="431"/>
      <c r="P24" s="431"/>
      <c r="Q24" s="431"/>
      <c r="R24" s="431"/>
      <c r="S24" s="431"/>
      <c r="T24" s="431"/>
      <c r="U24" s="431"/>
      <c r="V24" s="431"/>
      <c r="W24" s="431"/>
      <c r="X24" s="431"/>
      <c r="Y24" s="431"/>
      <c r="Z24" s="431"/>
    </row>
    <row r="25" spans="1:26" ht="16.5" customHeight="1">
      <c r="A25" s="431"/>
      <c r="B25" s="438" t="s">
        <v>895</v>
      </c>
      <c r="C25" s="532" t="s">
        <v>896</v>
      </c>
      <c r="D25" s="532"/>
      <c r="E25" s="532"/>
      <c r="F25" s="532"/>
      <c r="G25" s="431"/>
      <c r="H25" s="431"/>
      <c r="I25" s="431"/>
      <c r="J25" s="431"/>
      <c r="K25" s="431"/>
      <c r="L25" s="431"/>
      <c r="M25" s="431"/>
      <c r="N25" s="431"/>
      <c r="O25" s="431"/>
      <c r="P25" s="431"/>
      <c r="Q25" s="431"/>
      <c r="R25" s="431"/>
      <c r="S25" s="431"/>
      <c r="T25" s="431"/>
      <c r="U25" s="431"/>
      <c r="V25" s="431"/>
      <c r="W25" s="431"/>
      <c r="X25" s="431"/>
      <c r="Y25" s="431"/>
      <c r="Z25" s="431"/>
    </row>
    <row r="26" spans="1:26" ht="46.5" customHeight="1">
      <c r="A26" s="431"/>
      <c r="B26" s="431"/>
      <c r="C26" s="532"/>
      <c r="D26" s="532"/>
      <c r="E26" s="532"/>
      <c r="F26" s="532"/>
      <c r="G26" s="431"/>
      <c r="H26" s="431"/>
      <c r="I26" s="431"/>
      <c r="J26" s="431"/>
      <c r="K26" s="431"/>
      <c r="L26" s="431"/>
      <c r="M26" s="431"/>
      <c r="N26" s="431"/>
      <c r="O26" s="431"/>
      <c r="P26" s="431"/>
      <c r="Q26" s="431"/>
      <c r="R26" s="431"/>
      <c r="S26" s="431"/>
      <c r="T26" s="431"/>
      <c r="U26" s="431"/>
      <c r="V26" s="431"/>
      <c r="W26" s="431"/>
      <c r="X26" s="431"/>
      <c r="Y26" s="431"/>
      <c r="Z26" s="431"/>
    </row>
    <row r="27" spans="1:26" ht="12" customHeight="1">
      <c r="A27" s="431"/>
      <c r="B27" s="431"/>
      <c r="C27" s="439"/>
      <c r="D27" s="439"/>
      <c r="E27" s="439"/>
      <c r="F27" s="439"/>
      <c r="G27" s="431"/>
      <c r="H27" s="431"/>
      <c r="I27" s="431"/>
      <c r="J27" s="431"/>
      <c r="K27" s="431"/>
      <c r="L27" s="431"/>
      <c r="M27" s="431"/>
      <c r="N27" s="431"/>
      <c r="O27" s="431"/>
      <c r="P27" s="431"/>
      <c r="Q27" s="431"/>
      <c r="R27" s="431"/>
      <c r="S27" s="431"/>
      <c r="T27" s="431"/>
      <c r="U27" s="431"/>
      <c r="V27" s="431"/>
      <c r="W27" s="431"/>
      <c r="X27" s="431"/>
      <c r="Y27" s="431"/>
      <c r="Z27" s="431"/>
    </row>
    <row r="28" spans="1:26">
      <c r="A28" s="431"/>
      <c r="B28" s="432" t="s">
        <v>901</v>
      </c>
      <c r="C28" s="433"/>
      <c r="D28" s="433"/>
      <c r="E28" s="431"/>
      <c r="F28" s="431"/>
      <c r="G28" s="431"/>
      <c r="H28" s="431"/>
      <c r="I28" s="431"/>
      <c r="J28" s="431"/>
      <c r="K28" s="431"/>
      <c r="L28" s="431"/>
      <c r="M28" s="431"/>
      <c r="N28" s="431"/>
      <c r="O28" s="431"/>
      <c r="P28" s="431"/>
      <c r="Q28" s="431"/>
      <c r="R28" s="431"/>
      <c r="S28" s="431"/>
      <c r="T28" s="431"/>
      <c r="U28" s="431"/>
      <c r="V28" s="431"/>
      <c r="W28" s="431"/>
      <c r="X28" s="431"/>
      <c r="Y28" s="431"/>
      <c r="Z28" s="431"/>
    </row>
    <row r="29" spans="1:26">
      <c r="A29" s="431"/>
      <c r="B29" s="431"/>
      <c r="C29" s="431"/>
      <c r="D29" s="431"/>
      <c r="E29" s="431"/>
      <c r="F29" s="431"/>
      <c r="G29" s="431"/>
      <c r="H29" s="431"/>
      <c r="I29" s="431"/>
      <c r="J29" s="431"/>
      <c r="K29" s="431"/>
      <c r="L29" s="431"/>
      <c r="M29" s="431"/>
      <c r="N29" s="431"/>
      <c r="O29" s="431"/>
      <c r="P29" s="431"/>
      <c r="Q29" s="431"/>
      <c r="R29" s="431"/>
      <c r="S29" s="431"/>
      <c r="T29" s="431"/>
      <c r="U29" s="431"/>
      <c r="V29" s="431"/>
      <c r="W29" s="431"/>
      <c r="X29" s="431"/>
      <c r="Y29" s="431"/>
      <c r="Z29" s="431"/>
    </row>
    <row r="30" spans="1:26">
      <c r="A30" s="431"/>
      <c r="B30" s="433" t="s">
        <v>851</v>
      </c>
      <c r="C30" s="532" t="s">
        <v>1050</v>
      </c>
      <c r="D30" s="532"/>
      <c r="E30" s="532"/>
      <c r="F30" s="532"/>
      <c r="G30" s="431"/>
      <c r="H30" s="431"/>
      <c r="I30" s="431"/>
      <c r="J30" s="431"/>
      <c r="K30" s="431"/>
      <c r="L30" s="431"/>
      <c r="M30" s="431"/>
      <c r="N30" s="431"/>
      <c r="O30" s="431"/>
      <c r="P30" s="431"/>
      <c r="Q30" s="431"/>
      <c r="R30" s="431"/>
      <c r="S30" s="431"/>
      <c r="T30" s="431"/>
      <c r="U30" s="431"/>
      <c r="V30" s="431"/>
      <c r="W30" s="431"/>
      <c r="X30" s="431"/>
      <c r="Y30" s="431"/>
      <c r="Z30" s="431"/>
    </row>
    <row r="31" spans="1:26">
      <c r="A31" s="431"/>
      <c r="B31" s="431"/>
      <c r="C31" s="532"/>
      <c r="D31" s="532"/>
      <c r="E31" s="532"/>
      <c r="F31" s="532"/>
      <c r="G31" s="431"/>
      <c r="H31" s="431"/>
      <c r="I31" s="431"/>
      <c r="J31" s="431"/>
      <c r="K31" s="431"/>
      <c r="L31" s="431"/>
      <c r="M31" s="431"/>
      <c r="N31" s="431"/>
      <c r="O31" s="431"/>
      <c r="P31" s="431"/>
      <c r="Q31" s="431"/>
      <c r="R31" s="431"/>
      <c r="S31" s="431"/>
      <c r="T31" s="431"/>
      <c r="U31" s="431"/>
      <c r="V31" s="431"/>
      <c r="W31" s="431"/>
      <c r="X31" s="431"/>
      <c r="Y31" s="431"/>
      <c r="Z31" s="431"/>
    </row>
    <row r="32" spans="1:26">
      <c r="A32" s="431"/>
      <c r="B32" s="431"/>
      <c r="C32" s="532"/>
      <c r="D32" s="532"/>
      <c r="E32" s="532"/>
      <c r="F32" s="532"/>
      <c r="G32" s="431"/>
      <c r="H32" s="431"/>
      <c r="I32" s="431"/>
      <c r="J32" s="431"/>
      <c r="K32" s="431"/>
      <c r="L32" s="431"/>
      <c r="M32" s="431"/>
      <c r="N32" s="431"/>
      <c r="O32" s="431"/>
      <c r="P32" s="431"/>
      <c r="Q32" s="431"/>
      <c r="R32" s="431"/>
      <c r="S32" s="431"/>
      <c r="T32" s="431"/>
      <c r="U32" s="431"/>
      <c r="V32" s="431"/>
      <c r="W32" s="431"/>
      <c r="X32" s="431"/>
      <c r="Y32" s="431"/>
      <c r="Z32" s="431"/>
    </row>
    <row r="33" spans="1:26">
      <c r="A33" s="431"/>
      <c r="B33" s="431"/>
      <c r="C33" s="532"/>
      <c r="D33" s="532"/>
      <c r="E33" s="532"/>
      <c r="F33" s="532"/>
      <c r="G33" s="431"/>
      <c r="H33" s="431"/>
      <c r="I33" s="431"/>
      <c r="J33" s="431"/>
      <c r="K33" s="431"/>
      <c r="L33" s="431"/>
      <c r="M33" s="431"/>
      <c r="N33" s="431"/>
      <c r="O33" s="431"/>
      <c r="P33" s="431"/>
      <c r="Q33" s="431"/>
      <c r="R33" s="431"/>
      <c r="S33" s="431"/>
      <c r="T33" s="431"/>
      <c r="U33" s="431"/>
      <c r="V33" s="431"/>
      <c r="W33" s="431"/>
      <c r="X33" s="431"/>
      <c r="Y33" s="431"/>
      <c r="Z33" s="431"/>
    </row>
    <row r="34" spans="1:26" ht="91.5" customHeight="1">
      <c r="A34" s="431"/>
      <c r="B34" s="431"/>
      <c r="C34" s="532"/>
      <c r="D34" s="532"/>
      <c r="E34" s="532"/>
      <c r="F34" s="532"/>
      <c r="G34" s="431"/>
      <c r="H34" s="431"/>
      <c r="I34" s="431"/>
      <c r="J34" s="431"/>
      <c r="K34" s="431"/>
      <c r="L34" s="431"/>
      <c r="M34" s="431"/>
      <c r="N34" s="431"/>
      <c r="O34" s="431"/>
      <c r="P34" s="431"/>
      <c r="Q34" s="431"/>
      <c r="R34" s="431"/>
      <c r="S34" s="431"/>
      <c r="T34" s="431"/>
      <c r="U34" s="431"/>
      <c r="V34" s="431"/>
      <c r="W34" s="431"/>
      <c r="X34" s="431"/>
      <c r="Y34" s="431"/>
      <c r="Z34" s="431"/>
    </row>
    <row r="35" spans="1:26" ht="13.5" customHeight="1">
      <c r="A35" s="431"/>
      <c r="B35" s="433" t="s">
        <v>853</v>
      </c>
      <c r="C35" s="532" t="s">
        <v>913</v>
      </c>
      <c r="D35" s="532"/>
      <c r="E35" s="532"/>
      <c r="F35" s="532"/>
      <c r="G35" s="431"/>
      <c r="H35" s="431"/>
      <c r="I35" s="431"/>
      <c r="J35" s="431"/>
      <c r="K35" s="431"/>
      <c r="L35" s="431"/>
      <c r="M35" s="431"/>
      <c r="N35" s="431"/>
      <c r="O35" s="431"/>
      <c r="P35" s="431"/>
      <c r="Q35" s="431"/>
      <c r="R35" s="431"/>
      <c r="S35" s="431"/>
      <c r="T35" s="431"/>
      <c r="U35" s="431"/>
      <c r="V35" s="431"/>
      <c r="W35" s="431"/>
      <c r="X35" s="431"/>
      <c r="Y35" s="431"/>
      <c r="Z35" s="431"/>
    </row>
    <row r="36" spans="1:26" ht="79.5" customHeight="1">
      <c r="A36" s="431"/>
      <c r="B36" s="431"/>
      <c r="C36" s="532"/>
      <c r="D36" s="532"/>
      <c r="E36" s="532"/>
      <c r="F36" s="532"/>
      <c r="G36" s="431"/>
      <c r="H36" s="431"/>
      <c r="I36" s="431"/>
      <c r="J36" s="431"/>
      <c r="K36" s="431"/>
      <c r="L36" s="431"/>
      <c r="M36" s="431"/>
      <c r="N36" s="431"/>
      <c r="O36" s="431"/>
      <c r="P36" s="431"/>
      <c r="Q36" s="431"/>
      <c r="R36" s="431"/>
      <c r="S36" s="431"/>
      <c r="T36" s="431"/>
      <c r="U36" s="431"/>
      <c r="V36" s="431"/>
      <c r="W36" s="431"/>
      <c r="X36" s="431"/>
      <c r="Y36" s="431"/>
      <c r="Z36" s="431"/>
    </row>
    <row r="37" spans="1:26" ht="13.5" customHeight="1">
      <c r="A37" s="431"/>
      <c r="B37" s="431"/>
      <c r="C37" s="532"/>
      <c r="D37" s="532"/>
      <c r="E37" s="532"/>
      <c r="F37" s="532"/>
      <c r="G37" s="431"/>
      <c r="H37" s="431"/>
      <c r="I37" s="431"/>
      <c r="J37" s="431"/>
      <c r="K37" s="431"/>
      <c r="L37" s="431"/>
      <c r="M37" s="431"/>
      <c r="N37" s="431"/>
      <c r="O37" s="431"/>
      <c r="P37" s="431"/>
      <c r="Q37" s="431"/>
      <c r="R37" s="431"/>
      <c r="S37" s="431"/>
      <c r="T37" s="431"/>
      <c r="U37" s="431"/>
      <c r="V37" s="431"/>
      <c r="W37" s="431"/>
      <c r="X37" s="431"/>
      <c r="Y37" s="431"/>
      <c r="Z37" s="431"/>
    </row>
    <row r="38" spans="1:26" ht="13.5" customHeight="1">
      <c r="A38" s="431"/>
      <c r="B38" s="431"/>
      <c r="C38" s="439"/>
      <c r="D38" s="439"/>
      <c r="E38" s="439"/>
      <c r="F38" s="439"/>
      <c r="G38" s="431"/>
      <c r="H38" s="431"/>
      <c r="I38" s="431"/>
      <c r="J38" s="431"/>
      <c r="K38" s="431"/>
      <c r="L38" s="431"/>
      <c r="M38" s="431"/>
      <c r="N38" s="431"/>
      <c r="O38" s="431"/>
      <c r="P38" s="431"/>
      <c r="Q38" s="431"/>
      <c r="R38" s="431"/>
      <c r="S38" s="431"/>
      <c r="T38" s="431"/>
      <c r="U38" s="431"/>
      <c r="V38" s="431"/>
      <c r="W38" s="431"/>
      <c r="X38" s="431"/>
      <c r="Y38" s="431"/>
      <c r="Z38" s="431"/>
    </row>
    <row r="39" spans="1:26" ht="13.5" customHeight="1">
      <c r="A39" s="431"/>
      <c r="B39" s="432" t="s">
        <v>897</v>
      </c>
      <c r="C39" s="440"/>
      <c r="D39" s="440"/>
      <c r="E39" s="439"/>
      <c r="F39" s="439"/>
      <c r="G39" s="431"/>
      <c r="H39" s="431"/>
      <c r="I39" s="431"/>
      <c r="J39" s="431"/>
      <c r="K39" s="431"/>
      <c r="L39" s="431"/>
      <c r="M39" s="431"/>
      <c r="N39" s="431"/>
      <c r="O39" s="431"/>
      <c r="P39" s="431"/>
      <c r="Q39" s="431"/>
      <c r="R39" s="431"/>
      <c r="S39" s="431"/>
      <c r="T39" s="431"/>
      <c r="U39" s="431"/>
      <c r="V39" s="431"/>
      <c r="W39" s="431"/>
      <c r="X39" s="431"/>
      <c r="Y39" s="431"/>
      <c r="Z39" s="431"/>
    </row>
    <row r="40" spans="1:26" ht="13.5" customHeight="1">
      <c r="A40" s="431"/>
      <c r="B40" s="431"/>
      <c r="C40" s="431"/>
      <c r="D40" s="431"/>
      <c r="E40" s="431"/>
      <c r="F40" s="431"/>
      <c r="G40" s="431"/>
      <c r="H40" s="431"/>
      <c r="I40" s="431"/>
      <c r="J40" s="431"/>
      <c r="K40" s="431"/>
      <c r="L40" s="431"/>
      <c r="M40" s="431"/>
      <c r="N40" s="431"/>
      <c r="O40" s="431"/>
      <c r="P40" s="431"/>
      <c r="Q40" s="431"/>
      <c r="R40" s="431"/>
      <c r="S40" s="431"/>
      <c r="T40" s="431"/>
      <c r="U40" s="431"/>
      <c r="V40" s="431"/>
      <c r="W40" s="431"/>
      <c r="X40" s="431"/>
      <c r="Y40" s="431"/>
      <c r="Z40" s="431"/>
    </row>
    <row r="41" spans="1:26">
      <c r="A41" s="431"/>
      <c r="B41" s="433" t="s">
        <v>850</v>
      </c>
      <c r="C41" s="532" t="s">
        <v>914</v>
      </c>
      <c r="D41" s="532"/>
      <c r="E41" s="532"/>
      <c r="F41" s="532"/>
      <c r="G41" s="431"/>
      <c r="H41" s="431"/>
      <c r="I41" s="431"/>
      <c r="J41" s="431"/>
      <c r="K41" s="431"/>
      <c r="L41" s="431"/>
      <c r="M41" s="431"/>
      <c r="N41" s="431"/>
      <c r="O41" s="431"/>
      <c r="P41" s="431"/>
      <c r="Q41" s="431"/>
      <c r="R41" s="431"/>
      <c r="S41" s="431"/>
      <c r="T41" s="431"/>
      <c r="U41" s="431"/>
      <c r="V41" s="431"/>
      <c r="W41" s="431"/>
      <c r="X41" s="431"/>
      <c r="Y41" s="431"/>
      <c r="Z41" s="431"/>
    </row>
    <row r="42" spans="1:26">
      <c r="A42" s="431"/>
      <c r="B42" s="431"/>
      <c r="C42" s="532"/>
      <c r="D42" s="532"/>
      <c r="E42" s="532"/>
      <c r="F42" s="532"/>
      <c r="G42" s="431"/>
      <c r="H42" s="431"/>
      <c r="I42" s="431"/>
      <c r="J42" s="431"/>
      <c r="K42" s="431"/>
      <c r="L42" s="431"/>
      <c r="M42" s="431"/>
      <c r="N42" s="431"/>
      <c r="O42" s="431"/>
      <c r="P42" s="431"/>
      <c r="Q42" s="431"/>
      <c r="R42" s="431"/>
      <c r="S42" s="431"/>
      <c r="T42" s="431"/>
      <c r="U42" s="431"/>
      <c r="V42" s="431"/>
      <c r="W42" s="431"/>
      <c r="X42" s="431"/>
      <c r="Y42" s="431"/>
      <c r="Z42" s="431"/>
    </row>
    <row r="43" spans="1:26">
      <c r="A43" s="431"/>
      <c r="B43" s="431"/>
      <c r="C43" s="532"/>
      <c r="D43" s="532"/>
      <c r="E43" s="532"/>
      <c r="F43" s="532"/>
      <c r="G43" s="431"/>
      <c r="H43" s="431"/>
      <c r="I43" s="431"/>
      <c r="J43" s="431"/>
      <c r="K43" s="431"/>
      <c r="L43" s="431"/>
      <c r="M43" s="431"/>
      <c r="N43" s="431"/>
      <c r="O43" s="431"/>
      <c r="P43" s="431"/>
      <c r="Q43" s="431"/>
      <c r="R43" s="431"/>
      <c r="S43" s="431"/>
      <c r="T43" s="431"/>
      <c r="U43" s="431"/>
      <c r="V43" s="431"/>
      <c r="W43" s="431"/>
      <c r="X43" s="431"/>
      <c r="Y43" s="431"/>
      <c r="Z43" s="431"/>
    </row>
    <row r="44" spans="1:26">
      <c r="A44" s="431"/>
      <c r="B44" s="431"/>
      <c r="C44" s="532"/>
      <c r="D44" s="532"/>
      <c r="E44" s="532"/>
      <c r="F44" s="532"/>
      <c r="G44" s="431"/>
      <c r="H44" s="431"/>
      <c r="I44" s="431"/>
      <c r="J44" s="431"/>
      <c r="K44" s="431"/>
      <c r="L44" s="431"/>
      <c r="M44" s="431"/>
      <c r="N44" s="431"/>
      <c r="O44" s="431"/>
      <c r="P44" s="431"/>
      <c r="Q44" s="431"/>
      <c r="R44" s="431"/>
      <c r="S44" s="431"/>
      <c r="T44" s="431"/>
      <c r="U44" s="431"/>
      <c r="V44" s="431"/>
      <c r="W44" s="431"/>
      <c r="X44" s="431"/>
      <c r="Y44" s="431"/>
      <c r="Z44" s="431"/>
    </row>
    <row r="45" spans="1:26" ht="7.5" customHeight="1">
      <c r="A45" s="431"/>
      <c r="B45" s="431"/>
      <c r="C45" s="532"/>
      <c r="D45" s="532"/>
      <c r="E45" s="532"/>
      <c r="F45" s="532"/>
      <c r="G45" s="431"/>
      <c r="H45" s="431"/>
      <c r="I45" s="431"/>
      <c r="J45" s="431"/>
      <c r="K45" s="431"/>
      <c r="L45" s="431"/>
      <c r="M45" s="431"/>
      <c r="N45" s="431"/>
      <c r="O45" s="431"/>
      <c r="P45" s="431"/>
      <c r="Q45" s="431"/>
      <c r="R45" s="431"/>
      <c r="S45" s="431"/>
      <c r="T45" s="431"/>
      <c r="U45" s="431"/>
      <c r="V45" s="431"/>
      <c r="W45" s="431"/>
      <c r="X45" s="431"/>
      <c r="Y45" s="431"/>
      <c r="Z45" s="431"/>
    </row>
    <row r="46" spans="1:26">
      <c r="A46" s="431"/>
      <c r="B46" s="433" t="s">
        <v>898</v>
      </c>
      <c r="C46" s="532" t="s">
        <v>902</v>
      </c>
      <c r="D46" s="532"/>
      <c r="E46" s="532"/>
      <c r="F46" s="532"/>
      <c r="G46" s="431"/>
      <c r="H46" s="431"/>
      <c r="I46" s="431"/>
      <c r="J46" s="431"/>
      <c r="K46" s="431"/>
      <c r="L46" s="431"/>
      <c r="M46" s="431"/>
      <c r="N46" s="431"/>
      <c r="O46" s="431"/>
      <c r="P46" s="431"/>
      <c r="Q46" s="431"/>
      <c r="R46" s="431"/>
      <c r="S46" s="431"/>
      <c r="T46" s="431"/>
      <c r="U46" s="431"/>
      <c r="V46" s="431"/>
      <c r="W46" s="431"/>
      <c r="X46" s="431"/>
      <c r="Y46" s="431"/>
      <c r="Z46" s="431"/>
    </row>
    <row r="47" spans="1:26">
      <c r="A47" s="431"/>
      <c r="B47" s="431"/>
      <c r="C47" s="532"/>
      <c r="D47" s="532"/>
      <c r="E47" s="532"/>
      <c r="F47" s="532"/>
      <c r="G47" s="431"/>
      <c r="H47" s="431"/>
      <c r="I47" s="431"/>
      <c r="J47" s="431"/>
      <c r="K47" s="431"/>
      <c r="L47" s="431"/>
      <c r="M47" s="431"/>
      <c r="N47" s="431"/>
      <c r="O47" s="431"/>
      <c r="P47" s="431"/>
      <c r="Q47" s="431"/>
      <c r="R47" s="431"/>
      <c r="S47" s="431"/>
      <c r="T47" s="431"/>
      <c r="U47" s="431"/>
      <c r="V47" s="431"/>
      <c r="W47" s="431"/>
      <c r="X47" s="431"/>
      <c r="Y47" s="431"/>
      <c r="Z47" s="431"/>
    </row>
    <row r="48" spans="1:26">
      <c r="A48" s="431"/>
      <c r="B48" s="431"/>
      <c r="C48" s="532"/>
      <c r="D48" s="532"/>
      <c r="E48" s="532"/>
      <c r="F48" s="532"/>
      <c r="G48" s="431"/>
      <c r="H48" s="431"/>
      <c r="I48" s="431"/>
      <c r="J48" s="431"/>
      <c r="K48" s="431"/>
      <c r="L48" s="431"/>
      <c r="M48" s="431"/>
      <c r="N48" s="431"/>
      <c r="O48" s="431"/>
      <c r="P48" s="431"/>
      <c r="Q48" s="431"/>
      <c r="R48" s="431"/>
      <c r="S48" s="431"/>
      <c r="T48" s="431"/>
      <c r="U48" s="431"/>
      <c r="V48" s="431"/>
      <c r="W48" s="431"/>
      <c r="X48" s="431"/>
      <c r="Y48" s="431"/>
      <c r="Z48" s="431"/>
    </row>
    <row r="49" spans="1:26">
      <c r="A49" s="431"/>
      <c r="B49" s="431"/>
      <c r="C49" s="431"/>
      <c r="D49" s="431"/>
      <c r="E49" s="431"/>
      <c r="F49" s="431"/>
      <c r="G49" s="431"/>
      <c r="H49" s="431"/>
      <c r="I49" s="431"/>
      <c r="J49" s="431"/>
      <c r="K49" s="431"/>
      <c r="L49" s="431"/>
      <c r="M49" s="431"/>
      <c r="N49" s="431"/>
      <c r="O49" s="431"/>
      <c r="P49" s="431"/>
      <c r="Q49" s="431"/>
      <c r="R49" s="431"/>
      <c r="S49" s="431"/>
      <c r="T49" s="431"/>
      <c r="U49" s="431"/>
      <c r="V49" s="431"/>
      <c r="W49" s="431"/>
      <c r="X49" s="431"/>
      <c r="Y49" s="431"/>
      <c r="Z49" s="431"/>
    </row>
    <row r="50" spans="1:26">
      <c r="A50" s="431"/>
      <c r="B50" s="431"/>
      <c r="C50" s="431"/>
      <c r="D50" s="431"/>
      <c r="E50" s="431"/>
      <c r="F50" s="431"/>
      <c r="G50" s="431"/>
      <c r="H50" s="431"/>
      <c r="I50" s="431"/>
      <c r="J50" s="431"/>
      <c r="K50" s="431"/>
      <c r="L50" s="431"/>
      <c r="M50" s="431"/>
      <c r="N50" s="431"/>
      <c r="O50" s="431"/>
      <c r="P50" s="431"/>
      <c r="Q50" s="431"/>
      <c r="R50" s="431"/>
      <c r="S50" s="431"/>
      <c r="T50" s="431"/>
      <c r="U50" s="431"/>
      <c r="V50" s="431"/>
      <c r="W50" s="431"/>
      <c r="X50" s="431"/>
      <c r="Y50" s="431"/>
      <c r="Z50" s="431"/>
    </row>
    <row r="51" spans="1:26">
      <c r="A51" s="431"/>
      <c r="B51" s="431"/>
      <c r="C51" s="431"/>
      <c r="D51" s="431"/>
      <c r="E51" s="431"/>
      <c r="F51" s="431"/>
      <c r="G51" s="431"/>
      <c r="H51" s="431"/>
      <c r="I51" s="431"/>
      <c r="J51" s="431"/>
      <c r="K51" s="431"/>
      <c r="L51" s="431"/>
      <c r="M51" s="431"/>
      <c r="N51" s="431"/>
      <c r="O51" s="431"/>
      <c r="P51" s="431"/>
      <c r="Q51" s="431"/>
      <c r="R51" s="431"/>
      <c r="S51" s="431"/>
      <c r="T51" s="431"/>
      <c r="U51" s="431"/>
      <c r="V51" s="431"/>
      <c r="W51" s="431"/>
      <c r="X51" s="431"/>
      <c r="Y51" s="431"/>
      <c r="Z51" s="431"/>
    </row>
    <row r="52" spans="1:26">
      <c r="A52" s="431"/>
      <c r="B52" s="431"/>
      <c r="C52" s="431"/>
      <c r="D52" s="431"/>
      <c r="E52" s="431"/>
      <c r="F52" s="431"/>
      <c r="G52" s="431"/>
      <c r="H52" s="431"/>
      <c r="I52" s="431"/>
      <c r="J52" s="431"/>
      <c r="K52" s="431"/>
      <c r="L52" s="431"/>
      <c r="M52" s="431"/>
      <c r="N52" s="431"/>
      <c r="O52" s="431"/>
      <c r="P52" s="431"/>
      <c r="Q52" s="431"/>
      <c r="R52" s="431"/>
      <c r="S52" s="431"/>
      <c r="T52" s="431"/>
      <c r="U52" s="431"/>
      <c r="V52" s="431"/>
      <c r="W52" s="431"/>
      <c r="X52" s="431"/>
      <c r="Y52" s="431"/>
      <c r="Z52" s="431"/>
    </row>
    <row r="53" spans="1:26">
      <c r="A53" s="431"/>
      <c r="B53" s="432" t="s">
        <v>916</v>
      </c>
      <c r="C53" s="433"/>
      <c r="D53" s="433"/>
      <c r="E53" s="431"/>
      <c r="F53" s="431"/>
      <c r="G53" s="431"/>
      <c r="H53" s="431"/>
      <c r="I53" s="431"/>
      <c r="J53" s="431"/>
      <c r="K53" s="431"/>
      <c r="L53" s="431"/>
      <c r="M53" s="431"/>
      <c r="N53" s="431"/>
      <c r="O53" s="431"/>
      <c r="P53" s="431"/>
      <c r="Q53" s="431"/>
      <c r="R53" s="431"/>
      <c r="S53" s="431"/>
      <c r="T53" s="431"/>
      <c r="U53" s="431"/>
      <c r="V53" s="431"/>
      <c r="W53" s="431"/>
      <c r="X53" s="431"/>
      <c r="Y53" s="431"/>
      <c r="Z53" s="431"/>
    </row>
    <row r="54" spans="1:26">
      <c r="A54" s="431"/>
      <c r="B54" s="431"/>
      <c r="C54" s="431"/>
      <c r="D54" s="431"/>
      <c r="E54" s="431"/>
      <c r="F54" s="431"/>
      <c r="G54" s="431"/>
      <c r="H54" s="431"/>
      <c r="I54" s="431"/>
      <c r="J54" s="431"/>
      <c r="K54" s="431"/>
      <c r="L54" s="431"/>
      <c r="M54" s="431"/>
      <c r="N54" s="431"/>
      <c r="O54" s="431"/>
      <c r="P54" s="431"/>
      <c r="Q54" s="431"/>
      <c r="R54" s="431"/>
      <c r="S54" s="431"/>
      <c r="T54" s="431"/>
      <c r="U54" s="431"/>
      <c r="V54" s="431"/>
      <c r="W54" s="431"/>
      <c r="X54" s="431"/>
      <c r="Y54" s="431"/>
      <c r="Z54" s="431"/>
    </row>
    <row r="55" spans="1:26" ht="15" customHeight="1">
      <c r="A55" s="431"/>
      <c r="B55" s="433" t="s">
        <v>850</v>
      </c>
      <c r="C55" s="532" t="s">
        <v>915</v>
      </c>
      <c r="D55" s="532"/>
      <c r="E55" s="532"/>
      <c r="F55" s="532"/>
      <c r="G55" s="431"/>
      <c r="H55" s="431"/>
      <c r="I55" s="431"/>
      <c r="J55" s="431"/>
      <c r="K55" s="431"/>
      <c r="L55" s="431"/>
      <c r="M55" s="431"/>
      <c r="N55" s="431"/>
      <c r="O55" s="431"/>
      <c r="P55" s="431"/>
      <c r="Q55" s="431"/>
      <c r="R55" s="431"/>
      <c r="S55" s="431"/>
      <c r="T55" s="431"/>
      <c r="U55" s="431"/>
      <c r="V55" s="431"/>
      <c r="W55" s="431"/>
      <c r="X55" s="431"/>
      <c r="Y55" s="431"/>
      <c r="Z55" s="431"/>
    </row>
    <row r="56" spans="1:26">
      <c r="A56" s="431"/>
      <c r="B56" s="431"/>
      <c r="C56" s="532"/>
      <c r="D56" s="532"/>
      <c r="E56" s="532"/>
      <c r="F56" s="532"/>
      <c r="G56" s="431"/>
      <c r="H56" s="431"/>
      <c r="I56" s="431"/>
      <c r="J56" s="431"/>
      <c r="K56" s="431"/>
      <c r="L56" s="431"/>
      <c r="M56" s="431"/>
      <c r="N56" s="431"/>
      <c r="O56" s="431"/>
      <c r="P56" s="431"/>
      <c r="Q56" s="431"/>
      <c r="R56" s="431"/>
      <c r="S56" s="431"/>
      <c r="T56" s="431"/>
      <c r="U56" s="431"/>
      <c r="V56" s="431"/>
      <c r="W56" s="431"/>
      <c r="X56" s="431"/>
      <c r="Y56" s="431"/>
      <c r="Z56" s="431"/>
    </row>
    <row r="57" spans="1:26">
      <c r="A57" s="431"/>
      <c r="B57" s="431"/>
      <c r="C57" s="532"/>
      <c r="D57" s="532"/>
      <c r="E57" s="532"/>
      <c r="F57" s="532"/>
      <c r="G57" s="431"/>
      <c r="H57" s="431"/>
      <c r="I57" s="431"/>
      <c r="J57" s="431"/>
      <c r="K57" s="431"/>
      <c r="L57" s="431"/>
      <c r="M57" s="431"/>
      <c r="N57" s="431"/>
      <c r="O57" s="431"/>
      <c r="P57" s="431"/>
      <c r="Q57" s="431"/>
      <c r="R57" s="431"/>
      <c r="S57" s="431"/>
      <c r="T57" s="431"/>
      <c r="U57" s="431"/>
      <c r="V57" s="431"/>
      <c r="W57" s="431"/>
      <c r="X57" s="431"/>
      <c r="Y57" s="431"/>
      <c r="Z57" s="431"/>
    </row>
    <row r="58" spans="1:26">
      <c r="A58" s="431"/>
      <c r="B58" s="431"/>
      <c r="C58" s="532"/>
      <c r="D58" s="532"/>
      <c r="E58" s="532"/>
      <c r="F58" s="532"/>
      <c r="G58" s="431"/>
      <c r="H58" s="431"/>
      <c r="I58" s="431"/>
      <c r="J58" s="431"/>
      <c r="K58" s="431"/>
      <c r="L58" s="431"/>
      <c r="M58" s="431"/>
      <c r="N58" s="431"/>
      <c r="O58" s="431"/>
      <c r="P58" s="431"/>
      <c r="Q58" s="431"/>
      <c r="R58" s="431"/>
      <c r="S58" s="431"/>
      <c r="T58" s="431"/>
      <c r="U58" s="431"/>
      <c r="V58" s="431"/>
      <c r="W58" s="431"/>
      <c r="X58" s="431"/>
      <c r="Y58" s="431"/>
      <c r="Z58" s="431"/>
    </row>
    <row r="59" spans="1:26">
      <c r="A59" s="431"/>
      <c r="B59" s="431"/>
      <c r="C59" s="532"/>
      <c r="D59" s="532"/>
      <c r="E59" s="532"/>
      <c r="F59" s="532"/>
      <c r="G59" s="431"/>
      <c r="H59" s="431"/>
      <c r="I59" s="431"/>
      <c r="J59" s="431"/>
      <c r="K59" s="431"/>
      <c r="L59" s="431"/>
      <c r="M59" s="431"/>
      <c r="N59" s="431"/>
      <c r="O59" s="431"/>
      <c r="P59" s="431"/>
      <c r="Q59" s="431"/>
      <c r="R59" s="431"/>
      <c r="S59" s="431"/>
      <c r="T59" s="431"/>
      <c r="U59" s="431"/>
      <c r="V59" s="431"/>
      <c r="W59" s="431"/>
      <c r="X59" s="431"/>
      <c r="Y59" s="431"/>
      <c r="Z59" s="431"/>
    </row>
    <row r="60" spans="1:26">
      <c r="A60" s="431"/>
      <c r="B60" s="431"/>
      <c r="C60" s="532"/>
      <c r="D60" s="532"/>
      <c r="E60" s="532"/>
      <c r="F60" s="532"/>
      <c r="G60" s="431"/>
      <c r="H60" s="431"/>
      <c r="I60" s="431"/>
      <c r="J60" s="431"/>
      <c r="K60" s="431"/>
      <c r="L60" s="431"/>
      <c r="M60" s="431"/>
      <c r="N60" s="431"/>
      <c r="O60" s="431"/>
      <c r="P60" s="431"/>
      <c r="Q60" s="431"/>
      <c r="R60" s="431"/>
      <c r="S60" s="431"/>
      <c r="T60" s="431"/>
      <c r="U60" s="431"/>
      <c r="V60" s="431"/>
      <c r="W60" s="431"/>
      <c r="X60" s="431"/>
      <c r="Y60" s="431"/>
      <c r="Z60" s="431"/>
    </row>
    <row r="61" spans="1:26">
      <c r="A61" s="431"/>
      <c r="B61" s="431"/>
      <c r="C61" s="532"/>
      <c r="D61" s="532"/>
      <c r="E61" s="532"/>
      <c r="F61" s="532"/>
      <c r="G61" s="431"/>
      <c r="H61" s="431"/>
      <c r="I61" s="431"/>
      <c r="J61" s="431"/>
      <c r="K61" s="431"/>
      <c r="L61" s="431"/>
      <c r="M61" s="431"/>
      <c r="N61" s="431"/>
      <c r="O61" s="431"/>
      <c r="P61" s="431"/>
      <c r="Q61" s="431"/>
      <c r="R61" s="431"/>
      <c r="S61" s="431"/>
      <c r="T61" s="431"/>
      <c r="U61" s="431"/>
      <c r="V61" s="431"/>
      <c r="W61" s="431"/>
      <c r="X61" s="431"/>
      <c r="Y61" s="431"/>
      <c r="Z61" s="431"/>
    </row>
    <row r="62" spans="1:26">
      <c r="A62" s="431"/>
      <c r="B62" s="431"/>
      <c r="C62" s="431"/>
      <c r="D62" s="431"/>
      <c r="E62" s="431"/>
      <c r="F62" s="431"/>
      <c r="G62" s="431"/>
      <c r="H62" s="431"/>
      <c r="I62" s="431"/>
      <c r="J62" s="431"/>
      <c r="K62" s="431"/>
      <c r="L62" s="431"/>
      <c r="M62" s="431"/>
      <c r="N62" s="431"/>
      <c r="O62" s="431"/>
      <c r="P62" s="431"/>
      <c r="Q62" s="431"/>
      <c r="R62" s="431"/>
      <c r="S62" s="431"/>
      <c r="T62" s="431"/>
      <c r="U62" s="431"/>
      <c r="V62" s="431"/>
      <c r="W62" s="431"/>
      <c r="X62" s="431"/>
      <c r="Y62" s="431"/>
      <c r="Z62" s="431"/>
    </row>
    <row r="63" spans="1:26">
      <c r="A63" s="431"/>
      <c r="B63" s="431"/>
      <c r="C63" s="431"/>
      <c r="D63" s="431"/>
      <c r="E63" s="431"/>
      <c r="F63" s="431"/>
      <c r="G63" s="431"/>
      <c r="H63" s="431"/>
      <c r="I63" s="431"/>
      <c r="J63" s="431"/>
      <c r="K63" s="431"/>
      <c r="L63" s="431"/>
      <c r="M63" s="431"/>
      <c r="N63" s="431"/>
      <c r="O63" s="431"/>
      <c r="P63" s="431"/>
      <c r="Q63" s="431"/>
      <c r="R63" s="431"/>
      <c r="S63" s="431"/>
      <c r="T63" s="431"/>
      <c r="U63" s="431"/>
      <c r="V63" s="431"/>
      <c r="W63" s="431"/>
      <c r="X63" s="431"/>
      <c r="Y63" s="431"/>
      <c r="Z63" s="431"/>
    </row>
    <row r="64" spans="1:26">
      <c r="A64" s="431"/>
      <c r="B64" s="431"/>
      <c r="C64" s="431"/>
      <c r="D64" s="431"/>
      <c r="E64" s="431"/>
      <c r="F64" s="431"/>
      <c r="G64" s="431"/>
      <c r="H64" s="431"/>
      <c r="I64" s="431"/>
      <c r="J64" s="431"/>
      <c r="K64" s="431"/>
      <c r="L64" s="431"/>
      <c r="M64" s="431"/>
      <c r="N64" s="431"/>
      <c r="O64" s="431"/>
      <c r="P64" s="431"/>
      <c r="Q64" s="431"/>
      <c r="R64" s="431"/>
      <c r="S64" s="431"/>
      <c r="T64" s="431"/>
      <c r="U64" s="431"/>
      <c r="V64" s="431"/>
      <c r="W64" s="431"/>
      <c r="X64" s="431"/>
      <c r="Y64" s="431"/>
      <c r="Z64" s="431"/>
    </row>
    <row r="65" spans="1:26">
      <c r="A65" s="431"/>
      <c r="B65" s="431"/>
      <c r="C65" s="431"/>
      <c r="D65" s="431"/>
      <c r="E65" s="431"/>
      <c r="F65" s="431"/>
      <c r="G65" s="431"/>
      <c r="H65" s="431"/>
      <c r="I65" s="431"/>
      <c r="J65" s="431"/>
      <c r="K65" s="431"/>
      <c r="L65" s="431"/>
      <c r="M65" s="431"/>
      <c r="N65" s="431"/>
      <c r="O65" s="431"/>
      <c r="P65" s="431"/>
      <c r="Q65" s="431"/>
      <c r="R65" s="431"/>
      <c r="S65" s="431"/>
      <c r="T65" s="431"/>
      <c r="U65" s="431"/>
      <c r="V65" s="431"/>
      <c r="W65" s="431"/>
      <c r="X65" s="431"/>
      <c r="Y65" s="431"/>
      <c r="Z65" s="431"/>
    </row>
    <row r="66" spans="1:26">
      <c r="A66" s="431"/>
      <c r="B66" s="431"/>
      <c r="C66" s="431"/>
      <c r="D66" s="431"/>
      <c r="E66" s="431"/>
      <c r="F66" s="431"/>
      <c r="G66" s="431"/>
      <c r="H66" s="431"/>
      <c r="I66" s="431"/>
      <c r="J66" s="431"/>
      <c r="K66" s="431"/>
      <c r="L66" s="431"/>
      <c r="M66" s="431"/>
      <c r="N66" s="431"/>
      <c r="O66" s="431"/>
      <c r="P66" s="431"/>
      <c r="Q66" s="431"/>
      <c r="R66" s="431"/>
      <c r="S66" s="431"/>
      <c r="T66" s="431"/>
      <c r="U66" s="431"/>
      <c r="V66" s="431"/>
      <c r="W66" s="431"/>
      <c r="X66" s="431"/>
      <c r="Y66" s="431"/>
      <c r="Z66" s="431"/>
    </row>
    <row r="67" spans="1:26">
      <c r="A67" s="431"/>
      <c r="B67" s="431"/>
      <c r="C67" s="431"/>
      <c r="D67" s="431"/>
      <c r="E67" s="431"/>
      <c r="F67" s="431"/>
      <c r="G67" s="431"/>
      <c r="H67" s="431"/>
      <c r="I67" s="431"/>
      <c r="J67" s="431"/>
      <c r="K67" s="431"/>
      <c r="L67" s="431"/>
      <c r="M67" s="431"/>
      <c r="N67" s="431"/>
      <c r="O67" s="431"/>
      <c r="P67" s="431"/>
      <c r="Q67" s="431"/>
      <c r="R67" s="431"/>
      <c r="S67" s="431"/>
      <c r="T67" s="431"/>
      <c r="U67" s="431"/>
      <c r="V67" s="431"/>
      <c r="W67" s="431"/>
      <c r="X67" s="431"/>
      <c r="Y67" s="431"/>
      <c r="Z67" s="431"/>
    </row>
    <row r="68" spans="1:26">
      <c r="A68" s="431"/>
      <c r="B68" s="431"/>
      <c r="C68" s="431"/>
      <c r="D68" s="431"/>
      <c r="E68" s="431"/>
      <c r="F68" s="431"/>
      <c r="G68" s="431"/>
      <c r="H68" s="431"/>
      <c r="I68" s="431"/>
      <c r="J68" s="431"/>
      <c r="K68" s="431"/>
      <c r="L68" s="431"/>
      <c r="M68" s="431"/>
      <c r="N68" s="431"/>
      <c r="O68" s="431"/>
      <c r="P68" s="431"/>
      <c r="Q68" s="431"/>
      <c r="R68" s="431"/>
      <c r="S68" s="431"/>
      <c r="T68" s="431"/>
      <c r="U68" s="431"/>
      <c r="V68" s="431"/>
      <c r="W68" s="431"/>
      <c r="X68" s="431"/>
      <c r="Y68" s="431"/>
      <c r="Z68" s="431"/>
    </row>
    <row r="69" spans="1:26">
      <c r="A69" s="431"/>
      <c r="B69" s="431"/>
      <c r="C69" s="431"/>
      <c r="D69" s="431"/>
      <c r="E69" s="431"/>
      <c r="F69" s="431"/>
      <c r="G69" s="431"/>
      <c r="H69" s="431"/>
      <c r="I69" s="431"/>
      <c r="J69" s="431"/>
      <c r="K69" s="431"/>
      <c r="L69" s="431"/>
      <c r="M69" s="431"/>
      <c r="N69" s="431"/>
      <c r="O69" s="431"/>
      <c r="P69" s="431"/>
      <c r="Q69" s="431"/>
      <c r="R69" s="431"/>
      <c r="S69" s="431"/>
      <c r="T69" s="431"/>
      <c r="U69" s="431"/>
      <c r="V69" s="431"/>
      <c r="W69" s="431"/>
      <c r="X69" s="431"/>
      <c r="Y69" s="431"/>
      <c r="Z69" s="431"/>
    </row>
    <row r="70" spans="1:26">
      <c r="A70" s="431"/>
      <c r="B70" s="431"/>
      <c r="C70" s="431"/>
      <c r="D70" s="431"/>
      <c r="E70" s="431"/>
      <c r="F70" s="431"/>
      <c r="G70" s="431"/>
      <c r="H70" s="431"/>
      <c r="I70" s="431"/>
      <c r="J70" s="431"/>
      <c r="K70" s="431"/>
      <c r="L70" s="431"/>
      <c r="M70" s="431"/>
      <c r="N70" s="431"/>
      <c r="O70" s="431"/>
      <c r="P70" s="431"/>
      <c r="Q70" s="431"/>
      <c r="R70" s="431"/>
      <c r="S70" s="431"/>
      <c r="T70" s="431"/>
      <c r="U70" s="431"/>
      <c r="V70" s="431"/>
      <c r="W70" s="431"/>
      <c r="X70" s="431"/>
      <c r="Y70" s="431"/>
      <c r="Z70" s="431"/>
    </row>
    <row r="71" spans="1:26">
      <c r="A71" s="431"/>
      <c r="B71" s="431"/>
      <c r="C71" s="431"/>
      <c r="D71" s="431"/>
      <c r="E71" s="431"/>
      <c r="F71" s="431"/>
      <c r="G71" s="431"/>
      <c r="H71" s="431"/>
      <c r="I71" s="431"/>
      <c r="J71" s="431"/>
      <c r="K71" s="431"/>
      <c r="L71" s="431"/>
      <c r="M71" s="431"/>
      <c r="N71" s="431"/>
      <c r="O71" s="431"/>
      <c r="P71" s="431"/>
      <c r="Q71" s="431"/>
      <c r="R71" s="431"/>
      <c r="S71" s="431"/>
      <c r="T71" s="431"/>
      <c r="U71" s="431"/>
      <c r="V71" s="431"/>
      <c r="W71" s="431"/>
      <c r="X71" s="431"/>
      <c r="Y71" s="431"/>
      <c r="Z71" s="431"/>
    </row>
    <row r="72" spans="1:26">
      <c r="A72" s="431"/>
      <c r="B72" s="431"/>
      <c r="C72" s="431"/>
      <c r="D72" s="431"/>
      <c r="E72" s="431"/>
      <c r="F72" s="431"/>
      <c r="G72" s="431"/>
      <c r="H72" s="431"/>
      <c r="I72" s="431"/>
      <c r="J72" s="431"/>
      <c r="K72" s="431"/>
      <c r="L72" s="431"/>
      <c r="M72" s="431"/>
      <c r="N72" s="431"/>
      <c r="O72" s="431"/>
      <c r="P72" s="431"/>
      <c r="Q72" s="431"/>
      <c r="R72" s="431"/>
      <c r="S72" s="431"/>
      <c r="T72" s="431"/>
      <c r="U72" s="431"/>
      <c r="V72" s="431"/>
      <c r="W72" s="431"/>
      <c r="X72" s="431"/>
      <c r="Y72" s="431"/>
      <c r="Z72" s="431"/>
    </row>
    <row r="73" spans="1:26">
      <c r="A73" s="431"/>
      <c r="B73" s="431"/>
      <c r="C73" s="431"/>
      <c r="D73" s="431"/>
      <c r="E73" s="431"/>
      <c r="F73" s="431"/>
      <c r="G73" s="431"/>
      <c r="H73" s="431"/>
      <c r="I73" s="431"/>
      <c r="J73" s="431"/>
      <c r="K73" s="431"/>
      <c r="L73" s="431"/>
      <c r="M73" s="431"/>
      <c r="N73" s="431"/>
      <c r="O73" s="431"/>
      <c r="P73" s="431"/>
      <c r="Q73" s="431"/>
      <c r="R73" s="431"/>
      <c r="S73" s="431"/>
      <c r="T73" s="431"/>
      <c r="U73" s="431"/>
      <c r="V73" s="431"/>
      <c r="W73" s="431"/>
      <c r="X73" s="431"/>
      <c r="Y73" s="431"/>
      <c r="Z73" s="431"/>
    </row>
    <row r="74" spans="1:26">
      <c r="A74" s="431"/>
      <c r="B74" s="431"/>
      <c r="C74" s="431"/>
      <c r="D74" s="431"/>
      <c r="E74" s="431"/>
      <c r="F74" s="431"/>
      <c r="G74" s="431"/>
      <c r="H74" s="431"/>
      <c r="I74" s="431"/>
      <c r="J74" s="431"/>
      <c r="K74" s="431"/>
      <c r="L74" s="431"/>
      <c r="M74" s="431"/>
      <c r="N74" s="431"/>
      <c r="O74" s="431"/>
      <c r="P74" s="431"/>
      <c r="Q74" s="431"/>
      <c r="R74" s="431"/>
      <c r="S74" s="431"/>
      <c r="T74" s="431"/>
      <c r="U74" s="431"/>
      <c r="V74" s="431"/>
      <c r="W74" s="431"/>
      <c r="X74" s="431"/>
      <c r="Y74" s="431"/>
      <c r="Z74" s="431"/>
    </row>
    <row r="75" spans="1:26">
      <c r="A75" s="431"/>
      <c r="B75" s="431"/>
      <c r="C75" s="431"/>
      <c r="D75" s="431"/>
      <c r="E75" s="431"/>
      <c r="F75" s="431"/>
      <c r="G75" s="431"/>
      <c r="H75" s="431"/>
      <c r="I75" s="431"/>
      <c r="J75" s="431"/>
      <c r="K75" s="431"/>
      <c r="L75" s="431"/>
      <c r="M75" s="431"/>
      <c r="N75" s="431"/>
      <c r="O75" s="431"/>
      <c r="P75" s="431"/>
      <c r="Q75" s="431"/>
      <c r="R75" s="431"/>
      <c r="S75" s="431"/>
      <c r="T75" s="431"/>
      <c r="U75" s="431"/>
      <c r="V75" s="431"/>
      <c r="W75" s="431"/>
      <c r="X75" s="431"/>
      <c r="Y75" s="431"/>
      <c r="Z75" s="431"/>
    </row>
    <row r="76" spans="1:26">
      <c r="A76" s="431"/>
      <c r="B76" s="431"/>
      <c r="C76" s="431"/>
      <c r="D76" s="431"/>
      <c r="E76" s="431"/>
      <c r="F76" s="431"/>
      <c r="G76" s="431"/>
      <c r="H76" s="431"/>
      <c r="I76" s="431"/>
      <c r="J76" s="431"/>
      <c r="K76" s="431"/>
      <c r="L76" s="431"/>
      <c r="M76" s="431"/>
      <c r="N76" s="431"/>
      <c r="O76" s="431"/>
      <c r="P76" s="431"/>
      <c r="Q76" s="431"/>
      <c r="R76" s="431"/>
      <c r="S76" s="431"/>
      <c r="T76" s="431"/>
      <c r="U76" s="431"/>
      <c r="V76" s="431"/>
      <c r="W76" s="431"/>
      <c r="X76" s="431"/>
      <c r="Y76" s="431"/>
      <c r="Z76" s="431"/>
    </row>
    <row r="77" spans="1:26">
      <c r="A77" s="431"/>
      <c r="B77" s="431"/>
      <c r="C77" s="431"/>
      <c r="D77" s="431"/>
      <c r="E77" s="431"/>
      <c r="F77" s="431"/>
      <c r="G77" s="431"/>
      <c r="H77" s="431"/>
      <c r="I77" s="431"/>
      <c r="J77" s="431"/>
      <c r="K77" s="431"/>
      <c r="L77" s="431"/>
      <c r="M77" s="431"/>
      <c r="N77" s="431"/>
      <c r="O77" s="431"/>
      <c r="P77" s="431"/>
      <c r="Q77" s="431"/>
      <c r="R77" s="431"/>
      <c r="S77" s="431"/>
      <c r="T77" s="431"/>
      <c r="U77" s="431"/>
      <c r="V77" s="431"/>
      <c r="W77" s="431"/>
      <c r="X77" s="431"/>
      <c r="Y77" s="431"/>
      <c r="Z77" s="431"/>
    </row>
    <row r="78" spans="1:26">
      <c r="A78" s="431"/>
      <c r="B78" s="431"/>
      <c r="C78" s="431"/>
      <c r="D78" s="431"/>
      <c r="E78" s="431"/>
      <c r="F78" s="431"/>
      <c r="G78" s="431"/>
      <c r="H78" s="431"/>
      <c r="I78" s="431"/>
      <c r="J78" s="431"/>
      <c r="K78" s="431"/>
      <c r="L78" s="431"/>
      <c r="M78" s="431"/>
      <c r="N78" s="431"/>
      <c r="O78" s="431"/>
      <c r="P78" s="431"/>
      <c r="Q78" s="431"/>
      <c r="R78" s="431"/>
      <c r="S78" s="431"/>
      <c r="T78" s="431"/>
      <c r="U78" s="431"/>
      <c r="V78" s="431"/>
      <c r="W78" s="431"/>
      <c r="X78" s="431"/>
      <c r="Y78" s="431"/>
      <c r="Z78" s="431"/>
    </row>
    <row r="79" spans="1:26">
      <c r="A79" s="431"/>
      <c r="B79" s="431"/>
      <c r="C79" s="431"/>
      <c r="D79" s="431"/>
      <c r="E79" s="431"/>
      <c r="F79" s="431"/>
      <c r="G79" s="431"/>
      <c r="H79" s="431"/>
      <c r="I79" s="431"/>
      <c r="J79" s="431"/>
      <c r="K79" s="431"/>
      <c r="L79" s="431"/>
      <c r="M79" s="431"/>
      <c r="N79" s="431"/>
      <c r="O79" s="431"/>
      <c r="P79" s="431"/>
      <c r="Q79" s="431"/>
      <c r="R79" s="431"/>
      <c r="S79" s="431"/>
      <c r="T79" s="431"/>
      <c r="U79" s="431"/>
      <c r="V79" s="431"/>
      <c r="W79" s="431"/>
      <c r="X79" s="431"/>
      <c r="Y79" s="431"/>
      <c r="Z79" s="431"/>
    </row>
    <row r="80" spans="1:26">
      <c r="A80" s="431"/>
      <c r="B80" s="431"/>
      <c r="C80" s="431"/>
      <c r="D80" s="431"/>
      <c r="E80" s="431"/>
      <c r="F80" s="431"/>
      <c r="G80" s="431"/>
      <c r="H80" s="431"/>
      <c r="I80" s="431"/>
      <c r="J80" s="431"/>
      <c r="K80" s="431"/>
      <c r="L80" s="431"/>
      <c r="M80" s="431"/>
      <c r="N80" s="431"/>
      <c r="O80" s="431"/>
      <c r="P80" s="431"/>
      <c r="Q80" s="431"/>
      <c r="R80" s="431"/>
      <c r="S80" s="431"/>
      <c r="T80" s="431"/>
      <c r="U80" s="431"/>
      <c r="V80" s="431"/>
      <c r="W80" s="431"/>
      <c r="X80" s="431"/>
      <c r="Y80" s="431"/>
      <c r="Z80" s="431"/>
    </row>
    <row r="81" spans="1:26">
      <c r="A81" s="431"/>
      <c r="B81" s="431"/>
      <c r="C81" s="431"/>
      <c r="D81" s="431"/>
      <c r="E81" s="431"/>
      <c r="F81" s="431"/>
      <c r="G81" s="431"/>
      <c r="H81" s="431"/>
      <c r="I81" s="431"/>
      <c r="J81" s="431"/>
      <c r="K81" s="431"/>
      <c r="L81" s="431"/>
      <c r="M81" s="431"/>
      <c r="N81" s="431"/>
      <c r="O81" s="431"/>
      <c r="P81" s="431"/>
      <c r="Q81" s="431"/>
      <c r="R81" s="431"/>
      <c r="S81" s="431"/>
      <c r="T81" s="431"/>
      <c r="U81" s="431"/>
      <c r="V81" s="431"/>
      <c r="W81" s="431"/>
      <c r="X81" s="431"/>
      <c r="Y81" s="431"/>
      <c r="Z81" s="431"/>
    </row>
    <row r="82" spans="1:26">
      <c r="A82" s="431"/>
      <c r="B82" s="431"/>
      <c r="C82" s="431"/>
      <c r="D82" s="431"/>
      <c r="E82" s="431"/>
      <c r="F82" s="431"/>
      <c r="G82" s="431"/>
      <c r="H82" s="431"/>
      <c r="I82" s="431"/>
      <c r="J82" s="431"/>
      <c r="K82" s="431"/>
      <c r="L82" s="431"/>
      <c r="M82" s="431"/>
      <c r="N82" s="431"/>
      <c r="O82" s="431"/>
      <c r="P82" s="431"/>
      <c r="Q82" s="431"/>
      <c r="R82" s="431"/>
      <c r="S82" s="431"/>
      <c r="T82" s="431"/>
      <c r="U82" s="431"/>
      <c r="V82" s="431"/>
      <c r="W82" s="431"/>
      <c r="X82" s="431"/>
      <c r="Y82" s="431"/>
      <c r="Z82" s="431"/>
    </row>
    <row r="83" spans="1:26">
      <c r="A83" s="431"/>
      <c r="B83" s="431"/>
      <c r="C83" s="431"/>
      <c r="D83" s="431"/>
      <c r="E83" s="431"/>
      <c r="F83" s="431"/>
      <c r="G83" s="431"/>
      <c r="H83" s="431"/>
      <c r="I83" s="431"/>
      <c r="J83" s="431"/>
      <c r="K83" s="431"/>
      <c r="L83" s="431"/>
      <c r="M83" s="431"/>
      <c r="N83" s="431"/>
      <c r="O83" s="431"/>
      <c r="P83" s="431"/>
      <c r="Q83" s="431"/>
      <c r="R83" s="431"/>
      <c r="S83" s="431"/>
      <c r="T83" s="431"/>
      <c r="U83" s="431"/>
      <c r="V83" s="431"/>
      <c r="W83" s="431"/>
      <c r="X83" s="431"/>
      <c r="Y83" s="431"/>
      <c r="Z83" s="431"/>
    </row>
    <row r="84" spans="1:26">
      <c r="A84" s="431"/>
      <c r="B84" s="431"/>
      <c r="C84" s="431"/>
      <c r="D84" s="431"/>
      <c r="E84" s="431"/>
      <c r="F84" s="431"/>
      <c r="G84" s="431"/>
      <c r="H84" s="431"/>
      <c r="I84" s="431"/>
      <c r="J84" s="431"/>
      <c r="K84" s="431"/>
      <c r="L84" s="431"/>
      <c r="M84" s="431"/>
      <c r="N84" s="431"/>
      <c r="O84" s="431"/>
      <c r="P84" s="431"/>
      <c r="Q84" s="431"/>
      <c r="R84" s="431"/>
      <c r="S84" s="431"/>
      <c r="T84" s="431"/>
      <c r="U84" s="431"/>
      <c r="V84" s="431"/>
      <c r="W84" s="431"/>
      <c r="X84" s="431"/>
      <c r="Y84" s="431"/>
      <c r="Z84" s="431"/>
    </row>
    <row r="85" spans="1:26">
      <c r="A85" s="431"/>
      <c r="B85" s="431"/>
      <c r="C85" s="431"/>
      <c r="D85" s="431"/>
      <c r="E85" s="431"/>
      <c r="F85" s="431"/>
      <c r="G85" s="431"/>
      <c r="H85" s="431"/>
      <c r="I85" s="431"/>
      <c r="J85" s="431"/>
      <c r="K85" s="431"/>
      <c r="L85" s="431"/>
      <c r="M85" s="431"/>
      <c r="N85" s="431"/>
      <c r="O85" s="431"/>
      <c r="P85" s="431"/>
      <c r="Q85" s="431"/>
      <c r="R85" s="431"/>
      <c r="S85" s="431"/>
      <c r="T85" s="431"/>
      <c r="U85" s="431"/>
      <c r="V85" s="431"/>
      <c r="W85" s="431"/>
      <c r="X85" s="431"/>
      <c r="Y85" s="431"/>
      <c r="Z85" s="431"/>
    </row>
    <row r="86" spans="1:26">
      <c r="A86" s="431"/>
      <c r="B86" s="431"/>
      <c r="C86" s="431"/>
      <c r="D86" s="431"/>
      <c r="E86" s="431"/>
      <c r="F86" s="431"/>
      <c r="G86" s="431"/>
      <c r="H86" s="431"/>
      <c r="I86" s="431"/>
      <c r="J86" s="431"/>
      <c r="K86" s="431"/>
      <c r="L86" s="431"/>
      <c r="M86" s="431"/>
      <c r="N86" s="431"/>
      <c r="O86" s="431"/>
      <c r="P86" s="431"/>
      <c r="Q86" s="431"/>
      <c r="R86" s="431"/>
      <c r="S86" s="431"/>
      <c r="T86" s="431"/>
      <c r="U86" s="431"/>
      <c r="V86" s="431"/>
      <c r="W86" s="431"/>
      <c r="X86" s="431"/>
      <c r="Y86" s="431"/>
      <c r="Z86" s="431"/>
    </row>
    <row r="87" spans="1:26">
      <c r="A87" s="431"/>
      <c r="B87" s="431"/>
      <c r="C87" s="431"/>
      <c r="D87" s="431"/>
      <c r="E87" s="431"/>
      <c r="F87" s="431"/>
      <c r="G87" s="431"/>
      <c r="H87" s="431"/>
      <c r="I87" s="431"/>
      <c r="J87" s="431"/>
      <c r="K87" s="431"/>
      <c r="L87" s="431"/>
      <c r="M87" s="431"/>
      <c r="N87" s="431"/>
      <c r="O87" s="431"/>
      <c r="P87" s="431"/>
      <c r="Q87" s="431"/>
      <c r="R87" s="431"/>
      <c r="S87" s="431"/>
      <c r="T87" s="431"/>
      <c r="U87" s="431"/>
      <c r="V87" s="431"/>
      <c r="W87" s="431"/>
      <c r="X87" s="431"/>
      <c r="Y87" s="431"/>
      <c r="Z87" s="431"/>
    </row>
    <row r="88" spans="1:26">
      <c r="A88" s="431"/>
      <c r="B88" s="431"/>
      <c r="C88" s="431"/>
      <c r="D88" s="431"/>
      <c r="E88" s="431"/>
      <c r="F88" s="431"/>
      <c r="G88" s="431"/>
      <c r="H88" s="431"/>
      <c r="I88" s="431"/>
      <c r="J88" s="431"/>
      <c r="K88" s="431"/>
      <c r="L88" s="431"/>
      <c r="M88" s="431"/>
      <c r="N88" s="431"/>
      <c r="O88" s="431"/>
      <c r="P88" s="431"/>
      <c r="Q88" s="431"/>
      <c r="R88" s="431"/>
      <c r="S88" s="431"/>
      <c r="T88" s="431"/>
      <c r="U88" s="431"/>
      <c r="V88" s="431"/>
      <c r="W88" s="431"/>
      <c r="X88" s="431"/>
      <c r="Y88" s="431"/>
      <c r="Z88" s="431"/>
    </row>
    <row r="89" spans="1:26">
      <c r="A89" s="431"/>
      <c r="B89" s="431"/>
      <c r="C89" s="431"/>
      <c r="D89" s="431"/>
      <c r="E89" s="431"/>
      <c r="F89" s="431"/>
      <c r="G89" s="431"/>
      <c r="H89" s="431"/>
      <c r="I89" s="431"/>
      <c r="J89" s="431"/>
      <c r="K89" s="431"/>
      <c r="L89" s="431"/>
      <c r="M89" s="431"/>
      <c r="N89" s="431"/>
      <c r="O89" s="431"/>
      <c r="P89" s="431"/>
      <c r="Q89" s="431"/>
      <c r="R89" s="431"/>
      <c r="S89" s="431"/>
      <c r="T89" s="431"/>
      <c r="U89" s="431"/>
      <c r="V89" s="431"/>
      <c r="W89" s="431"/>
      <c r="X89" s="431"/>
      <c r="Y89" s="431"/>
      <c r="Z89" s="431"/>
    </row>
    <row r="90" spans="1:26">
      <c r="A90" s="431"/>
      <c r="B90" s="431"/>
      <c r="C90" s="431"/>
      <c r="D90" s="431"/>
      <c r="E90" s="431"/>
      <c r="F90" s="431"/>
      <c r="G90" s="431"/>
      <c r="H90" s="431"/>
      <c r="I90" s="431"/>
      <c r="J90" s="431"/>
      <c r="K90" s="431"/>
      <c r="L90" s="431"/>
      <c r="M90" s="431"/>
      <c r="N90" s="431"/>
      <c r="O90" s="431"/>
      <c r="P90" s="431"/>
      <c r="Q90" s="431"/>
      <c r="R90" s="431"/>
      <c r="S90" s="431"/>
      <c r="T90" s="431"/>
      <c r="U90" s="431"/>
      <c r="V90" s="431"/>
      <c r="W90" s="431"/>
      <c r="X90" s="431"/>
      <c r="Y90" s="431"/>
      <c r="Z90" s="431"/>
    </row>
    <row r="91" spans="1:26">
      <c r="A91" s="431"/>
      <c r="B91" s="431"/>
      <c r="C91" s="431"/>
      <c r="D91" s="431"/>
      <c r="E91" s="431"/>
      <c r="F91" s="431"/>
      <c r="G91" s="431"/>
      <c r="H91" s="431"/>
      <c r="I91" s="431"/>
      <c r="J91" s="431"/>
      <c r="K91" s="431"/>
      <c r="L91" s="431"/>
      <c r="M91" s="431"/>
      <c r="N91" s="431"/>
      <c r="O91" s="431"/>
      <c r="P91" s="431"/>
      <c r="Q91" s="431"/>
      <c r="R91" s="431"/>
      <c r="S91" s="431"/>
      <c r="T91" s="431"/>
      <c r="U91" s="431"/>
      <c r="V91" s="431"/>
      <c r="W91" s="431"/>
      <c r="X91" s="431"/>
      <c r="Y91" s="431"/>
      <c r="Z91" s="431"/>
    </row>
    <row r="92" spans="1:26">
      <c r="A92" s="431"/>
      <c r="B92" s="431"/>
      <c r="C92" s="431"/>
      <c r="D92" s="431"/>
      <c r="E92" s="431"/>
      <c r="F92" s="431"/>
      <c r="G92" s="431"/>
      <c r="H92" s="431"/>
      <c r="I92" s="431"/>
      <c r="J92" s="431"/>
      <c r="K92" s="431"/>
      <c r="L92" s="431"/>
      <c r="M92" s="431"/>
      <c r="N92" s="431"/>
      <c r="O92" s="431"/>
      <c r="P92" s="431"/>
      <c r="Q92" s="431"/>
      <c r="R92" s="431"/>
      <c r="S92" s="431"/>
      <c r="T92" s="431"/>
      <c r="U92" s="431"/>
      <c r="V92" s="431"/>
      <c r="W92" s="431"/>
      <c r="X92" s="431"/>
      <c r="Y92" s="431"/>
      <c r="Z92" s="431"/>
    </row>
    <row r="93" spans="1:26">
      <c r="A93" s="431"/>
      <c r="B93" s="431"/>
      <c r="C93" s="431"/>
      <c r="D93" s="431"/>
      <c r="E93" s="431"/>
      <c r="F93" s="431"/>
      <c r="G93" s="431"/>
      <c r="H93" s="431"/>
      <c r="I93" s="431"/>
      <c r="J93" s="431"/>
      <c r="K93" s="431"/>
      <c r="L93" s="431"/>
      <c r="M93" s="431"/>
      <c r="N93" s="431"/>
      <c r="O93" s="431"/>
      <c r="P93" s="431"/>
      <c r="Q93" s="431"/>
      <c r="R93" s="431"/>
      <c r="S93" s="431"/>
      <c r="T93" s="431"/>
      <c r="U93" s="431"/>
      <c r="V93" s="431"/>
      <c r="W93" s="431"/>
      <c r="X93" s="431"/>
      <c r="Y93" s="431"/>
      <c r="Z93" s="431"/>
    </row>
    <row r="94" spans="1:26">
      <c r="A94" s="431"/>
      <c r="B94" s="431"/>
      <c r="C94" s="431"/>
      <c r="D94" s="431"/>
      <c r="E94" s="431"/>
      <c r="F94" s="431"/>
      <c r="G94" s="431"/>
      <c r="H94" s="431"/>
      <c r="I94" s="431"/>
      <c r="J94" s="431"/>
      <c r="K94" s="431"/>
      <c r="L94" s="431"/>
      <c r="M94" s="431"/>
      <c r="N94" s="431"/>
      <c r="O94" s="431"/>
      <c r="P94" s="431"/>
      <c r="Q94" s="431"/>
      <c r="R94" s="431"/>
      <c r="S94" s="431"/>
      <c r="T94" s="431"/>
      <c r="U94" s="431"/>
      <c r="V94" s="431"/>
      <c r="W94" s="431"/>
      <c r="X94" s="431"/>
      <c r="Y94" s="431"/>
      <c r="Z94" s="431"/>
    </row>
    <row r="95" spans="1:26">
      <c r="A95" s="431"/>
      <c r="B95" s="431"/>
      <c r="C95" s="431"/>
      <c r="D95" s="431"/>
      <c r="E95" s="431"/>
      <c r="F95" s="431"/>
      <c r="G95" s="431"/>
      <c r="H95" s="431"/>
      <c r="I95" s="431"/>
      <c r="J95" s="431"/>
      <c r="K95" s="431"/>
      <c r="L95" s="431"/>
      <c r="M95" s="431"/>
      <c r="N95" s="431"/>
      <c r="O95" s="431"/>
      <c r="P95" s="431"/>
      <c r="Q95" s="431"/>
      <c r="R95" s="431"/>
      <c r="S95" s="431"/>
      <c r="T95" s="431"/>
      <c r="U95" s="431"/>
      <c r="V95" s="431"/>
      <c r="W95" s="431"/>
      <c r="X95" s="431"/>
      <c r="Y95" s="431"/>
      <c r="Z95" s="431"/>
    </row>
    <row r="96" spans="1:26">
      <c r="A96" s="431"/>
      <c r="B96" s="431"/>
      <c r="C96" s="431"/>
      <c r="D96" s="431"/>
      <c r="E96" s="431"/>
      <c r="F96" s="431"/>
      <c r="G96" s="431"/>
      <c r="H96" s="431"/>
      <c r="I96" s="431"/>
      <c r="J96" s="431"/>
      <c r="K96" s="431"/>
      <c r="L96" s="431"/>
      <c r="M96" s="431"/>
      <c r="N96" s="431"/>
      <c r="O96" s="431"/>
      <c r="P96" s="431"/>
      <c r="Q96" s="431"/>
      <c r="R96" s="431"/>
      <c r="S96" s="431"/>
      <c r="T96" s="431"/>
      <c r="U96" s="431"/>
      <c r="V96" s="431"/>
      <c r="W96" s="431"/>
      <c r="X96" s="431"/>
      <c r="Y96" s="431"/>
      <c r="Z96" s="431"/>
    </row>
    <row r="97" spans="1:26">
      <c r="A97" s="431"/>
      <c r="B97" s="431"/>
      <c r="C97" s="431"/>
      <c r="D97" s="431"/>
      <c r="E97" s="431"/>
      <c r="F97" s="431"/>
      <c r="G97" s="431"/>
      <c r="H97" s="431"/>
      <c r="I97" s="431"/>
      <c r="J97" s="431"/>
      <c r="K97" s="431"/>
      <c r="L97" s="431"/>
      <c r="M97" s="431"/>
      <c r="N97" s="431"/>
      <c r="O97" s="431"/>
      <c r="P97" s="431"/>
      <c r="Q97" s="431"/>
      <c r="R97" s="431"/>
      <c r="S97" s="431"/>
      <c r="T97" s="431"/>
      <c r="U97" s="431"/>
      <c r="V97" s="431"/>
      <c r="W97" s="431"/>
      <c r="X97" s="431"/>
      <c r="Y97" s="431"/>
      <c r="Z97" s="431"/>
    </row>
    <row r="98" spans="1:26">
      <c r="A98" s="431"/>
      <c r="B98" s="431"/>
      <c r="C98" s="431"/>
      <c r="D98" s="431"/>
      <c r="E98" s="431"/>
      <c r="F98" s="431"/>
      <c r="G98" s="431"/>
      <c r="H98" s="431"/>
      <c r="I98" s="431"/>
      <c r="J98" s="431"/>
      <c r="K98" s="431"/>
      <c r="L98" s="431"/>
      <c r="M98" s="431"/>
      <c r="N98" s="431"/>
      <c r="O98" s="431"/>
      <c r="P98" s="431"/>
      <c r="Q98" s="431"/>
      <c r="R98" s="431"/>
      <c r="S98" s="431"/>
      <c r="T98" s="431"/>
      <c r="U98" s="431"/>
      <c r="V98" s="431"/>
      <c r="W98" s="431"/>
      <c r="X98" s="431"/>
      <c r="Y98" s="431"/>
      <c r="Z98" s="431"/>
    </row>
    <row r="99" spans="1:26">
      <c r="A99" s="431"/>
      <c r="B99" s="431"/>
      <c r="C99" s="431"/>
      <c r="D99" s="431"/>
      <c r="E99" s="431"/>
      <c r="F99" s="431"/>
      <c r="G99" s="431"/>
      <c r="H99" s="431"/>
      <c r="I99" s="431"/>
      <c r="J99" s="431"/>
      <c r="K99" s="431"/>
      <c r="L99" s="431"/>
      <c r="M99" s="431"/>
      <c r="N99" s="431"/>
      <c r="O99" s="431"/>
      <c r="P99" s="431"/>
      <c r="Q99" s="431"/>
      <c r="R99" s="431"/>
      <c r="S99" s="431"/>
      <c r="T99" s="431"/>
      <c r="U99" s="431"/>
      <c r="V99" s="431"/>
      <c r="W99" s="431"/>
      <c r="X99" s="431"/>
      <c r="Y99" s="431"/>
      <c r="Z99" s="431"/>
    </row>
    <row r="100" spans="1:26">
      <c r="A100" s="431"/>
      <c r="B100" s="431"/>
      <c r="C100" s="431"/>
      <c r="D100" s="431"/>
      <c r="E100" s="431"/>
      <c r="F100" s="431"/>
      <c r="G100" s="431"/>
      <c r="H100" s="431"/>
      <c r="I100" s="431"/>
      <c r="J100" s="431"/>
      <c r="K100" s="431"/>
      <c r="L100" s="431"/>
      <c r="M100" s="431"/>
      <c r="N100" s="431"/>
      <c r="O100" s="431"/>
      <c r="P100" s="431"/>
      <c r="Q100" s="431"/>
      <c r="R100" s="431"/>
      <c r="S100" s="431"/>
      <c r="T100" s="431"/>
      <c r="U100" s="431"/>
      <c r="V100" s="431"/>
      <c r="W100" s="431"/>
      <c r="X100" s="431"/>
      <c r="Y100" s="431"/>
      <c r="Z100" s="431"/>
    </row>
    <row r="101" spans="1:26">
      <c r="A101" s="431"/>
      <c r="B101" s="431"/>
      <c r="C101" s="431"/>
      <c r="D101" s="431"/>
      <c r="E101" s="431"/>
      <c r="F101" s="431"/>
      <c r="G101" s="431"/>
      <c r="H101" s="431"/>
      <c r="I101" s="431"/>
      <c r="J101" s="431"/>
      <c r="K101" s="431"/>
      <c r="L101" s="431"/>
      <c r="M101" s="431"/>
      <c r="N101" s="431"/>
      <c r="O101" s="431"/>
      <c r="P101" s="431"/>
      <c r="Q101" s="431"/>
      <c r="R101" s="431"/>
      <c r="S101" s="431"/>
      <c r="T101" s="431"/>
      <c r="U101" s="431"/>
      <c r="V101" s="431"/>
      <c r="W101" s="431"/>
      <c r="X101" s="431"/>
      <c r="Y101" s="431"/>
      <c r="Z101" s="431"/>
    </row>
    <row r="102" spans="1:26">
      <c r="A102" s="431"/>
      <c r="B102" s="431"/>
      <c r="C102" s="431"/>
      <c r="D102" s="431"/>
      <c r="E102" s="431"/>
      <c r="F102" s="431"/>
      <c r="G102" s="431"/>
      <c r="H102" s="431"/>
      <c r="I102" s="431"/>
      <c r="J102" s="431"/>
      <c r="K102" s="431"/>
      <c r="L102" s="431"/>
      <c r="M102" s="431"/>
      <c r="N102" s="431"/>
      <c r="O102" s="431"/>
      <c r="P102" s="431"/>
      <c r="Q102" s="431"/>
      <c r="R102" s="431"/>
      <c r="S102" s="431"/>
      <c r="T102" s="431"/>
      <c r="U102" s="431"/>
      <c r="V102" s="431"/>
      <c r="W102" s="431"/>
      <c r="X102" s="431"/>
      <c r="Y102" s="431"/>
      <c r="Z102" s="431"/>
    </row>
    <row r="103" spans="1:26">
      <c r="A103" s="431"/>
      <c r="B103" s="431"/>
      <c r="C103" s="431"/>
      <c r="D103" s="431"/>
      <c r="E103" s="431"/>
      <c r="F103" s="431"/>
      <c r="G103" s="431"/>
      <c r="H103" s="431"/>
      <c r="I103" s="431"/>
      <c r="J103" s="431"/>
      <c r="K103" s="431"/>
      <c r="L103" s="431"/>
      <c r="M103" s="431"/>
      <c r="N103" s="431"/>
      <c r="O103" s="431"/>
      <c r="P103" s="431"/>
      <c r="Q103" s="431"/>
      <c r="R103" s="431"/>
      <c r="S103" s="431"/>
      <c r="T103" s="431"/>
      <c r="U103" s="431"/>
      <c r="V103" s="431"/>
      <c r="W103" s="431"/>
      <c r="X103" s="431"/>
      <c r="Y103" s="431"/>
      <c r="Z103" s="431"/>
    </row>
    <row r="104" spans="1:26">
      <c r="A104" s="431"/>
      <c r="B104" s="431"/>
      <c r="C104" s="431"/>
      <c r="D104" s="431"/>
      <c r="E104" s="431"/>
      <c r="F104" s="431"/>
      <c r="G104" s="431"/>
      <c r="H104" s="431"/>
      <c r="I104" s="431"/>
      <c r="J104" s="431"/>
      <c r="K104" s="431"/>
      <c r="L104" s="431"/>
      <c r="M104" s="431"/>
      <c r="N104" s="431"/>
      <c r="O104" s="431"/>
      <c r="P104" s="431"/>
      <c r="Q104" s="431"/>
      <c r="R104" s="431"/>
      <c r="S104" s="431"/>
      <c r="T104" s="431"/>
      <c r="U104" s="431"/>
      <c r="V104" s="431"/>
      <c r="W104" s="431"/>
      <c r="X104" s="431"/>
      <c r="Y104" s="431"/>
      <c r="Z104" s="431"/>
    </row>
    <row r="105" spans="1:26">
      <c r="A105" s="431"/>
      <c r="B105" s="431"/>
      <c r="C105" s="431"/>
      <c r="D105" s="431"/>
      <c r="E105" s="431"/>
      <c r="F105" s="431"/>
      <c r="G105" s="431"/>
      <c r="H105" s="431"/>
      <c r="I105" s="431"/>
      <c r="J105" s="431"/>
      <c r="K105" s="431"/>
      <c r="L105" s="431"/>
      <c r="M105" s="431"/>
      <c r="N105" s="431"/>
      <c r="O105" s="431"/>
      <c r="P105" s="431"/>
      <c r="Q105" s="431"/>
      <c r="R105" s="431"/>
      <c r="S105" s="431"/>
      <c r="T105" s="431"/>
      <c r="U105" s="431"/>
      <c r="V105" s="431"/>
      <c r="W105" s="431"/>
      <c r="X105" s="431"/>
      <c r="Y105" s="431"/>
      <c r="Z105" s="431"/>
    </row>
    <row r="106" spans="1:26">
      <c r="A106" s="431"/>
      <c r="B106" s="431"/>
      <c r="C106" s="431"/>
      <c r="D106" s="431"/>
      <c r="E106" s="431"/>
      <c r="F106" s="431"/>
      <c r="G106" s="431"/>
      <c r="H106" s="431"/>
      <c r="I106" s="431"/>
      <c r="J106" s="431"/>
      <c r="K106" s="431"/>
      <c r="L106" s="431"/>
      <c r="M106" s="431"/>
      <c r="N106" s="431"/>
      <c r="O106" s="431"/>
      <c r="P106" s="431"/>
      <c r="Q106" s="431"/>
      <c r="R106" s="431"/>
      <c r="S106" s="431"/>
      <c r="T106" s="431"/>
      <c r="U106" s="431"/>
      <c r="V106" s="431"/>
      <c r="W106" s="431"/>
      <c r="X106" s="431"/>
      <c r="Y106" s="431"/>
      <c r="Z106" s="431"/>
    </row>
    <row r="107" spans="1:26">
      <c r="A107" s="431"/>
      <c r="B107" s="431"/>
      <c r="C107" s="431"/>
      <c r="D107" s="431"/>
      <c r="E107" s="431"/>
      <c r="F107" s="431"/>
      <c r="G107" s="431"/>
      <c r="H107" s="431"/>
      <c r="I107" s="431"/>
      <c r="J107" s="431"/>
      <c r="K107" s="431"/>
      <c r="L107" s="431"/>
      <c r="M107" s="431"/>
      <c r="N107" s="431"/>
      <c r="O107" s="431"/>
      <c r="P107" s="431"/>
      <c r="Q107" s="431"/>
      <c r="R107" s="431"/>
      <c r="S107" s="431"/>
      <c r="T107" s="431"/>
      <c r="U107" s="431"/>
      <c r="V107" s="431"/>
      <c r="W107" s="431"/>
      <c r="X107" s="431"/>
      <c r="Y107" s="431"/>
      <c r="Z107" s="431"/>
    </row>
    <row r="108" spans="1:26">
      <c r="A108" s="431"/>
      <c r="B108" s="431"/>
      <c r="C108" s="431"/>
      <c r="D108" s="431"/>
      <c r="E108" s="431"/>
      <c r="F108" s="431"/>
      <c r="G108" s="431"/>
      <c r="H108" s="431"/>
      <c r="I108" s="431"/>
      <c r="J108" s="431"/>
      <c r="K108" s="431"/>
      <c r="L108" s="431"/>
      <c r="M108" s="431"/>
      <c r="N108" s="431"/>
      <c r="O108" s="431"/>
      <c r="P108" s="431"/>
      <c r="Q108" s="431"/>
      <c r="R108" s="431"/>
      <c r="S108" s="431"/>
      <c r="T108" s="431"/>
      <c r="U108" s="431"/>
      <c r="V108" s="431"/>
      <c r="W108" s="431"/>
      <c r="X108" s="431"/>
      <c r="Y108" s="431"/>
      <c r="Z108" s="431"/>
    </row>
    <row r="109" spans="1:26">
      <c r="A109" s="431"/>
      <c r="B109" s="431"/>
      <c r="C109" s="431"/>
      <c r="D109" s="431"/>
      <c r="E109" s="431"/>
      <c r="F109" s="431"/>
      <c r="G109" s="431"/>
      <c r="H109" s="431"/>
      <c r="I109" s="431"/>
      <c r="J109" s="431"/>
      <c r="K109" s="431"/>
      <c r="L109" s="431"/>
      <c r="M109" s="431"/>
      <c r="N109" s="431"/>
      <c r="O109" s="431"/>
      <c r="P109" s="431"/>
      <c r="Q109" s="431"/>
      <c r="R109" s="431"/>
      <c r="S109" s="431"/>
      <c r="T109" s="431"/>
      <c r="U109" s="431"/>
      <c r="V109" s="431"/>
      <c r="W109" s="431"/>
      <c r="X109" s="431"/>
      <c r="Y109" s="431"/>
      <c r="Z109" s="431"/>
    </row>
    <row r="110" spans="1:26">
      <c r="A110" s="431"/>
      <c r="B110" s="431"/>
      <c r="C110" s="431"/>
      <c r="D110" s="431"/>
      <c r="E110" s="431"/>
      <c r="F110" s="431"/>
      <c r="G110" s="431"/>
      <c r="H110" s="431"/>
      <c r="I110" s="431"/>
      <c r="J110" s="431"/>
      <c r="K110" s="431"/>
      <c r="L110" s="431"/>
      <c r="M110" s="431"/>
      <c r="N110" s="431"/>
      <c r="O110" s="431"/>
      <c r="P110" s="431"/>
      <c r="Q110" s="431"/>
      <c r="R110" s="431"/>
      <c r="S110" s="431"/>
      <c r="T110" s="431"/>
      <c r="U110" s="431"/>
      <c r="V110" s="431"/>
      <c r="W110" s="431"/>
      <c r="X110" s="431"/>
      <c r="Y110" s="431"/>
      <c r="Z110" s="431"/>
    </row>
    <row r="111" spans="1:26">
      <c r="A111" s="431"/>
      <c r="B111" s="431"/>
      <c r="C111" s="431"/>
      <c r="D111" s="431"/>
      <c r="E111" s="431"/>
      <c r="F111" s="431"/>
      <c r="G111" s="431"/>
      <c r="H111" s="431"/>
      <c r="I111" s="431"/>
      <c r="J111" s="431"/>
      <c r="K111" s="431"/>
      <c r="L111" s="431"/>
      <c r="M111" s="431"/>
      <c r="N111" s="431"/>
      <c r="O111" s="431"/>
      <c r="P111" s="431"/>
      <c r="Q111" s="431"/>
      <c r="R111" s="431"/>
      <c r="S111" s="431"/>
      <c r="T111" s="431"/>
      <c r="U111" s="431"/>
      <c r="V111" s="431"/>
      <c r="W111" s="431"/>
      <c r="X111" s="431"/>
      <c r="Y111" s="431"/>
      <c r="Z111" s="431"/>
    </row>
    <row r="112" spans="1:26">
      <c r="A112" s="431"/>
      <c r="B112" s="431"/>
      <c r="C112" s="431"/>
      <c r="D112" s="431"/>
      <c r="E112" s="431"/>
      <c r="F112" s="431"/>
      <c r="G112" s="431"/>
      <c r="H112" s="431"/>
      <c r="I112" s="431"/>
      <c r="J112" s="431"/>
      <c r="K112" s="431"/>
      <c r="L112" s="431"/>
      <c r="M112" s="431"/>
      <c r="N112" s="431"/>
      <c r="O112" s="431"/>
      <c r="P112" s="431"/>
      <c r="Q112" s="431"/>
      <c r="R112" s="431"/>
      <c r="S112" s="431"/>
      <c r="T112" s="431"/>
      <c r="U112" s="431"/>
      <c r="V112" s="431"/>
      <c r="W112" s="431"/>
      <c r="X112" s="431"/>
      <c r="Y112" s="431"/>
      <c r="Z112" s="431"/>
    </row>
    <row r="113" spans="1:26">
      <c r="A113" s="431"/>
      <c r="B113" s="431"/>
      <c r="C113" s="431"/>
      <c r="D113" s="431"/>
      <c r="E113" s="431"/>
      <c r="F113" s="431"/>
      <c r="G113" s="431"/>
      <c r="H113" s="431"/>
      <c r="I113" s="431"/>
      <c r="J113" s="431"/>
      <c r="K113" s="431"/>
      <c r="L113" s="431"/>
      <c r="M113" s="431"/>
      <c r="N113" s="431"/>
      <c r="O113" s="431"/>
      <c r="P113" s="431"/>
      <c r="Q113" s="431"/>
      <c r="R113" s="431"/>
      <c r="S113" s="431"/>
      <c r="T113" s="431"/>
      <c r="U113" s="431"/>
      <c r="V113" s="431"/>
      <c r="W113" s="431"/>
      <c r="X113" s="431"/>
      <c r="Y113" s="431"/>
      <c r="Z113" s="431"/>
    </row>
    <row r="114" spans="1:26">
      <c r="A114" s="431"/>
      <c r="B114" s="431"/>
      <c r="C114" s="431"/>
      <c r="D114" s="431"/>
      <c r="E114" s="431"/>
      <c r="F114" s="431"/>
      <c r="G114" s="431"/>
      <c r="H114" s="431"/>
      <c r="I114" s="431"/>
      <c r="J114" s="431"/>
      <c r="K114" s="431"/>
      <c r="L114" s="431"/>
      <c r="M114" s="431"/>
      <c r="N114" s="431"/>
      <c r="O114" s="431"/>
      <c r="P114" s="431"/>
      <c r="Q114" s="431"/>
      <c r="R114" s="431"/>
      <c r="S114" s="431"/>
      <c r="T114" s="431"/>
      <c r="U114" s="431"/>
      <c r="V114" s="431"/>
      <c r="W114" s="431"/>
      <c r="X114" s="431"/>
      <c r="Y114" s="431"/>
      <c r="Z114" s="431"/>
    </row>
    <row r="115" spans="1:26">
      <c r="A115" s="431"/>
      <c r="B115" s="431"/>
      <c r="C115" s="431"/>
      <c r="D115" s="431"/>
      <c r="E115" s="431"/>
      <c r="F115" s="431"/>
      <c r="G115" s="431"/>
      <c r="H115" s="431"/>
      <c r="I115" s="431"/>
      <c r="J115" s="431"/>
      <c r="K115" s="431"/>
      <c r="L115" s="431"/>
      <c r="M115" s="431"/>
      <c r="N115" s="431"/>
      <c r="O115" s="431"/>
      <c r="P115" s="431"/>
      <c r="Q115" s="431"/>
      <c r="R115" s="431"/>
      <c r="S115" s="431"/>
      <c r="T115" s="431"/>
      <c r="U115" s="431"/>
      <c r="V115" s="431"/>
      <c r="W115" s="431"/>
      <c r="X115" s="431"/>
      <c r="Y115" s="431"/>
      <c r="Z115" s="431"/>
    </row>
    <row r="116" spans="1:26">
      <c r="A116" s="431"/>
      <c r="B116" s="431"/>
      <c r="C116" s="431"/>
      <c r="D116" s="431"/>
      <c r="E116" s="431"/>
      <c r="F116" s="431"/>
      <c r="G116" s="431"/>
      <c r="H116" s="431"/>
      <c r="I116" s="431"/>
      <c r="J116" s="431"/>
      <c r="K116" s="431"/>
      <c r="L116" s="431"/>
      <c r="M116" s="431"/>
      <c r="N116" s="431"/>
      <c r="O116" s="431"/>
      <c r="P116" s="431"/>
      <c r="Q116" s="431"/>
      <c r="R116" s="431"/>
      <c r="S116" s="431"/>
      <c r="T116" s="431"/>
      <c r="U116" s="431"/>
      <c r="V116" s="431"/>
      <c r="W116" s="431"/>
      <c r="X116" s="431"/>
      <c r="Y116" s="431"/>
      <c r="Z116" s="431"/>
    </row>
    <row r="117" spans="1:26">
      <c r="A117" s="431"/>
      <c r="B117" s="431"/>
      <c r="C117" s="431"/>
      <c r="D117" s="431"/>
      <c r="E117" s="431"/>
      <c r="F117" s="431"/>
      <c r="G117" s="431"/>
      <c r="H117" s="431"/>
      <c r="I117" s="431"/>
      <c r="J117" s="431"/>
      <c r="K117" s="431"/>
      <c r="L117" s="431"/>
      <c r="M117" s="431"/>
      <c r="N117" s="431"/>
      <c r="O117" s="431"/>
      <c r="P117" s="431"/>
      <c r="Q117" s="431"/>
      <c r="R117" s="431"/>
      <c r="S117" s="431"/>
      <c r="T117" s="431"/>
      <c r="U117" s="431"/>
      <c r="V117" s="431"/>
      <c r="W117" s="431"/>
      <c r="X117" s="431"/>
      <c r="Y117" s="431"/>
      <c r="Z117" s="431"/>
    </row>
    <row r="118" spans="1:26">
      <c r="A118" s="431"/>
      <c r="B118" s="431"/>
      <c r="C118" s="431"/>
      <c r="D118" s="431"/>
      <c r="E118" s="431"/>
      <c r="F118" s="431"/>
      <c r="G118" s="431"/>
      <c r="H118" s="431"/>
      <c r="I118" s="431"/>
      <c r="J118" s="431"/>
      <c r="K118" s="431"/>
      <c r="L118" s="431"/>
      <c r="M118" s="431"/>
      <c r="N118" s="431"/>
      <c r="O118" s="431"/>
      <c r="P118" s="431"/>
      <c r="Q118" s="431"/>
      <c r="R118" s="431"/>
      <c r="S118" s="431"/>
      <c r="T118" s="431"/>
      <c r="U118" s="431"/>
      <c r="V118" s="431"/>
      <c r="W118" s="431"/>
      <c r="X118" s="431"/>
      <c r="Y118" s="431"/>
      <c r="Z118" s="431"/>
    </row>
    <row r="119" spans="1:26">
      <c r="A119" s="431"/>
      <c r="B119" s="431"/>
      <c r="C119" s="431"/>
      <c r="D119" s="431"/>
      <c r="E119" s="431"/>
      <c r="F119" s="431"/>
      <c r="G119" s="431"/>
      <c r="H119" s="431"/>
      <c r="I119" s="431"/>
      <c r="J119" s="431"/>
      <c r="K119" s="431"/>
      <c r="L119" s="431"/>
      <c r="M119" s="431"/>
      <c r="N119" s="431"/>
      <c r="O119" s="431"/>
      <c r="P119" s="431"/>
      <c r="Q119" s="431"/>
      <c r="R119" s="431"/>
      <c r="S119" s="431"/>
      <c r="T119" s="431"/>
      <c r="U119" s="431"/>
      <c r="V119" s="431"/>
      <c r="W119" s="431"/>
      <c r="X119" s="431"/>
      <c r="Y119" s="431"/>
      <c r="Z119" s="431"/>
    </row>
    <row r="120" spans="1:26">
      <c r="A120" s="431"/>
      <c r="B120" s="431"/>
      <c r="C120" s="431"/>
      <c r="D120" s="431"/>
      <c r="E120" s="431"/>
      <c r="F120" s="431"/>
      <c r="G120" s="431"/>
      <c r="H120" s="431"/>
      <c r="I120" s="431"/>
      <c r="J120" s="431"/>
      <c r="K120" s="431"/>
      <c r="L120" s="431"/>
      <c r="M120" s="431"/>
      <c r="N120" s="431"/>
      <c r="O120" s="431"/>
      <c r="P120" s="431"/>
      <c r="Q120" s="431"/>
      <c r="R120" s="431"/>
      <c r="S120" s="431"/>
      <c r="T120" s="431"/>
      <c r="U120" s="431"/>
      <c r="V120" s="431"/>
      <c r="W120" s="431"/>
      <c r="X120" s="431"/>
      <c r="Y120" s="431"/>
      <c r="Z120" s="431"/>
    </row>
    <row r="121" spans="1:26">
      <c r="A121" s="431"/>
      <c r="B121" s="431"/>
      <c r="C121" s="431"/>
      <c r="D121" s="431"/>
      <c r="E121" s="431"/>
      <c r="F121" s="431"/>
      <c r="G121" s="431"/>
      <c r="H121" s="431"/>
      <c r="I121" s="431"/>
      <c r="J121" s="431"/>
      <c r="K121" s="431"/>
      <c r="L121" s="431"/>
      <c r="M121" s="431"/>
      <c r="N121" s="431"/>
      <c r="O121" s="431"/>
      <c r="P121" s="431"/>
      <c r="Q121" s="431"/>
      <c r="R121" s="431"/>
      <c r="S121" s="431"/>
      <c r="T121" s="431"/>
      <c r="U121" s="431"/>
      <c r="V121" s="431"/>
      <c r="W121" s="431"/>
      <c r="X121" s="431"/>
      <c r="Y121" s="431"/>
      <c r="Z121" s="431"/>
    </row>
    <row r="122" spans="1:26">
      <c r="A122" s="431"/>
      <c r="B122" s="431"/>
      <c r="C122" s="431"/>
      <c r="D122" s="431"/>
      <c r="E122" s="431"/>
      <c r="F122" s="431"/>
      <c r="G122" s="431"/>
      <c r="H122" s="431"/>
      <c r="I122" s="431"/>
      <c r="J122" s="431"/>
      <c r="K122" s="431"/>
      <c r="L122" s="431"/>
      <c r="M122" s="431"/>
      <c r="N122" s="431"/>
      <c r="O122" s="431"/>
      <c r="P122" s="431"/>
      <c r="Q122" s="431"/>
      <c r="R122" s="431"/>
      <c r="S122" s="431"/>
      <c r="T122" s="431"/>
      <c r="U122" s="431"/>
      <c r="V122" s="431"/>
      <c r="W122" s="431"/>
      <c r="X122" s="431"/>
      <c r="Y122" s="431"/>
      <c r="Z122" s="431"/>
    </row>
    <row r="123" spans="1:26">
      <c r="A123" s="431"/>
      <c r="B123" s="431"/>
      <c r="C123" s="431"/>
      <c r="D123" s="431"/>
      <c r="E123" s="431"/>
      <c r="F123" s="431"/>
      <c r="G123" s="431"/>
      <c r="H123" s="431"/>
      <c r="I123" s="431"/>
      <c r="J123" s="431"/>
      <c r="K123" s="431"/>
      <c r="L123" s="431"/>
      <c r="M123" s="431"/>
      <c r="N123" s="431"/>
      <c r="O123" s="431"/>
      <c r="P123" s="431"/>
      <c r="Q123" s="431"/>
      <c r="R123" s="431"/>
      <c r="S123" s="431"/>
      <c r="T123" s="431"/>
      <c r="U123" s="431"/>
      <c r="V123" s="431"/>
      <c r="W123" s="431"/>
      <c r="X123" s="431"/>
      <c r="Y123" s="431"/>
      <c r="Z123" s="431"/>
    </row>
    <row r="124" spans="1:26">
      <c r="A124" s="431"/>
      <c r="B124" s="431"/>
      <c r="C124" s="431"/>
      <c r="D124" s="431"/>
      <c r="E124" s="431"/>
      <c r="F124" s="431"/>
      <c r="G124" s="431"/>
      <c r="H124" s="431"/>
      <c r="I124" s="431"/>
      <c r="J124" s="431"/>
      <c r="K124" s="431"/>
      <c r="L124" s="431"/>
      <c r="M124" s="431"/>
      <c r="N124" s="431"/>
      <c r="O124" s="431"/>
      <c r="P124" s="431"/>
      <c r="Q124" s="431"/>
      <c r="R124" s="431"/>
      <c r="S124" s="431"/>
      <c r="T124" s="431"/>
      <c r="U124" s="431"/>
      <c r="V124" s="431"/>
      <c r="W124" s="431"/>
      <c r="X124" s="431"/>
      <c r="Y124" s="431"/>
      <c r="Z124" s="431"/>
    </row>
    <row r="125" spans="1:26">
      <c r="A125" s="431"/>
      <c r="B125" s="431"/>
      <c r="C125" s="431"/>
      <c r="D125" s="431"/>
      <c r="E125" s="431"/>
      <c r="F125" s="431"/>
      <c r="G125" s="431"/>
      <c r="H125" s="431"/>
      <c r="I125" s="431"/>
      <c r="J125" s="431"/>
      <c r="K125" s="431"/>
      <c r="L125" s="431"/>
      <c r="M125" s="431"/>
      <c r="N125" s="431"/>
      <c r="O125" s="431"/>
      <c r="P125" s="431"/>
      <c r="Q125" s="431"/>
      <c r="R125" s="431"/>
      <c r="S125" s="431"/>
      <c r="T125" s="431"/>
      <c r="U125" s="431"/>
      <c r="V125" s="431"/>
      <c r="W125" s="431"/>
      <c r="X125" s="431"/>
      <c r="Y125" s="431"/>
      <c r="Z125" s="431"/>
    </row>
    <row r="126" spans="1:26">
      <c r="A126" s="431"/>
      <c r="B126" s="431"/>
      <c r="C126" s="431"/>
      <c r="D126" s="431"/>
      <c r="E126" s="431"/>
      <c r="F126" s="431"/>
      <c r="G126" s="431"/>
      <c r="H126" s="431"/>
      <c r="I126" s="431"/>
      <c r="J126" s="431"/>
      <c r="K126" s="431"/>
      <c r="L126" s="431"/>
      <c r="M126" s="431"/>
      <c r="N126" s="431"/>
      <c r="O126" s="431"/>
      <c r="P126" s="431"/>
      <c r="Q126" s="431"/>
      <c r="R126" s="431"/>
      <c r="S126" s="431"/>
      <c r="T126" s="431"/>
      <c r="U126" s="431"/>
      <c r="V126" s="431"/>
      <c r="W126" s="431"/>
      <c r="X126" s="431"/>
      <c r="Y126" s="431"/>
      <c r="Z126" s="431"/>
    </row>
    <row r="127" spans="1:26">
      <c r="A127" s="431"/>
      <c r="B127" s="431"/>
      <c r="C127" s="431"/>
      <c r="D127" s="431"/>
      <c r="E127" s="431"/>
      <c r="F127" s="431"/>
      <c r="G127" s="431"/>
      <c r="H127" s="431"/>
      <c r="I127" s="431"/>
      <c r="J127" s="431"/>
      <c r="K127" s="431"/>
      <c r="L127" s="431"/>
      <c r="M127" s="431"/>
      <c r="N127" s="431"/>
      <c r="O127" s="431"/>
      <c r="P127" s="431"/>
      <c r="Q127" s="431"/>
      <c r="R127" s="431"/>
      <c r="S127" s="431"/>
      <c r="T127" s="431"/>
      <c r="U127" s="431"/>
      <c r="V127" s="431"/>
      <c r="W127" s="431"/>
      <c r="X127" s="431"/>
      <c r="Y127" s="431"/>
      <c r="Z127" s="431"/>
    </row>
    <row r="128" spans="1:26">
      <c r="A128" s="431"/>
      <c r="B128" s="431"/>
      <c r="C128" s="431"/>
      <c r="D128" s="431"/>
      <c r="E128" s="431"/>
      <c r="F128" s="431"/>
      <c r="G128" s="431"/>
      <c r="H128" s="431"/>
      <c r="I128" s="431"/>
      <c r="J128" s="431"/>
      <c r="K128" s="431"/>
      <c r="L128" s="431"/>
      <c r="M128" s="431"/>
      <c r="N128" s="431"/>
      <c r="O128" s="431"/>
      <c r="P128" s="431"/>
      <c r="Q128" s="431"/>
      <c r="R128" s="431"/>
      <c r="S128" s="431"/>
      <c r="T128" s="431"/>
      <c r="U128" s="431"/>
      <c r="V128" s="431"/>
      <c r="W128" s="431"/>
      <c r="X128" s="431"/>
      <c r="Y128" s="431"/>
      <c r="Z128" s="431"/>
    </row>
    <row r="129" spans="1:26">
      <c r="A129" s="431"/>
      <c r="B129" s="431"/>
      <c r="C129" s="431"/>
      <c r="D129" s="431"/>
      <c r="E129" s="431"/>
      <c r="F129" s="431"/>
      <c r="G129" s="431"/>
      <c r="H129" s="431"/>
      <c r="I129" s="431"/>
      <c r="J129" s="431"/>
      <c r="K129" s="431"/>
      <c r="L129" s="431"/>
      <c r="M129" s="431"/>
      <c r="N129" s="431"/>
      <c r="O129" s="431"/>
      <c r="P129" s="431"/>
      <c r="Q129" s="431"/>
      <c r="R129" s="431"/>
      <c r="S129" s="431"/>
      <c r="T129" s="431"/>
      <c r="U129" s="431"/>
      <c r="V129" s="431"/>
      <c r="W129" s="431"/>
      <c r="X129" s="431"/>
      <c r="Y129" s="431"/>
      <c r="Z129" s="431"/>
    </row>
    <row r="130" spans="1:26">
      <c r="A130" s="431"/>
      <c r="B130" s="431"/>
      <c r="C130" s="431"/>
      <c r="D130" s="431"/>
      <c r="E130" s="431"/>
      <c r="F130" s="431"/>
      <c r="G130" s="431"/>
      <c r="H130" s="431"/>
      <c r="I130" s="431"/>
      <c r="J130" s="431"/>
      <c r="K130" s="431"/>
      <c r="L130" s="431"/>
      <c r="M130" s="431"/>
      <c r="N130" s="431"/>
      <c r="O130" s="431"/>
      <c r="P130" s="431"/>
      <c r="Q130" s="431"/>
      <c r="R130" s="431"/>
      <c r="S130" s="431"/>
      <c r="T130" s="431"/>
      <c r="U130" s="431"/>
      <c r="V130" s="431"/>
      <c r="W130" s="431"/>
      <c r="X130" s="431"/>
      <c r="Y130" s="431"/>
      <c r="Z130" s="431"/>
    </row>
    <row r="131" spans="1:26">
      <c r="A131" s="431"/>
      <c r="B131" s="431"/>
      <c r="C131" s="431"/>
      <c r="D131" s="431"/>
      <c r="E131" s="431"/>
      <c r="F131" s="431"/>
      <c r="G131" s="431"/>
      <c r="H131" s="431"/>
      <c r="I131" s="431"/>
      <c r="J131" s="431"/>
      <c r="K131" s="431"/>
      <c r="L131" s="431"/>
      <c r="M131" s="431"/>
      <c r="N131" s="431"/>
      <c r="O131" s="431"/>
      <c r="P131" s="431"/>
      <c r="Q131" s="431"/>
      <c r="R131" s="431"/>
      <c r="S131" s="431"/>
      <c r="T131" s="431"/>
      <c r="U131" s="431"/>
      <c r="V131" s="431"/>
      <c r="W131" s="431"/>
      <c r="X131" s="431"/>
      <c r="Y131" s="431"/>
      <c r="Z131" s="431"/>
    </row>
    <row r="132" spans="1:26">
      <c r="A132" s="431"/>
      <c r="B132" s="431"/>
      <c r="C132" s="431"/>
      <c r="D132" s="431"/>
      <c r="E132" s="431"/>
      <c r="F132" s="431"/>
      <c r="G132" s="431"/>
      <c r="H132" s="431"/>
      <c r="I132" s="431"/>
      <c r="J132" s="431"/>
      <c r="K132" s="431"/>
      <c r="L132" s="431"/>
      <c r="M132" s="431"/>
      <c r="N132" s="431"/>
      <c r="O132" s="431"/>
      <c r="P132" s="431"/>
      <c r="Q132" s="431"/>
      <c r="R132" s="431"/>
      <c r="S132" s="431"/>
      <c r="T132" s="431"/>
      <c r="U132" s="431"/>
      <c r="V132" s="431"/>
      <c r="W132" s="431"/>
      <c r="X132" s="431"/>
      <c r="Y132" s="431"/>
      <c r="Z132" s="431"/>
    </row>
    <row r="133" spans="1:26">
      <c r="A133" s="431"/>
      <c r="B133" s="431"/>
      <c r="C133" s="431"/>
      <c r="D133" s="431"/>
      <c r="E133" s="431"/>
      <c r="F133" s="431"/>
      <c r="G133" s="431"/>
      <c r="H133" s="431"/>
      <c r="I133" s="431"/>
      <c r="J133" s="431"/>
      <c r="K133" s="431"/>
      <c r="L133" s="431"/>
      <c r="M133" s="431"/>
      <c r="N133" s="431"/>
      <c r="O133" s="431"/>
      <c r="P133" s="431"/>
      <c r="Q133" s="431"/>
      <c r="R133" s="431"/>
      <c r="S133" s="431"/>
      <c r="T133" s="431"/>
      <c r="U133" s="431"/>
      <c r="V133" s="431"/>
      <c r="W133" s="431"/>
      <c r="X133" s="431"/>
      <c r="Y133" s="431"/>
      <c r="Z133" s="431"/>
    </row>
    <row r="134" spans="1:26">
      <c r="A134" s="431"/>
      <c r="B134" s="431"/>
      <c r="C134" s="431"/>
      <c r="D134" s="431"/>
      <c r="E134" s="431"/>
      <c r="F134" s="431"/>
      <c r="G134" s="431"/>
      <c r="H134" s="431"/>
      <c r="I134" s="431"/>
      <c r="J134" s="431"/>
      <c r="K134" s="431"/>
      <c r="L134" s="431"/>
      <c r="M134" s="431"/>
      <c r="N134" s="431"/>
      <c r="O134" s="431"/>
      <c r="P134" s="431"/>
      <c r="Q134" s="431"/>
      <c r="R134" s="431"/>
      <c r="S134" s="431"/>
      <c r="T134" s="431"/>
      <c r="U134" s="431"/>
      <c r="V134" s="431"/>
      <c r="W134" s="431"/>
      <c r="X134" s="431"/>
      <c r="Y134" s="431"/>
      <c r="Z134" s="431"/>
    </row>
    <row r="135" spans="1:26">
      <c r="A135" s="431"/>
      <c r="B135" s="431"/>
      <c r="C135" s="431"/>
      <c r="D135" s="431"/>
      <c r="E135" s="431"/>
      <c r="F135" s="431"/>
      <c r="G135" s="431"/>
      <c r="H135" s="431"/>
      <c r="I135" s="431"/>
      <c r="J135" s="431"/>
      <c r="K135" s="431"/>
      <c r="L135" s="431"/>
      <c r="M135" s="431"/>
      <c r="N135" s="431"/>
      <c r="O135" s="431"/>
      <c r="P135" s="431"/>
      <c r="Q135" s="431"/>
      <c r="R135" s="431"/>
      <c r="S135" s="431"/>
      <c r="T135" s="431"/>
      <c r="U135" s="431"/>
      <c r="V135" s="431"/>
      <c r="W135" s="431"/>
      <c r="X135" s="431"/>
      <c r="Y135" s="431"/>
      <c r="Z135" s="431"/>
    </row>
    <row r="136" spans="1:26">
      <c r="A136" s="431"/>
      <c r="B136" s="431"/>
      <c r="C136" s="431"/>
      <c r="D136" s="431"/>
      <c r="E136" s="431"/>
      <c r="F136" s="431"/>
      <c r="G136" s="431"/>
      <c r="H136" s="431"/>
      <c r="I136" s="431"/>
      <c r="J136" s="431"/>
      <c r="K136" s="431"/>
      <c r="L136" s="431"/>
      <c r="M136" s="431"/>
      <c r="N136" s="431"/>
      <c r="O136" s="431"/>
      <c r="P136" s="431"/>
      <c r="Q136" s="431"/>
      <c r="R136" s="431"/>
      <c r="S136" s="431"/>
      <c r="T136" s="431"/>
      <c r="U136" s="431"/>
      <c r="V136" s="431"/>
      <c r="W136" s="431"/>
      <c r="X136" s="431"/>
      <c r="Y136" s="431"/>
      <c r="Z136" s="431"/>
    </row>
    <row r="137" spans="1:26">
      <c r="A137" s="431"/>
      <c r="B137" s="431"/>
      <c r="C137" s="431"/>
      <c r="D137" s="431"/>
      <c r="E137" s="431"/>
      <c r="F137" s="431"/>
      <c r="G137" s="431"/>
      <c r="H137" s="431"/>
      <c r="I137" s="431"/>
      <c r="J137" s="431"/>
      <c r="K137" s="431"/>
      <c r="L137" s="431"/>
      <c r="M137" s="431"/>
      <c r="N137" s="431"/>
      <c r="O137" s="431"/>
      <c r="P137" s="431"/>
      <c r="Q137" s="431"/>
      <c r="R137" s="431"/>
      <c r="S137" s="431"/>
      <c r="T137" s="431"/>
      <c r="U137" s="431"/>
      <c r="V137" s="431"/>
      <c r="W137" s="431"/>
      <c r="X137" s="431"/>
      <c r="Y137" s="431"/>
      <c r="Z137" s="431"/>
    </row>
    <row r="138" spans="1:26">
      <c r="A138" s="431"/>
      <c r="B138" s="431"/>
      <c r="C138" s="431"/>
      <c r="D138" s="431"/>
      <c r="E138" s="431"/>
      <c r="F138" s="431"/>
      <c r="G138" s="431"/>
      <c r="H138" s="431"/>
      <c r="I138" s="431"/>
      <c r="J138" s="431"/>
      <c r="K138" s="431"/>
      <c r="L138" s="431"/>
      <c r="M138" s="431"/>
      <c r="N138" s="431"/>
      <c r="O138" s="431"/>
      <c r="P138" s="431"/>
      <c r="Q138" s="431"/>
      <c r="R138" s="431"/>
      <c r="S138" s="431"/>
      <c r="T138" s="431"/>
      <c r="U138" s="431"/>
      <c r="V138" s="431"/>
      <c r="W138" s="431"/>
      <c r="X138" s="431"/>
      <c r="Y138" s="431"/>
      <c r="Z138" s="431"/>
    </row>
    <row r="139" spans="1:26">
      <c r="A139" s="431"/>
      <c r="B139" s="431"/>
      <c r="C139" s="431"/>
      <c r="D139" s="431"/>
      <c r="E139" s="431"/>
      <c r="F139" s="431"/>
      <c r="G139" s="431"/>
      <c r="H139" s="431"/>
      <c r="I139" s="431"/>
      <c r="J139" s="431"/>
      <c r="K139" s="431"/>
      <c r="L139" s="431"/>
      <c r="M139" s="431"/>
      <c r="N139" s="431"/>
      <c r="O139" s="431"/>
      <c r="P139" s="431"/>
      <c r="Q139" s="431"/>
      <c r="R139" s="431"/>
      <c r="S139" s="431"/>
      <c r="T139" s="431"/>
      <c r="U139" s="431"/>
      <c r="V139" s="431"/>
      <c r="W139" s="431"/>
      <c r="X139" s="431"/>
      <c r="Y139" s="431"/>
      <c r="Z139" s="431"/>
    </row>
    <row r="140" spans="1:26">
      <c r="A140" s="431"/>
      <c r="B140" s="431"/>
      <c r="C140" s="431"/>
      <c r="D140" s="431"/>
      <c r="E140" s="431"/>
      <c r="F140" s="431"/>
      <c r="G140" s="431"/>
      <c r="H140" s="431"/>
      <c r="I140" s="431"/>
      <c r="J140" s="431"/>
      <c r="K140" s="431"/>
      <c r="L140" s="431"/>
      <c r="M140" s="431"/>
      <c r="N140" s="431"/>
      <c r="O140" s="431"/>
      <c r="P140" s="431"/>
      <c r="Q140" s="431"/>
      <c r="R140" s="431"/>
      <c r="S140" s="431"/>
      <c r="T140" s="431"/>
      <c r="U140" s="431"/>
      <c r="V140" s="431"/>
      <c r="W140" s="431"/>
      <c r="X140" s="431"/>
      <c r="Y140" s="431"/>
      <c r="Z140" s="431"/>
    </row>
    <row r="141" spans="1:26">
      <c r="A141" s="431"/>
      <c r="B141" s="431"/>
      <c r="C141" s="431"/>
      <c r="D141" s="431"/>
      <c r="E141" s="431"/>
      <c r="F141" s="431"/>
      <c r="G141" s="431"/>
      <c r="H141" s="431"/>
      <c r="I141" s="431"/>
      <c r="J141" s="431"/>
      <c r="K141" s="431"/>
      <c r="L141" s="431"/>
      <c r="M141" s="431"/>
      <c r="N141" s="431"/>
      <c r="O141" s="431"/>
      <c r="P141" s="431"/>
      <c r="Q141" s="431"/>
      <c r="R141" s="431"/>
      <c r="S141" s="431"/>
      <c r="T141" s="431"/>
      <c r="U141" s="431"/>
      <c r="V141" s="431"/>
      <c r="W141" s="431"/>
      <c r="X141" s="431"/>
      <c r="Y141" s="431"/>
      <c r="Z141" s="431"/>
    </row>
    <row r="142" spans="1:26">
      <c r="A142" s="431"/>
      <c r="B142" s="431"/>
      <c r="C142" s="431"/>
      <c r="D142" s="431"/>
      <c r="E142" s="431"/>
      <c r="F142" s="431"/>
      <c r="G142" s="431"/>
      <c r="H142" s="431"/>
      <c r="I142" s="431"/>
      <c r="J142" s="431"/>
      <c r="K142" s="431"/>
      <c r="L142" s="431"/>
      <c r="M142" s="431"/>
      <c r="N142" s="431"/>
      <c r="O142" s="431"/>
      <c r="P142" s="431"/>
      <c r="Q142" s="431"/>
      <c r="R142" s="431"/>
      <c r="S142" s="431"/>
      <c r="T142" s="431"/>
      <c r="U142" s="431"/>
      <c r="V142" s="431"/>
      <c r="W142" s="431"/>
      <c r="X142" s="431"/>
      <c r="Y142" s="431"/>
      <c r="Z142" s="431"/>
    </row>
    <row r="143" spans="1:26">
      <c r="A143" s="431"/>
      <c r="B143" s="431"/>
      <c r="C143" s="431"/>
      <c r="D143" s="431"/>
      <c r="E143" s="431"/>
      <c r="F143" s="431"/>
      <c r="G143" s="431"/>
      <c r="H143" s="431"/>
      <c r="I143" s="431"/>
      <c r="J143" s="431"/>
      <c r="K143" s="431"/>
      <c r="L143" s="431"/>
      <c r="M143" s="431"/>
      <c r="N143" s="431"/>
      <c r="O143" s="431"/>
      <c r="P143" s="431"/>
      <c r="Q143" s="431"/>
      <c r="R143" s="431"/>
      <c r="S143" s="431"/>
      <c r="T143" s="431"/>
      <c r="U143" s="431"/>
      <c r="V143" s="431"/>
      <c r="W143" s="431"/>
      <c r="X143" s="431"/>
      <c r="Y143" s="431"/>
      <c r="Z143" s="431"/>
    </row>
    <row r="144" spans="1:26">
      <c r="A144" s="431"/>
      <c r="B144" s="431"/>
      <c r="C144" s="431"/>
      <c r="D144" s="431"/>
      <c r="E144" s="431"/>
      <c r="F144" s="431"/>
      <c r="G144" s="431"/>
      <c r="H144" s="431"/>
      <c r="I144" s="431"/>
      <c r="J144" s="431"/>
      <c r="K144" s="431"/>
      <c r="L144" s="431"/>
      <c r="M144" s="431"/>
      <c r="N144" s="431"/>
      <c r="O144" s="431"/>
      <c r="P144" s="431"/>
      <c r="Q144" s="431"/>
      <c r="R144" s="431"/>
      <c r="S144" s="431"/>
      <c r="T144" s="431"/>
      <c r="U144" s="431"/>
      <c r="V144" s="431"/>
      <c r="W144" s="431"/>
      <c r="X144" s="431"/>
      <c r="Y144" s="431"/>
      <c r="Z144" s="431"/>
    </row>
    <row r="145" spans="1:26">
      <c r="A145" s="431"/>
      <c r="B145" s="431"/>
      <c r="C145" s="431"/>
      <c r="D145" s="431"/>
      <c r="E145" s="431"/>
      <c r="F145" s="431"/>
      <c r="G145" s="431"/>
      <c r="H145" s="431"/>
      <c r="I145" s="431"/>
      <c r="J145" s="431"/>
      <c r="K145" s="431"/>
      <c r="L145" s="431"/>
      <c r="M145" s="431"/>
      <c r="N145" s="431"/>
      <c r="O145" s="431"/>
      <c r="P145" s="431"/>
      <c r="Q145" s="431"/>
      <c r="R145" s="431"/>
      <c r="S145" s="431"/>
      <c r="T145" s="431"/>
      <c r="U145" s="431"/>
      <c r="V145" s="431"/>
      <c r="W145" s="431"/>
      <c r="X145" s="431"/>
      <c r="Y145" s="431"/>
      <c r="Z145" s="431"/>
    </row>
    <row r="146" spans="1:26">
      <c r="A146" s="431"/>
      <c r="B146" s="431"/>
      <c r="C146" s="431"/>
      <c r="D146" s="431"/>
      <c r="E146" s="431"/>
      <c r="F146" s="431"/>
      <c r="G146" s="431"/>
      <c r="H146" s="431"/>
      <c r="I146" s="431"/>
      <c r="J146" s="431"/>
      <c r="K146" s="431"/>
      <c r="L146" s="431"/>
      <c r="M146" s="431"/>
      <c r="N146" s="431"/>
      <c r="O146" s="431"/>
      <c r="P146" s="431"/>
      <c r="Q146" s="431"/>
      <c r="R146" s="431"/>
      <c r="S146" s="431"/>
      <c r="T146" s="431"/>
      <c r="U146" s="431"/>
      <c r="V146" s="431"/>
      <c r="W146" s="431"/>
      <c r="X146" s="431"/>
      <c r="Y146" s="431"/>
      <c r="Z146" s="431"/>
    </row>
    <row r="147" spans="1:26">
      <c r="A147" s="431"/>
      <c r="B147" s="431"/>
      <c r="C147" s="431"/>
      <c r="D147" s="431"/>
      <c r="E147" s="431"/>
      <c r="F147" s="431"/>
      <c r="G147" s="431"/>
      <c r="H147" s="431"/>
      <c r="I147" s="431"/>
      <c r="J147" s="431"/>
      <c r="K147" s="431"/>
      <c r="L147" s="431"/>
      <c r="M147" s="431"/>
      <c r="N147" s="431"/>
      <c r="O147" s="431"/>
      <c r="P147" s="431"/>
      <c r="Q147" s="431"/>
      <c r="R147" s="431"/>
      <c r="S147" s="431"/>
      <c r="T147" s="431"/>
      <c r="U147" s="431"/>
      <c r="V147" s="431"/>
      <c r="W147" s="431"/>
      <c r="X147" s="431"/>
      <c r="Y147" s="431"/>
      <c r="Z147" s="431"/>
    </row>
    <row r="148" spans="1:26">
      <c r="A148" s="431"/>
      <c r="B148" s="431"/>
      <c r="C148" s="431"/>
      <c r="D148" s="431"/>
      <c r="E148" s="431"/>
      <c r="F148" s="431"/>
      <c r="G148" s="431"/>
      <c r="H148" s="431"/>
      <c r="I148" s="431"/>
      <c r="J148" s="431"/>
      <c r="K148" s="431"/>
      <c r="L148" s="431"/>
      <c r="M148" s="431"/>
      <c r="N148" s="431"/>
      <c r="O148" s="431"/>
      <c r="P148" s="431"/>
      <c r="Q148" s="431"/>
      <c r="R148" s="431"/>
      <c r="S148" s="431"/>
      <c r="T148" s="431"/>
      <c r="U148" s="431"/>
      <c r="V148" s="431"/>
      <c r="W148" s="431"/>
      <c r="X148" s="431"/>
      <c r="Y148" s="431"/>
      <c r="Z148" s="431"/>
    </row>
    <row r="149" spans="1:26">
      <c r="A149" s="431"/>
      <c r="B149" s="431"/>
      <c r="C149" s="431"/>
      <c r="D149" s="431"/>
      <c r="E149" s="431"/>
      <c r="F149" s="431"/>
      <c r="G149" s="431"/>
      <c r="H149" s="431"/>
      <c r="I149" s="431"/>
      <c r="J149" s="431"/>
      <c r="K149" s="431"/>
      <c r="L149" s="431"/>
      <c r="M149" s="431"/>
      <c r="N149" s="431"/>
      <c r="O149" s="431"/>
      <c r="P149" s="431"/>
      <c r="Q149" s="431"/>
      <c r="R149" s="431"/>
      <c r="S149" s="431"/>
      <c r="T149" s="431"/>
      <c r="U149" s="431"/>
      <c r="V149" s="431"/>
      <c r="W149" s="431"/>
      <c r="X149" s="431"/>
      <c r="Y149" s="431"/>
      <c r="Z149" s="431"/>
    </row>
    <row r="150" spans="1:26">
      <c r="A150" s="431"/>
      <c r="B150" s="431"/>
      <c r="C150" s="431"/>
      <c r="D150" s="431"/>
      <c r="E150" s="431"/>
      <c r="F150" s="431"/>
      <c r="G150" s="431"/>
      <c r="H150" s="431"/>
      <c r="I150" s="431"/>
      <c r="J150" s="431"/>
      <c r="K150" s="431"/>
      <c r="L150" s="431"/>
      <c r="M150" s="431"/>
      <c r="N150" s="431"/>
      <c r="O150" s="431"/>
      <c r="P150" s="431"/>
      <c r="Q150" s="431"/>
      <c r="R150" s="431"/>
      <c r="S150" s="431"/>
      <c r="T150" s="431"/>
      <c r="U150" s="431"/>
      <c r="V150" s="431"/>
      <c r="W150" s="431"/>
      <c r="X150" s="431"/>
      <c r="Y150" s="431"/>
      <c r="Z150" s="431"/>
    </row>
    <row r="151" spans="1:26">
      <c r="A151" s="431"/>
      <c r="B151" s="431"/>
      <c r="C151" s="431"/>
      <c r="D151" s="431"/>
      <c r="E151" s="431"/>
      <c r="F151" s="431"/>
      <c r="G151" s="431"/>
      <c r="H151" s="431"/>
      <c r="I151" s="431"/>
      <c r="J151" s="431"/>
      <c r="K151" s="431"/>
      <c r="L151" s="431"/>
      <c r="M151" s="431"/>
      <c r="N151" s="431"/>
      <c r="O151" s="431"/>
      <c r="P151" s="431"/>
      <c r="Q151" s="431"/>
      <c r="R151" s="431"/>
      <c r="S151" s="431"/>
      <c r="T151" s="431"/>
      <c r="U151" s="431"/>
      <c r="V151" s="431"/>
      <c r="W151" s="431"/>
      <c r="X151" s="431"/>
      <c r="Y151" s="431"/>
      <c r="Z151" s="431"/>
    </row>
    <row r="152" spans="1:26">
      <c r="A152" s="431"/>
      <c r="B152" s="431"/>
      <c r="C152" s="431"/>
      <c r="D152" s="431"/>
      <c r="E152" s="431"/>
      <c r="F152" s="431"/>
      <c r="G152" s="431"/>
      <c r="H152" s="431"/>
      <c r="I152" s="431"/>
      <c r="J152" s="431"/>
      <c r="K152" s="431"/>
      <c r="L152" s="431"/>
      <c r="M152" s="431"/>
      <c r="N152" s="431"/>
      <c r="O152" s="431"/>
      <c r="P152" s="431"/>
      <c r="Q152" s="431"/>
      <c r="R152" s="431"/>
      <c r="S152" s="431"/>
      <c r="T152" s="431"/>
      <c r="U152" s="431"/>
      <c r="V152" s="431"/>
      <c r="W152" s="431"/>
      <c r="X152" s="431"/>
      <c r="Y152" s="431"/>
      <c r="Z152" s="431"/>
    </row>
    <row r="153" spans="1:26">
      <c r="A153" s="431"/>
      <c r="B153" s="431"/>
      <c r="C153" s="431"/>
      <c r="D153" s="431"/>
      <c r="E153" s="431"/>
      <c r="F153" s="431"/>
      <c r="G153" s="431"/>
      <c r="H153" s="431"/>
      <c r="I153" s="431"/>
      <c r="J153" s="431"/>
      <c r="K153" s="431"/>
      <c r="L153" s="431"/>
      <c r="M153" s="431"/>
      <c r="N153" s="431"/>
      <c r="O153" s="431"/>
      <c r="P153" s="431"/>
      <c r="Q153" s="431"/>
      <c r="R153" s="431"/>
      <c r="S153" s="431"/>
      <c r="T153" s="431"/>
      <c r="U153" s="431"/>
      <c r="V153" s="431"/>
      <c r="W153" s="431"/>
      <c r="X153" s="431"/>
      <c r="Y153" s="431"/>
      <c r="Z153" s="431"/>
    </row>
    <row r="154" spans="1:26">
      <c r="A154" s="431"/>
      <c r="B154" s="431"/>
      <c r="C154" s="431"/>
      <c r="D154" s="431"/>
      <c r="E154" s="431"/>
      <c r="F154" s="431"/>
      <c r="G154" s="431"/>
      <c r="H154" s="431"/>
      <c r="I154" s="431"/>
      <c r="J154" s="431"/>
      <c r="K154" s="431"/>
      <c r="L154" s="431"/>
      <c r="M154" s="431"/>
      <c r="N154" s="431"/>
      <c r="O154" s="431"/>
      <c r="P154" s="431"/>
      <c r="Q154" s="431"/>
      <c r="R154" s="431"/>
      <c r="S154" s="431"/>
      <c r="T154" s="431"/>
      <c r="U154" s="431"/>
      <c r="V154" s="431"/>
      <c r="W154" s="431"/>
      <c r="X154" s="431"/>
      <c r="Y154" s="431"/>
      <c r="Z154" s="431"/>
    </row>
    <row r="155" spans="1:26">
      <c r="A155" s="431"/>
      <c r="B155" s="431"/>
      <c r="C155" s="431"/>
      <c r="D155" s="431"/>
      <c r="E155" s="431"/>
      <c r="F155" s="431"/>
      <c r="G155" s="431"/>
      <c r="H155" s="431"/>
      <c r="I155" s="431"/>
      <c r="J155" s="431"/>
      <c r="K155" s="431"/>
      <c r="L155" s="431"/>
      <c r="M155" s="431"/>
      <c r="N155" s="431"/>
      <c r="O155" s="431"/>
      <c r="P155" s="431"/>
      <c r="Q155" s="431"/>
      <c r="R155" s="431"/>
      <c r="S155" s="431"/>
      <c r="T155" s="431"/>
      <c r="U155" s="431"/>
      <c r="V155" s="431"/>
      <c r="W155" s="431"/>
      <c r="X155" s="431"/>
      <c r="Y155" s="431"/>
      <c r="Z155" s="431"/>
    </row>
    <row r="156" spans="1:26">
      <c r="A156" s="431"/>
      <c r="B156" s="431"/>
      <c r="C156" s="431"/>
      <c r="D156" s="431"/>
      <c r="E156" s="431"/>
      <c r="F156" s="431"/>
      <c r="G156" s="431"/>
      <c r="H156" s="431"/>
      <c r="I156" s="431"/>
      <c r="J156" s="431"/>
      <c r="K156" s="431"/>
      <c r="L156" s="431"/>
      <c r="M156" s="431"/>
      <c r="N156" s="431"/>
      <c r="O156" s="431"/>
      <c r="P156" s="431"/>
      <c r="Q156" s="431"/>
      <c r="R156" s="431"/>
      <c r="S156" s="431"/>
      <c r="T156" s="431"/>
      <c r="U156" s="431"/>
      <c r="V156" s="431"/>
      <c r="W156" s="431"/>
      <c r="X156" s="431"/>
      <c r="Y156" s="431"/>
      <c r="Z156" s="431"/>
    </row>
    <row r="157" spans="1:26">
      <c r="A157" s="431"/>
      <c r="B157" s="431"/>
      <c r="C157" s="431"/>
      <c r="D157" s="431"/>
      <c r="E157" s="431"/>
      <c r="F157" s="431"/>
      <c r="G157" s="431"/>
      <c r="H157" s="431"/>
      <c r="I157" s="431"/>
      <c r="J157" s="431"/>
      <c r="K157" s="431"/>
      <c r="L157" s="431"/>
      <c r="M157" s="431"/>
      <c r="N157" s="431"/>
      <c r="O157" s="431"/>
      <c r="P157" s="431"/>
      <c r="Q157" s="431"/>
      <c r="R157" s="431"/>
      <c r="S157" s="431"/>
      <c r="T157" s="431"/>
      <c r="U157" s="431"/>
      <c r="V157" s="431"/>
      <c r="W157" s="431"/>
      <c r="X157" s="431"/>
      <c r="Y157" s="431"/>
      <c r="Z157" s="431"/>
    </row>
    <row r="158" spans="1:26">
      <c r="A158" s="431"/>
      <c r="B158" s="431"/>
      <c r="C158" s="431"/>
      <c r="D158" s="431"/>
      <c r="E158" s="431"/>
      <c r="F158" s="431"/>
      <c r="G158" s="431"/>
      <c r="H158" s="431"/>
      <c r="I158" s="431"/>
      <c r="J158" s="431"/>
      <c r="K158" s="431"/>
      <c r="L158" s="431"/>
      <c r="M158" s="431"/>
      <c r="N158" s="431"/>
      <c r="O158" s="431"/>
      <c r="P158" s="431"/>
      <c r="Q158" s="431"/>
      <c r="R158" s="431"/>
      <c r="S158" s="431"/>
      <c r="T158" s="431"/>
      <c r="U158" s="431"/>
      <c r="V158" s="431"/>
      <c r="W158" s="431"/>
      <c r="X158" s="431"/>
      <c r="Y158" s="431"/>
      <c r="Z158" s="431"/>
    </row>
    <row r="159" spans="1:26">
      <c r="A159" s="431"/>
      <c r="B159" s="431"/>
      <c r="C159" s="431"/>
      <c r="D159" s="431"/>
      <c r="E159" s="431"/>
      <c r="F159" s="431"/>
      <c r="G159" s="431"/>
      <c r="H159" s="431"/>
      <c r="I159" s="431"/>
      <c r="J159" s="431"/>
      <c r="K159" s="431"/>
      <c r="L159" s="431"/>
      <c r="M159" s="431"/>
      <c r="N159" s="431"/>
      <c r="O159" s="431"/>
      <c r="P159" s="431"/>
      <c r="Q159" s="431"/>
      <c r="R159" s="431"/>
      <c r="S159" s="431"/>
      <c r="T159" s="431"/>
      <c r="U159" s="431"/>
      <c r="V159" s="431"/>
      <c r="W159" s="431"/>
      <c r="X159" s="431"/>
      <c r="Y159" s="431"/>
      <c r="Z159" s="431"/>
    </row>
    <row r="160" spans="1:26">
      <c r="A160" s="431"/>
      <c r="B160" s="431"/>
      <c r="C160" s="431"/>
      <c r="D160" s="431"/>
      <c r="E160" s="431"/>
      <c r="F160" s="431"/>
      <c r="G160" s="431"/>
      <c r="H160" s="431"/>
      <c r="I160" s="431"/>
      <c r="J160" s="431"/>
      <c r="K160" s="431"/>
      <c r="L160" s="431"/>
      <c r="M160" s="431"/>
      <c r="N160" s="431"/>
      <c r="O160" s="431"/>
      <c r="P160" s="431"/>
      <c r="Q160" s="431"/>
      <c r="R160" s="431"/>
      <c r="S160" s="431"/>
      <c r="T160" s="431"/>
      <c r="U160" s="431"/>
      <c r="V160" s="431"/>
      <c r="W160" s="431"/>
      <c r="X160" s="431"/>
      <c r="Y160" s="431"/>
      <c r="Z160" s="431"/>
    </row>
    <row r="161" spans="1:26">
      <c r="A161" s="431"/>
      <c r="B161" s="431"/>
      <c r="C161" s="431"/>
      <c r="D161" s="431"/>
      <c r="E161" s="431"/>
      <c r="F161" s="431"/>
      <c r="G161" s="431"/>
      <c r="H161" s="431"/>
      <c r="I161" s="431"/>
      <c r="J161" s="431"/>
      <c r="K161" s="431"/>
      <c r="L161" s="431"/>
      <c r="M161" s="431"/>
      <c r="N161" s="431"/>
      <c r="O161" s="431"/>
      <c r="P161" s="431"/>
      <c r="Q161" s="431"/>
      <c r="R161" s="431"/>
      <c r="S161" s="431"/>
      <c r="T161" s="431"/>
      <c r="U161" s="431"/>
      <c r="V161" s="431"/>
      <c r="W161" s="431"/>
      <c r="X161" s="431"/>
      <c r="Y161" s="431"/>
      <c r="Z161" s="431"/>
    </row>
    <row r="162" spans="1:26">
      <c r="A162" s="431"/>
      <c r="B162" s="431"/>
      <c r="C162" s="431"/>
      <c r="D162" s="431"/>
      <c r="E162" s="431"/>
      <c r="F162" s="431"/>
      <c r="G162" s="431"/>
      <c r="H162" s="431"/>
      <c r="I162" s="431"/>
      <c r="J162" s="431"/>
      <c r="K162" s="431"/>
      <c r="L162" s="431"/>
      <c r="M162" s="431"/>
      <c r="N162" s="431"/>
      <c r="O162" s="431"/>
      <c r="P162" s="431"/>
      <c r="Q162" s="431"/>
      <c r="R162" s="431"/>
      <c r="S162" s="431"/>
      <c r="T162" s="431"/>
      <c r="U162" s="431"/>
      <c r="V162" s="431"/>
      <c r="W162" s="431"/>
      <c r="X162" s="431"/>
      <c r="Y162" s="431"/>
      <c r="Z162" s="431"/>
    </row>
    <row r="163" spans="1:26">
      <c r="A163" s="431"/>
      <c r="B163" s="431"/>
      <c r="C163" s="431"/>
      <c r="D163" s="431"/>
      <c r="E163" s="431"/>
      <c r="F163" s="431"/>
      <c r="G163" s="431"/>
      <c r="H163" s="431"/>
      <c r="I163" s="431"/>
      <c r="J163" s="431"/>
      <c r="K163" s="431"/>
      <c r="L163" s="431"/>
      <c r="M163" s="431"/>
      <c r="N163" s="431"/>
      <c r="O163" s="431"/>
      <c r="P163" s="431"/>
      <c r="Q163" s="431"/>
      <c r="R163" s="431"/>
      <c r="S163" s="431"/>
      <c r="T163" s="431"/>
      <c r="U163" s="431"/>
      <c r="V163" s="431"/>
      <c r="W163" s="431"/>
      <c r="X163" s="431"/>
      <c r="Y163" s="431"/>
      <c r="Z163" s="431"/>
    </row>
    <row r="164" spans="1:26">
      <c r="A164" s="431"/>
      <c r="B164" s="431"/>
      <c r="C164" s="431"/>
      <c r="D164" s="431"/>
      <c r="E164" s="431"/>
      <c r="F164" s="431"/>
      <c r="G164" s="431"/>
      <c r="H164" s="431"/>
      <c r="I164" s="431"/>
      <c r="J164" s="431"/>
      <c r="K164" s="431"/>
      <c r="L164" s="431"/>
      <c r="M164" s="431"/>
      <c r="N164" s="431"/>
      <c r="O164" s="431"/>
      <c r="P164" s="431"/>
      <c r="Q164" s="431"/>
      <c r="R164" s="431"/>
      <c r="S164" s="431"/>
      <c r="T164" s="431"/>
      <c r="U164" s="431"/>
      <c r="V164" s="431"/>
      <c r="W164" s="431"/>
      <c r="X164" s="431"/>
      <c r="Y164" s="431"/>
      <c r="Z164" s="431"/>
    </row>
    <row r="165" spans="1:26">
      <c r="A165" s="431"/>
      <c r="B165" s="431"/>
      <c r="C165" s="431"/>
      <c r="D165" s="431"/>
      <c r="E165" s="431"/>
      <c r="F165" s="431"/>
      <c r="G165" s="431"/>
      <c r="H165" s="431"/>
      <c r="I165" s="431"/>
      <c r="J165" s="431"/>
      <c r="K165" s="431"/>
      <c r="L165" s="431"/>
      <c r="M165" s="431"/>
      <c r="N165" s="431"/>
      <c r="O165" s="431"/>
      <c r="P165" s="431"/>
      <c r="Q165" s="431"/>
      <c r="R165" s="431"/>
      <c r="S165" s="431"/>
      <c r="T165" s="431"/>
      <c r="U165" s="431"/>
      <c r="V165" s="431"/>
      <c r="W165" s="431"/>
      <c r="X165" s="431"/>
      <c r="Y165" s="431"/>
      <c r="Z165" s="431"/>
    </row>
    <row r="166" spans="1:26">
      <c r="A166" s="431"/>
      <c r="B166" s="431"/>
      <c r="C166" s="431"/>
      <c r="D166" s="431"/>
      <c r="E166" s="431"/>
      <c r="F166" s="431"/>
      <c r="G166" s="431"/>
      <c r="H166" s="431"/>
      <c r="I166" s="431"/>
      <c r="J166" s="431"/>
      <c r="K166" s="431"/>
      <c r="L166" s="431"/>
      <c r="M166" s="431"/>
      <c r="N166" s="431"/>
      <c r="O166" s="431"/>
      <c r="P166" s="431"/>
      <c r="Q166" s="431"/>
      <c r="R166" s="431"/>
      <c r="S166" s="431"/>
      <c r="T166" s="431"/>
      <c r="U166" s="431"/>
      <c r="V166" s="431"/>
      <c r="W166" s="431"/>
      <c r="X166" s="431"/>
      <c r="Y166" s="431"/>
      <c r="Z166" s="431"/>
    </row>
    <row r="167" spans="1:26">
      <c r="A167" s="431"/>
      <c r="B167" s="431"/>
      <c r="C167" s="431"/>
      <c r="D167" s="431"/>
      <c r="E167" s="431"/>
      <c r="F167" s="431"/>
      <c r="G167" s="431"/>
      <c r="H167" s="431"/>
      <c r="I167" s="431"/>
      <c r="J167" s="431"/>
      <c r="K167" s="431"/>
      <c r="L167" s="431"/>
      <c r="M167" s="431"/>
      <c r="N167" s="431"/>
      <c r="O167" s="431"/>
      <c r="P167" s="431"/>
      <c r="Q167" s="431"/>
      <c r="R167" s="431"/>
      <c r="S167" s="431"/>
      <c r="T167" s="431"/>
      <c r="U167" s="431"/>
      <c r="V167" s="431"/>
      <c r="W167" s="431"/>
      <c r="X167" s="431"/>
      <c r="Y167" s="431"/>
      <c r="Z167" s="431"/>
    </row>
    <row r="168" spans="1:26">
      <c r="A168" s="431"/>
      <c r="B168" s="431"/>
      <c r="C168" s="431"/>
      <c r="D168" s="431"/>
      <c r="E168" s="431"/>
      <c r="F168" s="431"/>
      <c r="G168" s="431"/>
      <c r="H168" s="431"/>
      <c r="I168" s="431"/>
      <c r="J168" s="431"/>
      <c r="K168" s="431"/>
      <c r="L168" s="431"/>
      <c r="M168" s="431"/>
      <c r="N168" s="431"/>
      <c r="O168" s="431"/>
      <c r="P168" s="431"/>
      <c r="Q168" s="431"/>
      <c r="R168" s="431"/>
      <c r="S168" s="431"/>
      <c r="T168" s="431"/>
      <c r="U168" s="431"/>
      <c r="V168" s="431"/>
      <c r="W168" s="431"/>
      <c r="X168" s="431"/>
      <c r="Y168" s="431"/>
      <c r="Z168" s="431"/>
    </row>
    <row r="169" spans="1:26">
      <c r="A169" s="431"/>
      <c r="B169" s="431"/>
      <c r="C169" s="431"/>
      <c r="D169" s="431"/>
      <c r="E169" s="431"/>
      <c r="F169" s="431"/>
      <c r="G169" s="431"/>
      <c r="H169" s="431"/>
      <c r="I169" s="431"/>
      <c r="J169" s="431"/>
      <c r="K169" s="431"/>
      <c r="L169" s="431"/>
      <c r="M169" s="431"/>
      <c r="N169" s="431"/>
      <c r="O169" s="431"/>
      <c r="P169" s="431"/>
      <c r="Q169" s="431"/>
      <c r="R169" s="431"/>
      <c r="S169" s="431"/>
      <c r="T169" s="431"/>
      <c r="U169" s="431"/>
      <c r="V169" s="431"/>
      <c r="W169" s="431"/>
      <c r="X169" s="431"/>
      <c r="Y169" s="431"/>
      <c r="Z169" s="431"/>
    </row>
    <row r="170" spans="1:26">
      <c r="A170" s="431"/>
      <c r="B170" s="431"/>
      <c r="C170" s="431"/>
      <c r="D170" s="431"/>
      <c r="E170" s="431"/>
      <c r="F170" s="431"/>
      <c r="G170" s="431"/>
      <c r="H170" s="431"/>
      <c r="I170" s="431"/>
      <c r="J170" s="431"/>
      <c r="K170" s="431"/>
      <c r="L170" s="431"/>
      <c r="M170" s="431"/>
      <c r="N170" s="431"/>
      <c r="O170" s="431"/>
      <c r="P170" s="431"/>
      <c r="Q170" s="431"/>
      <c r="R170" s="431"/>
      <c r="S170" s="431"/>
      <c r="T170" s="431"/>
      <c r="U170" s="431"/>
      <c r="V170" s="431"/>
      <c r="W170" s="431"/>
      <c r="X170" s="431"/>
      <c r="Y170" s="431"/>
      <c r="Z170" s="431"/>
    </row>
    <row r="171" spans="1:26">
      <c r="A171" s="431"/>
      <c r="B171" s="431"/>
      <c r="C171" s="431"/>
      <c r="D171" s="431"/>
      <c r="E171" s="431"/>
      <c r="F171" s="431"/>
      <c r="G171" s="431"/>
      <c r="H171" s="431"/>
      <c r="I171" s="431"/>
      <c r="J171" s="431"/>
      <c r="K171" s="431"/>
      <c r="L171" s="431"/>
      <c r="M171" s="431"/>
      <c r="N171" s="431"/>
      <c r="O171" s="431"/>
      <c r="P171" s="431"/>
      <c r="Q171" s="431"/>
      <c r="R171" s="431"/>
      <c r="S171" s="431"/>
      <c r="T171" s="431"/>
      <c r="U171" s="431"/>
      <c r="V171" s="431"/>
      <c r="W171" s="431"/>
      <c r="X171" s="431"/>
      <c r="Y171" s="431"/>
      <c r="Z171" s="431"/>
    </row>
    <row r="172" spans="1:26">
      <c r="A172" s="431"/>
      <c r="B172" s="431"/>
      <c r="C172" s="431"/>
      <c r="D172" s="431"/>
      <c r="E172" s="431"/>
      <c r="F172" s="431"/>
      <c r="G172" s="431"/>
      <c r="H172" s="431"/>
      <c r="I172" s="431"/>
      <c r="J172" s="431"/>
      <c r="K172" s="431"/>
      <c r="L172" s="431"/>
      <c r="M172" s="431"/>
      <c r="N172" s="431"/>
      <c r="O172" s="431"/>
      <c r="P172" s="431"/>
      <c r="Q172" s="431"/>
      <c r="R172" s="431"/>
      <c r="S172" s="431"/>
      <c r="T172" s="431"/>
      <c r="U172" s="431"/>
      <c r="V172" s="431"/>
      <c r="W172" s="431"/>
      <c r="X172" s="431"/>
      <c r="Y172" s="431"/>
      <c r="Z172" s="431"/>
    </row>
    <row r="173" spans="1:26">
      <c r="A173" s="431"/>
      <c r="B173" s="431"/>
      <c r="C173" s="431"/>
      <c r="D173" s="431"/>
      <c r="E173" s="431"/>
      <c r="F173" s="431"/>
      <c r="G173" s="431"/>
      <c r="H173" s="431"/>
      <c r="I173" s="431"/>
      <c r="J173" s="431"/>
      <c r="K173" s="431"/>
      <c r="L173" s="431"/>
      <c r="M173" s="431"/>
      <c r="N173" s="431"/>
      <c r="O173" s="431"/>
      <c r="P173" s="431"/>
      <c r="Q173" s="431"/>
      <c r="R173" s="431"/>
      <c r="S173" s="431"/>
      <c r="T173" s="431"/>
      <c r="U173" s="431"/>
      <c r="V173" s="431"/>
      <c r="W173" s="431"/>
      <c r="X173" s="431"/>
      <c r="Y173" s="431"/>
      <c r="Z173" s="431"/>
    </row>
    <row r="174" spans="1:26">
      <c r="A174" s="431"/>
      <c r="B174" s="431"/>
      <c r="C174" s="431"/>
      <c r="D174" s="431"/>
      <c r="E174" s="431"/>
      <c r="F174" s="431"/>
      <c r="G174" s="431"/>
      <c r="H174" s="431"/>
      <c r="I174" s="431"/>
      <c r="J174" s="431"/>
      <c r="K174" s="431"/>
      <c r="L174" s="431"/>
      <c r="M174" s="431"/>
      <c r="N174" s="431"/>
      <c r="O174" s="431"/>
      <c r="P174" s="431"/>
      <c r="Q174" s="431"/>
      <c r="R174" s="431"/>
      <c r="S174" s="431"/>
      <c r="T174" s="431"/>
      <c r="U174" s="431"/>
      <c r="V174" s="431"/>
      <c r="W174" s="431"/>
      <c r="X174" s="431"/>
      <c r="Y174" s="431"/>
      <c r="Z174" s="431"/>
    </row>
    <row r="175" spans="1:26">
      <c r="A175" s="431"/>
      <c r="B175" s="431"/>
      <c r="C175" s="431"/>
      <c r="D175" s="431"/>
      <c r="E175" s="431"/>
      <c r="F175" s="431"/>
      <c r="G175" s="431"/>
      <c r="H175" s="431"/>
      <c r="I175" s="431"/>
      <c r="J175" s="431"/>
      <c r="K175" s="431"/>
      <c r="L175" s="431"/>
      <c r="M175" s="431"/>
      <c r="N175" s="431"/>
      <c r="O175" s="431"/>
      <c r="P175" s="431"/>
      <c r="Q175" s="431"/>
      <c r="R175" s="431"/>
      <c r="S175" s="431"/>
      <c r="T175" s="431"/>
      <c r="U175" s="431"/>
      <c r="V175" s="431"/>
      <c r="W175" s="431"/>
      <c r="X175" s="431"/>
      <c r="Y175" s="431"/>
      <c r="Z175" s="431"/>
    </row>
    <row r="176" spans="1:26">
      <c r="A176" s="431"/>
      <c r="B176" s="431"/>
      <c r="C176" s="431"/>
      <c r="D176" s="431"/>
      <c r="E176" s="431"/>
      <c r="F176" s="431"/>
      <c r="G176" s="431"/>
      <c r="H176" s="431"/>
      <c r="I176" s="431"/>
      <c r="J176" s="431"/>
      <c r="K176" s="431"/>
      <c r="L176" s="431"/>
      <c r="M176" s="431"/>
      <c r="N176" s="431"/>
      <c r="O176" s="431"/>
      <c r="P176" s="431"/>
      <c r="Q176" s="431"/>
      <c r="R176" s="431"/>
      <c r="S176" s="431"/>
      <c r="T176" s="431"/>
      <c r="U176" s="431"/>
      <c r="V176" s="431"/>
      <c r="W176" s="431"/>
      <c r="X176" s="431"/>
      <c r="Y176" s="431"/>
      <c r="Z176" s="431"/>
    </row>
    <row r="177" spans="1:26">
      <c r="A177" s="431"/>
      <c r="B177" s="431"/>
      <c r="C177" s="431"/>
      <c r="D177" s="431"/>
      <c r="E177" s="431"/>
      <c r="F177" s="431"/>
      <c r="G177" s="431"/>
      <c r="H177" s="431"/>
      <c r="I177" s="431"/>
      <c r="J177" s="431"/>
      <c r="K177" s="431"/>
      <c r="L177" s="431"/>
      <c r="M177" s="431"/>
      <c r="N177" s="431"/>
      <c r="O177" s="431"/>
      <c r="P177" s="431"/>
      <c r="Q177" s="431"/>
      <c r="R177" s="431"/>
      <c r="S177" s="431"/>
      <c r="T177" s="431"/>
      <c r="U177" s="431"/>
      <c r="V177" s="431"/>
      <c r="W177" s="431"/>
      <c r="X177" s="431"/>
      <c r="Y177" s="431"/>
      <c r="Z177" s="431"/>
    </row>
    <row r="178" spans="1:26">
      <c r="A178" s="431"/>
      <c r="B178" s="431"/>
      <c r="C178" s="431"/>
      <c r="D178" s="431"/>
      <c r="E178" s="431"/>
      <c r="F178" s="431"/>
      <c r="G178" s="431"/>
      <c r="H178" s="431"/>
      <c r="I178" s="431"/>
      <c r="J178" s="431"/>
      <c r="K178" s="431"/>
      <c r="L178" s="431"/>
      <c r="M178" s="431"/>
      <c r="N178" s="431"/>
      <c r="O178" s="431"/>
      <c r="P178" s="431"/>
      <c r="Q178" s="431"/>
      <c r="R178" s="431"/>
      <c r="S178" s="431"/>
      <c r="T178" s="431"/>
      <c r="U178" s="431"/>
      <c r="V178" s="431"/>
      <c r="W178" s="431"/>
      <c r="X178" s="431"/>
      <c r="Y178" s="431"/>
      <c r="Z178" s="431"/>
    </row>
    <row r="179" spans="1:26">
      <c r="A179" s="431"/>
      <c r="B179" s="431"/>
      <c r="C179" s="431"/>
      <c r="D179" s="431"/>
      <c r="E179" s="431"/>
      <c r="F179" s="431"/>
      <c r="G179" s="431"/>
      <c r="H179" s="431"/>
      <c r="I179" s="431"/>
      <c r="J179" s="431"/>
      <c r="K179" s="431"/>
      <c r="L179" s="431"/>
      <c r="M179" s="431"/>
      <c r="N179" s="431"/>
      <c r="O179" s="431"/>
      <c r="P179" s="431"/>
      <c r="Q179" s="431"/>
      <c r="R179" s="431"/>
      <c r="S179" s="431"/>
      <c r="T179" s="431"/>
      <c r="U179" s="431"/>
      <c r="V179" s="431"/>
      <c r="W179" s="431"/>
      <c r="X179" s="431"/>
      <c r="Y179" s="431"/>
      <c r="Z179" s="431"/>
    </row>
    <row r="180" spans="1:26">
      <c r="A180" s="431"/>
      <c r="B180" s="431"/>
      <c r="C180" s="431"/>
      <c r="D180" s="431"/>
      <c r="E180" s="431"/>
      <c r="F180" s="431"/>
      <c r="G180" s="431"/>
      <c r="H180" s="431"/>
      <c r="I180" s="431"/>
      <c r="J180" s="431"/>
      <c r="K180" s="431"/>
      <c r="L180" s="431"/>
      <c r="M180" s="431"/>
      <c r="N180" s="431"/>
      <c r="O180" s="431"/>
      <c r="P180" s="431"/>
      <c r="Q180" s="431"/>
      <c r="R180" s="431"/>
      <c r="S180" s="431"/>
      <c r="T180" s="431"/>
      <c r="U180" s="431"/>
      <c r="V180" s="431"/>
      <c r="W180" s="431"/>
      <c r="X180" s="431"/>
      <c r="Y180" s="431"/>
      <c r="Z180" s="431"/>
    </row>
    <row r="181" spans="1:26">
      <c r="A181" s="431"/>
      <c r="B181" s="431"/>
      <c r="C181" s="431"/>
      <c r="D181" s="431"/>
      <c r="E181" s="431"/>
      <c r="F181" s="431"/>
      <c r="G181" s="431"/>
      <c r="H181" s="431"/>
      <c r="I181" s="431"/>
      <c r="J181" s="431"/>
      <c r="K181" s="431"/>
      <c r="L181" s="431"/>
      <c r="M181" s="431"/>
      <c r="N181" s="431"/>
      <c r="O181" s="431"/>
      <c r="P181" s="431"/>
      <c r="Q181" s="431"/>
      <c r="R181" s="431"/>
      <c r="S181" s="431"/>
      <c r="T181" s="431"/>
      <c r="U181" s="431"/>
      <c r="V181" s="431"/>
      <c r="W181" s="431"/>
      <c r="X181" s="431"/>
      <c r="Y181" s="431"/>
      <c r="Z181" s="431"/>
    </row>
    <row r="182" spans="1:26">
      <c r="A182" s="431"/>
      <c r="B182" s="431"/>
      <c r="C182" s="431"/>
      <c r="D182" s="431"/>
      <c r="E182" s="431"/>
      <c r="F182" s="431"/>
      <c r="G182" s="431"/>
      <c r="H182" s="431"/>
      <c r="I182" s="431"/>
      <c r="J182" s="431"/>
      <c r="K182" s="431"/>
      <c r="L182" s="431"/>
      <c r="M182" s="431"/>
      <c r="N182" s="431"/>
      <c r="O182" s="431"/>
      <c r="P182" s="431"/>
      <c r="Q182" s="431"/>
      <c r="R182" s="431"/>
      <c r="S182" s="431"/>
      <c r="T182" s="431"/>
      <c r="U182" s="431"/>
      <c r="V182" s="431"/>
      <c r="W182" s="431"/>
      <c r="X182" s="431"/>
      <c r="Y182" s="431"/>
      <c r="Z182" s="431"/>
    </row>
    <row r="183" spans="1:26">
      <c r="A183" s="431"/>
      <c r="B183" s="431"/>
      <c r="C183" s="431"/>
      <c r="D183" s="431"/>
      <c r="E183" s="431"/>
      <c r="F183" s="431"/>
      <c r="G183" s="431"/>
      <c r="H183" s="431"/>
      <c r="I183" s="431"/>
      <c r="J183" s="431"/>
      <c r="K183" s="431"/>
      <c r="L183" s="431"/>
      <c r="M183" s="431"/>
      <c r="N183" s="431"/>
      <c r="O183" s="431"/>
      <c r="P183" s="431"/>
      <c r="Q183" s="431"/>
      <c r="R183" s="431"/>
      <c r="S183" s="431"/>
      <c r="T183" s="431"/>
      <c r="U183" s="431"/>
      <c r="V183" s="431"/>
      <c r="W183" s="431"/>
      <c r="X183" s="431"/>
      <c r="Y183" s="431"/>
      <c r="Z183" s="431"/>
    </row>
  </sheetData>
  <sheetProtection algorithmName="SHA-512" hashValue="lUDpDKH8aJP46IcYg9XoQs4cfLncVehgfHqLKrQ6G52Vud4YOFYT62NuMhzg7PDUMGOtyfZopDDW13bqn01/6A==" saltValue="6V9VPYacXUGnVYtgLZRb+w==" spinCount="100000" sheet="1" objects="1" scenarios="1"/>
  <mergeCells count="12">
    <mergeCell ref="C22:F24"/>
    <mergeCell ref="B5:F9"/>
    <mergeCell ref="B10:F14"/>
    <mergeCell ref="B15:F15"/>
    <mergeCell ref="C18:F19"/>
    <mergeCell ref="C20:F21"/>
    <mergeCell ref="C55:F61"/>
    <mergeCell ref="C30:F34"/>
    <mergeCell ref="C35:F37"/>
    <mergeCell ref="C41:F45"/>
    <mergeCell ref="C25:F26"/>
    <mergeCell ref="C46:F48"/>
  </mergeCells>
  <hyperlinks>
    <hyperlink ref="G1" location="Guide" display="Guide"/>
    <hyperlink ref="G2" location="Input" display="Input"/>
  </hyperlinks>
  <pageMargins left="0.7" right="0.7" top="0.75" bottom="0.75" header="0.3" footer="0.3"/>
  <pageSetup paperSize="9" scale="44" orientation="portrait" horizontalDpi="300" r:id="rId1"/>
  <headerFooter>
    <oddFooter>&amp;LNova Scotia Exploration Economics Model&amp;Rwww.indeva.com</oddFooter>
  </headerFooter>
  <colBreaks count="1" manualBreakCount="1">
    <brk id="14"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FFFF00"/>
    <pageSetUpPr fitToPage="1"/>
  </sheetPr>
  <dimension ref="A1:W38"/>
  <sheetViews>
    <sheetView showGridLines="0" showRowColHeaders="0" zoomScale="80" zoomScaleNormal="80" workbookViewId="0">
      <selection activeCell="F23" sqref="F23"/>
    </sheetView>
  </sheetViews>
  <sheetFormatPr defaultRowHeight="14.5"/>
  <cols>
    <col min="2" max="2" width="13.81640625" customWidth="1"/>
    <col min="3" max="3" width="18.26953125" customWidth="1"/>
    <col min="4" max="4" width="18.7265625" customWidth="1"/>
    <col min="6" max="6" width="17.54296875" customWidth="1"/>
    <col min="7" max="7" width="12.26953125" customWidth="1"/>
    <col min="8" max="8" width="13" customWidth="1"/>
    <col min="9" max="9" width="12.1796875" customWidth="1"/>
    <col min="10" max="10" width="10.7265625" customWidth="1"/>
  </cols>
  <sheetData>
    <row r="1" spans="1:23">
      <c r="A1" s="93"/>
      <c r="B1" s="93"/>
      <c r="C1" s="93"/>
      <c r="D1" s="93"/>
      <c r="E1" s="93"/>
      <c r="F1" s="93"/>
      <c r="G1" s="93"/>
      <c r="H1" s="93"/>
      <c r="I1" s="93"/>
      <c r="J1" s="93"/>
      <c r="K1" s="93"/>
      <c r="L1" s="93"/>
      <c r="M1" s="93"/>
      <c r="N1" s="93"/>
      <c r="O1" s="93"/>
      <c r="P1" s="93"/>
      <c r="Q1" s="93"/>
      <c r="R1" s="93"/>
      <c r="S1" s="93"/>
      <c r="T1" s="93"/>
      <c r="U1" s="93"/>
      <c r="V1" s="93"/>
      <c r="W1" s="93"/>
    </row>
    <row r="2" spans="1:23">
      <c r="A2" s="93"/>
      <c r="B2" s="533" t="s">
        <v>926</v>
      </c>
      <c r="C2" s="534"/>
      <c r="D2" s="534"/>
      <c r="E2" s="534"/>
      <c r="F2" s="534"/>
      <c r="G2" s="534"/>
      <c r="H2" s="534"/>
      <c r="I2" s="534"/>
      <c r="J2" s="534"/>
      <c r="K2" s="534"/>
      <c r="L2" s="534"/>
      <c r="M2" s="534"/>
      <c r="N2" s="534"/>
      <c r="O2" s="534"/>
      <c r="P2" s="534"/>
      <c r="Q2" s="534"/>
      <c r="R2" s="535"/>
      <c r="S2" s="93"/>
      <c r="T2" s="93"/>
      <c r="U2" s="93"/>
      <c r="V2" s="93"/>
      <c r="W2" s="93"/>
    </row>
    <row r="3" spans="1:23">
      <c r="A3" s="93"/>
      <c r="B3" s="536"/>
      <c r="C3" s="537"/>
      <c r="D3" s="537"/>
      <c r="E3" s="537"/>
      <c r="F3" s="537"/>
      <c r="G3" s="537"/>
      <c r="H3" s="537"/>
      <c r="I3" s="537"/>
      <c r="J3" s="537"/>
      <c r="K3" s="537"/>
      <c r="L3" s="537"/>
      <c r="M3" s="537"/>
      <c r="N3" s="537"/>
      <c r="O3" s="537"/>
      <c r="P3" s="537"/>
      <c r="Q3" s="537"/>
      <c r="R3" s="538"/>
      <c r="S3" s="93"/>
      <c r="T3" s="93"/>
      <c r="U3" s="93"/>
      <c r="V3" s="93"/>
      <c r="W3" s="93"/>
    </row>
    <row r="4" spans="1:23">
      <c r="A4" s="93"/>
      <c r="B4" s="93"/>
      <c r="C4" s="93"/>
      <c r="D4" s="93"/>
      <c r="E4" s="93"/>
      <c r="F4" s="93"/>
      <c r="G4" s="93"/>
      <c r="H4" s="93"/>
      <c r="I4" s="93"/>
      <c r="J4" s="93"/>
      <c r="K4" s="93"/>
      <c r="L4" s="93"/>
      <c r="M4" s="93"/>
      <c r="N4" s="93"/>
      <c r="O4" s="93"/>
      <c r="P4" s="93"/>
      <c r="Q4" s="93"/>
      <c r="R4" s="93"/>
      <c r="S4" s="93"/>
      <c r="T4" s="93"/>
      <c r="U4" s="93"/>
      <c r="V4" s="93"/>
      <c r="W4" s="93"/>
    </row>
    <row r="5" spans="1:23" ht="43.5">
      <c r="A5" s="93"/>
      <c r="B5" s="427" t="s">
        <v>927</v>
      </c>
      <c r="C5" s="427" t="s">
        <v>928</v>
      </c>
      <c r="D5" s="427" t="s">
        <v>929</v>
      </c>
      <c r="E5" s="427" t="s">
        <v>373</v>
      </c>
      <c r="F5" s="428" t="s">
        <v>930</v>
      </c>
      <c r="G5" s="428" t="s">
        <v>931</v>
      </c>
      <c r="H5" s="428" t="s">
        <v>932</v>
      </c>
      <c r="I5" s="428" t="s">
        <v>933</v>
      </c>
      <c r="J5" s="428" t="s">
        <v>934</v>
      </c>
      <c r="K5" s="428" t="s">
        <v>935</v>
      </c>
      <c r="L5" s="428" t="s">
        <v>936</v>
      </c>
      <c r="M5" s="428" t="s">
        <v>937</v>
      </c>
      <c r="N5" s="428" t="s">
        <v>938</v>
      </c>
      <c r="O5" s="428" t="s">
        <v>939</v>
      </c>
      <c r="P5" s="428" t="s">
        <v>940</v>
      </c>
      <c r="Q5" s="428" t="s">
        <v>941</v>
      </c>
      <c r="R5" s="428" t="s">
        <v>942</v>
      </c>
      <c r="S5" s="93"/>
      <c r="T5" s="93"/>
      <c r="U5" s="93"/>
      <c r="V5" s="93"/>
      <c r="W5" s="93"/>
    </row>
    <row r="6" spans="1:23">
      <c r="A6" s="93"/>
      <c r="B6" s="157" t="s">
        <v>924</v>
      </c>
      <c r="C6" s="157" t="s">
        <v>943</v>
      </c>
      <c r="D6" s="157" t="s">
        <v>944</v>
      </c>
      <c r="E6" s="157" t="s">
        <v>945</v>
      </c>
      <c r="F6" s="157" t="s">
        <v>946</v>
      </c>
      <c r="G6" s="157" t="s">
        <v>947</v>
      </c>
      <c r="H6" s="157" t="s">
        <v>948</v>
      </c>
      <c r="I6" s="157" t="s">
        <v>949</v>
      </c>
      <c r="J6" s="429">
        <v>36761</v>
      </c>
      <c r="K6" s="157">
        <v>42</v>
      </c>
      <c r="L6" s="157">
        <v>3823</v>
      </c>
      <c r="M6" s="157">
        <v>85</v>
      </c>
      <c r="N6" s="157">
        <v>3</v>
      </c>
      <c r="O6" s="157">
        <v>56</v>
      </c>
      <c r="P6" s="157">
        <v>26</v>
      </c>
      <c r="Q6" s="157">
        <v>5</v>
      </c>
      <c r="R6" s="157">
        <v>68</v>
      </c>
      <c r="S6" s="93"/>
      <c r="T6" s="93"/>
      <c r="U6" s="93"/>
      <c r="V6" s="93"/>
      <c r="W6" s="93"/>
    </row>
    <row r="7" spans="1:23">
      <c r="A7" s="93"/>
      <c r="B7" s="159" t="s">
        <v>924</v>
      </c>
      <c r="C7" s="159" t="s">
        <v>943</v>
      </c>
      <c r="D7" s="159" t="s">
        <v>944</v>
      </c>
      <c r="E7" s="159" t="s">
        <v>950</v>
      </c>
      <c r="F7" s="159" t="s">
        <v>946</v>
      </c>
      <c r="G7" s="159" t="s">
        <v>951</v>
      </c>
      <c r="H7" s="159" t="s">
        <v>952</v>
      </c>
      <c r="I7" s="159" t="s">
        <v>953</v>
      </c>
      <c r="J7" s="430">
        <v>36719</v>
      </c>
      <c r="K7" s="159">
        <v>44</v>
      </c>
      <c r="L7" s="159">
        <v>4598</v>
      </c>
      <c r="M7" s="159">
        <v>81</v>
      </c>
      <c r="N7" s="159">
        <v>0</v>
      </c>
      <c r="O7" s="159">
        <v>78</v>
      </c>
      <c r="P7" s="159">
        <v>3</v>
      </c>
      <c r="Q7" s="159">
        <v>4</v>
      </c>
      <c r="R7" s="159">
        <v>58</v>
      </c>
      <c r="S7" s="93"/>
      <c r="T7" s="93"/>
      <c r="U7" s="93"/>
      <c r="V7" s="93"/>
      <c r="W7" s="93"/>
    </row>
    <row r="8" spans="1:23">
      <c r="A8" s="93"/>
      <c r="B8" s="159" t="s">
        <v>924</v>
      </c>
      <c r="C8" s="159" t="s">
        <v>943</v>
      </c>
      <c r="D8" s="159" t="s">
        <v>954</v>
      </c>
      <c r="E8" s="159"/>
      <c r="F8" s="159" t="s">
        <v>946</v>
      </c>
      <c r="G8" s="159" t="s">
        <v>955</v>
      </c>
      <c r="H8" s="159" t="s">
        <v>956</v>
      </c>
      <c r="I8" s="159" t="s">
        <v>957</v>
      </c>
      <c r="J8" s="430">
        <v>37073</v>
      </c>
      <c r="K8" s="159">
        <v>47</v>
      </c>
      <c r="L8" s="159">
        <v>3823</v>
      </c>
      <c r="M8" s="159">
        <v>67</v>
      </c>
      <c r="N8" s="159">
        <v>5</v>
      </c>
      <c r="O8" s="159">
        <v>51</v>
      </c>
      <c r="P8" s="159">
        <v>11</v>
      </c>
      <c r="Q8" s="159">
        <v>4</v>
      </c>
      <c r="R8" s="159">
        <v>74</v>
      </c>
      <c r="S8" s="93"/>
      <c r="T8" s="93"/>
      <c r="U8" s="93"/>
      <c r="V8" s="93"/>
      <c r="W8" s="93"/>
    </row>
    <row r="9" spans="1:23">
      <c r="A9" s="93"/>
      <c r="B9" s="159" t="s">
        <v>924</v>
      </c>
      <c r="C9" s="159" t="s">
        <v>943</v>
      </c>
      <c r="D9" s="159" t="s">
        <v>958</v>
      </c>
      <c r="E9" s="159" t="s">
        <v>959</v>
      </c>
      <c r="F9" s="159" t="s">
        <v>960</v>
      </c>
      <c r="G9" s="159" t="s">
        <v>955</v>
      </c>
      <c r="H9" s="159" t="s">
        <v>961</v>
      </c>
      <c r="I9" s="159" t="s">
        <v>962</v>
      </c>
      <c r="J9" s="430">
        <v>37239</v>
      </c>
      <c r="K9" s="159">
        <v>38</v>
      </c>
      <c r="L9" s="159">
        <v>4443</v>
      </c>
      <c r="M9" s="159">
        <v>65</v>
      </c>
      <c r="N9" s="159">
        <v>3</v>
      </c>
      <c r="O9" s="159">
        <v>54</v>
      </c>
      <c r="P9" s="159">
        <v>9</v>
      </c>
      <c r="Q9" s="159">
        <v>5</v>
      </c>
      <c r="R9" s="159">
        <v>82</v>
      </c>
      <c r="S9" s="93"/>
      <c r="T9" s="93"/>
      <c r="U9" s="93"/>
      <c r="V9" s="93"/>
      <c r="W9" s="93"/>
    </row>
    <row r="10" spans="1:23">
      <c r="A10" s="93"/>
      <c r="B10" s="159" t="s">
        <v>924</v>
      </c>
      <c r="C10" s="159" t="s">
        <v>943</v>
      </c>
      <c r="D10" s="159" t="s">
        <v>963</v>
      </c>
      <c r="E10" s="159" t="s">
        <v>964</v>
      </c>
      <c r="F10" s="159" t="s">
        <v>965</v>
      </c>
      <c r="G10" s="159" t="s">
        <v>955</v>
      </c>
      <c r="H10" s="159" t="s">
        <v>966</v>
      </c>
      <c r="I10" s="159" t="s">
        <v>967</v>
      </c>
      <c r="J10" s="430">
        <v>37443</v>
      </c>
      <c r="K10" s="159">
        <v>48</v>
      </c>
      <c r="L10" s="159">
        <v>4552</v>
      </c>
      <c r="M10" s="159">
        <v>53</v>
      </c>
      <c r="N10" s="159">
        <v>5</v>
      </c>
      <c r="O10" s="159">
        <v>46</v>
      </c>
      <c r="P10" s="159">
        <v>2</v>
      </c>
      <c r="Q10" s="159">
        <v>5</v>
      </c>
      <c r="R10" s="159">
        <v>97</v>
      </c>
      <c r="S10" s="93"/>
      <c r="T10" s="93"/>
      <c r="U10" s="93"/>
      <c r="V10" s="93"/>
      <c r="W10" s="93"/>
    </row>
    <row r="11" spans="1:23">
      <c r="A11" s="93"/>
      <c r="B11" s="159" t="s">
        <v>924</v>
      </c>
      <c r="C11" s="159" t="s">
        <v>943</v>
      </c>
      <c r="D11" s="159" t="s">
        <v>968</v>
      </c>
      <c r="E11" s="159" t="s">
        <v>969</v>
      </c>
      <c r="F11" s="159" t="s">
        <v>970</v>
      </c>
      <c r="G11" s="159" t="s">
        <v>955</v>
      </c>
      <c r="H11" s="159" t="s">
        <v>971</v>
      </c>
      <c r="I11" s="159" t="s">
        <v>972</v>
      </c>
      <c r="J11" s="430">
        <v>37762</v>
      </c>
      <c r="K11" s="159">
        <v>43</v>
      </c>
      <c r="L11" s="159">
        <v>3677</v>
      </c>
      <c r="M11" s="159">
        <v>80</v>
      </c>
      <c r="N11" s="159">
        <v>3</v>
      </c>
      <c r="O11" s="159">
        <v>50</v>
      </c>
      <c r="P11" s="159">
        <v>28</v>
      </c>
      <c r="Q11" s="159">
        <v>4</v>
      </c>
      <c r="R11" s="159">
        <v>73</v>
      </c>
      <c r="S11" s="93"/>
      <c r="T11" s="93"/>
      <c r="U11" s="93"/>
      <c r="V11" s="93"/>
      <c r="W11" s="93"/>
    </row>
    <row r="12" spans="1:23">
      <c r="A12" s="93"/>
      <c r="B12" s="159" t="s">
        <v>924</v>
      </c>
      <c r="C12" s="159" t="s">
        <v>943</v>
      </c>
      <c r="D12" s="159" t="s">
        <v>973</v>
      </c>
      <c r="E12" s="159" t="s">
        <v>974</v>
      </c>
      <c r="F12" s="159" t="s">
        <v>970</v>
      </c>
      <c r="G12" s="159" t="s">
        <v>955</v>
      </c>
      <c r="H12" s="159" t="s">
        <v>975</v>
      </c>
      <c r="I12" s="159" t="s">
        <v>976</v>
      </c>
      <c r="J12" s="430">
        <v>37861</v>
      </c>
      <c r="K12" s="159">
        <v>43</v>
      </c>
      <c r="L12" s="159">
        <v>3625</v>
      </c>
      <c r="M12" s="159">
        <v>61</v>
      </c>
      <c r="N12" s="159">
        <v>2</v>
      </c>
      <c r="O12" s="159">
        <v>43</v>
      </c>
      <c r="P12" s="159">
        <v>16</v>
      </c>
      <c r="Q12" s="159">
        <v>4</v>
      </c>
      <c r="R12" s="159">
        <v>83</v>
      </c>
      <c r="S12" s="93"/>
      <c r="T12" s="93"/>
      <c r="U12" s="93"/>
      <c r="V12" s="93"/>
      <c r="W12" s="93"/>
    </row>
    <row r="13" spans="1:23">
      <c r="A13" s="93"/>
      <c r="B13" s="159" t="s">
        <v>924</v>
      </c>
      <c r="C13" s="159" t="s">
        <v>943</v>
      </c>
      <c r="D13" s="159" t="s">
        <v>977</v>
      </c>
      <c r="E13" s="159" t="s">
        <v>978</v>
      </c>
      <c r="F13" s="159" t="s">
        <v>979</v>
      </c>
      <c r="G13" s="159" t="s">
        <v>980</v>
      </c>
      <c r="H13" s="159" t="s">
        <v>981</v>
      </c>
      <c r="I13" s="159" t="s">
        <v>982</v>
      </c>
      <c r="J13" s="430">
        <v>38674</v>
      </c>
      <c r="K13" s="159">
        <v>30</v>
      </c>
      <c r="L13" s="159">
        <v>3700</v>
      </c>
      <c r="M13" s="159">
        <v>82</v>
      </c>
      <c r="N13" s="159">
        <v>3</v>
      </c>
      <c r="O13" s="159">
        <v>66</v>
      </c>
      <c r="P13" s="159">
        <v>13</v>
      </c>
      <c r="Q13" s="159">
        <v>4</v>
      </c>
      <c r="R13" s="159">
        <v>56</v>
      </c>
      <c r="S13" s="93"/>
      <c r="T13" s="93"/>
      <c r="U13" s="93"/>
      <c r="V13" s="93"/>
      <c r="W13" s="93"/>
    </row>
    <row r="14" spans="1:23">
      <c r="A14" s="93"/>
      <c r="B14" s="159" t="s">
        <v>924</v>
      </c>
      <c r="C14" s="159" t="s">
        <v>983</v>
      </c>
      <c r="D14" s="159" t="s">
        <v>984</v>
      </c>
      <c r="E14" s="159" t="s">
        <v>985</v>
      </c>
      <c r="F14" s="159" t="s">
        <v>986</v>
      </c>
      <c r="G14" s="159" t="s">
        <v>987</v>
      </c>
      <c r="H14" s="159" t="s">
        <v>988</v>
      </c>
      <c r="I14" s="159" t="s">
        <v>989</v>
      </c>
      <c r="J14" s="430">
        <v>36740</v>
      </c>
      <c r="K14" s="159">
        <v>51</v>
      </c>
      <c r="L14" s="159">
        <v>4600</v>
      </c>
      <c r="M14" s="159">
        <v>94</v>
      </c>
      <c r="N14" s="159">
        <v>3</v>
      </c>
      <c r="O14" s="159">
        <v>73</v>
      </c>
      <c r="P14" s="159">
        <v>18</v>
      </c>
      <c r="Q14" s="159">
        <v>4</v>
      </c>
      <c r="R14" s="159">
        <v>63</v>
      </c>
      <c r="S14" s="93"/>
      <c r="T14" s="93"/>
      <c r="U14" s="93"/>
      <c r="V14" s="93"/>
      <c r="W14" s="93"/>
    </row>
    <row r="15" spans="1:23">
      <c r="A15" s="93"/>
      <c r="B15" s="159" t="s">
        <v>924</v>
      </c>
      <c r="C15" s="159" t="s">
        <v>983</v>
      </c>
      <c r="D15" s="159" t="s">
        <v>990</v>
      </c>
      <c r="E15" s="159" t="s">
        <v>991</v>
      </c>
      <c r="F15" s="159" t="s">
        <v>986</v>
      </c>
      <c r="G15" s="159" t="s">
        <v>987</v>
      </c>
      <c r="H15" s="159" t="s">
        <v>992</v>
      </c>
      <c r="I15" s="159" t="s">
        <v>993</v>
      </c>
      <c r="J15" s="430">
        <v>36835</v>
      </c>
      <c r="K15" s="159">
        <v>17</v>
      </c>
      <c r="L15" s="159">
        <v>4708</v>
      </c>
      <c r="M15" s="159">
        <v>94</v>
      </c>
      <c r="N15" s="159">
        <v>3</v>
      </c>
      <c r="O15" s="159">
        <v>62</v>
      </c>
      <c r="P15" s="159">
        <v>29</v>
      </c>
      <c r="Q15" s="159">
        <v>4</v>
      </c>
      <c r="R15" s="159">
        <v>76</v>
      </c>
      <c r="S15" s="93"/>
      <c r="T15" s="93"/>
      <c r="U15" s="93"/>
      <c r="V15" s="93"/>
      <c r="W15" s="93"/>
    </row>
    <row r="16" spans="1:23">
      <c r="A16" s="93"/>
      <c r="B16" s="159" t="s">
        <v>924</v>
      </c>
      <c r="C16" s="159" t="s">
        <v>983</v>
      </c>
      <c r="D16" s="159" t="s">
        <v>994</v>
      </c>
      <c r="E16" s="159" t="s">
        <v>995</v>
      </c>
      <c r="F16" s="159" t="s">
        <v>946</v>
      </c>
      <c r="G16" s="159" t="s">
        <v>955</v>
      </c>
      <c r="H16" s="159" t="s">
        <v>996</v>
      </c>
      <c r="I16" s="159" t="s">
        <v>997</v>
      </c>
      <c r="J16" s="430">
        <v>37137</v>
      </c>
      <c r="K16" s="159">
        <v>47</v>
      </c>
      <c r="L16" s="159">
        <v>5058</v>
      </c>
      <c r="M16" s="159">
        <v>102</v>
      </c>
      <c r="N16" s="159">
        <v>1</v>
      </c>
      <c r="O16" s="159">
        <v>82</v>
      </c>
      <c r="P16" s="159">
        <v>19</v>
      </c>
      <c r="Q16" s="159">
        <v>5</v>
      </c>
      <c r="R16" s="159">
        <v>61</v>
      </c>
      <c r="S16" s="93"/>
      <c r="T16" s="93"/>
      <c r="U16" s="93"/>
      <c r="V16" s="93"/>
      <c r="W16" s="93"/>
    </row>
    <row r="17" spans="1:23">
      <c r="A17" s="93"/>
      <c r="B17" s="159" t="s">
        <v>924</v>
      </c>
      <c r="C17" s="159" t="s">
        <v>983</v>
      </c>
      <c r="D17" s="159" t="s">
        <v>998</v>
      </c>
      <c r="E17" s="159" t="s">
        <v>999</v>
      </c>
      <c r="F17" s="159" t="s">
        <v>1000</v>
      </c>
      <c r="G17" s="159" t="s">
        <v>955</v>
      </c>
      <c r="H17" s="159" t="s">
        <v>1001</v>
      </c>
      <c r="I17" s="159" t="s">
        <v>1002</v>
      </c>
      <c r="J17" s="430">
        <v>37944</v>
      </c>
      <c r="K17" s="159">
        <v>56</v>
      </c>
      <c r="L17" s="159">
        <v>5408</v>
      </c>
      <c r="M17" s="159">
        <v>128</v>
      </c>
      <c r="N17" s="159">
        <v>2</v>
      </c>
      <c r="O17" s="159">
        <v>93</v>
      </c>
      <c r="P17" s="159">
        <v>33</v>
      </c>
      <c r="Q17" s="159">
        <v>5</v>
      </c>
      <c r="R17" s="159">
        <v>57</v>
      </c>
      <c r="S17" s="93"/>
      <c r="T17" s="93"/>
      <c r="U17" s="93"/>
      <c r="V17" s="93"/>
      <c r="W17" s="93"/>
    </row>
    <row r="18" spans="1:23">
      <c r="A18" s="93"/>
      <c r="B18" s="159" t="s">
        <v>924</v>
      </c>
      <c r="C18" s="159" t="s">
        <v>983</v>
      </c>
      <c r="D18" s="159" t="s">
        <v>1003</v>
      </c>
      <c r="E18" s="159" t="s">
        <v>1004</v>
      </c>
      <c r="F18" s="159" t="s">
        <v>1005</v>
      </c>
      <c r="G18" s="159" t="s">
        <v>955</v>
      </c>
      <c r="H18" s="159" t="s">
        <v>1006</v>
      </c>
      <c r="I18" s="159" t="s">
        <v>1007</v>
      </c>
      <c r="J18" s="430">
        <v>38122</v>
      </c>
      <c r="K18" s="159">
        <v>57</v>
      </c>
      <c r="L18" s="159">
        <v>3945</v>
      </c>
      <c r="M18" s="159">
        <v>98</v>
      </c>
      <c r="N18" s="159">
        <v>4</v>
      </c>
      <c r="O18" s="159">
        <v>82</v>
      </c>
      <c r="P18" s="159">
        <v>12</v>
      </c>
      <c r="Q18" s="159">
        <v>5</v>
      </c>
      <c r="R18" s="159">
        <v>47</v>
      </c>
      <c r="S18" s="93"/>
      <c r="T18" s="93"/>
      <c r="U18" s="93"/>
      <c r="V18" s="93"/>
      <c r="W18" s="93"/>
    </row>
    <row r="19" spans="1:23">
      <c r="A19" s="93"/>
      <c r="B19" s="159" t="s">
        <v>924</v>
      </c>
      <c r="C19" s="159" t="s">
        <v>1008</v>
      </c>
      <c r="D19" s="159" t="s">
        <v>1009</v>
      </c>
      <c r="E19" s="159" t="s">
        <v>1010</v>
      </c>
      <c r="F19" s="159" t="s">
        <v>1011</v>
      </c>
      <c r="G19" s="159" t="s">
        <v>987</v>
      </c>
      <c r="H19" s="159" t="s">
        <v>1012</v>
      </c>
      <c r="I19" s="159" t="s">
        <v>1013</v>
      </c>
      <c r="J19" s="430">
        <v>37212</v>
      </c>
      <c r="K19" s="159">
        <v>60</v>
      </c>
      <c r="L19" s="159">
        <v>5019</v>
      </c>
      <c r="M19" s="159">
        <v>180</v>
      </c>
      <c r="N19" s="159">
        <v>3</v>
      </c>
      <c r="O19" s="159">
        <v>153</v>
      </c>
      <c r="P19" s="159">
        <v>23</v>
      </c>
      <c r="Q19" s="159">
        <v>6</v>
      </c>
      <c r="R19" s="159">
        <v>32</v>
      </c>
      <c r="S19" s="93"/>
      <c r="T19" s="93"/>
      <c r="U19" s="93"/>
      <c r="V19" s="93"/>
      <c r="W19" s="93"/>
    </row>
    <row r="20" spans="1:23">
      <c r="A20" s="93"/>
      <c r="B20" s="159" t="s">
        <v>925</v>
      </c>
      <c r="C20" s="159" t="s">
        <v>1014</v>
      </c>
      <c r="D20" s="159" t="s">
        <v>1015</v>
      </c>
      <c r="E20" s="159" t="s">
        <v>1016</v>
      </c>
      <c r="F20" s="159" t="s">
        <v>1017</v>
      </c>
      <c r="G20" s="159" t="s">
        <v>1018</v>
      </c>
      <c r="H20" s="159" t="s">
        <v>1019</v>
      </c>
      <c r="I20" s="159" t="s">
        <v>1020</v>
      </c>
      <c r="J20" s="430">
        <v>37251</v>
      </c>
      <c r="K20" s="159">
        <v>1737</v>
      </c>
      <c r="L20" s="159">
        <v>3496</v>
      </c>
      <c r="M20" s="159">
        <v>132</v>
      </c>
      <c r="N20" s="159">
        <v>12</v>
      </c>
      <c r="O20" s="159">
        <v>89</v>
      </c>
      <c r="P20" s="159">
        <v>43</v>
      </c>
      <c r="Q20" s="159">
        <v>3</v>
      </c>
      <c r="R20" s="159">
        <v>20</v>
      </c>
      <c r="S20" s="93"/>
      <c r="T20" s="93"/>
      <c r="U20" s="93"/>
      <c r="V20" s="93"/>
      <c r="W20" s="93"/>
    </row>
    <row r="21" spans="1:23">
      <c r="A21" s="93"/>
      <c r="B21" s="159" t="s">
        <v>925</v>
      </c>
      <c r="C21" s="159" t="s">
        <v>1014</v>
      </c>
      <c r="D21" s="159" t="s">
        <v>1021</v>
      </c>
      <c r="E21" s="159" t="s">
        <v>1022</v>
      </c>
      <c r="F21" s="159" t="s">
        <v>970</v>
      </c>
      <c r="G21" s="159" t="s">
        <v>1023</v>
      </c>
      <c r="H21" s="159" t="s">
        <v>1024</v>
      </c>
      <c r="I21" s="159" t="s">
        <v>1025</v>
      </c>
      <c r="J21" s="430">
        <v>37576</v>
      </c>
      <c r="K21" s="159">
        <v>1675</v>
      </c>
      <c r="L21" s="159">
        <v>3600</v>
      </c>
      <c r="M21" s="159">
        <v>74</v>
      </c>
      <c r="N21" s="159">
        <v>14</v>
      </c>
      <c r="O21" s="159">
        <v>45</v>
      </c>
      <c r="P21" s="159">
        <v>15</v>
      </c>
      <c r="Q21" s="159">
        <v>3</v>
      </c>
      <c r="R21" s="159">
        <v>43</v>
      </c>
      <c r="S21" s="93"/>
      <c r="T21" s="93"/>
      <c r="U21" s="93"/>
      <c r="V21" s="93"/>
      <c r="W21" s="93"/>
    </row>
    <row r="22" spans="1:23">
      <c r="A22" s="93"/>
      <c r="B22" s="159" t="s">
        <v>925</v>
      </c>
      <c r="C22" s="159" t="s">
        <v>1014</v>
      </c>
      <c r="D22" s="159" t="s">
        <v>1026</v>
      </c>
      <c r="E22" s="159" t="s">
        <v>1027</v>
      </c>
      <c r="F22" s="159" t="s">
        <v>1028</v>
      </c>
      <c r="G22" s="159" t="s">
        <v>1023</v>
      </c>
      <c r="H22" s="159" t="s">
        <v>1029</v>
      </c>
      <c r="I22" s="159" t="s">
        <v>1030</v>
      </c>
      <c r="J22" s="430">
        <v>37808</v>
      </c>
      <c r="K22" s="159">
        <v>1803</v>
      </c>
      <c r="L22" s="159">
        <v>4750</v>
      </c>
      <c r="M22" s="159">
        <v>67</v>
      </c>
      <c r="N22" s="159">
        <v>4</v>
      </c>
      <c r="O22" s="159">
        <v>52</v>
      </c>
      <c r="P22" s="159">
        <v>11</v>
      </c>
      <c r="Q22" s="159">
        <v>5</v>
      </c>
      <c r="R22" s="159">
        <v>57</v>
      </c>
      <c r="S22" s="93"/>
      <c r="T22" s="93"/>
      <c r="U22" s="93"/>
      <c r="V22" s="93"/>
      <c r="W22" s="93"/>
    </row>
    <row r="23" spans="1:23">
      <c r="A23" s="93"/>
      <c r="B23" s="159" t="s">
        <v>925</v>
      </c>
      <c r="C23" s="159" t="s">
        <v>1031</v>
      </c>
      <c r="D23" s="159" t="s">
        <v>1032</v>
      </c>
      <c r="E23" s="159" t="s">
        <v>1033</v>
      </c>
      <c r="F23" s="159" t="s">
        <v>1034</v>
      </c>
      <c r="G23" s="159" t="s">
        <v>1035</v>
      </c>
      <c r="H23" s="159" t="s">
        <v>1036</v>
      </c>
      <c r="I23" s="159" t="s">
        <v>1037</v>
      </c>
      <c r="J23" s="430">
        <v>37398</v>
      </c>
      <c r="K23" s="159">
        <v>977</v>
      </c>
      <c r="L23" s="159">
        <v>6070</v>
      </c>
      <c r="M23" s="159">
        <v>93</v>
      </c>
      <c r="N23" s="159">
        <v>0</v>
      </c>
      <c r="O23" s="159">
        <v>80</v>
      </c>
      <c r="P23" s="159">
        <v>13</v>
      </c>
      <c r="Q23" s="159">
        <v>6</v>
      </c>
      <c r="R23" s="159">
        <v>64</v>
      </c>
      <c r="S23" s="93"/>
      <c r="T23" s="93"/>
      <c r="U23" s="93"/>
      <c r="V23" s="93"/>
      <c r="W23" s="93"/>
    </row>
    <row r="24" spans="1:23">
      <c r="A24" s="93"/>
      <c r="B24" s="159" t="s">
        <v>925</v>
      </c>
      <c r="C24" s="159" t="s">
        <v>1031</v>
      </c>
      <c r="D24" s="159" t="s">
        <v>1015</v>
      </c>
      <c r="E24" s="159" t="s">
        <v>1038</v>
      </c>
      <c r="F24" s="159" t="s">
        <v>1017</v>
      </c>
      <c r="G24" s="159" t="s">
        <v>1018</v>
      </c>
      <c r="H24" s="159" t="s">
        <v>1039</v>
      </c>
      <c r="I24" s="159" t="s">
        <v>1040</v>
      </c>
      <c r="J24" s="430">
        <v>37363</v>
      </c>
      <c r="K24" s="159">
        <v>1711</v>
      </c>
      <c r="L24" s="159">
        <v>6182</v>
      </c>
      <c r="M24" s="159">
        <v>133</v>
      </c>
      <c r="N24" s="159">
        <v>0</v>
      </c>
      <c r="O24" s="159">
        <v>114</v>
      </c>
      <c r="P24" s="159">
        <v>19</v>
      </c>
      <c r="Q24" s="159">
        <v>7</v>
      </c>
      <c r="R24" s="159">
        <v>39</v>
      </c>
      <c r="S24" s="93"/>
      <c r="T24" s="93"/>
      <c r="U24" s="93"/>
      <c r="V24" s="93"/>
      <c r="W24" s="93"/>
    </row>
    <row r="25" spans="1:23">
      <c r="A25" s="93"/>
      <c r="B25" s="159" t="s">
        <v>925</v>
      </c>
      <c r="C25" s="159" t="s">
        <v>1031</v>
      </c>
      <c r="D25" s="159" t="s">
        <v>1041</v>
      </c>
      <c r="E25" s="159" t="s">
        <v>1042</v>
      </c>
      <c r="F25" s="159" t="s">
        <v>970</v>
      </c>
      <c r="G25" s="159" t="s">
        <v>1023</v>
      </c>
      <c r="H25" s="159" t="s">
        <v>1043</v>
      </c>
      <c r="I25" s="159" t="s">
        <v>1044</v>
      </c>
      <c r="J25" s="430">
        <v>37921</v>
      </c>
      <c r="K25" s="159">
        <v>1690</v>
      </c>
      <c r="L25" s="159">
        <v>6520</v>
      </c>
      <c r="M25" s="159">
        <v>204</v>
      </c>
      <c r="N25" s="159">
        <v>0</v>
      </c>
      <c r="O25" s="159">
        <v>195</v>
      </c>
      <c r="P25" s="159">
        <v>19</v>
      </c>
      <c r="Q25" s="159">
        <v>8</v>
      </c>
      <c r="R25" s="159">
        <v>25</v>
      </c>
      <c r="S25" s="93"/>
      <c r="T25" s="93"/>
      <c r="U25" s="93"/>
      <c r="V25" s="93"/>
      <c r="W25" s="93"/>
    </row>
    <row r="26" spans="1:23">
      <c r="A26" s="93"/>
      <c r="B26" s="161" t="s">
        <v>925</v>
      </c>
      <c r="C26" s="161" t="s">
        <v>1031</v>
      </c>
      <c r="D26" s="161" t="s">
        <v>1045</v>
      </c>
      <c r="E26" s="161" t="s">
        <v>1046</v>
      </c>
      <c r="F26" s="161" t="s">
        <v>1017</v>
      </c>
      <c r="G26" s="161" t="s">
        <v>1047</v>
      </c>
      <c r="H26" s="161" t="s">
        <v>1048</v>
      </c>
      <c r="I26" s="161" t="s">
        <v>1049</v>
      </c>
      <c r="J26" s="213">
        <v>38156</v>
      </c>
      <c r="K26" s="161">
        <v>2092</v>
      </c>
      <c r="L26" s="161">
        <v>6676</v>
      </c>
      <c r="M26" s="161">
        <v>95.7</v>
      </c>
      <c r="N26" s="161">
        <v>12</v>
      </c>
      <c r="O26" s="161">
        <v>63</v>
      </c>
      <c r="P26" s="161">
        <v>19</v>
      </c>
      <c r="Q26" s="161">
        <v>7</v>
      </c>
      <c r="R26" s="161">
        <v>73</v>
      </c>
      <c r="S26" s="93"/>
      <c r="T26" s="93"/>
      <c r="U26" s="93"/>
      <c r="V26" s="93"/>
      <c r="W26" s="93"/>
    </row>
    <row r="27" spans="1:23">
      <c r="A27" s="93"/>
      <c r="B27" s="93"/>
      <c r="C27" s="93"/>
      <c r="D27" s="93"/>
      <c r="E27" s="93"/>
      <c r="F27" s="93"/>
      <c r="G27" s="93"/>
      <c r="H27" s="93"/>
      <c r="I27" s="93"/>
      <c r="J27" s="93"/>
      <c r="K27" s="93"/>
      <c r="L27" s="93"/>
      <c r="M27" s="93"/>
      <c r="N27" s="93"/>
      <c r="O27" s="93"/>
      <c r="P27" s="93"/>
      <c r="Q27" s="93"/>
      <c r="R27" s="93"/>
      <c r="S27" s="93"/>
      <c r="T27" s="93"/>
      <c r="U27" s="93"/>
      <c r="V27" s="93"/>
      <c r="W27" s="93"/>
    </row>
    <row r="28" spans="1:23">
      <c r="A28" s="93"/>
      <c r="B28" s="93"/>
      <c r="C28" s="93"/>
      <c r="D28" s="93"/>
      <c r="E28" s="93"/>
      <c r="F28" s="93"/>
      <c r="G28" s="93"/>
      <c r="H28" s="93"/>
      <c r="I28" s="93"/>
      <c r="J28" s="93"/>
      <c r="K28" s="93"/>
      <c r="L28" s="93"/>
      <c r="M28" s="93"/>
      <c r="N28" s="93"/>
      <c r="O28" s="93"/>
      <c r="P28" s="93"/>
      <c r="Q28" s="93"/>
      <c r="R28" s="93"/>
      <c r="S28" s="93"/>
      <c r="T28" s="93"/>
      <c r="U28" s="93"/>
      <c r="V28" s="93"/>
      <c r="W28" s="93"/>
    </row>
    <row r="29" spans="1:23">
      <c r="A29" s="93"/>
      <c r="B29" s="93"/>
      <c r="C29" s="93"/>
      <c r="D29" s="93"/>
      <c r="E29" s="93"/>
      <c r="F29" s="93"/>
      <c r="G29" s="93"/>
      <c r="H29" s="93"/>
      <c r="I29" s="93"/>
      <c r="J29" s="93"/>
      <c r="K29" s="93"/>
      <c r="L29" s="93"/>
      <c r="M29" s="93"/>
      <c r="N29" s="93"/>
      <c r="O29" s="93"/>
      <c r="P29" s="93"/>
      <c r="Q29" s="93"/>
      <c r="R29" s="93"/>
      <c r="S29" s="93"/>
      <c r="T29" s="93"/>
      <c r="U29" s="93"/>
      <c r="V29" s="93"/>
      <c r="W29" s="93"/>
    </row>
    <row r="30" spans="1:23">
      <c r="A30" s="93"/>
      <c r="B30" s="93"/>
      <c r="C30" s="93"/>
      <c r="D30" s="93"/>
      <c r="E30" s="93"/>
      <c r="F30" s="93"/>
      <c r="G30" s="93"/>
      <c r="H30" s="93"/>
      <c r="I30" s="93"/>
      <c r="J30" s="93"/>
      <c r="K30" s="93"/>
      <c r="L30" s="93"/>
      <c r="M30" s="93"/>
      <c r="N30" s="93"/>
      <c r="O30" s="93"/>
      <c r="P30" s="93"/>
      <c r="Q30" s="93"/>
      <c r="R30" s="93"/>
      <c r="S30" s="93"/>
      <c r="T30" s="93"/>
      <c r="U30" s="93"/>
      <c r="V30" s="93"/>
      <c r="W30" s="93"/>
    </row>
    <row r="31" spans="1:23">
      <c r="A31" s="93"/>
      <c r="B31" s="93"/>
      <c r="C31" s="93"/>
      <c r="D31" s="93"/>
      <c r="E31" s="93"/>
      <c r="F31" s="93"/>
      <c r="G31" s="93"/>
      <c r="H31" s="93"/>
      <c r="I31" s="93"/>
      <c r="J31" s="93"/>
      <c r="K31" s="93"/>
      <c r="L31" s="93"/>
      <c r="M31" s="93"/>
      <c r="N31" s="93"/>
      <c r="O31" s="93"/>
      <c r="P31" s="93"/>
      <c r="Q31" s="93"/>
      <c r="R31" s="93"/>
      <c r="S31" s="93"/>
      <c r="T31" s="93"/>
      <c r="U31" s="93"/>
      <c r="V31" s="93"/>
      <c r="W31" s="93"/>
    </row>
    <row r="32" spans="1:23">
      <c r="A32" s="93"/>
      <c r="B32" s="93"/>
      <c r="C32" s="93"/>
      <c r="D32" s="93"/>
      <c r="E32" s="93"/>
      <c r="F32" s="93"/>
      <c r="G32" s="93"/>
      <c r="H32" s="93"/>
      <c r="I32" s="93"/>
      <c r="J32" s="93"/>
      <c r="K32" s="93"/>
      <c r="L32" s="93"/>
      <c r="M32" s="93"/>
      <c r="N32" s="93"/>
      <c r="O32" s="93"/>
      <c r="P32" s="93"/>
      <c r="Q32" s="93"/>
      <c r="R32" s="93"/>
      <c r="S32" s="93"/>
      <c r="T32" s="93"/>
      <c r="U32" s="93"/>
      <c r="V32" s="93"/>
      <c r="W32" s="93"/>
    </row>
    <row r="33" spans="1:23">
      <c r="A33" s="93"/>
      <c r="B33" s="93"/>
      <c r="C33" s="93"/>
      <c r="D33" s="93"/>
      <c r="E33" s="93"/>
      <c r="F33" s="93"/>
      <c r="G33" s="93"/>
      <c r="H33" s="93"/>
      <c r="I33" s="93"/>
      <c r="J33" s="93"/>
      <c r="K33" s="93"/>
      <c r="L33" s="93"/>
      <c r="M33" s="93"/>
      <c r="N33" s="93"/>
      <c r="O33" s="93"/>
      <c r="P33" s="93"/>
      <c r="Q33" s="93"/>
      <c r="R33" s="93"/>
      <c r="S33" s="93"/>
      <c r="T33" s="93"/>
      <c r="U33" s="93"/>
      <c r="V33" s="93"/>
      <c r="W33" s="93"/>
    </row>
    <row r="34" spans="1:23">
      <c r="A34" s="93"/>
      <c r="B34" s="93"/>
      <c r="C34" s="93"/>
      <c r="D34" s="93"/>
      <c r="E34" s="93"/>
      <c r="F34" s="93"/>
      <c r="G34" s="93"/>
      <c r="H34" s="93"/>
      <c r="I34" s="93"/>
      <c r="J34" s="93"/>
      <c r="K34" s="93"/>
      <c r="L34" s="93"/>
      <c r="M34" s="93"/>
      <c r="N34" s="93"/>
      <c r="O34" s="93"/>
      <c r="P34" s="93"/>
      <c r="Q34" s="93"/>
      <c r="R34" s="93"/>
      <c r="S34" s="93"/>
      <c r="T34" s="93"/>
      <c r="U34" s="93"/>
      <c r="V34" s="93"/>
      <c r="W34" s="93"/>
    </row>
    <row r="35" spans="1:23">
      <c r="A35" s="93"/>
      <c r="B35" s="93"/>
      <c r="C35" s="93"/>
      <c r="D35" s="93"/>
      <c r="E35" s="93"/>
      <c r="F35" s="93"/>
      <c r="G35" s="93"/>
      <c r="H35" s="93"/>
      <c r="I35" s="93"/>
      <c r="J35" s="93"/>
      <c r="K35" s="93"/>
      <c r="L35" s="93"/>
      <c r="M35" s="93"/>
      <c r="N35" s="93"/>
      <c r="O35" s="93"/>
      <c r="P35" s="93"/>
      <c r="Q35" s="93"/>
      <c r="R35" s="93"/>
      <c r="S35" s="93"/>
      <c r="T35" s="93"/>
      <c r="U35" s="93"/>
      <c r="V35" s="93"/>
      <c r="W35" s="93"/>
    </row>
    <row r="36" spans="1:23">
      <c r="A36" s="93"/>
      <c r="B36" s="93"/>
      <c r="C36" s="93"/>
      <c r="D36" s="93"/>
      <c r="E36" s="93"/>
      <c r="F36" s="93"/>
      <c r="G36" s="93"/>
      <c r="H36" s="93"/>
      <c r="I36" s="93"/>
      <c r="J36" s="93"/>
      <c r="K36" s="93"/>
      <c r="L36" s="93"/>
      <c r="M36" s="93"/>
      <c r="N36" s="93"/>
      <c r="O36" s="93"/>
      <c r="P36" s="93"/>
      <c r="Q36" s="93"/>
      <c r="R36" s="93"/>
      <c r="S36" s="93"/>
      <c r="T36" s="93"/>
      <c r="U36" s="93"/>
      <c r="V36" s="93"/>
      <c r="W36" s="93"/>
    </row>
    <row r="37" spans="1:23">
      <c r="A37" s="93"/>
      <c r="B37" s="93"/>
      <c r="C37" s="93"/>
      <c r="D37" s="93"/>
      <c r="E37" s="93"/>
      <c r="F37" s="93"/>
      <c r="G37" s="93"/>
      <c r="H37" s="93"/>
      <c r="I37" s="93"/>
      <c r="J37" s="93"/>
      <c r="K37" s="93"/>
      <c r="L37" s="93"/>
      <c r="M37" s="93"/>
      <c r="N37" s="93"/>
      <c r="O37" s="93"/>
      <c r="P37" s="93"/>
      <c r="Q37" s="93"/>
      <c r="R37" s="93"/>
      <c r="S37" s="93"/>
      <c r="T37" s="93"/>
      <c r="U37" s="93"/>
      <c r="V37" s="93"/>
      <c r="W37" s="93"/>
    </row>
    <row r="38" spans="1:23">
      <c r="A38" s="93"/>
      <c r="B38" s="93"/>
      <c r="C38" s="93"/>
      <c r="D38" s="93"/>
      <c r="E38" s="93"/>
      <c r="F38" s="93"/>
      <c r="G38" s="93"/>
      <c r="H38" s="93"/>
      <c r="I38" s="93"/>
      <c r="J38" s="93"/>
      <c r="K38" s="93"/>
      <c r="L38" s="93"/>
      <c r="M38" s="93"/>
      <c r="N38" s="93"/>
      <c r="O38" s="93"/>
      <c r="P38" s="93"/>
      <c r="Q38" s="93"/>
      <c r="R38" s="93"/>
      <c r="S38" s="93"/>
      <c r="T38" s="93"/>
      <c r="U38" s="93"/>
      <c r="V38" s="93"/>
      <c r="W38" s="93"/>
    </row>
  </sheetData>
  <sheetProtection algorithmName="SHA-512" hashValue="6B9Y1BIRbFpEVS4axRIx9rYxhRjbGUjvdDf5grAXDEVRQMd9MNOI9rtXI17joDG6K7bY85hhqKv36lYHwJOp3g==" saltValue="8K1Abqzk7sWg/ut1IhbMPA==" spinCount="100000" sheet="1" objects="1" scenarios="1"/>
  <mergeCells count="1">
    <mergeCell ref="B2:R3"/>
  </mergeCells>
  <pageMargins left="0.7" right="0.7" top="0.75" bottom="0.75" header="0.3" footer="0.3"/>
  <pageSetup paperSize="9" scale="60" orientation="landscape" r:id="rId1"/>
  <headerFooter>
    <oddFooter>&amp;LNova Scotia Exploration Economics Model&amp;Rwww.indeva.com</oddFooter>
  </headerFooter>
  <colBreaks count="1" manualBreakCount="1">
    <brk id="19"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23"/>
  <sheetViews>
    <sheetView showGridLines="0" showRowColHeaders="0" workbookViewId="0">
      <selection activeCell="F4" sqref="F4"/>
    </sheetView>
  </sheetViews>
  <sheetFormatPr defaultRowHeight="14.5"/>
  <cols>
    <col min="1" max="1" width="15.81640625" customWidth="1"/>
    <col min="2" max="2" width="50.54296875" customWidth="1"/>
    <col min="3" max="3" width="87" customWidth="1"/>
    <col min="4" max="4" width="15.81640625" customWidth="1"/>
  </cols>
  <sheetData>
    <row r="1" spans="1:4" ht="26.25" customHeight="1">
      <c r="A1" s="441" t="s">
        <v>776</v>
      </c>
      <c r="B1" s="441" t="s">
        <v>1068</v>
      </c>
      <c r="C1" s="443" t="s">
        <v>1069</v>
      </c>
      <c r="D1" s="443" t="s">
        <v>774</v>
      </c>
    </row>
    <row r="2" spans="1:4" ht="61.5" customHeight="1">
      <c r="A2" s="444">
        <v>1</v>
      </c>
      <c r="B2" s="490" t="s">
        <v>1070</v>
      </c>
      <c r="C2" s="491" t="s">
        <v>1081</v>
      </c>
      <c r="D2" s="492" t="s">
        <v>143</v>
      </c>
    </row>
    <row r="3" spans="1:4" ht="61.5" customHeight="1">
      <c r="A3" s="444">
        <v>2</v>
      </c>
      <c r="B3" s="490" t="s">
        <v>1071</v>
      </c>
      <c r="C3" s="491" t="s">
        <v>1082</v>
      </c>
      <c r="D3" s="492" t="s">
        <v>771</v>
      </c>
    </row>
    <row r="4" spans="1:4" ht="67.5" customHeight="1">
      <c r="A4" s="444">
        <v>3</v>
      </c>
      <c r="B4" s="490" t="s">
        <v>1072</v>
      </c>
      <c r="C4" s="491" t="s">
        <v>1083</v>
      </c>
      <c r="D4" s="492" t="s">
        <v>41</v>
      </c>
    </row>
    <row r="5" spans="1:4" ht="61.5" customHeight="1">
      <c r="A5" s="444">
        <v>4</v>
      </c>
      <c r="B5" s="490" t="s">
        <v>1073</v>
      </c>
      <c r="C5" s="491" t="s">
        <v>1074</v>
      </c>
      <c r="D5" s="492" t="s">
        <v>781</v>
      </c>
    </row>
    <row r="6" spans="1:4" ht="61.5" customHeight="1">
      <c r="A6" s="444">
        <v>5</v>
      </c>
      <c r="B6" s="490" t="s">
        <v>1075</v>
      </c>
      <c r="C6" s="491" t="s">
        <v>1076</v>
      </c>
      <c r="D6" s="492" t="s">
        <v>296</v>
      </c>
    </row>
    <row r="7" spans="1:4" ht="61.5" customHeight="1">
      <c r="A7" s="444">
        <v>6</v>
      </c>
      <c r="B7" s="490" t="s">
        <v>1077</v>
      </c>
      <c r="C7" s="491" t="s">
        <v>1078</v>
      </c>
      <c r="D7" s="492" t="s">
        <v>41</v>
      </c>
    </row>
    <row r="8" spans="1:4" ht="61.5" customHeight="1">
      <c r="A8" s="444">
        <v>7</v>
      </c>
      <c r="B8" s="490" t="s">
        <v>1079</v>
      </c>
      <c r="C8" s="491" t="s">
        <v>1080</v>
      </c>
      <c r="D8" s="492" t="s">
        <v>41</v>
      </c>
    </row>
    <row r="9" spans="1:4" ht="61.5" customHeight="1">
      <c r="A9" s="444">
        <v>8</v>
      </c>
      <c r="B9" s="490"/>
      <c r="C9" s="491"/>
      <c r="D9" s="492"/>
    </row>
    <row r="10" spans="1:4" ht="61.5" customHeight="1">
      <c r="A10" s="444">
        <v>9</v>
      </c>
      <c r="B10" s="490"/>
      <c r="C10" s="491"/>
      <c r="D10" s="492"/>
    </row>
    <row r="11" spans="1:4" ht="61.5" customHeight="1">
      <c r="A11" s="444">
        <v>10</v>
      </c>
      <c r="B11" s="490"/>
      <c r="C11" s="491"/>
      <c r="D11" s="492"/>
    </row>
    <row r="12" spans="1:4" ht="61.5" customHeight="1">
      <c r="A12" s="444">
        <v>11</v>
      </c>
      <c r="B12" s="490"/>
      <c r="C12" s="491"/>
      <c r="D12" s="492"/>
    </row>
    <row r="13" spans="1:4" ht="61.5" customHeight="1">
      <c r="A13" s="444">
        <v>12</v>
      </c>
      <c r="B13" s="490"/>
      <c r="C13" s="491"/>
      <c r="D13" s="492"/>
    </row>
    <row r="14" spans="1:4" ht="61.5" customHeight="1">
      <c r="A14" s="444">
        <v>13</v>
      </c>
      <c r="B14" s="490"/>
      <c r="C14" s="491"/>
      <c r="D14" s="492"/>
    </row>
    <row r="15" spans="1:4" ht="61.5" customHeight="1">
      <c r="A15" s="444">
        <v>14</v>
      </c>
      <c r="B15" s="490"/>
      <c r="C15" s="491"/>
      <c r="D15" s="492"/>
    </row>
    <row r="16" spans="1:4" ht="61.5" customHeight="1">
      <c r="A16" s="444">
        <v>15</v>
      </c>
      <c r="B16" s="490"/>
      <c r="C16" s="491"/>
      <c r="D16" s="492"/>
    </row>
    <row r="17" spans="1:4" ht="61.5" customHeight="1">
      <c r="A17" s="444">
        <v>16</v>
      </c>
      <c r="B17" s="490"/>
      <c r="C17" s="491"/>
      <c r="D17" s="492"/>
    </row>
    <row r="18" spans="1:4" ht="61.5" customHeight="1">
      <c r="A18" s="444">
        <v>17</v>
      </c>
      <c r="B18" s="490"/>
      <c r="C18" s="491"/>
      <c r="D18" s="492"/>
    </row>
    <row r="19" spans="1:4" ht="61.5" customHeight="1">
      <c r="A19" s="444">
        <v>18</v>
      </c>
      <c r="B19" s="490"/>
      <c r="C19" s="491"/>
      <c r="D19" s="492"/>
    </row>
    <row r="20" spans="1:4" ht="61.5" customHeight="1">
      <c r="A20" s="444">
        <v>19</v>
      </c>
      <c r="B20" s="490"/>
      <c r="C20" s="491"/>
      <c r="D20" s="492"/>
    </row>
    <row r="21" spans="1:4" ht="61.5" customHeight="1">
      <c r="A21" s="444">
        <v>20</v>
      </c>
      <c r="B21" s="490"/>
      <c r="C21" s="491"/>
      <c r="D21" s="492"/>
    </row>
    <row r="22" spans="1:4" ht="61.5" customHeight="1"/>
    <row r="23" spans="1:4" ht="61.5" customHeight="1"/>
  </sheetData>
  <sheetProtection algorithmName="SHA-512" hashValue="agebl4H/+Zu22w6kXo3Wx368kQCEMzVwi7N+plo8B6EnwMLT3nwRwvmvs9iLgfAqeDwMDEfoY4bCB4CnZ+XL7w==" saltValue="fphBeockC+VC4snCQLjOLQ==" spinCount="100000" sheet="1" objects="1" scenarios="1"/>
  <hyperlinks>
    <hyperlink ref="D2" location="Input" display="Input"/>
    <hyperlink ref="D3" location="Economics" display="Economics"/>
    <hyperlink ref="D4" location="Costs" display="Costs"/>
    <hyperlink ref="D5" location="Schedule" display="Schedule"/>
    <hyperlink ref="D6" location="Override" display="Override"/>
    <hyperlink ref="D7" location="Costs" display="Costs"/>
    <hyperlink ref="D8" location="Costs" display="Costs"/>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pageSetUpPr fitToPage="1"/>
  </sheetPr>
  <dimension ref="A1:AE83"/>
  <sheetViews>
    <sheetView showGridLines="0" showRowColHeaders="0" tabSelected="1" zoomScale="70" zoomScaleNormal="70" zoomScaleSheetLayoutView="70" workbookViewId="0">
      <pane xSplit="2" ySplit="1" topLeftCell="C2" activePane="bottomRight" state="frozen"/>
      <selection activeCell="D43" sqref="D43"/>
      <selection pane="topRight" activeCell="D43" sqref="D43"/>
      <selection pane="bottomLeft" activeCell="D43" sqref="D43"/>
      <selection pane="bottomRight" activeCell="C12" sqref="C12"/>
    </sheetView>
  </sheetViews>
  <sheetFormatPr defaultRowHeight="14.5"/>
  <cols>
    <col min="1" max="1" width="30.1796875" customWidth="1"/>
    <col min="2" max="2" width="30.54296875" customWidth="1"/>
    <col min="3" max="3" width="13" customWidth="1"/>
    <col min="7" max="7" width="10.453125" customWidth="1"/>
    <col min="8" max="8" width="14.7265625" customWidth="1"/>
  </cols>
  <sheetData>
    <row r="1" spans="1:31" ht="23.5">
      <c r="A1" s="11" t="str">
        <f>B8&amp;" Inputs"</f>
        <v>Prospect X Inputs</v>
      </c>
      <c r="B1" s="106" t="s">
        <v>768</v>
      </c>
      <c r="C1" s="93"/>
      <c r="D1" s="408" t="str">
        <f>B8&amp;" Decision Flow"</f>
        <v>Prospect X Decision Flow</v>
      </c>
      <c r="E1" s="93"/>
      <c r="F1" s="93"/>
      <c r="G1" s="93"/>
      <c r="H1" s="163" t="str">
        <f>"Note: NPV and Costs in $m discounted to "&amp;IF(B4=Lists!A54,"date of each stage decision",FIXED(DAY(H13),0)&amp;"-"&amp;INDEX(monthtable,MONTH(H13),1)&amp;"-"&amp;RIGHT(FIXED(YEAR(H13),0),2))&amp;IF(NOT(B4=Lists!A54)," (historic costs included in decision flow, excluded elsewhere)","")</f>
        <v>Note: NPV and Costs in $m discounted to date of each stage decision</v>
      </c>
      <c r="I1" s="93"/>
      <c r="J1" s="93"/>
      <c r="K1" s="93"/>
      <c r="L1" s="93"/>
      <c r="M1" s="93"/>
      <c r="N1" s="93"/>
      <c r="O1" s="93"/>
      <c r="P1" s="93"/>
      <c r="Q1" s="93"/>
      <c r="R1" s="93"/>
      <c r="S1" s="93"/>
      <c r="T1" s="93"/>
      <c r="U1" s="93"/>
      <c r="V1" s="93"/>
      <c r="W1" s="93"/>
      <c r="X1" s="93"/>
      <c r="Y1" s="93"/>
      <c r="Z1" s="93"/>
      <c r="AA1" s="93"/>
      <c r="AB1" s="93"/>
      <c r="AC1" s="93"/>
      <c r="AD1" s="93"/>
      <c r="AE1" s="93"/>
    </row>
    <row r="2" spans="1:31" ht="18.5">
      <c r="A2" s="550" t="s">
        <v>1</v>
      </c>
      <c r="B2" s="550"/>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row>
    <row r="3" spans="1:31" ht="15.5">
      <c r="A3" s="102" t="s">
        <v>64</v>
      </c>
      <c r="B3" s="103">
        <v>0.1</v>
      </c>
      <c r="C3" s="93"/>
      <c r="D3" s="543" t="str">
        <f>IF(Input!F73=0,"Complete",CashFlow!F9)</f>
        <v>Complete</v>
      </c>
      <c r="E3" s="544"/>
      <c r="F3" s="167"/>
      <c r="G3" s="545" t="str">
        <f>IF(Input!I73=0,"Complete",CashFlow!F10)</f>
        <v>Complete</v>
      </c>
      <c r="H3" s="546"/>
      <c r="I3" s="409"/>
      <c r="J3" s="545" t="str">
        <f>IF(Input!L73=0,"Complete",CashFlow!F11)</f>
        <v>Complete</v>
      </c>
      <c r="K3" s="546"/>
      <c r="L3" s="409"/>
      <c r="M3" s="545" t="str">
        <f>IF(Input!O73=0,"Complete",CashFlow!F12)</f>
        <v>Complete</v>
      </c>
      <c r="N3" s="546"/>
      <c r="O3" s="409"/>
      <c r="P3" s="547">
        <f>CashFlow!F13</f>
        <v>42005</v>
      </c>
      <c r="Q3" s="547"/>
      <c r="R3" s="93"/>
      <c r="S3" s="93"/>
      <c r="T3" s="93"/>
      <c r="U3" s="93"/>
      <c r="V3" s="93"/>
      <c r="W3" s="93"/>
      <c r="X3" s="93"/>
      <c r="Y3" s="93"/>
      <c r="Z3" s="93"/>
      <c r="AA3" s="93"/>
      <c r="AB3" s="93"/>
      <c r="AC3" s="93"/>
      <c r="AD3" s="93"/>
      <c r="AE3" s="93"/>
    </row>
    <row r="4" spans="1:31" ht="15.5">
      <c r="A4" s="102" t="s">
        <v>65</v>
      </c>
      <c r="B4" s="18" t="s">
        <v>66</v>
      </c>
      <c r="C4" s="93"/>
      <c r="D4" s="548" t="s">
        <v>67</v>
      </c>
      <c r="E4" s="549"/>
      <c r="F4" s="539" t="str">
        <f>IF(Input!F73=0,"",Input!B19)</f>
        <v/>
      </c>
      <c r="G4" s="548" t="s">
        <v>68</v>
      </c>
      <c r="H4" s="549"/>
      <c r="I4" s="539" t="str">
        <f>IF(Input!I73=0,"",Input!B20)</f>
        <v/>
      </c>
      <c r="J4" s="548" t="s">
        <v>69</v>
      </c>
      <c r="K4" s="549"/>
      <c r="L4" s="539" t="str">
        <f>IF(Input!L73=0,"",Input!B21)</f>
        <v/>
      </c>
      <c r="M4" s="548" t="s">
        <v>70</v>
      </c>
      <c r="N4" s="549"/>
      <c r="O4" s="539" t="str">
        <f>IF(Input!O73=0,"",Input!B22)</f>
        <v/>
      </c>
      <c r="P4" s="540" t="s">
        <v>71</v>
      </c>
      <c r="Q4" s="540"/>
      <c r="R4" s="93"/>
      <c r="S4" s="93"/>
      <c r="T4" s="93"/>
      <c r="U4" s="93"/>
      <c r="V4" s="93"/>
      <c r="W4" s="93"/>
      <c r="X4" s="93"/>
      <c r="Y4" s="93"/>
      <c r="Z4" s="93"/>
      <c r="AA4" s="93"/>
      <c r="AB4" s="93"/>
      <c r="AC4" s="93"/>
      <c r="AD4" s="93"/>
      <c r="AE4" s="93"/>
    </row>
    <row r="5" spans="1:31" ht="15.5">
      <c r="A5" s="105" t="s">
        <v>72</v>
      </c>
      <c r="B5" s="18" t="s">
        <v>1088</v>
      </c>
      <c r="C5" s="93"/>
      <c r="D5" s="410" t="s">
        <v>6</v>
      </c>
      <c r="E5" s="411" t="s">
        <v>42</v>
      </c>
      <c r="F5" s="539"/>
      <c r="G5" s="410" t="s">
        <v>6</v>
      </c>
      <c r="H5" s="411" t="s">
        <v>42</v>
      </c>
      <c r="I5" s="539"/>
      <c r="J5" s="410" t="s">
        <v>6</v>
      </c>
      <c r="K5" s="411" t="s">
        <v>42</v>
      </c>
      <c r="L5" s="539"/>
      <c r="M5" s="410" t="s">
        <v>6</v>
      </c>
      <c r="N5" s="411" t="s">
        <v>42</v>
      </c>
      <c r="O5" s="539"/>
      <c r="P5" s="410" t="s">
        <v>6</v>
      </c>
      <c r="Q5" s="411" t="s">
        <v>42</v>
      </c>
      <c r="R5" s="93"/>
      <c r="S5" s="93"/>
      <c r="T5" s="93"/>
      <c r="U5" s="93"/>
      <c r="V5" s="93"/>
      <c r="W5" s="93"/>
      <c r="X5" s="93"/>
      <c r="Y5" s="93"/>
      <c r="Z5" s="93"/>
      <c r="AA5" s="93"/>
      <c r="AB5" s="93"/>
      <c r="AC5" s="93"/>
      <c r="AD5" s="93"/>
      <c r="AE5" s="93"/>
    </row>
    <row r="6" spans="1:31" ht="15.5">
      <c r="A6" s="105" t="s">
        <v>73</v>
      </c>
      <c r="B6" s="104" t="s">
        <v>1093</v>
      </c>
      <c r="C6" s="93"/>
      <c r="D6" s="412" t="e">
        <f ca="1">-E6+F4*G6/G71</f>
        <v>#VALUE!</v>
      </c>
      <c r="E6" s="413">
        <f ca="1">-CashFlow!D9*Input!D71</f>
        <v>0</v>
      </c>
      <c r="F6" s="414"/>
      <c r="G6" s="412" t="e">
        <f ca="1">-H6+I4*J6/Input!J71</f>
        <v>#VALUE!</v>
      </c>
      <c r="H6" s="413">
        <f ca="1">-CashFlow!D10*Input!G72</f>
        <v>0</v>
      </c>
      <c r="I6" s="414"/>
      <c r="J6" s="412" t="e">
        <f ca="1">-K6+L4*M6/Input!M71</f>
        <v>#VALUE!</v>
      </c>
      <c r="K6" s="413">
        <f ca="1">-CashFlow!H11*Input!J72*Exploration!AB17</f>
        <v>0</v>
      </c>
      <c r="L6" s="414"/>
      <c r="M6" s="412" t="e">
        <f ca="1">-N6+O4*P6/Input!P71</f>
        <v>#VALUE!</v>
      </c>
      <c r="N6" s="413">
        <f ca="1">-CashFlow!H12*Input!M72</f>
        <v>0</v>
      </c>
      <c r="O6" s="414"/>
      <c r="P6" s="412">
        <f ca="1">SUM(CashFlow!H8,CashFlow!H13:H19)*Input!P72</f>
        <v>4078.9826495114462</v>
      </c>
      <c r="Q6" s="413">
        <f ca="1">(-CashFlow!H14-CashFlow!H13)*Input!P72</f>
        <v>4513.8056837432741</v>
      </c>
      <c r="R6" s="93"/>
      <c r="S6" s="93"/>
      <c r="T6" s="93"/>
      <c r="U6" s="93"/>
      <c r="V6" s="93"/>
      <c r="W6" s="93"/>
      <c r="X6" s="93"/>
      <c r="Y6" s="93"/>
      <c r="Z6" s="93"/>
      <c r="AA6" s="93"/>
      <c r="AB6" s="93"/>
      <c r="AC6" s="93"/>
      <c r="AD6" s="93"/>
      <c r="AE6" s="93"/>
    </row>
    <row r="7" spans="1:31" ht="18.5">
      <c r="A7" s="541" t="s">
        <v>74</v>
      </c>
      <c r="B7" s="542"/>
      <c r="C7" s="93"/>
      <c r="D7" s="415"/>
      <c r="E7" s="416"/>
      <c r="F7" s="417"/>
      <c r="G7" s="416"/>
      <c r="H7" s="416"/>
      <c r="I7" s="417"/>
      <c r="J7" s="416"/>
      <c r="K7" s="416"/>
      <c r="L7" s="417"/>
      <c r="M7" s="416"/>
      <c r="N7" s="416"/>
      <c r="O7" s="417"/>
      <c r="P7" s="416"/>
      <c r="Q7" s="416"/>
      <c r="R7" s="93"/>
      <c r="S7" s="93"/>
      <c r="T7" s="93"/>
      <c r="U7" s="93"/>
      <c r="V7" s="93"/>
      <c r="W7" s="93"/>
      <c r="X7" s="93"/>
      <c r="Y7" s="93"/>
      <c r="Z7" s="93"/>
      <c r="AA7" s="93"/>
      <c r="AB7" s="93"/>
      <c r="AC7" s="93"/>
      <c r="AD7" s="93"/>
      <c r="AE7" s="93"/>
    </row>
    <row r="8" spans="1:31" ht="18.5">
      <c r="A8" s="102" t="s">
        <v>75</v>
      </c>
      <c r="B8" s="104" t="s">
        <v>76</v>
      </c>
      <c r="C8" s="93"/>
      <c r="D8" s="142" t="str">
        <f>B8&amp;" Summary Evaluation Parameters"</f>
        <v>Prospect X Summary Evaluation Parameters</v>
      </c>
      <c r="E8" s="416"/>
      <c r="F8" s="416"/>
      <c r="G8" s="416"/>
      <c r="H8" s="416"/>
      <c r="I8" s="416"/>
      <c r="J8" s="142" t="str">
        <f>B8&amp;" Value Waterfall Chart ($M)"</f>
        <v>Prospect X Value Waterfall Chart ($M)</v>
      </c>
      <c r="K8" s="416"/>
      <c r="L8" s="416"/>
      <c r="M8" s="416"/>
      <c r="N8" s="416"/>
      <c r="O8" s="416"/>
      <c r="P8" s="416"/>
      <c r="Q8" s="416"/>
      <c r="R8" s="93"/>
      <c r="S8" s="93"/>
      <c r="T8" s="93"/>
      <c r="U8" s="93"/>
      <c r="V8" s="93"/>
      <c r="W8" s="93"/>
      <c r="X8" s="93"/>
      <c r="Y8" s="93"/>
      <c r="Z8" s="93"/>
      <c r="AA8" s="93"/>
      <c r="AB8" s="93"/>
      <c r="AC8" s="93"/>
      <c r="AD8" s="93"/>
      <c r="AE8" s="93"/>
    </row>
    <row r="9" spans="1:31" ht="18.5">
      <c r="A9" s="102" t="s">
        <v>77</v>
      </c>
      <c r="B9" s="104" t="s">
        <v>233</v>
      </c>
      <c r="C9" s="93"/>
      <c r="D9" s="415"/>
      <c r="E9" s="416"/>
      <c r="F9" s="416"/>
      <c r="G9" s="416"/>
      <c r="H9" s="416"/>
      <c r="I9" s="416"/>
      <c r="J9" s="416"/>
      <c r="K9" s="416"/>
      <c r="L9" s="416"/>
      <c r="M9" s="416"/>
      <c r="N9" s="416"/>
      <c r="O9" s="416"/>
      <c r="P9" s="416"/>
      <c r="Q9" s="416"/>
      <c r="R9" s="167"/>
      <c r="S9" s="93"/>
      <c r="T9" s="93"/>
      <c r="U9" s="93"/>
      <c r="V9" s="93"/>
      <c r="W9" s="93"/>
      <c r="X9" s="93"/>
      <c r="Y9" s="93"/>
      <c r="Z9" s="93"/>
      <c r="AA9" s="93"/>
      <c r="AB9" s="93"/>
      <c r="AC9" s="93"/>
      <c r="AD9" s="93"/>
      <c r="AE9" s="93"/>
    </row>
    <row r="10" spans="1:31" ht="15.5">
      <c r="A10" s="102" t="s">
        <v>79</v>
      </c>
      <c r="B10" s="109">
        <v>42005</v>
      </c>
      <c r="C10" s="93"/>
      <c r="D10" s="305" t="s">
        <v>772</v>
      </c>
      <c r="E10" s="303"/>
      <c r="F10" s="303"/>
      <c r="G10" s="303"/>
      <c r="H10" s="308">
        <f>Exploration!C9</f>
        <v>1</v>
      </c>
      <c r="I10" s="93"/>
      <c r="J10" s="416"/>
      <c r="K10" s="416"/>
      <c r="L10" s="416"/>
      <c r="M10" s="416"/>
      <c r="N10" s="416"/>
      <c r="O10" s="416"/>
      <c r="P10" s="416"/>
      <c r="Q10" s="416"/>
      <c r="R10" s="416"/>
      <c r="S10" s="416"/>
      <c r="T10" s="133"/>
      <c r="U10" s="93"/>
      <c r="V10" s="93"/>
      <c r="W10" s="93"/>
      <c r="X10" s="93"/>
      <c r="Y10" s="93"/>
      <c r="Z10" s="93"/>
      <c r="AA10" s="93"/>
      <c r="AB10" s="93"/>
      <c r="AC10" s="93"/>
      <c r="AD10" s="93"/>
      <c r="AE10" s="93"/>
    </row>
    <row r="11" spans="1:31" ht="15.5">
      <c r="A11" s="102" t="s">
        <v>645</v>
      </c>
      <c r="B11" s="18" t="s">
        <v>647</v>
      </c>
      <c r="C11" s="93"/>
      <c r="D11" s="305" t="s">
        <v>81</v>
      </c>
      <c r="E11" s="303"/>
      <c r="F11" s="303"/>
      <c r="G11" s="303"/>
      <c r="H11" s="418">
        <f>prod_year</f>
        <v>42815</v>
      </c>
      <c r="I11" s="416"/>
      <c r="J11" s="416"/>
      <c r="K11" s="416"/>
      <c r="L11" s="416"/>
      <c r="M11" s="416"/>
      <c r="N11" s="416"/>
      <c r="O11" s="416"/>
      <c r="P11" s="416"/>
      <c r="Q11" s="416"/>
      <c r="R11" s="416"/>
      <c r="S11" s="416"/>
      <c r="T11" s="93"/>
      <c r="U11" s="93"/>
      <c r="V11" s="93"/>
      <c r="W11" s="93"/>
      <c r="X11" s="93"/>
      <c r="Y11" s="93"/>
      <c r="Z11" s="93"/>
      <c r="AA11" s="93"/>
      <c r="AB11" s="93"/>
      <c r="AC11" s="93"/>
      <c r="AD11" s="93"/>
      <c r="AE11" s="93"/>
    </row>
    <row r="12" spans="1:31" ht="15.5">
      <c r="A12" s="102" t="str">
        <f>"Mean Reserves ("&amp;IF(B11="Gas","bcf","mmbbl")&amp;")"</f>
        <v>Mean Reserves (mmbbl)</v>
      </c>
      <c r="B12" s="18">
        <v>290</v>
      </c>
      <c r="C12" s="94" t="b">
        <f>OR(AND(B11="Oil",B12&gt;600),AND(B11="Gas",B12&gt;4000))</f>
        <v>0</v>
      </c>
      <c r="D12" s="305" t="s">
        <v>83</v>
      </c>
      <c r="E12" s="303"/>
      <c r="F12" s="303"/>
      <c r="G12" s="303"/>
      <c r="H12" s="419">
        <f>CashFlow!F19</f>
        <v>51561</v>
      </c>
      <c r="I12" s="416"/>
      <c r="J12" s="416"/>
      <c r="K12" s="416"/>
      <c r="L12" s="416"/>
      <c r="M12" s="416"/>
      <c r="N12" s="416"/>
      <c r="O12" s="416"/>
      <c r="P12" s="416"/>
      <c r="Q12" s="416"/>
      <c r="R12" s="416"/>
      <c r="S12" s="416"/>
      <c r="T12" s="93"/>
      <c r="U12" s="93"/>
      <c r="V12" s="93"/>
      <c r="W12" s="93"/>
      <c r="X12" s="93"/>
      <c r="Y12" s="93"/>
      <c r="Z12" s="93"/>
      <c r="AA12" s="93"/>
      <c r="AB12" s="93"/>
      <c r="AC12" s="93"/>
      <c r="AD12" s="93"/>
      <c r="AE12" s="93"/>
    </row>
    <row r="13" spans="1:31" ht="15.5">
      <c r="A13" s="102" t="s">
        <v>100</v>
      </c>
      <c r="B13" s="104">
        <v>3000</v>
      </c>
      <c r="C13" s="94">
        <v>15</v>
      </c>
      <c r="D13" s="305" t="s">
        <v>5</v>
      </c>
      <c r="E13" s="303"/>
      <c r="F13" s="303"/>
      <c r="G13" s="303"/>
      <c r="H13" s="419">
        <f ca="1">IF(B4=Lists!A55,DATE(YEAR(NOW()),MONTH(NOW()),1),IF(B4=Lists!A56,DATE(YEAR(NOW()),1,1),B10))</f>
        <v>42005</v>
      </c>
      <c r="I13" s="416"/>
      <c r="J13" s="416"/>
      <c r="K13" s="416"/>
      <c r="L13" s="416"/>
      <c r="M13" s="416"/>
      <c r="N13" s="416"/>
      <c r="O13" s="416"/>
      <c r="P13" s="416"/>
      <c r="Q13" s="416"/>
      <c r="R13" s="416"/>
      <c r="S13" s="416"/>
      <c r="T13" s="93"/>
      <c r="U13" s="93"/>
      <c r="V13" s="93"/>
      <c r="W13" s="93"/>
      <c r="X13" s="93"/>
      <c r="Y13" s="93"/>
      <c r="Z13" s="93"/>
      <c r="AA13" s="93"/>
      <c r="AB13" s="93"/>
      <c r="AC13" s="93"/>
      <c r="AD13" s="93"/>
      <c r="AE13" s="93"/>
    </row>
    <row r="14" spans="1:31" ht="18.75" customHeight="1">
      <c r="A14" s="102" t="s">
        <v>80</v>
      </c>
      <c r="B14" s="104" t="s">
        <v>850</v>
      </c>
      <c r="C14" s="94" t="b">
        <f>OR(ISNA(MATCH(Input!B14,Devellist,0)),B14="")</f>
        <v>0</v>
      </c>
      <c r="D14" s="420" t="s">
        <v>773</v>
      </c>
      <c r="E14" s="303"/>
      <c r="F14" s="303"/>
      <c r="G14" s="303"/>
      <c r="H14" s="421"/>
      <c r="I14" s="416"/>
      <c r="J14" s="416"/>
      <c r="K14" s="416"/>
      <c r="L14" s="416"/>
      <c r="M14" s="416"/>
      <c r="N14" s="416"/>
      <c r="O14" s="416"/>
      <c r="P14" s="416"/>
      <c r="Q14" s="416"/>
      <c r="R14" s="416"/>
      <c r="S14" s="416"/>
      <c r="T14" s="93"/>
      <c r="U14" s="93"/>
      <c r="V14" s="93"/>
      <c r="W14" s="93"/>
      <c r="X14" s="93"/>
      <c r="Y14" s="93"/>
      <c r="Z14" s="93"/>
      <c r="AA14" s="93"/>
      <c r="AB14" s="93"/>
      <c r="AC14" s="93"/>
      <c r="AD14" s="93"/>
      <c r="AE14" s="93"/>
    </row>
    <row r="15" spans="1:31" ht="18" customHeight="1">
      <c r="A15" s="102" t="s">
        <v>857</v>
      </c>
      <c r="B15" s="104" t="s">
        <v>854</v>
      </c>
      <c r="C15" s="94" t="b">
        <f>IF(OR(B14=Subsea,B14=Lists!O38),FALSE,OR(ISNA(MATCH(B15,Lists!A22:A25,0)),B15=""))</f>
        <v>0</v>
      </c>
      <c r="D15" s="305" t="str">
        <f>CashFlow!E6</f>
        <v>Associated Gas Revenue</v>
      </c>
      <c r="E15" s="303"/>
      <c r="F15" s="303"/>
      <c r="G15" s="303"/>
      <c r="H15" s="422">
        <f ca="1">CashFlow!K6</f>
        <v>2685.0284121467967</v>
      </c>
      <c r="I15" s="416"/>
      <c r="J15" s="416"/>
      <c r="K15" s="416"/>
      <c r="L15" s="416"/>
      <c r="M15" s="416"/>
      <c r="N15" s="416"/>
      <c r="O15" s="416"/>
      <c r="P15" s="416"/>
      <c r="Q15" s="416"/>
      <c r="R15" s="416"/>
      <c r="S15" s="416"/>
      <c r="T15" s="93"/>
      <c r="U15" s="93"/>
      <c r="V15" s="93"/>
      <c r="W15" s="93"/>
      <c r="X15" s="93"/>
      <c r="Y15" s="93"/>
      <c r="Z15" s="93"/>
      <c r="AA15" s="93"/>
      <c r="AB15" s="93"/>
      <c r="AC15" s="93"/>
      <c r="AD15" s="93"/>
      <c r="AE15" s="93"/>
    </row>
    <row r="16" spans="1:31" ht="15.5">
      <c r="A16" s="102" t="s">
        <v>848</v>
      </c>
      <c r="B16" s="104">
        <v>250</v>
      </c>
      <c r="C16" s="94" t="b">
        <f>OR(B14=Subsea,B14=Lists!O38)</f>
        <v>0</v>
      </c>
      <c r="D16" s="305" t="str">
        <f>CashFlow!E7</f>
        <v>Oil Revenue</v>
      </c>
      <c r="E16" s="303"/>
      <c r="F16" s="303"/>
      <c r="G16" s="303"/>
      <c r="H16" s="422">
        <f ca="1">CashFlow!K7</f>
        <v>14335.258167428692</v>
      </c>
      <c r="I16" s="416"/>
      <c r="J16" s="416"/>
      <c r="K16" s="416"/>
      <c r="L16" s="416"/>
      <c r="M16" s="416"/>
      <c r="N16" s="416"/>
      <c r="O16" s="416"/>
      <c r="P16" s="416"/>
      <c r="Q16" s="416"/>
      <c r="R16" s="416"/>
      <c r="S16" s="416"/>
      <c r="T16" s="93"/>
      <c r="U16" s="93"/>
      <c r="V16" s="93"/>
      <c r="W16" s="93"/>
      <c r="X16" s="93"/>
      <c r="Y16" s="93"/>
      <c r="Z16" s="93"/>
      <c r="AA16" s="93"/>
      <c r="AB16" s="93"/>
      <c r="AC16" s="93"/>
      <c r="AD16" s="93"/>
      <c r="AE16" s="93"/>
    </row>
    <row r="17" spans="1:31" ht="18" customHeight="1">
      <c r="A17" s="102" t="s">
        <v>858</v>
      </c>
      <c r="B17" s="117">
        <v>0.3</v>
      </c>
      <c r="C17" s="94"/>
      <c r="D17" s="305" t="str">
        <f>CashFlow!E8</f>
        <v>Total Revenue</v>
      </c>
      <c r="E17" s="303"/>
      <c r="F17" s="303"/>
      <c r="G17" s="303"/>
      <c r="H17" s="422">
        <f ca="1">H16+H15</f>
        <v>17020.286579575488</v>
      </c>
      <c r="I17" s="416"/>
      <c r="J17" s="416"/>
      <c r="K17" s="416"/>
      <c r="L17" s="416"/>
      <c r="M17" s="416"/>
      <c r="N17" s="416"/>
      <c r="O17" s="416"/>
      <c r="P17" s="416"/>
      <c r="Q17" s="416"/>
      <c r="R17" s="416"/>
      <c r="S17" s="416"/>
      <c r="T17" s="93"/>
      <c r="U17" s="93"/>
      <c r="V17" s="93"/>
      <c r="W17" s="93"/>
      <c r="X17" s="93"/>
      <c r="Y17" s="93"/>
      <c r="Z17" s="93"/>
      <c r="AA17" s="93"/>
      <c r="AB17" s="93"/>
      <c r="AC17" s="93"/>
      <c r="AD17" s="93"/>
      <c r="AE17" s="93"/>
    </row>
    <row r="18" spans="1:31" ht="18.5">
      <c r="A18" s="551" t="s">
        <v>839</v>
      </c>
      <c r="B18" s="552"/>
      <c r="C18" s="94"/>
      <c r="D18" s="305" t="str">
        <f>CashFlow!E9</f>
        <v>Seismic</v>
      </c>
      <c r="E18" s="303"/>
      <c r="F18" s="303"/>
      <c r="G18" s="303"/>
      <c r="H18" s="422">
        <f ca="1">CashFlow!K9</f>
        <v>0</v>
      </c>
      <c r="I18" s="416"/>
      <c r="J18" s="416"/>
      <c r="K18" s="416"/>
      <c r="L18" s="416"/>
      <c r="M18" s="416"/>
      <c r="N18" s="416"/>
      <c r="O18" s="416"/>
      <c r="P18" s="416"/>
      <c r="Q18" s="416"/>
      <c r="R18" s="416"/>
      <c r="S18" s="416"/>
      <c r="T18" s="93"/>
      <c r="U18" s="93"/>
      <c r="V18" s="93"/>
      <c r="W18" s="93"/>
      <c r="X18" s="93"/>
      <c r="Y18" s="93"/>
      <c r="Z18" s="93"/>
      <c r="AA18" s="93"/>
      <c r="AB18" s="93"/>
      <c r="AC18" s="93"/>
      <c r="AD18" s="93"/>
      <c r="AE18" s="93"/>
    </row>
    <row r="19" spans="1:31" ht="15.5">
      <c r="A19" s="102" t="s">
        <v>78</v>
      </c>
      <c r="B19" s="103">
        <v>1</v>
      </c>
      <c r="C19" s="94"/>
      <c r="D19" s="305" t="str">
        <f>CashFlow!E10</f>
        <v>Wildcat</v>
      </c>
      <c r="E19" s="303"/>
      <c r="F19" s="303"/>
      <c r="G19" s="303"/>
      <c r="H19" s="422">
        <f ca="1">CashFlow!K10</f>
        <v>0</v>
      </c>
      <c r="I19" s="93"/>
      <c r="J19" s="416"/>
      <c r="K19" s="416"/>
      <c r="L19" s="416"/>
      <c r="M19" s="416"/>
      <c r="N19" s="416"/>
      <c r="O19" s="416"/>
      <c r="P19" s="416"/>
      <c r="Q19" s="416"/>
      <c r="R19" s="416"/>
      <c r="S19" s="416"/>
      <c r="T19" s="93"/>
      <c r="U19" s="93"/>
      <c r="V19" s="93"/>
      <c r="W19" s="93"/>
      <c r="X19" s="93"/>
      <c r="Y19" s="93"/>
      <c r="Z19" s="93"/>
      <c r="AA19" s="93"/>
      <c r="AB19" s="93"/>
      <c r="AC19" s="93"/>
      <c r="AD19" s="93"/>
      <c r="AE19" s="93"/>
    </row>
    <row r="20" spans="1:31" ht="15.5">
      <c r="A20" s="102" t="s">
        <v>86</v>
      </c>
      <c r="B20" s="103">
        <v>0.35</v>
      </c>
      <c r="C20" s="94"/>
      <c r="D20" s="305" t="str">
        <f>CashFlow!E11</f>
        <v>Appraisal</v>
      </c>
      <c r="E20" s="303"/>
      <c r="F20" s="303"/>
      <c r="G20" s="303"/>
      <c r="H20" s="422">
        <f ca="1">CashFlow!K11</f>
        <v>0</v>
      </c>
      <c r="I20" s="93"/>
      <c r="J20" s="416"/>
      <c r="K20" s="416"/>
      <c r="L20" s="416"/>
      <c r="M20" s="416"/>
      <c r="N20" s="416"/>
      <c r="O20" s="416"/>
      <c r="P20" s="416"/>
      <c r="Q20" s="416"/>
      <c r="R20" s="416"/>
      <c r="S20" s="416"/>
      <c r="T20" s="93"/>
      <c r="U20" s="93"/>
      <c r="V20" s="93"/>
      <c r="W20" s="93"/>
      <c r="X20" s="93"/>
      <c r="Y20" s="93"/>
      <c r="Z20" s="93"/>
      <c r="AA20" s="93"/>
      <c r="AB20" s="93"/>
      <c r="AC20" s="93"/>
      <c r="AD20" s="93"/>
      <c r="AE20" s="93"/>
    </row>
    <row r="21" spans="1:31" ht="15.5">
      <c r="A21" s="102" t="s">
        <v>87</v>
      </c>
      <c r="B21" s="103">
        <v>0.75</v>
      </c>
      <c r="C21" s="94"/>
      <c r="D21" s="305" t="str">
        <f>CashFlow!E12</f>
        <v>Development Planning</v>
      </c>
      <c r="E21" s="303"/>
      <c r="F21" s="303"/>
      <c r="G21" s="303"/>
      <c r="H21" s="422">
        <f ca="1">CashFlow!K12</f>
        <v>0</v>
      </c>
      <c r="I21" s="93"/>
      <c r="J21" s="416"/>
      <c r="K21" s="416"/>
      <c r="L21" s="416"/>
      <c r="M21" s="416"/>
      <c r="N21" s="416"/>
      <c r="O21" s="416"/>
      <c r="P21" s="416"/>
      <c r="Q21" s="416"/>
      <c r="R21" s="416"/>
      <c r="S21" s="416"/>
      <c r="T21" s="93"/>
      <c r="U21" s="93"/>
      <c r="V21" s="93"/>
      <c r="W21" s="93"/>
      <c r="X21" s="93"/>
      <c r="Y21" s="93"/>
      <c r="Z21" s="93"/>
      <c r="AA21" s="93"/>
      <c r="AB21" s="93"/>
      <c r="AC21" s="93"/>
      <c r="AD21" s="93"/>
      <c r="AE21" s="93"/>
    </row>
    <row r="22" spans="1:31" ht="15.5">
      <c r="A22" s="102" t="s">
        <v>88</v>
      </c>
      <c r="B22" s="103">
        <v>1</v>
      </c>
      <c r="C22" s="94"/>
      <c r="D22" s="305" t="str">
        <f>CashFlow!E13</f>
        <v>Facilities &amp; Pipelines</v>
      </c>
      <c r="E22" s="303"/>
      <c r="F22" s="303"/>
      <c r="G22" s="303"/>
      <c r="H22" s="422">
        <f ca="1">CashFlow!K13</f>
        <v>-3446.4140354616316</v>
      </c>
      <c r="I22" s="93"/>
      <c r="J22" s="416"/>
      <c r="K22" s="416"/>
      <c r="L22" s="416"/>
      <c r="M22" s="416"/>
      <c r="N22" s="416"/>
      <c r="O22" s="416"/>
      <c r="P22" s="416"/>
      <c r="Q22" s="416"/>
      <c r="R22" s="416"/>
      <c r="S22" s="416"/>
      <c r="T22" s="93"/>
      <c r="U22" s="93"/>
      <c r="V22" s="93"/>
      <c r="W22" s="93"/>
      <c r="X22" s="93"/>
      <c r="Y22" s="93"/>
      <c r="Z22" s="93"/>
      <c r="AA22" s="93"/>
      <c r="AB22" s="93"/>
      <c r="AC22" s="93"/>
      <c r="AD22" s="93"/>
      <c r="AE22" s="93"/>
    </row>
    <row r="23" spans="1:31" ht="18.5">
      <c r="A23" s="541" t="s">
        <v>89</v>
      </c>
      <c r="B23" s="542"/>
      <c r="C23" s="94"/>
      <c r="D23" s="305" t="str">
        <f>CashFlow!E14</f>
        <v>Development Drilling</v>
      </c>
      <c r="E23" s="303"/>
      <c r="F23" s="303"/>
      <c r="G23" s="303"/>
      <c r="H23" s="422">
        <f ca="1">CashFlow!K14</f>
        <v>-1067.391648281643</v>
      </c>
      <c r="I23" s="416"/>
      <c r="J23" s="416"/>
      <c r="K23" s="416"/>
      <c r="L23" s="416"/>
      <c r="M23" s="416"/>
      <c r="N23" s="416"/>
      <c r="O23" s="416"/>
      <c r="P23" s="416"/>
      <c r="Q23" s="416"/>
      <c r="R23" s="416"/>
      <c r="S23" s="416"/>
      <c r="T23" s="93"/>
      <c r="U23" s="93"/>
      <c r="V23" s="93"/>
      <c r="W23" s="93"/>
      <c r="X23" s="93"/>
      <c r="Y23" s="93"/>
      <c r="Z23" s="93"/>
      <c r="AA23" s="93"/>
      <c r="AB23" s="93"/>
      <c r="AC23" s="93"/>
      <c r="AD23" s="93"/>
      <c r="AE23" s="93"/>
    </row>
    <row r="24" spans="1:31" ht="15.5">
      <c r="A24" s="102" t="s">
        <v>90</v>
      </c>
      <c r="B24" s="18">
        <v>4500</v>
      </c>
      <c r="C24" s="94" t="b">
        <f>B24&lt;B13</f>
        <v>0</v>
      </c>
      <c r="D24" s="305" t="str">
        <f>CashFlow!E15</f>
        <v>Operations</v>
      </c>
      <c r="E24" s="303"/>
      <c r="F24" s="303"/>
      <c r="G24" s="303"/>
      <c r="H24" s="422">
        <f ca="1">CashFlow!K15</f>
        <v>-2368.0959087523634</v>
      </c>
      <c r="I24" s="416"/>
      <c r="J24" s="416"/>
      <c r="K24" s="416"/>
      <c r="L24" s="416"/>
      <c r="M24" s="416"/>
      <c r="N24" s="416"/>
      <c r="O24" s="416"/>
      <c r="P24" s="416"/>
      <c r="Q24" s="416"/>
      <c r="R24" s="416"/>
      <c r="S24" s="416"/>
      <c r="T24" s="93"/>
      <c r="U24" s="93"/>
      <c r="V24" s="93"/>
      <c r="W24" s="93"/>
      <c r="X24" s="93"/>
      <c r="Y24" s="93"/>
      <c r="Z24" s="93"/>
      <c r="AA24" s="93"/>
      <c r="AB24" s="93"/>
      <c r="AC24" s="93"/>
      <c r="AD24" s="93"/>
      <c r="AE24" s="93"/>
    </row>
    <row r="25" spans="1:31" ht="15.5">
      <c r="A25" s="102" t="s">
        <v>91</v>
      </c>
      <c r="B25" s="104" t="s">
        <v>117</v>
      </c>
      <c r="C25" s="94"/>
      <c r="D25" s="305" t="str">
        <f>CashFlow!E16</f>
        <v>Royalty</v>
      </c>
      <c r="E25" s="303"/>
      <c r="F25" s="303"/>
      <c r="G25" s="303"/>
      <c r="H25" s="422">
        <f ca="1">CashFlow!K16</f>
        <v>-3086.4938970455132</v>
      </c>
      <c r="I25" s="93"/>
      <c r="J25" s="416"/>
      <c r="K25" s="416"/>
      <c r="L25" s="416"/>
      <c r="M25" s="416"/>
      <c r="N25" s="416"/>
      <c r="O25" s="416"/>
      <c r="P25" s="416"/>
      <c r="Q25" s="416"/>
      <c r="R25" s="416"/>
      <c r="S25" s="416"/>
      <c r="T25" s="93"/>
      <c r="U25" s="93"/>
      <c r="V25" s="93"/>
      <c r="W25" s="93"/>
      <c r="X25" s="93"/>
      <c r="Y25" s="93"/>
      <c r="Z25" s="93"/>
      <c r="AA25" s="93"/>
      <c r="AB25" s="93"/>
      <c r="AC25" s="93"/>
      <c r="AD25" s="93"/>
      <c r="AE25" s="93"/>
    </row>
    <row r="26" spans="1:31" ht="15.5">
      <c r="A26" s="102" t="s">
        <v>93</v>
      </c>
      <c r="B26" s="104" t="s">
        <v>117</v>
      </c>
      <c r="C26" s="94"/>
      <c r="D26" s="305" t="str">
        <f>CashFlow!E17</f>
        <v>Provincial Income Tax</v>
      </c>
      <c r="E26" s="303"/>
      <c r="F26" s="303"/>
      <c r="G26" s="303"/>
      <c r="H26" s="422">
        <f ca="1">CashFlow!K17</f>
        <v>-1311.1260477701517</v>
      </c>
      <c r="I26" s="93"/>
      <c r="J26" s="416"/>
      <c r="K26" s="416"/>
      <c r="L26" s="416"/>
      <c r="M26" s="416"/>
      <c r="N26" s="416"/>
      <c r="O26" s="416"/>
      <c r="P26" s="416"/>
      <c r="Q26" s="416"/>
      <c r="R26" s="416"/>
      <c r="S26" s="416"/>
      <c r="T26" s="93"/>
      <c r="U26" s="93"/>
      <c r="V26" s="93"/>
      <c r="W26" s="93"/>
      <c r="X26" s="93"/>
      <c r="Y26" s="93"/>
      <c r="Z26" s="93"/>
      <c r="AA26" s="93"/>
      <c r="AB26" s="93"/>
      <c r="AC26" s="93"/>
      <c r="AD26" s="93"/>
      <c r="AE26" s="93"/>
    </row>
    <row r="27" spans="1:31" ht="15.5">
      <c r="A27" s="102" t="s">
        <v>94</v>
      </c>
      <c r="B27" s="104" t="s">
        <v>95</v>
      </c>
      <c r="C27" s="94"/>
      <c r="D27" s="305" t="str">
        <f>CashFlow!E18</f>
        <v>Federal Income Tax</v>
      </c>
      <c r="E27" s="303"/>
      <c r="F27" s="303"/>
      <c r="G27" s="303"/>
      <c r="H27" s="422">
        <f ca="1">CashFlow!K18</f>
        <v>-1633.0983599115268</v>
      </c>
      <c r="I27" s="93"/>
      <c r="J27" s="93"/>
      <c r="K27" s="93"/>
      <c r="L27" s="93"/>
      <c r="M27" s="93"/>
      <c r="N27" s="93"/>
      <c r="O27" s="93"/>
      <c r="P27" s="93"/>
      <c r="Q27" s="93"/>
      <c r="R27" s="93"/>
      <c r="S27" s="93"/>
      <c r="T27" s="93"/>
      <c r="U27" s="93"/>
      <c r="V27" s="93"/>
      <c r="W27" s="93"/>
      <c r="X27" s="93"/>
      <c r="Y27" s="93"/>
      <c r="Z27" s="93"/>
      <c r="AA27" s="93"/>
      <c r="AB27" s="93"/>
      <c r="AC27" s="93"/>
      <c r="AD27" s="93"/>
      <c r="AE27" s="93"/>
    </row>
    <row r="28" spans="1:31" ht="15.5">
      <c r="A28" s="102" t="s">
        <v>96</v>
      </c>
      <c r="B28" s="104">
        <v>1040</v>
      </c>
      <c r="C28" s="94" t="b">
        <f>IF(B11="Gas",IF(B29&gt;100,"TRUE","FALSE""),""FALSE"))</f>
        <v>0</v>
      </c>
      <c r="D28" s="305" t="str">
        <f>CashFlow!E19</f>
        <v>Abandonment</v>
      </c>
      <c r="E28" s="303"/>
      <c r="F28" s="303"/>
      <c r="G28" s="303"/>
      <c r="H28" s="422">
        <f ca="1">CashFlow!K19</f>
        <v>-28.684032841213252</v>
      </c>
      <c r="I28" s="93"/>
      <c r="J28" s="93"/>
      <c r="K28" s="93"/>
      <c r="L28" s="93"/>
      <c r="M28" s="93"/>
      <c r="N28" s="93"/>
      <c r="O28" s="93"/>
      <c r="P28" s="93"/>
      <c r="Q28" s="93"/>
      <c r="R28" s="93"/>
      <c r="S28" s="93"/>
      <c r="T28" s="93"/>
      <c r="U28" s="93"/>
      <c r="V28" s="93"/>
      <c r="W28" s="93"/>
      <c r="X28" s="93"/>
      <c r="Y28" s="93"/>
      <c r="Z28" s="93"/>
      <c r="AA28" s="93"/>
      <c r="AB28" s="93"/>
      <c r="AC28" s="93"/>
      <c r="AD28" s="93"/>
      <c r="AE28" s="93"/>
    </row>
    <row r="29" spans="1:31" ht="15.5">
      <c r="A29" s="102" t="str">
        <f>IF(B11="Gas","Liquid Yield (bbl/mcf)","GOR (scf/bbl)")</f>
        <v>GOR (scf/bbl)</v>
      </c>
      <c r="B29" s="104">
        <v>3333.3</v>
      </c>
      <c r="C29" s="94">
        <f>IF(B11="Gas",100,100000)</f>
        <v>100000</v>
      </c>
      <c r="D29" s="305" t="s">
        <v>101</v>
      </c>
      <c r="E29" s="303"/>
      <c r="F29" s="303"/>
      <c r="G29" s="303"/>
      <c r="H29" s="422">
        <f ca="1">SUM(H18:H28)</f>
        <v>-12941.303930064041</v>
      </c>
      <c r="I29" s="93"/>
      <c r="J29" s="93"/>
      <c r="K29" s="93"/>
      <c r="L29" s="93"/>
      <c r="M29" s="93"/>
      <c r="N29" s="93"/>
      <c r="O29" s="93"/>
      <c r="P29" s="93"/>
      <c r="Q29" s="93"/>
      <c r="R29" s="93"/>
      <c r="S29" s="93"/>
      <c r="T29" s="93"/>
      <c r="U29" s="93"/>
      <c r="V29" s="93"/>
      <c r="W29" s="93"/>
      <c r="X29" s="93"/>
      <c r="Y29" s="93"/>
      <c r="Z29" s="93"/>
      <c r="AA29" s="93"/>
      <c r="AB29" s="93"/>
      <c r="AC29" s="93"/>
      <c r="AD29" s="93"/>
      <c r="AE29" s="93"/>
    </row>
    <row r="30" spans="1:31" ht="18.5">
      <c r="A30" s="102" t="s">
        <v>98</v>
      </c>
      <c r="B30" s="104" t="s">
        <v>99</v>
      </c>
      <c r="C30" s="94"/>
      <c r="D30" s="420" t="str">
        <f>"NPV @ "&amp;FIXED(Input!B3*100,1)&amp;" % ($M)"</f>
        <v>NPV @ 10.0 % ($M)</v>
      </c>
      <c r="E30" s="423"/>
      <c r="F30" s="423"/>
      <c r="G30" s="423"/>
      <c r="H30" s="424">
        <f ca="1">IF(C37=FALSE, "Invalid Entry",IF(noteco=Lists!A84,Lists!A84,'Risked Cash Flow'!P8))</f>
        <v>4078.982649511448</v>
      </c>
      <c r="I30" s="93"/>
      <c r="J30" s="93"/>
      <c r="K30" s="93"/>
      <c r="L30" s="93"/>
      <c r="M30" s="93"/>
      <c r="N30" s="93"/>
      <c r="O30" s="93"/>
      <c r="P30" s="93"/>
      <c r="Q30" s="93"/>
      <c r="R30" s="93"/>
      <c r="S30" s="93"/>
      <c r="T30" s="93"/>
      <c r="U30" s="93"/>
      <c r="V30" s="93"/>
      <c r="W30" s="93"/>
      <c r="X30" s="93"/>
      <c r="Y30" s="93"/>
      <c r="Z30" s="93"/>
      <c r="AA30" s="93"/>
      <c r="AB30" s="93"/>
      <c r="AC30" s="93"/>
      <c r="AD30" s="93"/>
      <c r="AE30" s="93"/>
    </row>
    <row r="31" spans="1:31" ht="15.5">
      <c r="A31" s="102" t="s">
        <v>656</v>
      </c>
      <c r="B31" s="104" t="s">
        <v>104</v>
      </c>
      <c r="C31" s="94"/>
      <c r="D31" s="305" t="s">
        <v>105</v>
      </c>
      <c r="E31" s="303"/>
      <c r="F31" s="303"/>
      <c r="G31" s="303"/>
      <c r="H31" s="425">
        <f ca="1">IF(H30=Lists!A84,"",'Risked Cash Flow'!AJ4)</f>
        <v>0.30037683905341267</v>
      </c>
      <c r="I31" s="93"/>
      <c r="J31" s="93"/>
      <c r="K31" s="93"/>
      <c r="L31" s="93"/>
      <c r="M31" s="93"/>
      <c r="N31" s="93"/>
      <c r="O31" s="93"/>
      <c r="P31" s="93"/>
      <c r="Q31" s="93"/>
      <c r="R31" s="93"/>
      <c r="S31" s="93"/>
      <c r="T31" s="93"/>
      <c r="U31" s="93"/>
      <c r="V31" s="93"/>
      <c r="W31" s="93"/>
      <c r="X31" s="93"/>
      <c r="Y31" s="93"/>
      <c r="Z31" s="93"/>
      <c r="AA31" s="93"/>
      <c r="AB31" s="93"/>
      <c r="AC31" s="93"/>
      <c r="AD31" s="93"/>
      <c r="AE31" s="93"/>
    </row>
    <row r="32" spans="1:31" ht="18.5">
      <c r="A32" s="541" t="s">
        <v>102</v>
      </c>
      <c r="B32" s="542"/>
      <c r="C32" s="94"/>
      <c r="D32" s="305" t="s">
        <v>108</v>
      </c>
      <c r="E32" s="303"/>
      <c r="F32" s="303"/>
      <c r="G32" s="303"/>
      <c r="H32" s="426">
        <f ca="1">IF($H$30=Lists!A84,"",H30/'Risked Cash Flow'!AD8)</f>
        <v>0.90366819825721212</v>
      </c>
      <c r="I32" s="93"/>
      <c r="J32" s="93"/>
      <c r="K32" s="93"/>
      <c r="L32" s="93"/>
      <c r="M32" s="93"/>
      <c r="N32" s="93"/>
      <c r="O32" s="93"/>
      <c r="P32" s="93"/>
      <c r="Q32" s="93"/>
      <c r="R32" s="93"/>
      <c r="S32" s="93"/>
      <c r="T32" s="93"/>
      <c r="U32" s="93"/>
      <c r="V32" s="93"/>
      <c r="W32" s="93"/>
      <c r="X32" s="93"/>
      <c r="Y32" s="93"/>
      <c r="Z32" s="93"/>
      <c r="AA32" s="93"/>
      <c r="AB32" s="93"/>
      <c r="AC32" s="93"/>
      <c r="AD32" s="93"/>
      <c r="AE32" s="93"/>
    </row>
    <row r="33" spans="1:31" ht="15.5">
      <c r="A33" s="102" t="s">
        <v>103</v>
      </c>
      <c r="B33" s="104" t="s">
        <v>104</v>
      </c>
      <c r="C33" s="94"/>
      <c r="D33" s="305" t="s">
        <v>767</v>
      </c>
      <c r="E33" s="303"/>
      <c r="F33" s="303"/>
      <c r="G33" s="303"/>
      <c r="H33" s="426">
        <f ca="1">IF('Risked Cash Flow'!AC8=0,"NA",IF(H30=Lists!A84,"",H30/'Risked Cash Flow'!AC8))</f>
        <v>0.90366819825721212</v>
      </c>
      <c r="I33" s="93"/>
      <c r="J33" s="93"/>
      <c r="K33" s="93"/>
      <c r="L33" s="93"/>
      <c r="M33" s="93"/>
      <c r="N33" s="93"/>
      <c r="O33" s="93"/>
      <c r="P33" s="93"/>
      <c r="Q33" s="93"/>
      <c r="R33" s="93"/>
      <c r="S33" s="93"/>
      <c r="T33" s="93"/>
      <c r="U33" s="93"/>
      <c r="V33" s="93"/>
      <c r="W33" s="93"/>
      <c r="X33" s="93"/>
      <c r="Y33" s="93"/>
      <c r="Z33" s="93"/>
      <c r="AA33" s="93"/>
      <c r="AB33" s="93"/>
      <c r="AC33" s="93"/>
      <c r="AD33" s="93"/>
      <c r="AE33" s="93"/>
    </row>
    <row r="34" spans="1:31" ht="15.5">
      <c r="A34" s="102" t="s">
        <v>106</v>
      </c>
      <c r="B34" s="104" t="s">
        <v>104</v>
      </c>
      <c r="C34" s="94"/>
      <c r="D34" s="93"/>
      <c r="E34" s="93"/>
      <c r="F34" s="93"/>
      <c r="G34" s="93"/>
      <c r="H34" s="93"/>
      <c r="I34" s="93"/>
      <c r="J34" s="93"/>
      <c r="K34" s="93"/>
      <c r="L34" s="93"/>
      <c r="M34" s="93"/>
      <c r="N34" s="93"/>
      <c r="O34" s="93"/>
      <c r="P34" s="93"/>
      <c r="Q34" s="93"/>
      <c r="R34" s="93"/>
      <c r="S34" s="93"/>
      <c r="T34" s="93"/>
      <c r="U34" s="93"/>
      <c r="V34" s="93"/>
      <c r="W34" s="93"/>
      <c r="X34" s="93"/>
      <c r="Y34" s="93"/>
      <c r="Z34" s="93"/>
      <c r="AA34" s="93"/>
      <c r="AB34" s="93"/>
      <c r="AC34" s="93"/>
      <c r="AD34" s="93"/>
      <c r="AE34" s="93"/>
    </row>
    <row r="35" spans="1:31" ht="15.5">
      <c r="A35" s="102" t="s">
        <v>109</v>
      </c>
      <c r="B35" s="104" t="s">
        <v>107</v>
      </c>
      <c r="C35" s="94"/>
      <c r="D35" s="93"/>
      <c r="E35" s="93"/>
      <c r="F35" s="93"/>
      <c r="G35" s="93"/>
      <c r="H35" s="93"/>
      <c r="I35" s="93"/>
      <c r="J35" s="93"/>
      <c r="K35" s="93"/>
      <c r="L35" s="93"/>
      <c r="M35" s="93"/>
      <c r="N35" s="93"/>
      <c r="O35" s="93"/>
      <c r="P35" s="93"/>
      <c r="Q35" s="93"/>
      <c r="R35" s="93"/>
      <c r="S35" s="93"/>
      <c r="T35" s="93"/>
      <c r="U35" s="93"/>
      <c r="V35" s="93"/>
      <c r="W35" s="93"/>
      <c r="X35" s="93"/>
      <c r="Y35" s="93"/>
      <c r="Z35" s="93"/>
      <c r="AA35" s="93"/>
      <c r="AB35" s="93"/>
      <c r="AC35" s="93"/>
      <c r="AD35" s="93"/>
      <c r="AE35" s="93"/>
    </row>
    <row r="36" spans="1:31">
      <c r="A36" s="1"/>
      <c r="B36" s="1"/>
      <c r="C36" s="94"/>
      <c r="D36" s="93"/>
      <c r="E36" s="93"/>
      <c r="F36" s="93"/>
      <c r="G36" s="93"/>
      <c r="H36" s="93"/>
      <c r="I36" s="93"/>
      <c r="J36" s="93"/>
      <c r="K36" s="93"/>
      <c r="L36" s="93"/>
      <c r="M36" s="93"/>
      <c r="N36" s="93"/>
      <c r="O36" s="93"/>
      <c r="P36" s="93"/>
      <c r="Q36" s="93"/>
      <c r="R36" s="93"/>
      <c r="S36" s="93"/>
      <c r="T36" s="93"/>
      <c r="U36" s="93"/>
      <c r="V36" s="93"/>
      <c r="W36" s="93"/>
      <c r="X36" s="93"/>
      <c r="Y36" s="93"/>
      <c r="Z36" s="93"/>
      <c r="AA36" s="93"/>
      <c r="AB36" s="93"/>
      <c r="AC36" s="93"/>
      <c r="AD36" s="93"/>
      <c r="AE36" s="93"/>
    </row>
    <row r="37" spans="1:31">
      <c r="A37" s="1"/>
      <c r="B37" s="1"/>
      <c r="C37" s="94" t="b">
        <f>AND(C12=FALSE,C15=FALSE,C14=FALSE,C24=FALSE)</f>
        <v>1</v>
      </c>
      <c r="D37" s="93"/>
      <c r="E37" s="93"/>
      <c r="F37" s="93"/>
      <c r="G37" s="93"/>
      <c r="H37" s="93"/>
      <c r="I37" s="93"/>
      <c r="J37" s="93"/>
      <c r="K37" s="93"/>
      <c r="L37" s="93"/>
      <c r="M37" s="93"/>
      <c r="N37" s="93"/>
      <c r="O37" s="93"/>
      <c r="P37" s="93"/>
      <c r="Q37" s="93"/>
      <c r="R37" s="93"/>
      <c r="S37" s="93"/>
      <c r="T37" s="93"/>
      <c r="U37" s="93"/>
      <c r="V37" s="93"/>
      <c r="W37" s="93"/>
      <c r="X37" s="93"/>
      <c r="Y37" s="93"/>
      <c r="Z37" s="93"/>
      <c r="AA37" s="93"/>
      <c r="AB37" s="93"/>
      <c r="AC37" s="93"/>
      <c r="AD37" s="93"/>
      <c r="AE37" s="93"/>
    </row>
    <row r="38" spans="1:31">
      <c r="A38" s="1"/>
      <c r="B38" s="1"/>
      <c r="C38" s="93"/>
      <c r="D38" s="93"/>
      <c r="E38" s="93"/>
      <c r="F38" s="93"/>
      <c r="G38" s="93"/>
      <c r="H38" s="93"/>
      <c r="I38" s="93"/>
      <c r="J38" s="93"/>
      <c r="K38" s="93"/>
      <c r="L38" s="93"/>
      <c r="M38" s="93"/>
      <c r="N38" s="93"/>
      <c r="O38" s="93"/>
      <c r="P38" s="93"/>
      <c r="Q38" s="93"/>
      <c r="R38" s="93"/>
      <c r="S38" s="93"/>
      <c r="T38" s="93"/>
      <c r="U38" s="93"/>
      <c r="V38" s="93"/>
      <c r="W38" s="93"/>
      <c r="X38" s="93"/>
      <c r="Y38" s="93"/>
      <c r="Z38" s="93"/>
      <c r="AA38" s="93"/>
      <c r="AB38" s="93"/>
      <c r="AC38" s="93"/>
      <c r="AD38" s="93"/>
      <c r="AE38" s="93"/>
    </row>
    <row r="39" spans="1:31">
      <c r="A39" s="1"/>
      <c r="B39" s="1"/>
      <c r="C39" s="93"/>
      <c r="D39" s="93"/>
      <c r="E39" s="93"/>
      <c r="F39" s="93"/>
      <c r="G39" s="93"/>
      <c r="H39" s="93"/>
      <c r="I39" s="93"/>
      <c r="J39" s="93"/>
      <c r="K39" s="93"/>
      <c r="L39" s="93"/>
      <c r="M39" s="93"/>
      <c r="N39" s="93"/>
      <c r="O39" s="93"/>
      <c r="P39" s="93"/>
      <c r="Q39" s="93"/>
      <c r="R39" s="93"/>
      <c r="S39" s="93"/>
      <c r="T39" s="93"/>
      <c r="U39" s="93"/>
      <c r="V39" s="93"/>
      <c r="W39" s="93"/>
      <c r="X39" s="93"/>
      <c r="Y39" s="93"/>
      <c r="Z39" s="93"/>
      <c r="AA39" s="93"/>
      <c r="AB39" s="93"/>
      <c r="AC39" s="93"/>
      <c r="AD39" s="93"/>
      <c r="AE39" s="93"/>
    </row>
    <row r="40" spans="1:31">
      <c r="A40" s="1"/>
      <c r="B40" s="1"/>
      <c r="C40" s="93"/>
      <c r="D40" s="93"/>
      <c r="E40" s="93"/>
      <c r="F40" s="93"/>
      <c r="G40" s="93"/>
      <c r="H40" s="93"/>
      <c r="I40" s="93"/>
      <c r="J40" s="93"/>
      <c r="K40" s="93"/>
      <c r="L40" s="93"/>
      <c r="M40" s="93"/>
      <c r="N40" s="93"/>
      <c r="O40" s="93"/>
      <c r="P40" s="93"/>
      <c r="Q40" s="93"/>
      <c r="R40" s="93"/>
      <c r="S40" s="93"/>
      <c r="T40" s="93"/>
      <c r="U40" s="93"/>
      <c r="V40" s="93"/>
      <c r="W40" s="93"/>
      <c r="X40" s="93"/>
      <c r="Y40" s="93"/>
      <c r="Z40" s="93"/>
      <c r="AA40" s="93"/>
      <c r="AB40" s="93"/>
      <c r="AC40" s="93"/>
      <c r="AD40" s="93"/>
      <c r="AE40" s="93"/>
    </row>
    <row r="41" spans="1:31">
      <c r="A41" s="1"/>
      <c r="B41" s="1"/>
      <c r="C41" s="93"/>
      <c r="D41" s="93"/>
      <c r="E41" s="93"/>
      <c r="F41" s="93"/>
      <c r="G41" s="93"/>
      <c r="H41" s="93"/>
      <c r="I41" s="93"/>
      <c r="J41" s="93"/>
      <c r="K41" s="93"/>
      <c r="L41" s="93"/>
      <c r="M41" s="93"/>
      <c r="N41" s="93"/>
      <c r="O41" s="93"/>
      <c r="P41" s="93"/>
      <c r="Q41" s="93"/>
      <c r="R41" s="93"/>
      <c r="S41" s="93"/>
      <c r="T41" s="93"/>
      <c r="U41" s="93"/>
      <c r="V41" s="93"/>
      <c r="W41" s="93"/>
      <c r="X41" s="93"/>
      <c r="Y41" s="93"/>
      <c r="Z41" s="93"/>
      <c r="AA41" s="93"/>
      <c r="AB41" s="93"/>
      <c r="AC41" s="93"/>
      <c r="AD41" s="93"/>
      <c r="AE41" s="93"/>
    </row>
    <row r="42" spans="1:31">
      <c r="A42" s="1"/>
      <c r="B42" s="1"/>
      <c r="C42" s="93"/>
      <c r="D42" s="93"/>
      <c r="E42" s="93"/>
      <c r="F42" s="93"/>
      <c r="G42" s="93"/>
      <c r="H42" s="93"/>
      <c r="I42" s="93"/>
      <c r="J42" s="93"/>
      <c r="K42" s="93"/>
      <c r="L42" s="93"/>
      <c r="M42" s="93"/>
      <c r="N42" s="93"/>
      <c r="O42" s="93"/>
      <c r="P42" s="93"/>
      <c r="Q42" s="93"/>
      <c r="R42" s="93"/>
      <c r="S42" s="93"/>
      <c r="T42" s="93"/>
      <c r="U42" s="93"/>
      <c r="V42" s="93"/>
      <c r="W42" s="93"/>
      <c r="X42" s="93"/>
      <c r="Y42" s="93"/>
      <c r="Z42" s="93"/>
      <c r="AA42" s="93"/>
      <c r="AB42" s="93"/>
      <c r="AC42" s="93"/>
      <c r="AD42" s="93"/>
      <c r="AE42" s="93"/>
    </row>
    <row r="43" spans="1:31">
      <c r="A43" s="1"/>
      <c r="B43" s="1"/>
      <c r="C43" s="93"/>
      <c r="D43" s="93"/>
      <c r="E43" s="93"/>
      <c r="F43" s="93"/>
      <c r="G43" s="93"/>
      <c r="H43" s="93"/>
      <c r="I43" s="93"/>
      <c r="J43" s="93"/>
      <c r="K43" s="93"/>
      <c r="L43" s="93"/>
      <c r="M43" s="93"/>
      <c r="N43" s="93"/>
      <c r="O43" s="93"/>
      <c r="P43" s="93"/>
      <c r="Q43" s="93"/>
      <c r="R43" s="93"/>
      <c r="S43" s="93"/>
      <c r="T43" s="93"/>
      <c r="U43" s="93"/>
      <c r="V43" s="93"/>
      <c r="W43" s="93"/>
      <c r="X43" s="93"/>
      <c r="Y43" s="93"/>
      <c r="Z43" s="93"/>
      <c r="AA43" s="93"/>
      <c r="AB43" s="93"/>
      <c r="AC43" s="93"/>
      <c r="AD43" s="93"/>
      <c r="AE43" s="93"/>
    </row>
    <row r="44" spans="1:31">
      <c r="A44" s="1"/>
      <c r="B44" s="1"/>
      <c r="C44" s="93"/>
      <c r="D44" s="93"/>
      <c r="E44" s="93"/>
      <c r="F44" s="93"/>
      <c r="G44" s="93"/>
      <c r="H44" s="93"/>
      <c r="I44" s="93"/>
      <c r="J44" s="93"/>
      <c r="K44" s="93"/>
      <c r="L44" s="93"/>
      <c r="M44" s="93"/>
      <c r="N44" s="93"/>
      <c r="O44" s="93"/>
      <c r="P44" s="93"/>
      <c r="Q44" s="93"/>
      <c r="R44" s="93"/>
      <c r="S44" s="93"/>
      <c r="T44" s="93"/>
      <c r="U44" s="93"/>
      <c r="V44" s="93"/>
      <c r="W44" s="93"/>
      <c r="X44" s="93"/>
      <c r="Y44" s="93"/>
      <c r="Z44" s="93"/>
      <c r="AA44" s="93"/>
      <c r="AB44" s="93"/>
      <c r="AC44" s="93"/>
      <c r="AD44" s="93"/>
      <c r="AE44" s="93"/>
    </row>
    <row r="45" spans="1:31">
      <c r="A45" s="1"/>
      <c r="B45" s="1"/>
      <c r="C45" s="93"/>
      <c r="D45" s="93"/>
      <c r="E45" s="93"/>
      <c r="F45" s="93"/>
      <c r="G45" s="93"/>
      <c r="H45" s="93"/>
      <c r="I45" s="93"/>
      <c r="J45" s="93"/>
      <c r="K45" s="93"/>
      <c r="L45" s="93"/>
      <c r="M45" s="93"/>
      <c r="N45" s="93"/>
      <c r="O45" s="93"/>
      <c r="P45" s="93"/>
      <c r="Q45" s="93"/>
      <c r="R45" s="93"/>
      <c r="S45" s="93"/>
      <c r="T45" s="93"/>
      <c r="U45" s="93"/>
      <c r="V45" s="93"/>
      <c r="W45" s="93"/>
      <c r="X45" s="93"/>
      <c r="Y45" s="93"/>
      <c r="Z45" s="93"/>
      <c r="AA45" s="93"/>
      <c r="AB45" s="93"/>
      <c r="AC45" s="93"/>
      <c r="AD45" s="93"/>
      <c r="AE45" s="93"/>
    </row>
    <row r="46" spans="1:31">
      <c r="A46" s="1"/>
      <c r="B46" s="1"/>
      <c r="C46" s="93"/>
      <c r="D46" s="93"/>
      <c r="E46" s="93"/>
      <c r="F46" s="93"/>
      <c r="G46" s="93"/>
      <c r="H46" s="93"/>
      <c r="I46" s="93"/>
      <c r="J46" s="93"/>
      <c r="K46" s="93"/>
      <c r="L46" s="93"/>
      <c r="M46" s="93"/>
      <c r="N46" s="93"/>
      <c r="O46" s="93"/>
      <c r="P46" s="93"/>
      <c r="Q46" s="93"/>
      <c r="R46" s="93"/>
      <c r="S46" s="93"/>
      <c r="T46" s="93"/>
      <c r="U46" s="93"/>
      <c r="V46" s="93"/>
      <c r="W46" s="93"/>
      <c r="X46" s="93"/>
      <c r="Y46" s="93"/>
      <c r="Z46" s="93"/>
      <c r="AA46" s="93"/>
      <c r="AB46" s="93"/>
      <c r="AC46" s="93"/>
      <c r="AD46" s="93"/>
      <c r="AE46" s="93"/>
    </row>
    <row r="47" spans="1:31">
      <c r="A47" s="1"/>
      <c r="B47" s="1"/>
      <c r="C47" s="93"/>
      <c r="D47" s="93"/>
      <c r="E47" s="93"/>
      <c r="F47" s="93"/>
      <c r="G47" s="93"/>
      <c r="H47" s="93"/>
      <c r="I47" s="93"/>
      <c r="J47" s="93"/>
      <c r="K47" s="93"/>
      <c r="L47" s="93"/>
      <c r="M47" s="93"/>
      <c r="N47" s="93"/>
      <c r="O47" s="93"/>
      <c r="P47" s="93"/>
      <c r="Q47" s="93"/>
      <c r="R47" s="93"/>
      <c r="S47" s="93"/>
      <c r="T47" s="93"/>
      <c r="U47" s="93"/>
      <c r="V47" s="93"/>
      <c r="W47" s="93"/>
      <c r="X47" s="93"/>
      <c r="Y47" s="93"/>
      <c r="Z47" s="93"/>
      <c r="AA47" s="93"/>
      <c r="AB47" s="93"/>
      <c r="AC47" s="93"/>
      <c r="AD47" s="93"/>
      <c r="AE47" s="93"/>
    </row>
    <row r="48" spans="1:31">
      <c r="A48" s="1"/>
      <c r="B48" s="1"/>
      <c r="C48" s="93"/>
      <c r="D48" s="93"/>
      <c r="E48" s="93"/>
      <c r="F48" s="93"/>
      <c r="G48" s="93"/>
      <c r="H48" s="93"/>
      <c r="I48" s="93"/>
      <c r="J48" s="93"/>
      <c r="K48" s="93"/>
      <c r="L48" s="93"/>
      <c r="M48" s="93"/>
      <c r="N48" s="93"/>
      <c r="O48" s="93"/>
      <c r="P48" s="93"/>
      <c r="Q48" s="93"/>
      <c r="R48" s="93"/>
      <c r="S48" s="93"/>
      <c r="T48" s="93"/>
      <c r="U48" s="93"/>
      <c r="V48" s="93"/>
      <c r="W48" s="93"/>
      <c r="X48" s="93"/>
      <c r="Y48" s="93"/>
      <c r="Z48" s="93"/>
      <c r="AA48" s="93"/>
      <c r="AB48" s="93"/>
      <c r="AC48" s="93"/>
      <c r="AD48" s="93"/>
      <c r="AE48" s="93"/>
    </row>
    <row r="49" spans="1:31">
      <c r="A49" s="1"/>
      <c r="B49" s="1"/>
      <c r="C49" s="93"/>
      <c r="D49" s="93"/>
      <c r="E49" s="93"/>
      <c r="F49" s="93"/>
      <c r="G49" s="93"/>
      <c r="H49" s="93"/>
      <c r="I49" s="93"/>
      <c r="J49" s="93"/>
      <c r="K49" s="93"/>
      <c r="L49" s="93"/>
      <c r="M49" s="93"/>
      <c r="N49" s="93"/>
      <c r="O49" s="93"/>
      <c r="P49" s="93"/>
      <c r="Q49" s="93"/>
      <c r="R49" s="93"/>
      <c r="S49" s="93"/>
      <c r="T49" s="93"/>
      <c r="U49" s="93"/>
      <c r="V49" s="93"/>
      <c r="W49" s="93"/>
      <c r="X49" s="93"/>
      <c r="Y49" s="93"/>
      <c r="Z49" s="93"/>
      <c r="AA49" s="93"/>
      <c r="AB49" s="93"/>
      <c r="AC49" s="93"/>
      <c r="AD49" s="93"/>
      <c r="AE49" s="93"/>
    </row>
    <row r="50" spans="1:31">
      <c r="A50" s="1"/>
      <c r="B50" s="1"/>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row>
    <row r="51" spans="1:31">
      <c r="A51" s="1"/>
      <c r="B51" s="1"/>
      <c r="C51" s="93"/>
      <c r="D51" s="93"/>
      <c r="E51" s="93"/>
      <c r="F51" s="93"/>
      <c r="G51" s="93"/>
      <c r="H51" s="93"/>
      <c r="I51" s="93"/>
      <c r="J51" s="93"/>
      <c r="K51" s="93"/>
      <c r="L51" s="93"/>
      <c r="M51" s="93"/>
      <c r="N51" s="93"/>
      <c r="O51" s="93"/>
      <c r="P51" s="93"/>
      <c r="Q51" s="93"/>
      <c r="R51" s="93"/>
      <c r="S51" s="93"/>
      <c r="T51" s="93"/>
      <c r="U51" s="93"/>
      <c r="V51" s="93"/>
      <c r="W51" s="93"/>
      <c r="X51" s="93"/>
      <c r="Y51" s="93"/>
      <c r="Z51" s="93"/>
      <c r="AA51" s="93"/>
      <c r="AB51" s="93"/>
      <c r="AC51" s="93"/>
      <c r="AD51" s="93"/>
      <c r="AE51" s="93"/>
    </row>
    <row r="52" spans="1:31">
      <c r="A52" s="1"/>
      <c r="B52" s="1"/>
      <c r="C52" s="93"/>
      <c r="D52" s="93"/>
      <c r="E52" s="93"/>
      <c r="F52" s="93"/>
      <c r="G52" s="93"/>
      <c r="H52" s="93"/>
      <c r="I52" s="93"/>
      <c r="J52" s="93"/>
      <c r="K52" s="93"/>
      <c r="L52" s="93"/>
      <c r="M52" s="93"/>
      <c r="N52" s="93"/>
      <c r="O52" s="93"/>
      <c r="P52" s="93"/>
      <c r="Q52" s="93"/>
      <c r="R52" s="93"/>
      <c r="S52" s="93"/>
      <c r="T52" s="93"/>
      <c r="U52" s="93"/>
      <c r="V52" s="93"/>
      <c r="W52" s="93"/>
      <c r="X52" s="93"/>
      <c r="Y52" s="93"/>
      <c r="Z52" s="93"/>
      <c r="AA52" s="93"/>
      <c r="AB52" s="93"/>
      <c r="AC52" s="93"/>
      <c r="AD52" s="93"/>
      <c r="AE52" s="93"/>
    </row>
    <row r="53" spans="1:31">
      <c r="A53" s="1"/>
      <c r="B53" s="1"/>
      <c r="C53" s="93"/>
      <c r="D53" s="93"/>
      <c r="E53" s="93"/>
      <c r="F53" s="93"/>
      <c r="G53" s="93"/>
      <c r="H53" s="93"/>
      <c r="I53" s="93"/>
      <c r="J53" s="93"/>
      <c r="K53" s="93"/>
      <c r="L53" s="93"/>
      <c r="M53" s="93"/>
      <c r="N53" s="93"/>
      <c r="O53" s="93"/>
      <c r="P53" s="93"/>
      <c r="Q53" s="93"/>
      <c r="R53" s="93"/>
      <c r="S53" s="93"/>
      <c r="T53" s="93"/>
      <c r="U53" s="93"/>
      <c r="V53" s="93"/>
      <c r="W53" s="93"/>
      <c r="X53" s="93"/>
      <c r="Y53" s="93"/>
      <c r="Z53" s="93"/>
      <c r="AA53" s="93"/>
      <c r="AB53" s="93"/>
      <c r="AC53" s="93"/>
      <c r="AD53" s="93"/>
      <c r="AE53" s="93"/>
    </row>
    <row r="54" spans="1:31">
      <c r="A54" s="1"/>
      <c r="B54" s="1"/>
      <c r="C54" s="93"/>
      <c r="D54" s="93"/>
      <c r="E54" s="93"/>
      <c r="F54" s="93"/>
      <c r="G54" s="93"/>
      <c r="H54" s="93"/>
      <c r="I54" s="93"/>
      <c r="J54" s="93"/>
      <c r="K54" s="93"/>
      <c r="L54" s="93"/>
      <c r="M54" s="93"/>
      <c r="N54" s="93"/>
      <c r="O54" s="93"/>
      <c r="P54" s="93"/>
      <c r="Q54" s="93"/>
      <c r="R54" s="93"/>
      <c r="S54" s="93"/>
      <c r="T54" s="93"/>
      <c r="U54" s="93"/>
      <c r="V54" s="93"/>
      <c r="W54" s="93"/>
      <c r="X54" s="93"/>
      <c r="Y54" s="93"/>
      <c r="Z54" s="93"/>
      <c r="AA54" s="93"/>
      <c r="AB54" s="93"/>
      <c r="AC54" s="93"/>
      <c r="AD54" s="93"/>
      <c r="AE54" s="93"/>
    </row>
    <row r="55" spans="1:31">
      <c r="A55" s="1"/>
      <c r="B55" s="1"/>
      <c r="C55" s="93"/>
      <c r="D55" s="93"/>
      <c r="E55" s="93"/>
      <c r="F55" s="93"/>
      <c r="G55" s="93"/>
      <c r="H55" s="93"/>
      <c r="I55" s="93"/>
      <c r="J55" s="93"/>
      <c r="K55" s="93"/>
      <c r="L55" s="93"/>
      <c r="M55" s="93"/>
      <c r="N55" s="93"/>
      <c r="O55" s="93"/>
      <c r="P55" s="93"/>
      <c r="Q55" s="93"/>
      <c r="R55" s="93"/>
      <c r="S55" s="93"/>
      <c r="T55" s="93"/>
      <c r="U55" s="93"/>
      <c r="V55" s="93"/>
      <c r="W55" s="93"/>
      <c r="X55" s="93"/>
      <c r="Y55" s="93"/>
      <c r="Z55" s="93"/>
      <c r="AA55" s="93"/>
      <c r="AB55" s="93"/>
      <c r="AC55" s="93"/>
      <c r="AD55" s="93"/>
      <c r="AE55" s="93"/>
    </row>
    <row r="56" spans="1:31">
      <c r="A56" s="1"/>
      <c r="B56" s="1"/>
      <c r="C56" s="93"/>
      <c r="D56" s="93"/>
      <c r="E56" s="93"/>
      <c r="F56" s="93"/>
      <c r="G56" s="93"/>
      <c r="H56" s="93"/>
      <c r="I56" s="93"/>
      <c r="J56" s="93"/>
      <c r="K56" s="93"/>
      <c r="L56" s="93"/>
      <c r="M56" s="93"/>
      <c r="N56" s="93"/>
      <c r="O56" s="93"/>
      <c r="P56" s="93"/>
      <c r="Q56" s="93"/>
      <c r="R56" s="93"/>
      <c r="S56" s="93"/>
      <c r="T56" s="93"/>
      <c r="U56" s="93"/>
      <c r="V56" s="93"/>
      <c r="W56" s="93"/>
      <c r="X56" s="93"/>
      <c r="Y56" s="93"/>
      <c r="Z56" s="93"/>
      <c r="AA56" s="93"/>
      <c r="AB56" s="93"/>
      <c r="AC56" s="93"/>
      <c r="AD56" s="93"/>
      <c r="AE56" s="93"/>
    </row>
    <row r="57" spans="1:31">
      <c r="A57" s="1"/>
      <c r="B57" s="1"/>
      <c r="C57" s="93"/>
      <c r="D57" s="93"/>
      <c r="E57" s="93"/>
      <c r="F57" s="93"/>
      <c r="G57" s="93"/>
      <c r="H57" s="93"/>
      <c r="I57" s="93"/>
      <c r="J57" s="93"/>
      <c r="K57" s="93"/>
      <c r="L57" s="93"/>
      <c r="M57" s="93"/>
      <c r="N57" s="93"/>
      <c r="O57" s="93"/>
      <c r="P57" s="93"/>
      <c r="Q57" s="93"/>
      <c r="R57" s="93"/>
      <c r="S57" s="93"/>
      <c r="T57" s="93"/>
      <c r="U57" s="93"/>
      <c r="V57" s="93"/>
      <c r="W57" s="93"/>
      <c r="X57" s="93"/>
      <c r="Y57" s="93"/>
      <c r="Z57" s="93"/>
      <c r="AA57" s="93"/>
      <c r="AB57" s="93"/>
      <c r="AC57" s="93"/>
      <c r="AD57" s="93"/>
      <c r="AE57" s="93"/>
    </row>
    <row r="58" spans="1:31">
      <c r="A58" s="1"/>
      <c r="B58" s="1"/>
      <c r="C58" s="93"/>
      <c r="D58" s="93"/>
      <c r="E58" s="93"/>
      <c r="F58" s="93"/>
      <c r="G58" s="93"/>
      <c r="H58" s="93"/>
      <c r="I58" s="93"/>
      <c r="J58" s="93"/>
      <c r="K58" s="93"/>
      <c r="L58" s="93"/>
      <c r="M58" s="93"/>
      <c r="N58" s="93"/>
      <c r="O58" s="93"/>
      <c r="P58" s="93"/>
      <c r="Q58" s="93"/>
      <c r="R58" s="93"/>
      <c r="S58" s="93"/>
      <c r="T58" s="93"/>
      <c r="U58" s="93"/>
      <c r="V58" s="93"/>
      <c r="W58" s="93"/>
      <c r="X58" s="93"/>
      <c r="Y58" s="93"/>
      <c r="Z58" s="93"/>
      <c r="AA58" s="93"/>
      <c r="AB58" s="93"/>
      <c r="AC58" s="93"/>
      <c r="AD58" s="93"/>
      <c r="AE58" s="93"/>
    </row>
    <row r="59" spans="1:31">
      <c r="A59" s="1"/>
      <c r="B59" s="1"/>
      <c r="C59" s="93"/>
      <c r="D59" s="93"/>
      <c r="E59" s="93"/>
      <c r="F59" s="93"/>
      <c r="G59" s="93"/>
      <c r="H59" s="93"/>
      <c r="I59" s="93"/>
      <c r="J59" s="93"/>
      <c r="K59" s="93"/>
      <c r="L59" s="93"/>
      <c r="M59" s="93"/>
      <c r="N59" s="93"/>
      <c r="O59" s="93"/>
      <c r="P59" s="93"/>
      <c r="Q59" s="93"/>
      <c r="R59" s="93"/>
      <c r="S59" s="93"/>
      <c r="T59" s="93"/>
      <c r="U59" s="93"/>
      <c r="V59" s="93"/>
      <c r="W59" s="93"/>
      <c r="X59" s="93"/>
      <c r="Y59" s="93"/>
      <c r="Z59" s="93"/>
      <c r="AA59" s="93"/>
      <c r="AB59" s="93"/>
      <c r="AC59" s="93"/>
      <c r="AD59" s="93"/>
      <c r="AE59" s="93"/>
    </row>
    <row r="60" spans="1:31">
      <c r="A60" s="1"/>
      <c r="B60" s="1"/>
      <c r="C60" s="93"/>
      <c r="D60" s="93"/>
      <c r="E60" s="93"/>
      <c r="F60" s="93"/>
      <c r="G60" s="93"/>
      <c r="H60" s="93"/>
      <c r="I60" s="93"/>
      <c r="J60" s="93"/>
      <c r="K60" s="93"/>
      <c r="L60" s="93"/>
      <c r="M60" s="93"/>
      <c r="N60" s="93"/>
      <c r="O60" s="93"/>
      <c r="P60" s="93"/>
      <c r="Q60" s="93"/>
      <c r="R60" s="93"/>
      <c r="S60" s="93"/>
      <c r="T60" s="93"/>
      <c r="U60" s="93"/>
      <c r="V60" s="93"/>
      <c r="W60" s="93"/>
      <c r="X60" s="93"/>
      <c r="Y60" s="93"/>
      <c r="Z60" s="93"/>
      <c r="AA60" s="93"/>
      <c r="AB60" s="93"/>
      <c r="AC60" s="93"/>
      <c r="AD60" s="93"/>
      <c r="AE60" s="93"/>
    </row>
    <row r="61" spans="1:31">
      <c r="A61" s="1"/>
      <c r="B61" s="1"/>
      <c r="C61" s="93"/>
      <c r="D61" s="93"/>
      <c r="E61" s="93"/>
      <c r="F61" s="93"/>
      <c r="G61" s="93"/>
      <c r="H61" s="93"/>
      <c r="I61" s="93"/>
      <c r="J61" s="93"/>
      <c r="K61" s="93"/>
      <c r="L61" s="93"/>
      <c r="M61" s="93"/>
      <c r="N61" s="93"/>
      <c r="O61" s="93"/>
      <c r="P61" s="93"/>
      <c r="Q61" s="93"/>
      <c r="R61" s="93"/>
      <c r="S61" s="93"/>
      <c r="T61" s="93"/>
      <c r="U61" s="93"/>
      <c r="V61" s="93"/>
      <c r="W61" s="93"/>
      <c r="X61" s="93"/>
      <c r="Y61" s="93"/>
      <c r="Z61" s="93"/>
      <c r="AA61" s="93"/>
      <c r="AB61" s="93"/>
      <c r="AC61" s="93"/>
      <c r="AD61" s="93"/>
      <c r="AE61" s="93"/>
    </row>
    <row r="62" spans="1:31">
      <c r="A62" s="1"/>
      <c r="B62" s="1"/>
      <c r="C62" s="93"/>
      <c r="D62" s="93"/>
      <c r="E62" s="93"/>
      <c r="F62" s="93"/>
      <c r="G62" s="93"/>
      <c r="H62" s="93"/>
      <c r="I62" s="93"/>
      <c r="J62" s="93"/>
      <c r="K62" s="93"/>
      <c r="L62" s="93"/>
      <c r="M62" s="93"/>
      <c r="N62" s="93"/>
      <c r="O62" s="93"/>
      <c r="P62" s="93"/>
      <c r="Q62" s="93"/>
      <c r="R62" s="93"/>
      <c r="S62" s="93"/>
      <c r="T62" s="93"/>
      <c r="U62" s="93"/>
      <c r="V62" s="93"/>
      <c r="W62" s="93"/>
      <c r="X62" s="93"/>
      <c r="Y62" s="93"/>
      <c r="Z62" s="93"/>
      <c r="AA62" s="93"/>
      <c r="AB62" s="93"/>
      <c r="AC62" s="93"/>
      <c r="AD62" s="93"/>
      <c r="AE62" s="93"/>
    </row>
    <row r="63" spans="1:31">
      <c r="A63" s="1"/>
      <c r="B63" s="1"/>
      <c r="C63" s="93"/>
      <c r="D63" s="93"/>
      <c r="E63" s="93"/>
      <c r="F63" s="93"/>
      <c r="G63" s="93"/>
      <c r="H63" s="93"/>
      <c r="I63" s="93"/>
      <c r="J63" s="93"/>
      <c r="K63" s="93"/>
      <c r="L63" s="93"/>
      <c r="M63" s="93"/>
      <c r="N63" s="93"/>
      <c r="O63" s="93"/>
      <c r="P63" s="93"/>
      <c r="Q63" s="93"/>
      <c r="R63" s="93"/>
      <c r="S63" s="93"/>
      <c r="T63" s="93"/>
      <c r="U63" s="93"/>
      <c r="V63" s="93"/>
      <c r="W63" s="93"/>
      <c r="X63" s="93"/>
      <c r="Y63" s="93"/>
      <c r="Z63" s="93"/>
      <c r="AA63" s="93"/>
      <c r="AB63" s="93"/>
      <c r="AC63" s="93"/>
      <c r="AD63" s="93"/>
      <c r="AE63" s="93"/>
    </row>
    <row r="64" spans="1:31">
      <c r="A64" s="1"/>
      <c r="B64" s="1"/>
      <c r="C64" s="93"/>
      <c r="D64" s="93"/>
      <c r="E64" s="93"/>
      <c r="F64" s="93"/>
      <c r="G64" s="93"/>
      <c r="H64" s="93"/>
      <c r="I64" s="93"/>
      <c r="J64" s="93"/>
      <c r="K64" s="93"/>
      <c r="L64" s="93"/>
      <c r="M64" s="93"/>
      <c r="N64" s="93"/>
      <c r="O64" s="93"/>
      <c r="P64" s="93"/>
      <c r="Q64" s="93"/>
      <c r="R64" s="93"/>
      <c r="S64" s="93"/>
      <c r="T64" s="93"/>
      <c r="U64" s="93"/>
      <c r="V64" s="93"/>
      <c r="W64" s="93"/>
      <c r="X64" s="93"/>
      <c r="Y64" s="93"/>
      <c r="Z64" s="93"/>
      <c r="AA64" s="93"/>
      <c r="AB64" s="93"/>
      <c r="AC64" s="93"/>
      <c r="AD64" s="93"/>
      <c r="AE64" s="93"/>
    </row>
    <row r="65" spans="1:31">
      <c r="A65" s="1"/>
      <c r="B65" s="1"/>
      <c r="C65" s="93"/>
      <c r="D65" s="93"/>
      <c r="E65" s="93"/>
      <c r="F65" s="93"/>
      <c r="G65" s="93"/>
      <c r="H65" s="93"/>
      <c r="I65" s="93"/>
      <c r="J65" s="93"/>
      <c r="K65" s="93"/>
      <c r="L65" s="93"/>
      <c r="M65" s="93"/>
      <c r="N65" s="93"/>
      <c r="O65" s="93"/>
      <c r="P65" s="93"/>
      <c r="Q65" s="93"/>
      <c r="R65" s="93"/>
      <c r="S65" s="93"/>
      <c r="T65" s="93"/>
      <c r="U65" s="93"/>
      <c r="V65" s="93"/>
      <c r="W65" s="93"/>
      <c r="X65" s="93"/>
      <c r="Y65" s="93"/>
      <c r="Z65" s="93"/>
      <c r="AA65" s="93"/>
      <c r="AB65" s="93"/>
      <c r="AC65" s="93"/>
      <c r="AD65" s="93"/>
      <c r="AE65" s="93"/>
    </row>
    <row r="66" spans="1:31">
      <c r="A66" s="1"/>
      <c r="B66" s="1"/>
      <c r="C66" s="93"/>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row>
    <row r="67" spans="1:31">
      <c r="A67" s="1"/>
      <c r="B67" s="1"/>
      <c r="C67" s="93"/>
      <c r="D67" s="93"/>
      <c r="E67" s="93"/>
      <c r="F67" s="93"/>
      <c r="G67" s="93"/>
      <c r="H67" s="93"/>
      <c r="I67" s="93"/>
      <c r="J67" s="93"/>
      <c r="K67" s="93"/>
      <c r="L67" s="93"/>
      <c r="M67" s="93"/>
      <c r="N67" s="93"/>
      <c r="O67" s="93"/>
      <c r="P67" s="93"/>
      <c r="Q67" s="93"/>
      <c r="R67" s="93"/>
      <c r="S67" s="93"/>
      <c r="T67" s="93"/>
      <c r="U67" s="93"/>
      <c r="V67" s="93"/>
      <c r="W67" s="93"/>
      <c r="X67" s="93"/>
      <c r="Y67" s="93"/>
      <c r="Z67" s="93"/>
      <c r="AA67" s="93"/>
      <c r="AB67" s="93"/>
      <c r="AC67" s="93"/>
      <c r="AD67" s="93"/>
      <c r="AE67" s="93"/>
    </row>
    <row r="68" spans="1:31">
      <c r="A68" s="1"/>
      <c r="B68" s="1"/>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row>
    <row r="69" spans="1:31">
      <c r="A69" s="1"/>
      <c r="B69" s="1"/>
      <c r="C69" s="93"/>
      <c r="D69" s="93"/>
      <c r="E69" s="93"/>
      <c r="F69" s="93"/>
      <c r="G69" s="93"/>
      <c r="H69" s="93"/>
      <c r="I69" s="93"/>
      <c r="J69" s="93"/>
      <c r="K69" s="93"/>
      <c r="L69" s="93"/>
      <c r="M69" s="93"/>
      <c r="N69" s="93"/>
      <c r="O69" s="93"/>
      <c r="P69" s="93"/>
      <c r="Q69" s="93"/>
      <c r="R69" s="93"/>
      <c r="S69" s="93"/>
      <c r="T69" s="124"/>
      <c r="U69" s="124"/>
      <c r="V69" s="124"/>
      <c r="W69" s="124"/>
      <c r="X69" s="124"/>
      <c r="Y69" s="124"/>
      <c r="Z69" s="124"/>
      <c r="AA69" s="124"/>
      <c r="AB69" s="124"/>
      <c r="AC69" s="124"/>
      <c r="AD69" s="124"/>
      <c r="AE69" s="124"/>
    </row>
    <row r="70" spans="1:31">
      <c r="A70" s="1"/>
      <c r="B70" s="1"/>
      <c r="C70" s="93"/>
      <c r="D70" s="93"/>
      <c r="E70" s="93"/>
      <c r="F70" s="93"/>
      <c r="G70" s="93"/>
      <c r="H70" s="93"/>
      <c r="I70" s="93"/>
      <c r="J70" s="93"/>
      <c r="K70" s="93"/>
      <c r="L70" s="93"/>
      <c r="M70" s="93"/>
      <c r="N70" s="93"/>
      <c r="O70" s="93"/>
      <c r="P70" s="93"/>
      <c r="Q70" s="93"/>
      <c r="R70" s="93"/>
      <c r="S70" s="93"/>
      <c r="T70" s="124"/>
      <c r="U70" s="124"/>
      <c r="V70" s="124"/>
      <c r="W70" s="124"/>
      <c r="X70" s="124"/>
      <c r="Y70" s="124"/>
      <c r="Z70" s="124"/>
      <c r="AA70" s="124"/>
      <c r="AB70" s="124"/>
      <c r="AC70" s="124"/>
      <c r="AD70" s="124"/>
      <c r="AE70" s="124"/>
    </row>
    <row r="71" spans="1:31">
      <c r="A71" s="1"/>
      <c r="B71" s="1"/>
      <c r="C71" s="127"/>
      <c r="D71" s="128">
        <f>IF(OR($B$4=Lists!$A$55,$B$4=Lists!$A$56,F73=0),1,(1+Input!$B$3)^((Input!D3-Input!$H$13)/365))</f>
        <v>1</v>
      </c>
      <c r="E71" s="127"/>
      <c r="F71" s="127"/>
      <c r="G71" s="128">
        <f>IF(OR($B$4=Lists!$A$55,$B$4=Lists!$A$56,F73=0),1,(1+Input!$B$3)^((Input!G3-Input!D3)/365))</f>
        <v>1</v>
      </c>
      <c r="H71" s="127"/>
      <c r="I71" s="127"/>
      <c r="J71" s="128">
        <f>IF(OR($B$4=Lists!$A$55,$B$4=Lists!$A$56,I73=0),1,(1+Input!$B$3)^((Input!J3-Input!G3)/365))</f>
        <v>1</v>
      </c>
      <c r="K71" s="127"/>
      <c r="L71" s="127"/>
      <c r="M71" s="128">
        <f>IF(OR($B$4=Lists!$A$55,$B$4=Lists!$A$56,L73=0),1,(1+Input!$B$3)^((Input!M3-Input!J3)/365))</f>
        <v>1</v>
      </c>
      <c r="N71" s="127"/>
      <c r="O71" s="127"/>
      <c r="P71" s="128">
        <f>IF(OR($B$4=Lists!$A$55,$B$4=Lists!$A$56,O73=0),1,(1+Input!$B$3)^((Input!P3-Input!M3)/365))</f>
        <v>1</v>
      </c>
      <c r="Q71" s="127"/>
      <c r="R71" s="127"/>
      <c r="S71" s="127"/>
      <c r="T71" s="124"/>
      <c r="U71" s="124"/>
      <c r="V71" s="124"/>
      <c r="W71" s="124"/>
      <c r="X71" s="124"/>
      <c r="Y71" s="124"/>
      <c r="Z71" s="124"/>
      <c r="AA71" s="124"/>
      <c r="AB71" s="124"/>
      <c r="AC71" s="124"/>
      <c r="AD71" s="124"/>
      <c r="AE71" s="124"/>
    </row>
    <row r="72" spans="1:31">
      <c r="A72" s="1"/>
      <c r="B72" s="1"/>
      <c r="C72" s="127"/>
      <c r="D72" s="128">
        <f>D71</f>
        <v>1</v>
      </c>
      <c r="E72" s="127"/>
      <c r="F72" s="127"/>
      <c r="G72" s="129">
        <f>G71*D72</f>
        <v>1</v>
      </c>
      <c r="H72" s="129"/>
      <c r="I72" s="127"/>
      <c r="J72" s="129">
        <f>J71*G72</f>
        <v>1</v>
      </c>
      <c r="K72" s="129"/>
      <c r="L72" s="129"/>
      <c r="M72" s="129">
        <f>M71*J72</f>
        <v>1</v>
      </c>
      <c r="N72" s="129"/>
      <c r="O72" s="129"/>
      <c r="P72" s="129">
        <f>P71*M72</f>
        <v>1</v>
      </c>
      <c r="Q72" s="127"/>
      <c r="R72" s="127"/>
      <c r="S72" s="127"/>
      <c r="T72" s="124"/>
      <c r="U72" s="124"/>
      <c r="V72" s="124"/>
      <c r="W72" s="124"/>
      <c r="X72" s="124"/>
      <c r="Y72" s="124"/>
      <c r="Z72" s="124"/>
      <c r="AA72" s="124"/>
      <c r="AB72" s="124"/>
      <c r="AC72" s="124"/>
      <c r="AD72" s="124"/>
      <c r="AE72" s="124"/>
    </row>
    <row r="73" spans="1:31">
      <c r="A73" s="1"/>
      <c r="B73" s="1"/>
      <c r="C73" s="127"/>
      <c r="D73" s="127"/>
      <c r="E73" s="127"/>
      <c r="F73" s="129">
        <f>Exploration!C5</f>
        <v>0</v>
      </c>
      <c r="G73" s="127"/>
      <c r="H73" s="127"/>
      <c r="I73" s="129">
        <f>Exploration!C6</f>
        <v>0</v>
      </c>
      <c r="J73" s="127"/>
      <c r="K73" s="127"/>
      <c r="L73" s="129">
        <f>Exploration!C7</f>
        <v>0</v>
      </c>
      <c r="M73" s="127"/>
      <c r="N73" s="127"/>
      <c r="O73" s="129">
        <f>Exploration!C8</f>
        <v>0</v>
      </c>
      <c r="P73" s="127"/>
      <c r="Q73" s="127"/>
      <c r="R73" s="127"/>
      <c r="S73" s="127"/>
      <c r="T73" s="124"/>
      <c r="U73" s="124"/>
      <c r="V73" s="124"/>
      <c r="W73" s="124"/>
      <c r="X73" s="124"/>
      <c r="Y73" s="124"/>
      <c r="Z73" s="124"/>
      <c r="AA73" s="124"/>
      <c r="AB73" s="124"/>
      <c r="AC73" s="124"/>
      <c r="AD73" s="124"/>
      <c r="AE73" s="124"/>
    </row>
    <row r="74" spans="1:31">
      <c r="A74" s="1"/>
      <c r="B74" s="1"/>
      <c r="C74" s="127"/>
      <c r="D74" s="127"/>
      <c r="E74" s="130">
        <f ca="1">H15</f>
        <v>2685.0284121467967</v>
      </c>
      <c r="F74" s="130">
        <f ca="1">H16</f>
        <v>14335.258167428692</v>
      </c>
      <c r="G74" s="127">
        <f t="array" aca="1" ref="G74:Q74" ca="1">TRANSPOSE(H18:H28)</f>
        <v>0</v>
      </c>
      <c r="H74" s="127">
        <f ca="1"/>
        <v>0</v>
      </c>
      <c r="I74" s="127">
        <f ca="1"/>
        <v>0</v>
      </c>
      <c r="J74" s="127">
        <f ca="1"/>
        <v>0</v>
      </c>
      <c r="K74" s="127">
        <f ca="1"/>
        <v>-3446.4140354616316</v>
      </c>
      <c r="L74" s="127">
        <f ca="1"/>
        <v>-1067.391648281643</v>
      </c>
      <c r="M74" s="127">
        <f ca="1"/>
        <v>-2368.0959087523634</v>
      </c>
      <c r="N74" s="127">
        <f ca="1"/>
        <v>-3086.4938970455132</v>
      </c>
      <c r="O74" s="127">
        <f ca="1"/>
        <v>-1311.1260477701517</v>
      </c>
      <c r="P74" s="127">
        <f ca="1"/>
        <v>-1633.0983599115268</v>
      </c>
      <c r="Q74" s="127">
        <f ca="1"/>
        <v>-28.684032841213252</v>
      </c>
      <c r="R74" s="130">
        <f ca="1">H30</f>
        <v>4078.982649511448</v>
      </c>
      <c r="S74" s="127"/>
      <c r="T74" s="124"/>
      <c r="U74" s="124"/>
      <c r="V74" s="124"/>
      <c r="W74" s="124"/>
      <c r="X74" s="124"/>
      <c r="Y74" s="124"/>
      <c r="Z74" s="124"/>
      <c r="AA74" s="124"/>
      <c r="AB74" s="124"/>
      <c r="AC74" s="124"/>
      <c r="AD74" s="124"/>
      <c r="AE74" s="124"/>
    </row>
    <row r="75" spans="1:31">
      <c r="C75" s="127"/>
      <c r="D75" s="127"/>
      <c r="E75" s="130">
        <f ca="1">D75+E74</f>
        <v>2685.0284121467967</v>
      </c>
      <c r="F75" s="130">
        <f t="shared" ref="F75:Q75" ca="1" si="0">E75+F74</f>
        <v>17020.286579575488</v>
      </c>
      <c r="G75" s="130">
        <f t="shared" ca="1" si="0"/>
        <v>17020.286579575488</v>
      </c>
      <c r="H75" s="130">
        <f t="shared" ca="1" si="0"/>
        <v>17020.286579575488</v>
      </c>
      <c r="I75" s="130">
        <f t="shared" ca="1" si="0"/>
        <v>17020.286579575488</v>
      </c>
      <c r="J75" s="130">
        <f t="shared" ca="1" si="0"/>
        <v>17020.286579575488</v>
      </c>
      <c r="K75" s="130">
        <f t="shared" ca="1" si="0"/>
        <v>13573.872544113856</v>
      </c>
      <c r="L75" s="130">
        <f t="shared" ca="1" si="0"/>
        <v>12506.480895832214</v>
      </c>
      <c r="M75" s="130">
        <f t="shared" ca="1" si="0"/>
        <v>10138.384987079851</v>
      </c>
      <c r="N75" s="130">
        <f t="shared" ca="1" si="0"/>
        <v>7051.891090034338</v>
      </c>
      <c r="O75" s="130">
        <f t="shared" ca="1" si="0"/>
        <v>5740.7650422641864</v>
      </c>
      <c r="P75" s="130">
        <f t="shared" ca="1" si="0"/>
        <v>4107.6666823526593</v>
      </c>
      <c r="Q75" s="130">
        <f t="shared" ca="1" si="0"/>
        <v>4078.9826495114462</v>
      </c>
      <c r="R75" s="127"/>
      <c r="S75" s="130"/>
      <c r="T75" s="124"/>
      <c r="U75" s="124"/>
      <c r="V75" s="124"/>
      <c r="W75" s="124"/>
      <c r="X75" s="124"/>
      <c r="Y75" s="124"/>
      <c r="Z75" s="124"/>
      <c r="AA75" s="124"/>
      <c r="AB75" s="124"/>
      <c r="AC75" s="124"/>
      <c r="AD75" s="124"/>
      <c r="AE75" s="124"/>
    </row>
    <row r="76" spans="1:31" ht="15.5">
      <c r="C76" s="127"/>
      <c r="D76" s="127"/>
      <c r="E76" s="131" t="s">
        <v>129</v>
      </c>
      <c r="F76" s="131" t="s">
        <v>130</v>
      </c>
      <c r="G76" s="131" t="s">
        <v>78</v>
      </c>
      <c r="H76" s="131" t="s">
        <v>86</v>
      </c>
      <c r="I76" s="131" t="s">
        <v>87</v>
      </c>
      <c r="J76" s="131" t="s">
        <v>88</v>
      </c>
      <c r="K76" s="131" t="s">
        <v>132</v>
      </c>
      <c r="L76" s="131" t="s">
        <v>133</v>
      </c>
      <c r="M76" s="131" t="s">
        <v>134</v>
      </c>
      <c r="N76" s="131" t="s">
        <v>38</v>
      </c>
      <c r="O76" s="131" t="s">
        <v>135</v>
      </c>
      <c r="P76" s="131" t="s">
        <v>136</v>
      </c>
      <c r="Q76" s="131" t="s">
        <v>19</v>
      </c>
      <c r="R76" s="131" t="s">
        <v>6</v>
      </c>
      <c r="S76" s="127"/>
      <c r="T76" s="124"/>
      <c r="U76" s="124"/>
      <c r="V76" s="124"/>
      <c r="W76" s="124"/>
      <c r="X76" s="124"/>
      <c r="Y76" s="124"/>
      <c r="Z76" s="124"/>
      <c r="AA76" s="124"/>
      <c r="AB76" s="124"/>
      <c r="AC76" s="124"/>
      <c r="AD76" s="124"/>
      <c r="AE76" s="124"/>
    </row>
    <row r="77" spans="1:31" ht="15.5">
      <c r="C77" s="127"/>
      <c r="D77" s="127" t="s">
        <v>640</v>
      </c>
      <c r="E77" s="132">
        <f ca="1">E75-E74</f>
        <v>0</v>
      </c>
      <c r="F77" s="132">
        <f ca="1">F75-F74</f>
        <v>2685.0284121467957</v>
      </c>
      <c r="G77" s="132">
        <f ca="1">IF(G75&gt;0,G75,IF(F77&gt;0,0,F75))</f>
        <v>17020.286579575488</v>
      </c>
      <c r="H77" s="132">
        <f t="shared" ref="H77:Q77" ca="1" si="1">IF(H75&gt;0,H75,IF(G77&gt;0,0,G75))</f>
        <v>17020.286579575488</v>
      </c>
      <c r="I77" s="132">
        <f t="shared" ca="1" si="1"/>
        <v>17020.286579575488</v>
      </c>
      <c r="J77" s="132">
        <f t="shared" ca="1" si="1"/>
        <v>17020.286579575488</v>
      </c>
      <c r="K77" s="132">
        <f t="shared" ca="1" si="1"/>
        <v>13573.872544113856</v>
      </c>
      <c r="L77" s="132">
        <f t="shared" ca="1" si="1"/>
        <v>12506.480895832214</v>
      </c>
      <c r="M77" s="132">
        <f t="shared" ca="1" si="1"/>
        <v>10138.384987079851</v>
      </c>
      <c r="N77" s="132">
        <f t="shared" ca="1" si="1"/>
        <v>7051.891090034338</v>
      </c>
      <c r="O77" s="132">
        <f t="shared" ca="1" si="1"/>
        <v>5740.7650422641864</v>
      </c>
      <c r="P77" s="132">
        <f t="shared" ca="1" si="1"/>
        <v>4107.6666823526593</v>
      </c>
      <c r="Q77" s="132">
        <f t="shared" ca="1" si="1"/>
        <v>4078.9826495114462</v>
      </c>
      <c r="R77" s="131"/>
      <c r="S77" s="127"/>
      <c r="T77" s="124"/>
      <c r="U77" s="124"/>
      <c r="V77" s="124"/>
      <c r="W77" s="124"/>
      <c r="X77" s="124"/>
      <c r="Y77" s="124"/>
      <c r="Z77" s="124"/>
      <c r="AA77" s="124"/>
      <c r="AB77" s="124"/>
      <c r="AC77" s="124"/>
      <c r="AD77" s="124"/>
      <c r="AE77" s="124"/>
    </row>
    <row r="78" spans="1:31">
      <c r="C78" s="127"/>
      <c r="D78" s="127" t="s">
        <v>15</v>
      </c>
      <c r="E78" s="127">
        <f ca="1">E74</f>
        <v>2685.0284121467967</v>
      </c>
      <c r="F78" s="127">
        <f ca="1">F74</f>
        <v>14335.258167428692</v>
      </c>
      <c r="G78" s="127"/>
      <c r="H78" s="127"/>
      <c r="I78" s="127"/>
      <c r="J78" s="127"/>
      <c r="K78" s="127"/>
      <c r="L78" s="127"/>
      <c r="M78" s="127"/>
      <c r="N78" s="127"/>
      <c r="O78" s="127"/>
      <c r="P78" s="127"/>
      <c r="Q78" s="127"/>
      <c r="R78" s="127"/>
      <c r="S78" s="127"/>
      <c r="T78" s="124"/>
      <c r="U78" s="124"/>
      <c r="V78" s="124"/>
      <c r="W78" s="124"/>
      <c r="X78" s="124"/>
      <c r="Y78" s="124"/>
      <c r="Z78" s="124"/>
      <c r="AA78" s="124"/>
      <c r="AB78" s="124"/>
      <c r="AC78" s="124"/>
      <c r="AD78" s="124"/>
      <c r="AE78" s="124"/>
    </row>
    <row r="79" spans="1:31">
      <c r="C79" s="127"/>
      <c r="D79" s="127" t="s">
        <v>654</v>
      </c>
      <c r="E79" s="127"/>
      <c r="F79" s="127"/>
      <c r="G79" s="127">
        <f ca="1">IF(G77&lt;0,0,IF(G77=0,F77,-G74))</f>
        <v>0</v>
      </c>
      <c r="H79" s="127">
        <f t="shared" ref="H79:Q79" ca="1" si="2">IF(H77&lt;0,0,IF(H77=0,G77,-H74))</f>
        <v>0</v>
      </c>
      <c r="I79" s="127">
        <f t="shared" ca="1" si="2"/>
        <v>0</v>
      </c>
      <c r="J79" s="127">
        <f t="shared" ca="1" si="2"/>
        <v>0</v>
      </c>
      <c r="K79" s="127">
        <f t="shared" ca="1" si="2"/>
        <v>3446.4140354616316</v>
      </c>
      <c r="L79" s="127">
        <f t="shared" ca="1" si="2"/>
        <v>1067.391648281643</v>
      </c>
      <c r="M79" s="127">
        <f t="shared" ca="1" si="2"/>
        <v>2368.0959087523634</v>
      </c>
      <c r="N79" s="127">
        <f t="shared" ca="1" si="2"/>
        <v>3086.4938970455132</v>
      </c>
      <c r="O79" s="127">
        <f t="shared" ca="1" si="2"/>
        <v>1311.1260477701517</v>
      </c>
      <c r="P79" s="127">
        <f t="shared" ca="1" si="2"/>
        <v>1633.0983599115268</v>
      </c>
      <c r="Q79" s="127">
        <f t="shared" ca="1" si="2"/>
        <v>28.684032841213252</v>
      </c>
      <c r="R79" s="127"/>
      <c r="S79" s="127"/>
      <c r="T79" s="124"/>
      <c r="U79" s="124"/>
      <c r="V79" s="124"/>
      <c r="W79" s="124"/>
      <c r="X79" s="124"/>
      <c r="Y79" s="124"/>
      <c r="Z79" s="124"/>
      <c r="AA79" s="124"/>
      <c r="AB79" s="124"/>
      <c r="AC79" s="124"/>
      <c r="AD79" s="124"/>
      <c r="AE79" s="124"/>
    </row>
    <row r="80" spans="1:31">
      <c r="C80" s="127"/>
      <c r="D80" s="127" t="s">
        <v>653</v>
      </c>
      <c r="E80" s="127"/>
      <c r="F80" s="127"/>
      <c r="G80" s="127">
        <f ca="1">IF(G77&lt;0,G74,IF(G77=0,G74+G79,0))</f>
        <v>0</v>
      </c>
      <c r="H80" s="127">
        <f t="shared" ref="H80:Q80" ca="1" si="3">IF(H77&lt;0,H74,IF(H77=0,H74+H79,0))</f>
        <v>0</v>
      </c>
      <c r="I80" s="127">
        <f t="shared" ca="1" si="3"/>
        <v>0</v>
      </c>
      <c r="J80" s="127">
        <f t="shared" ca="1" si="3"/>
        <v>0</v>
      </c>
      <c r="K80" s="127">
        <f t="shared" ca="1" si="3"/>
        <v>0</v>
      </c>
      <c r="L80" s="127">
        <f t="shared" ca="1" si="3"/>
        <v>0</v>
      </c>
      <c r="M80" s="127">
        <f t="shared" ca="1" si="3"/>
        <v>0</v>
      </c>
      <c r="N80" s="127">
        <f t="shared" ca="1" si="3"/>
        <v>0</v>
      </c>
      <c r="O80" s="127">
        <f t="shared" ca="1" si="3"/>
        <v>0</v>
      </c>
      <c r="P80" s="127">
        <f t="shared" ca="1" si="3"/>
        <v>0</v>
      </c>
      <c r="Q80" s="127">
        <f t="shared" ca="1" si="3"/>
        <v>0</v>
      </c>
      <c r="R80" s="127"/>
      <c r="S80" s="127"/>
      <c r="T80" s="124"/>
      <c r="U80" s="124"/>
      <c r="V80" s="124"/>
      <c r="W80" s="124"/>
      <c r="X80" s="124"/>
      <c r="Y80" s="124"/>
      <c r="Z80" s="124"/>
      <c r="AA80" s="124"/>
      <c r="AB80" s="124"/>
      <c r="AC80" s="124"/>
      <c r="AD80" s="124"/>
      <c r="AE80" s="124"/>
    </row>
    <row r="81" spans="3:31">
      <c r="C81" s="127"/>
      <c r="D81" s="127" t="s">
        <v>651</v>
      </c>
      <c r="E81" s="127"/>
      <c r="F81" s="127"/>
      <c r="G81" s="127"/>
      <c r="H81" s="127"/>
      <c r="I81" s="127"/>
      <c r="J81" s="127"/>
      <c r="K81" s="127"/>
      <c r="L81" s="127"/>
      <c r="M81" s="127"/>
      <c r="N81" s="127"/>
      <c r="O81" s="127"/>
      <c r="P81" s="127"/>
      <c r="Q81" s="127"/>
      <c r="R81" s="127">
        <f ca="1">IF(R74&gt;0,R74,0)</f>
        <v>4078.982649511448</v>
      </c>
      <c r="S81" s="127"/>
      <c r="T81" s="124"/>
      <c r="U81" s="124"/>
      <c r="V81" s="124"/>
      <c r="W81" s="124"/>
      <c r="X81" s="124"/>
      <c r="Y81" s="124"/>
      <c r="Z81" s="124"/>
      <c r="AA81" s="124"/>
      <c r="AB81" s="124"/>
      <c r="AC81" s="124"/>
      <c r="AD81" s="124"/>
      <c r="AE81" s="124"/>
    </row>
    <row r="82" spans="3:31">
      <c r="C82" s="127"/>
      <c r="D82" s="127" t="s">
        <v>652</v>
      </c>
      <c r="E82" s="127"/>
      <c r="F82" s="127"/>
      <c r="G82" s="127"/>
      <c r="H82" s="127"/>
      <c r="I82" s="127"/>
      <c r="J82" s="127"/>
      <c r="K82" s="127"/>
      <c r="L82" s="127"/>
      <c r="M82" s="127"/>
      <c r="N82" s="127"/>
      <c r="O82" s="127"/>
      <c r="P82" s="127"/>
      <c r="Q82" s="127"/>
      <c r="R82" s="127">
        <f ca="1">IF(R74&lt;0,R74,0)</f>
        <v>0</v>
      </c>
      <c r="S82" s="127"/>
      <c r="T82" s="124"/>
      <c r="U82" s="124"/>
      <c r="V82" s="124"/>
      <c r="W82" s="124"/>
      <c r="X82" s="124"/>
      <c r="Y82" s="124"/>
      <c r="Z82" s="124"/>
      <c r="AA82" s="124"/>
      <c r="AB82" s="124"/>
      <c r="AC82" s="124"/>
      <c r="AD82" s="124"/>
      <c r="AE82" s="124"/>
    </row>
    <row r="83" spans="3:31">
      <c r="C83" s="127"/>
      <c r="D83" s="127"/>
      <c r="E83" s="127"/>
      <c r="F83" s="127"/>
      <c r="G83" s="127"/>
      <c r="H83" s="127"/>
      <c r="I83" s="127"/>
      <c r="J83" s="127"/>
      <c r="K83" s="127"/>
      <c r="L83" s="127"/>
      <c r="M83" s="127"/>
      <c r="N83" s="127"/>
      <c r="O83" s="127"/>
      <c r="P83" s="127"/>
      <c r="Q83" s="127"/>
      <c r="R83" s="127"/>
      <c r="S83" s="127"/>
      <c r="T83" s="124"/>
      <c r="U83" s="124"/>
      <c r="V83" s="124"/>
      <c r="W83" s="124"/>
      <c r="X83" s="124"/>
      <c r="Y83" s="124"/>
      <c r="Z83" s="124"/>
      <c r="AA83" s="124"/>
      <c r="AB83" s="124"/>
      <c r="AC83" s="124"/>
      <c r="AD83" s="124"/>
      <c r="AE83" s="124"/>
    </row>
  </sheetData>
  <sheetProtection algorithmName="SHA-512" hashValue="iyeOdtX9lfNUwRWPLVrs1k4NXlnbxEDQyzGd9xxr6p8qxoVV8XvR+zog8/KREATbUXFWIIzODGdluTq9wcZCDg==" saltValue="RR5qgBVEzxN2q+ajC6Ywew==" spinCount="100000" sheet="1" objects="1" scenarios="1"/>
  <mergeCells count="19">
    <mergeCell ref="A2:B2"/>
    <mergeCell ref="A18:B18"/>
    <mergeCell ref="A23:B23"/>
    <mergeCell ref="A32:B32"/>
    <mergeCell ref="L4:L5"/>
    <mergeCell ref="G4:H4"/>
    <mergeCell ref="I4:I5"/>
    <mergeCell ref="J4:K4"/>
    <mergeCell ref="O4:O5"/>
    <mergeCell ref="P4:Q4"/>
    <mergeCell ref="A7:B7"/>
    <mergeCell ref="D3:E3"/>
    <mergeCell ref="G3:H3"/>
    <mergeCell ref="J3:K3"/>
    <mergeCell ref="M3:N3"/>
    <mergeCell ref="P3:Q3"/>
    <mergeCell ref="D4:E4"/>
    <mergeCell ref="F4:F5"/>
    <mergeCell ref="M4:N4"/>
  </mergeCells>
  <conditionalFormatting sqref="D3:E6">
    <cfRule type="expression" dxfId="31" priority="50" stopIfTrue="1">
      <formula>$F$73=0</formula>
    </cfRule>
  </conditionalFormatting>
  <conditionalFormatting sqref="G3:H6">
    <cfRule type="expression" dxfId="30" priority="49" stopIfTrue="1">
      <formula>$I$73=0</formula>
    </cfRule>
  </conditionalFormatting>
  <conditionalFormatting sqref="J3:K6">
    <cfRule type="expression" dxfId="29" priority="48" stopIfTrue="1">
      <formula>$L$73=0</formula>
    </cfRule>
  </conditionalFormatting>
  <conditionalFormatting sqref="M3:N6">
    <cfRule type="expression" dxfId="28" priority="47" stopIfTrue="1">
      <formula>$O$73=0</formula>
    </cfRule>
  </conditionalFormatting>
  <conditionalFormatting sqref="R13:R14 R10:R11">
    <cfRule type="cellIs" dxfId="27" priority="31" stopIfTrue="1" operator="greaterThan">
      <formula>0</formula>
    </cfRule>
    <cfRule type="cellIs" dxfId="26" priority="32" stopIfTrue="1" operator="lessThan">
      <formula>0</formula>
    </cfRule>
    <cfRule type="containsText" dxfId="25" priority="33" stopIfTrue="1" operator="containsText" text="Uneconomic">
      <formula>NOT(ISERROR(SEARCH("Uneconomic",R10)))</formula>
    </cfRule>
  </conditionalFormatting>
  <conditionalFormatting sqref="H30">
    <cfRule type="containsText" dxfId="24" priority="30" stopIfTrue="1" operator="containsText" text="Uneconomic">
      <formula>NOT(ISERROR(SEARCH("Uneconomic",H30)))</formula>
    </cfRule>
  </conditionalFormatting>
  <conditionalFormatting sqref="B12">
    <cfRule type="expression" dxfId="23" priority="19" stopIfTrue="1">
      <formula>$C$12</formula>
    </cfRule>
  </conditionalFormatting>
  <conditionalFormatting sqref="B14">
    <cfRule type="expression" dxfId="22" priority="18" stopIfTrue="1">
      <formula>$C$14</formula>
    </cfRule>
  </conditionalFormatting>
  <conditionalFormatting sqref="D30:H30">
    <cfRule type="expression" dxfId="21" priority="16" stopIfTrue="1">
      <formula>$C$37=FALSE</formula>
    </cfRule>
  </conditionalFormatting>
  <conditionalFormatting sqref="J3:K4">
    <cfRule type="expression" dxfId="20" priority="15" stopIfTrue="1">
      <formula>$J$3=$B$10</formula>
    </cfRule>
  </conditionalFormatting>
  <conditionalFormatting sqref="M3:N4">
    <cfRule type="expression" dxfId="19" priority="14" stopIfTrue="1">
      <formula>$B$10=$M$3</formula>
    </cfRule>
  </conditionalFormatting>
  <conditionalFormatting sqref="P3:Q4">
    <cfRule type="expression" dxfId="18" priority="13" stopIfTrue="1">
      <formula>$B$10=$P$3</formula>
    </cfRule>
  </conditionalFormatting>
  <conditionalFormatting sqref="G3:H4">
    <cfRule type="expression" dxfId="17" priority="12" stopIfTrue="1">
      <formula>$B$10=$G$3</formula>
    </cfRule>
  </conditionalFormatting>
  <conditionalFormatting sqref="D3:E4">
    <cfRule type="expression" dxfId="16" priority="11" stopIfTrue="1">
      <formula>$D$3=$B$10</formula>
    </cfRule>
  </conditionalFormatting>
  <conditionalFormatting sqref="B29">
    <cfRule type="expression" dxfId="15" priority="10" stopIfTrue="1">
      <formula>$C$28</formula>
    </cfRule>
  </conditionalFormatting>
  <conditionalFormatting sqref="B15">
    <cfRule type="expression" dxfId="14" priority="2" stopIfTrue="1">
      <formula>$C$16</formula>
    </cfRule>
    <cfRule type="expression" dxfId="13" priority="52" stopIfTrue="1">
      <formula>$C$15</formula>
    </cfRule>
  </conditionalFormatting>
  <conditionalFormatting sqref="B16:B17">
    <cfRule type="expression" dxfId="12" priority="5" stopIfTrue="1">
      <formula>$B$15="Re-inject"</formula>
    </cfRule>
  </conditionalFormatting>
  <conditionalFormatting sqref="B24">
    <cfRule type="expression" dxfId="11" priority="1">
      <formula>$C$24</formula>
    </cfRule>
  </conditionalFormatting>
  <dataValidations xWindow="669" yWindow="552" count="32">
    <dataValidation type="list" allowBlank="1" showInputMessage="1" showErrorMessage="1" prompt="Select whether costs for Federal and Provincial Taxes are flow-through - i.e. get immediate relief" sqref="B35">
      <formula1>YesNo</formula1>
    </dataValidation>
    <dataValidation type="list" allowBlank="1" showInputMessage="1" showErrorMessage="1" promptTitle="Reservoir Pressure" prompt="Select whether reservoir is normally pressured, overpressured or geopressured (see Drill History for typical wells of class).  The well time and well tangible costs are adjusted according to the settings in the tables in Sched &amp; Prod Assumptions.  " sqref="B27">
      <formula1>pressure</formula1>
    </dataValidation>
    <dataValidation type="list" allowBlank="1" showInputMessage="1" showErrorMessage="1" prompt="Select The Reservoir Complexity: the complexity affects the required number of wells and is defined as a multiplier in Page Sched &amp; Prod Assumptions" sqref="B25">
      <formula1>Rescomp</formula1>
    </dataValidation>
    <dataValidation type="list" allowBlank="1" showInputMessage="1" showErrorMessage="1" promptTitle="Areal Extent Factor" prompt="Enter the areal extent factor.  This factor influences the deviation and therefore measured depth of wells and length of subsea flowlines.  It can be adjusted in the Page Sched &amp; Prod Assumptions" sqref="B26">
      <formula1>Aerial_Extent</formula1>
    </dataValidation>
    <dataValidation type="decimal" allowBlank="1" showInputMessage="1" showErrorMessage="1" promptTitle="Associated Gas or Liquids" prompt="For Gas the liquids are exported in the wet gas stream, the maximum allowed Condensate Gas Ratio is 100 BBL/MCF.  For Oil gas is used for fuel and any excess reinjected into the reservoir, if there is insufficient gas, oil is used for the remainder." sqref="B29">
      <formula1>0</formula1>
      <formula2>C29</formula2>
    </dataValidation>
    <dataValidation type="decimal" allowBlank="1" showInputMessage="1" showErrorMessage="1" promptTitle="Gas Calorific Value" prompt="Enter the Gas calorific value" sqref="B28">
      <formula1>800</formula1>
      <formula2>1200</formula2>
    </dataValidation>
    <dataValidation type="list" allowBlank="1" showInputMessage="1" showErrorMessage="1" promptTitle="Gas Sweet or Sour" prompt="Enter whether the gas is Sweet (low H2S) or Sour (high H2S), this affects the costs of materials" sqref="B30">
      <formula1>SweetSour</formula1>
    </dataValidation>
    <dataValidation type="decimal" allowBlank="1" showInputMessage="1" showErrorMessage="1" promptTitle="Mean Reserves" prompt="For Gas Field Must be Less than 4000 BCF_x000a__x000a_For Oil Field Must be Less than 600 MMBBLS" sqref="B12">
      <formula1>0</formula1>
      <formula2>IF($B$11="gas",4000,600)</formula2>
    </dataValidation>
    <dataValidation type="decimal" allowBlank="1" showInputMessage="1" showErrorMessage="1" promptTitle="Water Depth" prompt="Enter the Water Depth - maximum 3500 Metres" sqref="B13">
      <formula1>0</formula1>
      <formula2>3500</formula2>
    </dataValidation>
    <dataValidation type="decimal" allowBlank="1" showInputMessage="1" showErrorMessage="1" prompt="Enter the probability of proceeding to the next stage" sqref="B20:B22">
      <formula1>0</formula1>
      <formula2>1</formula2>
    </dataValidation>
    <dataValidation type="list" allowBlank="1" showInputMessage="1" showErrorMessage="1" promptTitle="Gas Export Type" prompt="Select the Gas Export Method:_x000a_To Shore_x000a_To Infrastructure_x000a_Reinject (Oil Projects OnlY)" sqref="B15">
      <formula1>Infralist</formula1>
    </dataValidation>
    <dataValidation type="decimal" allowBlank="1" showInputMessage="1" showErrorMessage="1" promptTitle="Export Distance" prompt="Applies to Gas only.  If export type, Satellite is distance to mother facility, if Direct Pipeline Tie-in distance to subsea tie-in, If Shore the distance to shore" sqref="B16">
      <formula1>0</formula1>
      <formula2>500</formula2>
    </dataValidation>
    <dataValidation type="list" allowBlank="1" showInputMessage="1" showErrorMessage="1" promptTitle="Main Product" prompt="Select whether Main Product is Oil or Gas" sqref="B11">
      <formula1>Product</formula1>
    </dataValidation>
    <dataValidation type="list" allowBlank="1" showInputMessage="1" showErrorMessage="1" promptTitle="Development Type" prompt="Select the development method" sqref="B14">
      <formula1>Devellist</formula1>
    </dataValidation>
    <dataValidation type="decimal" allowBlank="1" showInputMessage="1" showErrorMessage="1" promptTitle="Discount Rate" prompt="Enter the discount rate to be applied for the evaluation" sqref="B3">
      <formula1>0</formula1>
      <formula2>0.5</formula2>
    </dataValidation>
    <dataValidation type="list" allowBlank="1" showInputMessage="1" showErrorMessage="1" promptTitle="Project Stage" prompt="Enter the Next Proposed Stage of the Project, choices are Seismic, Wildcat, Appraise,Development Planning or Development Start" sqref="B9">
      <formula1>Stagelist</formula1>
    </dataValidation>
    <dataValidation type="date" allowBlank="1" showInputMessage="1" showErrorMessage="1" promptTitle="Project Start Date" prompt="Enter the start date for the current project phase_x000a_" sqref="B10">
      <formula1>39142</formula1>
      <formula2>42005</formula2>
    </dataValidation>
    <dataValidation type="list" allowBlank="1" showInputMessage="1" showErrorMessage="1" promptTitle="Economic Scenario" prompt="Select the Economic Scenario to Use" sqref="B5">
      <formula1>selected_scenario</formula1>
    </dataValidation>
    <dataValidation type="list" allowBlank="1" showInputMessage="1" showErrorMessage="1" promptTitle="Cost Assumptions" prompt="Select the Cost Set from the sheet Cost Assumptions to Use - the unit costs are used whereever costs are nor overridden in sheet Overrides.  Four new Cost Sets can be created in addition to the Nova Scotia Department of Energy Set" sqref="B6">
      <formula1>capcostset</formula1>
    </dataValidation>
    <dataValidation type="list" allowBlank="1" showInputMessage="1" showErrorMessage="1" promptTitle="Discount To " prompt="Decision Date discounts to all NPVs to the date at which each decision is to be made for each stage, it therefore reflects the value as perceived by the decision-maker.  Current Month and Year discount all values to the current month and year respectively" sqref="B4">
      <formula1>Discountto</formula1>
    </dataValidation>
    <dataValidation allowBlank="1" showInputMessage="1" showErrorMessage="1" promptTitle="Discounted Return on Investment" prompt="This is the Ratio of the risked NPV to the total risked discounted exploration and development expenditure" sqref="D32:G32"/>
    <dataValidation allowBlank="1" showInputMessage="1" showErrorMessage="1" promptTitle="Committed DROI" prompt="Committed Discounted Return on Investment.  This is the Risked NPV divided by the committed investment for the current phase, not including the investment for future uncommitted phases." sqref="D33:H33"/>
    <dataValidation type="decimal" allowBlank="1" showInputMessage="1" showErrorMessage="1" promptTitle="Reservoir depth" prompt="Enter the reservoir depth below Mean Sea Level (note vertical well drilling length is Reservoir Depth minus Water Depth)" sqref="B24">
      <formula1>B13+500</formula1>
      <formula2>B13+7000</formula2>
    </dataValidation>
    <dataValidation allowBlank="1" showInputMessage="1" showErrorMessage="1" promptTitle="Project Name" prompt="Enter the name of the project" sqref="B8"/>
    <dataValidation allowBlank="1" showInputMessage="1" showErrorMessage="1" promptTitle="Risked Discounted Values" prompt="This is Revenue or Cost Stream, adjusted for the chance of occurence and discounted at the specified discount rate to the discount date" sqref="D14:H14"/>
    <dataValidation allowBlank="1" showInputMessage="1" showErrorMessage="1" promptTitle="Overall Chance of Success" prompt="The chance of the prospect being developed, calculated as the product of the chances of the remaining project stages" sqref="D10:H10"/>
    <dataValidation type="decimal" allowBlank="1" showInputMessage="1" showErrorMessage="1" promptTitle="Deepwater Pipeline Percent" prompt="If a deepwater development enter the percentage of the pipeline in deepwater - if field is shallow water program defaults to 0% deep water" sqref="B17">
      <formula1>0</formula1>
      <formula2>1</formula2>
    </dataValidation>
    <dataValidation type="list" allowBlank="1" showInputMessage="1" showErrorMessage="1" prompt="Select whether appraisal wells are retained for development (Yes), are plugged and abandoned (No)" sqref="B31">
      <formula1>YesNo</formula1>
    </dataValidation>
    <dataValidation type="list" allowBlank="1" showInputMessage="1" showErrorMessage="1" prompt="Select whether the prospect is considered Small Reserves for Royalty purposes" sqref="B33">
      <formula1>YesNo</formula1>
    </dataValidation>
    <dataValidation type="list" allowBlank="1" showInputMessage="1" showErrorMessage="1" prompt="Select whether the Licence is classified as High Risk and therefore does not pay the highest royalty tier" sqref="B34">
      <formula1>YesNo</formula1>
    </dataValidation>
    <dataValidation type="decimal" allowBlank="1" showInputMessage="1" showErrorMessage="1" prompt="Enter the probability of proceeding to the next stage of prospect evaluation" sqref="B19">
      <formula1>0</formula1>
      <formula2>1</formula2>
    </dataValidation>
    <dataValidation allowBlank="1" showInputMessage="1" showErrorMessage="1" promptTitle="Discounted Return on Investment" prompt="This is the Ratio of the risked NPV to the total field life, risked discounted exploration and development expenditure" sqref="H32"/>
  </dataValidations>
  <hyperlinks>
    <hyperlink ref="A5" location="'Economic Assumptions'!A1" display="Economic Scenario"/>
    <hyperlink ref="A6" location="'Cost Assumptions'!A1" display="Cost Set"/>
    <hyperlink ref="B1" location="Guide" display="Guide"/>
  </hyperlinks>
  <pageMargins left="0.7" right="0.7" top="0.75" bottom="0.75" header="0.3" footer="0.3"/>
  <pageSetup paperSize="9" scale="54" orientation="landscape" r:id="rId1"/>
  <headerFooter>
    <oddFooter>&amp;LNova Scotia Exploration Economics Model&amp;Rwww.indeva.com</oddFooter>
  </headerFooter>
  <colBreaks count="1" manualBreakCount="1">
    <brk id="21" max="36"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C106"/>
  <sheetViews>
    <sheetView showGridLines="0" topLeftCell="A13" zoomScale="75" zoomScaleNormal="75" workbookViewId="0">
      <selection activeCell="A16" sqref="A16:E16"/>
    </sheetView>
  </sheetViews>
  <sheetFormatPr defaultRowHeight="14.5"/>
  <cols>
    <col min="1" max="1" width="21.1796875" customWidth="1"/>
    <col min="2" max="2" width="12.453125" customWidth="1"/>
    <col min="4" max="4" width="6.81640625" customWidth="1"/>
    <col min="26" max="26" width="18.54296875" customWidth="1"/>
    <col min="27" max="27" width="12" customWidth="1"/>
  </cols>
  <sheetData>
    <row r="1" spans="1:29">
      <c r="A1" s="46" t="s">
        <v>575</v>
      </c>
      <c r="B1" s="1"/>
      <c r="C1" s="1"/>
      <c r="D1" s="1"/>
      <c r="E1" s="1"/>
      <c r="F1" s="1"/>
      <c r="G1" s="1"/>
      <c r="H1" s="1"/>
      <c r="I1" s="1"/>
      <c r="J1" s="1"/>
      <c r="K1" s="1"/>
      <c r="L1" s="1"/>
      <c r="M1" s="1"/>
      <c r="N1" s="1"/>
      <c r="O1" s="1"/>
      <c r="P1" s="1"/>
      <c r="Q1" s="1"/>
      <c r="R1" s="1"/>
      <c r="S1" s="1"/>
      <c r="T1" s="1"/>
      <c r="U1" s="1"/>
      <c r="V1" s="1"/>
      <c r="W1" s="1"/>
      <c r="X1" s="1"/>
      <c r="Y1" s="1"/>
      <c r="Z1" s="1"/>
      <c r="AA1" s="1"/>
      <c r="AB1" s="1"/>
      <c r="AC1" s="1"/>
    </row>
    <row r="2" spans="1:29">
      <c r="A2" s="1" t="s">
        <v>576</v>
      </c>
      <c r="B2" s="1"/>
      <c r="C2" s="1"/>
      <c r="D2" s="1"/>
      <c r="E2" s="1"/>
      <c r="F2" s="1"/>
      <c r="G2" s="1"/>
      <c r="H2" s="1"/>
      <c r="I2" s="1"/>
      <c r="J2" s="1"/>
      <c r="K2" s="1"/>
      <c r="L2" s="1"/>
      <c r="M2" s="1"/>
      <c r="N2" s="1"/>
      <c r="O2" s="1"/>
      <c r="P2" s="1"/>
      <c r="Q2" s="1"/>
      <c r="R2" s="1"/>
      <c r="S2" s="1"/>
      <c r="T2" s="1"/>
      <c r="U2" s="1"/>
      <c r="V2" s="1"/>
      <c r="W2" s="1"/>
      <c r="X2" s="1"/>
      <c r="Y2" s="1"/>
      <c r="Z2" s="1"/>
      <c r="AA2" s="1"/>
      <c r="AB2" s="1"/>
      <c r="AC2" s="1"/>
    </row>
    <row r="3" spans="1:29">
      <c r="A3" s="1"/>
      <c r="B3" s="1"/>
      <c r="C3" s="1"/>
      <c r="D3" s="1"/>
      <c r="E3" s="1"/>
      <c r="F3" s="1"/>
      <c r="G3" s="1"/>
      <c r="H3" s="1"/>
      <c r="I3" s="1"/>
      <c r="J3" s="1"/>
      <c r="K3" s="1"/>
      <c r="L3" s="1"/>
      <c r="M3" s="1"/>
      <c r="N3" s="1"/>
      <c r="O3" s="1"/>
      <c r="P3" s="1"/>
      <c r="Q3" s="1"/>
      <c r="R3" s="1"/>
      <c r="S3" s="1"/>
      <c r="T3" s="1"/>
      <c r="U3" s="1"/>
      <c r="V3" s="1"/>
      <c r="W3" s="1"/>
      <c r="X3" s="1"/>
      <c r="Y3" s="1"/>
      <c r="Z3" s="1"/>
      <c r="AA3" s="1"/>
      <c r="AB3" s="1"/>
      <c r="AC3" s="1"/>
    </row>
    <row r="4" spans="1:29">
      <c r="A4" s="1"/>
      <c r="B4" s="1"/>
      <c r="C4" s="1"/>
      <c r="D4" s="1"/>
      <c r="E4" s="1"/>
      <c r="F4" s="1"/>
      <c r="G4" s="1"/>
      <c r="H4" s="1"/>
      <c r="I4" s="1"/>
      <c r="J4" s="1"/>
      <c r="K4" s="1"/>
      <c r="L4" s="1"/>
      <c r="M4" s="1"/>
      <c r="N4" s="1"/>
      <c r="O4" s="1"/>
      <c r="P4" s="1"/>
      <c r="Q4" s="1"/>
      <c r="R4" s="1"/>
      <c r="S4" s="1"/>
      <c r="T4" s="1"/>
      <c r="U4" s="1"/>
      <c r="V4" s="1"/>
      <c r="W4" s="1"/>
      <c r="X4" s="1"/>
      <c r="Y4" s="1"/>
      <c r="Z4" s="1"/>
      <c r="AA4" s="1"/>
      <c r="AB4" s="1"/>
      <c r="AC4" s="1"/>
    </row>
    <row r="5" spans="1:29">
      <c r="A5" s="1"/>
      <c r="B5" s="1"/>
      <c r="C5" s="1"/>
      <c r="D5" s="1"/>
      <c r="E5" s="1"/>
      <c r="F5" s="1"/>
      <c r="G5" s="1"/>
      <c r="H5" s="1"/>
      <c r="I5" s="1"/>
      <c r="J5" s="1"/>
      <c r="K5" s="1"/>
      <c r="L5" s="1"/>
      <c r="M5" s="1"/>
      <c r="N5" s="1"/>
      <c r="O5" s="1"/>
      <c r="P5" s="1"/>
      <c r="Q5" s="1"/>
      <c r="R5" s="1"/>
      <c r="S5" s="1"/>
      <c r="T5" s="1"/>
      <c r="U5" s="1"/>
      <c r="V5" s="1"/>
      <c r="W5" s="1"/>
      <c r="X5" s="1"/>
      <c r="Y5" s="1"/>
      <c r="Z5" s="1"/>
      <c r="AA5" s="1"/>
      <c r="AB5" s="1"/>
      <c r="AC5" s="1"/>
    </row>
    <row r="6" spans="1:29">
      <c r="A6" s="1"/>
      <c r="B6" s="1"/>
      <c r="C6" s="1"/>
      <c r="D6" s="1"/>
      <c r="E6" s="1"/>
      <c r="F6" s="1"/>
      <c r="G6" s="1"/>
      <c r="H6" s="1"/>
      <c r="I6" s="1"/>
      <c r="J6" s="1"/>
      <c r="K6" s="1"/>
      <c r="L6" s="1"/>
      <c r="M6" s="1"/>
      <c r="N6" s="1"/>
      <c r="O6" s="1"/>
      <c r="P6" s="1"/>
      <c r="Q6" s="1"/>
      <c r="R6" s="1"/>
      <c r="S6" s="1"/>
      <c r="T6" s="1"/>
      <c r="U6" s="1"/>
      <c r="V6" s="1"/>
      <c r="W6" s="1"/>
      <c r="X6" s="1"/>
      <c r="Y6" s="1"/>
      <c r="Z6" s="1"/>
      <c r="AA6" s="1"/>
      <c r="AB6" s="1"/>
      <c r="AC6" s="1"/>
    </row>
    <row r="7" spans="1:29">
      <c r="A7" s="63" t="s">
        <v>124</v>
      </c>
      <c r="B7" s="1"/>
      <c r="C7" s="1"/>
      <c r="D7" s="1"/>
      <c r="E7" s="1"/>
      <c r="F7" s="1"/>
      <c r="G7" s="1"/>
      <c r="H7" s="1"/>
      <c r="I7" s="1"/>
      <c r="J7" s="1"/>
      <c r="K7" s="1"/>
      <c r="L7" s="1"/>
      <c r="M7" s="1"/>
      <c r="N7" s="1"/>
      <c r="O7" s="1"/>
      <c r="P7" s="1"/>
      <c r="Q7" s="1"/>
      <c r="R7" s="1"/>
      <c r="S7" s="1"/>
      <c r="T7" s="1"/>
      <c r="U7" s="1"/>
      <c r="V7" s="1"/>
      <c r="W7" s="1"/>
      <c r="X7" s="1"/>
      <c r="Y7" s="1"/>
      <c r="Z7" s="1"/>
      <c r="AA7" s="1"/>
      <c r="AB7" s="1"/>
      <c r="AC7" s="1"/>
    </row>
    <row r="8" spans="1:29">
      <c r="A8" s="1" t="s">
        <v>78</v>
      </c>
      <c r="B8" s="1"/>
      <c r="C8" s="1"/>
      <c r="D8" s="1"/>
      <c r="E8" s="1"/>
      <c r="F8" s="1"/>
      <c r="G8" s="1"/>
      <c r="H8" s="1"/>
      <c r="I8" s="1"/>
      <c r="J8" s="1"/>
      <c r="K8" s="1"/>
      <c r="L8" s="1"/>
      <c r="M8" s="1"/>
      <c r="N8" s="1"/>
      <c r="O8" s="1"/>
      <c r="P8" s="1"/>
      <c r="Q8" s="1"/>
      <c r="R8" s="1"/>
      <c r="S8" s="1"/>
      <c r="T8" s="1"/>
      <c r="U8" s="1"/>
      <c r="V8" s="1"/>
      <c r="W8" s="1"/>
      <c r="X8" s="1"/>
      <c r="Y8" s="1"/>
      <c r="Z8" s="1"/>
      <c r="AA8" s="1"/>
      <c r="AB8" s="1"/>
      <c r="AC8" s="1"/>
    </row>
    <row r="9" spans="1:29">
      <c r="A9" s="1" t="s">
        <v>86</v>
      </c>
      <c r="B9" s="1"/>
      <c r="C9" s="1"/>
      <c r="D9" s="1"/>
      <c r="E9" s="1"/>
      <c r="F9" s="1"/>
      <c r="G9" s="1"/>
      <c r="H9" s="1"/>
      <c r="I9" s="1"/>
      <c r="J9" s="1"/>
      <c r="K9" s="1"/>
      <c r="L9" s="1"/>
      <c r="M9" s="1"/>
      <c r="N9" s="1"/>
      <c r="O9" s="1"/>
      <c r="P9" s="1"/>
      <c r="Q9" s="1"/>
      <c r="R9" s="1"/>
      <c r="S9" s="1"/>
      <c r="T9" s="1"/>
      <c r="U9" s="1"/>
      <c r="V9" s="1"/>
      <c r="W9" s="1"/>
      <c r="X9" s="1"/>
      <c r="Y9" s="1"/>
      <c r="Z9" s="1"/>
      <c r="AA9" s="1"/>
      <c r="AB9" s="1"/>
      <c r="AC9" s="1"/>
    </row>
    <row r="10" spans="1:29">
      <c r="A10" s="1" t="s">
        <v>87</v>
      </c>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row>
    <row r="11" spans="1:29">
      <c r="A11" s="1" t="s">
        <v>88</v>
      </c>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row>
    <row r="12" spans="1:29">
      <c r="A12" s="1" t="s">
        <v>233</v>
      </c>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row>
    <row r="13" spans="1:29">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row>
    <row r="14" spans="1:29">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row>
    <row r="15" spans="1:29">
      <c r="A15" s="64" t="s">
        <v>577</v>
      </c>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row>
    <row r="16" spans="1:29">
      <c r="A16" s="1" t="str">
        <f>'Cost Assumptions'!C3&amp;" : "&amp;'Cost Assumptions'!C4</f>
        <v>NS Dept of Energy : NS DOE April 2012</v>
      </c>
      <c r="B16" s="1" t="str">
        <f>'Cost Assumptions'!E3&amp;" : "&amp;'Cost Assumptions'!E4</f>
        <v>Set1 : NS DOE Petrofac DW Update 2015</v>
      </c>
      <c r="C16" s="1" t="str">
        <f>'Cost Assumptions'!G3&amp;" : "&amp;'Cost Assumptions'!G4</f>
        <v xml:space="preserve">Set2 : </v>
      </c>
      <c r="D16" s="1" t="str">
        <f>'Cost Assumptions'!I3&amp;" : "&amp;'Cost Assumptions'!I4</f>
        <v xml:space="preserve">Set3 : </v>
      </c>
      <c r="E16" s="1" t="str">
        <f>'Cost Assumptions'!K3&amp;" : "&amp;'Cost Assumptions'!K4</f>
        <v xml:space="preserve">Set4 : </v>
      </c>
      <c r="F16" s="1"/>
      <c r="G16" s="1"/>
      <c r="H16" s="1"/>
      <c r="I16" s="1"/>
      <c r="J16" s="1"/>
      <c r="K16" s="1"/>
      <c r="L16" s="1"/>
      <c r="M16" s="1"/>
      <c r="N16" s="1"/>
      <c r="O16" s="1"/>
      <c r="P16" s="1"/>
      <c r="Q16" s="1"/>
      <c r="R16" s="1"/>
      <c r="S16" s="1"/>
      <c r="T16" s="1"/>
      <c r="U16" s="1"/>
      <c r="V16" s="1"/>
      <c r="W16" s="1"/>
      <c r="X16" s="1"/>
      <c r="Y16" s="1"/>
      <c r="Z16" s="1"/>
      <c r="AA16" s="1"/>
      <c r="AB16" s="1"/>
      <c r="AC16" s="1"/>
    </row>
    <row r="17" spans="1:29">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row>
    <row r="18" spans="1:29">
      <c r="A18" s="64" t="s">
        <v>72</v>
      </c>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row>
    <row r="19" spans="1:29">
      <c r="A19" s="65" t="str">
        <f>'Economic Assumptions'!B4</f>
        <v>Base</v>
      </c>
      <c r="B19" s="65" t="str">
        <f>'Economic Assumptions'!L4</f>
        <v>Base +1.5% /y</v>
      </c>
      <c r="C19" s="65" t="str">
        <f>'Economic Assumptions'!V4</f>
        <v>Base + 3%/y</v>
      </c>
      <c r="D19" s="65" t="str">
        <f>'Economic Assumptions'!AF4</f>
        <v>Base - 1.5%/y</v>
      </c>
      <c r="E19" s="65" t="str">
        <f>'Economic Assumptions'!AP4</f>
        <v>Flat Real</v>
      </c>
      <c r="F19" s="1"/>
      <c r="G19" s="1"/>
      <c r="H19" s="1"/>
      <c r="I19" s="1"/>
      <c r="J19" s="1"/>
      <c r="K19" s="1"/>
      <c r="L19" s="1"/>
      <c r="M19" s="1"/>
      <c r="N19" s="1"/>
      <c r="O19" s="1"/>
      <c r="P19" s="1"/>
      <c r="Q19" s="1"/>
      <c r="R19" s="1"/>
      <c r="S19" s="1"/>
      <c r="T19" s="1"/>
      <c r="U19" s="1"/>
      <c r="V19" s="1"/>
      <c r="W19" s="1"/>
      <c r="X19" s="1"/>
      <c r="Y19" s="1"/>
      <c r="Z19" s="1"/>
      <c r="AA19" s="1"/>
      <c r="AB19" s="1"/>
      <c r="AC19" s="1"/>
    </row>
    <row r="20" spans="1:29">
      <c r="A20" s="1" t="str">
        <f>'Economic Assumptions'!B3&amp;" : "&amp;'Economic Assumptions'!B4</f>
        <v>Scenario 1 : Base</v>
      </c>
      <c r="B20" s="1" t="str">
        <f>'Economic Assumptions'!L3&amp;" : "&amp;'Economic Assumptions'!L4</f>
        <v>Scenario 2 : Base +1.5% /y</v>
      </c>
      <c r="C20" s="1" t="str">
        <f>'Economic Assumptions'!V3&amp;" : "&amp;'Economic Assumptions'!V4</f>
        <v>Scenario 3 : Base + 3%/y</v>
      </c>
      <c r="D20" s="1" t="str">
        <f>'Economic Assumptions'!AF3&amp;" : "&amp;'Economic Assumptions'!AF4</f>
        <v>Scenario 4 : Base - 1.5%/y</v>
      </c>
      <c r="E20" s="1" t="str">
        <f>'Economic Assumptions'!AP3&amp;" : "&amp;'Economic Assumptions'!AP4</f>
        <v>Scenario 5 : Flat Real</v>
      </c>
      <c r="F20" s="1"/>
      <c r="G20" s="1"/>
      <c r="H20" s="1"/>
      <c r="I20" s="1"/>
      <c r="J20" s="1"/>
      <c r="K20" s="1"/>
      <c r="L20" s="1"/>
      <c r="M20" s="1"/>
      <c r="N20" s="1"/>
      <c r="O20" s="49" t="s">
        <v>708</v>
      </c>
      <c r="P20" s="1"/>
      <c r="Q20" s="1"/>
      <c r="R20" s="1"/>
      <c r="S20" s="1"/>
      <c r="T20" s="1"/>
      <c r="U20" s="1"/>
      <c r="V20" s="49" t="s">
        <v>707</v>
      </c>
      <c r="W20" s="1"/>
      <c r="X20" s="1"/>
      <c r="Y20" s="1"/>
      <c r="Z20" s="1"/>
      <c r="AA20" s="1"/>
      <c r="AB20" s="1"/>
      <c r="AC20" s="1"/>
    </row>
    <row r="21" spans="1:29">
      <c r="A21" s="64" t="s">
        <v>578</v>
      </c>
      <c r="B21" s="1"/>
      <c r="C21" s="1"/>
      <c r="D21" s="1"/>
      <c r="E21" s="1"/>
      <c r="F21" s="1"/>
      <c r="G21" s="1"/>
      <c r="H21" s="1"/>
      <c r="I21" s="1"/>
      <c r="J21" s="1"/>
      <c r="K21" s="1"/>
      <c r="L21" s="1"/>
      <c r="M21" s="1"/>
      <c r="N21" s="1"/>
      <c r="O21" s="49" t="s">
        <v>340</v>
      </c>
      <c r="P21" s="49"/>
      <c r="Q21" s="49" t="s">
        <v>647</v>
      </c>
      <c r="R21" s="1"/>
      <c r="S21" s="1"/>
      <c r="T21" s="49" t="s">
        <v>698</v>
      </c>
      <c r="U21" s="1"/>
      <c r="V21" s="49" t="s">
        <v>582</v>
      </c>
      <c r="W21" s="49" t="s">
        <v>697</v>
      </c>
      <c r="X21" s="1"/>
      <c r="Y21" s="1"/>
      <c r="Z21" s="1"/>
      <c r="AA21" s="1"/>
      <c r="AB21" s="1"/>
      <c r="AC21" s="1"/>
    </row>
    <row r="22" spans="1:29">
      <c r="A22" s="1" t="str">
        <f>IF(Input!$B$11=Lists!$A$60,Lists!Q22,Lists!O22)</f>
        <v>To Infrastructure</v>
      </c>
      <c r="B22" s="1" t="s">
        <v>579</v>
      </c>
      <c r="C22" s="1"/>
      <c r="D22" s="1"/>
      <c r="E22" s="1"/>
      <c r="F22" s="1"/>
      <c r="G22" s="1"/>
      <c r="H22" s="1"/>
      <c r="I22" s="1"/>
      <c r="J22" s="1"/>
      <c r="K22" s="1"/>
      <c r="L22" s="1"/>
      <c r="M22" s="1"/>
      <c r="N22" s="1"/>
      <c r="O22" s="1" t="str">
        <f>IF(OR(Input!$B$14=$O$32,Input!$B$14=Lists!$O$38),Lists!V22,Lists!W22)</f>
        <v>To Infrastructure</v>
      </c>
      <c r="P22" s="1"/>
      <c r="Q22" s="1" t="str">
        <f>Direct_Pipeline_Tie_in</f>
        <v>To Infrastructure</v>
      </c>
      <c r="R22" s="1"/>
      <c r="S22" s="1"/>
      <c r="T22" s="1"/>
      <c r="U22" s="1"/>
      <c r="V22" s="86" t="s">
        <v>671</v>
      </c>
      <c r="W22" s="1" t="str">
        <f>Q33</f>
        <v>To Infrastructure</v>
      </c>
      <c r="X22" s="1"/>
      <c r="Y22" s="1"/>
      <c r="Z22" s="1"/>
      <c r="AA22" s="1"/>
      <c r="AB22" s="1"/>
      <c r="AC22" s="1"/>
    </row>
    <row r="23" spans="1:29">
      <c r="A23" s="1" t="str">
        <f>IF(Input!$B$11=Lists!$A$60,Lists!Q23,Lists!O23)</f>
        <v>To Shore</v>
      </c>
      <c r="B23" s="1" t="s">
        <v>580</v>
      </c>
      <c r="C23" s="1"/>
      <c r="D23" s="1"/>
      <c r="E23" s="1"/>
      <c r="F23" s="1"/>
      <c r="G23" s="1"/>
      <c r="H23" s="1"/>
      <c r="I23" s="1"/>
      <c r="J23" s="1"/>
      <c r="K23" s="1"/>
      <c r="L23" s="1"/>
      <c r="M23" s="1"/>
      <c r="N23" s="1"/>
      <c r="O23" s="1" t="str">
        <f>IF(OR(Input!$B$14=$O$32,Input!$B$14=Lists!$O$38),Lists!V23,Lists!W23)</f>
        <v>To Shore</v>
      </c>
      <c r="P23" s="1"/>
      <c r="Q23" s="86" t="str">
        <f>Shore</f>
        <v>To Shore</v>
      </c>
      <c r="R23" s="1"/>
      <c r="S23" s="1"/>
      <c r="T23" s="1"/>
      <c r="U23" s="1"/>
      <c r="V23" s="86" t="s">
        <v>671</v>
      </c>
      <c r="W23" s="1" t="str">
        <f>Q34</f>
        <v>To Shore</v>
      </c>
      <c r="X23" s="1"/>
      <c r="Y23" s="1"/>
      <c r="Z23" s="1"/>
      <c r="AA23" s="1"/>
      <c r="AB23" s="1"/>
      <c r="AC23" s="1"/>
    </row>
    <row r="24" spans="1:29">
      <c r="A24" s="1" t="str">
        <f>IF(Input!$B$11=Lists!$A$60,Lists!Q24,Lists!O24)</f>
        <v>Re-inject</v>
      </c>
      <c r="B24" s="1" t="s">
        <v>581</v>
      </c>
      <c r="C24" s="1"/>
      <c r="D24" s="1"/>
      <c r="E24" s="1"/>
      <c r="F24" s="1"/>
      <c r="G24" s="1"/>
      <c r="H24" s="1"/>
      <c r="I24" s="1"/>
      <c r="J24" s="1"/>
      <c r="K24" s="1"/>
      <c r="L24" s="1"/>
      <c r="M24" s="1"/>
      <c r="N24" s="1"/>
      <c r="O24" s="1" t="str">
        <f>IF(OR(Input!$B$14=$O$32,Input!$B$14=Lists!$O$38),Lists!V24,Lists!W24)</f>
        <v/>
      </c>
      <c r="P24" s="1"/>
      <c r="Q24" s="86" t="str">
        <f>Q36</f>
        <v>Re-inject</v>
      </c>
      <c r="R24" s="1"/>
      <c r="S24" s="1"/>
      <c r="T24" s="1"/>
      <c r="U24" s="1"/>
      <c r="V24" s="86" t="s">
        <v>671</v>
      </c>
      <c r="W24" s="86" t="s">
        <v>671</v>
      </c>
      <c r="X24" s="1"/>
      <c r="Y24" s="1"/>
      <c r="Z24" s="1"/>
      <c r="AA24" s="1"/>
      <c r="AB24" s="1"/>
      <c r="AC24" s="1"/>
    </row>
    <row r="25" spans="1:29">
      <c r="A25" s="1"/>
      <c r="B25" s="1"/>
      <c r="C25" s="1"/>
      <c r="D25" s="1"/>
      <c r="E25" s="1"/>
      <c r="F25" s="1"/>
      <c r="G25" s="1"/>
      <c r="H25" s="1"/>
      <c r="I25" s="1"/>
      <c r="J25" s="1"/>
      <c r="K25" s="1"/>
      <c r="L25" s="1"/>
      <c r="M25" s="1"/>
      <c r="N25" s="1"/>
      <c r="O25" s="49" t="s">
        <v>709</v>
      </c>
      <c r="P25" s="1"/>
      <c r="Q25" s="1"/>
      <c r="R25" s="1"/>
      <c r="S25" s="1"/>
      <c r="T25" s="1"/>
      <c r="U25" s="1"/>
      <c r="V25" s="1"/>
      <c r="W25" s="1"/>
      <c r="X25" s="1"/>
      <c r="Y25" s="1"/>
      <c r="Z25" s="1"/>
      <c r="AA25" s="1"/>
      <c r="AB25" s="1"/>
      <c r="AC25" s="1"/>
    </row>
    <row r="26" spans="1:29">
      <c r="A26" s="64" t="s">
        <v>80</v>
      </c>
      <c r="B26" s="1"/>
      <c r="C26" s="1"/>
      <c r="D26" s="1"/>
      <c r="E26" s="1"/>
      <c r="F26" s="1"/>
      <c r="G26" s="1"/>
      <c r="H26" s="1"/>
      <c r="I26" s="1"/>
      <c r="J26" s="1"/>
      <c r="K26" s="1"/>
      <c r="L26" s="1"/>
      <c r="M26" s="1"/>
      <c r="N26" s="1"/>
      <c r="O26" s="1" t="s">
        <v>340</v>
      </c>
      <c r="P26" s="1"/>
      <c r="Q26" s="1" t="s">
        <v>647</v>
      </c>
      <c r="R26" s="1"/>
      <c r="S26" s="1"/>
      <c r="T26" s="1"/>
      <c r="U26" s="1"/>
      <c r="V26" s="49" t="s">
        <v>706</v>
      </c>
      <c r="W26" s="1"/>
      <c r="X26" s="1"/>
      <c r="Y26" s="1"/>
      <c r="Z26" s="1"/>
      <c r="AA26" s="1" t="s">
        <v>710</v>
      </c>
      <c r="AB26" s="1"/>
      <c r="AC26" s="1"/>
    </row>
    <row r="27" spans="1:29">
      <c r="A27" s="1" t="str">
        <f>IF(Input!$B$11=Lists!$A$60,Lists!Q27,Lists!O27)</f>
        <v>FPSO</v>
      </c>
      <c r="B27" s="1"/>
      <c r="C27" s="1"/>
      <c r="D27" s="1"/>
      <c r="E27" s="1"/>
      <c r="F27" s="1"/>
      <c r="G27" s="1"/>
      <c r="H27" s="1"/>
      <c r="I27" s="1"/>
      <c r="J27" s="1"/>
      <c r="K27" s="1"/>
      <c r="L27" s="1"/>
      <c r="M27" s="1"/>
      <c r="N27" s="1"/>
      <c r="O27" s="1" t="str">
        <f>HLOOKUP(Input!$B$13,Lists!$V$27:$X$31,2)</f>
        <v>Semi / SPAR</v>
      </c>
      <c r="P27" s="1"/>
      <c r="Q27" s="1" t="str">
        <f>HLOOKUP(Input!$B$13,$AA$27:$AB$30,2)</f>
        <v>FPSO</v>
      </c>
      <c r="R27" s="1"/>
      <c r="S27" s="1"/>
      <c r="T27" s="49" t="s">
        <v>705</v>
      </c>
      <c r="U27" s="1"/>
      <c r="V27" s="90">
        <v>0</v>
      </c>
      <c r="W27" s="90">
        <v>110</v>
      </c>
      <c r="X27" s="90">
        <v>200</v>
      </c>
      <c r="Y27" s="1"/>
      <c r="Z27" s="49" t="s">
        <v>705</v>
      </c>
      <c r="AA27" s="49">
        <v>0</v>
      </c>
      <c r="AB27" s="49">
        <v>200</v>
      </c>
      <c r="AC27" s="1"/>
    </row>
    <row r="28" spans="1:29">
      <c r="A28" s="1" t="str">
        <f>IF(Input!$B$11=Lists!$A$60,Lists!Q28,Lists!O28)</f>
        <v/>
      </c>
      <c r="B28" s="1"/>
      <c r="C28" s="1"/>
      <c r="D28" s="1"/>
      <c r="E28" s="1"/>
      <c r="F28" s="1"/>
      <c r="G28" s="1"/>
      <c r="H28" s="1"/>
      <c r="I28" s="1"/>
      <c r="J28" s="1"/>
      <c r="K28" s="1"/>
      <c r="L28" s="1"/>
      <c r="M28" s="1"/>
      <c r="N28" s="1"/>
      <c r="O28" s="1" t="str">
        <f>HLOOKUP(Input!$B$13,Lists!$V$27:$X$31,3)</f>
        <v>Subsea to Infrastructure</v>
      </c>
      <c r="P28" s="1"/>
      <c r="Q28" s="1" t="str">
        <f>HLOOKUP(Input!$B$13,$AA$27:$AB$30,3)</f>
        <v/>
      </c>
      <c r="R28" s="1"/>
      <c r="S28" s="1"/>
      <c r="T28" s="1"/>
      <c r="U28" s="1"/>
      <c r="V28" s="1" t="str">
        <f>O33</f>
        <v>Fixed Platform</v>
      </c>
      <c r="W28" s="1" t="str">
        <f>O33</f>
        <v>Fixed Platform</v>
      </c>
      <c r="X28" s="1" t="str">
        <f>O36</f>
        <v>Semi / SPAR</v>
      </c>
      <c r="Y28" s="1"/>
      <c r="Z28" s="1"/>
      <c r="AA28" s="1" t="str">
        <f>O35</f>
        <v>FPSO</v>
      </c>
      <c r="AB28" s="1" t="str">
        <f>O35</f>
        <v>FPSO</v>
      </c>
      <c r="AC28" s="1"/>
    </row>
    <row r="29" spans="1:29">
      <c r="A29" s="1" t="str">
        <f>IF(Input!$B$11=Lists!$A$60,Lists!Q29,Lists!O29)</f>
        <v/>
      </c>
      <c r="B29" s="1"/>
      <c r="C29" s="1"/>
      <c r="D29" s="1"/>
      <c r="E29" s="1"/>
      <c r="F29" s="1"/>
      <c r="G29" s="1"/>
      <c r="H29" s="1"/>
      <c r="I29" s="1"/>
      <c r="J29" s="1"/>
      <c r="K29" s="1"/>
      <c r="L29" s="1"/>
      <c r="M29" s="1"/>
      <c r="N29" s="1"/>
      <c r="O29" s="1" t="str">
        <f>HLOOKUP(Input!$B$13,Lists!$V$27:$X$31,4)</f>
        <v/>
      </c>
      <c r="P29" s="1"/>
      <c r="Q29" s="1" t="str">
        <f>HLOOKUP(Input!$B$13,$AA$27:$AB$30,4)</f>
        <v/>
      </c>
      <c r="R29" s="1"/>
      <c r="S29" s="1"/>
      <c r="T29" s="1"/>
      <c r="U29" s="1"/>
      <c r="V29" s="1" t="str">
        <f>O34</f>
        <v>Jack-up</v>
      </c>
      <c r="W29" s="1" t="str">
        <f>IF(Input!$B$12&lt;=Lists!W$32,Lists!$O$32,"")</f>
        <v>Subsea to Infrastructure</v>
      </c>
      <c r="X29" s="1" t="str">
        <f>IF(Input!$B$12&lt;=Lists!X$32,Lists!$O$32,"")</f>
        <v>Subsea to Infrastructure</v>
      </c>
      <c r="Y29" s="1"/>
      <c r="Z29" s="1"/>
      <c r="AA29" s="1" t="str">
        <f>IF(Input!$B$12&lt;=Lists!AA31,Lists!$O$37,"")</f>
        <v>Leased FPS0</v>
      </c>
      <c r="AB29" s="1" t="str">
        <f>IF(Input!$B$12&lt;=Lists!AB31,Lists!$O$37,"")</f>
        <v/>
      </c>
      <c r="AC29" s="1"/>
    </row>
    <row r="30" spans="1:29">
      <c r="A30" s="1" t="str">
        <f>IF(Input!$B$11=Lists!$A$60,Lists!Q30,Lists!O30)</f>
        <v/>
      </c>
      <c r="B30" s="1"/>
      <c r="C30" s="1"/>
      <c r="D30" s="1"/>
      <c r="E30" s="1"/>
      <c r="F30" s="1"/>
      <c r="G30" s="1"/>
      <c r="H30" s="1"/>
      <c r="I30" s="1"/>
      <c r="J30" s="1"/>
      <c r="K30" s="1"/>
      <c r="L30" s="1"/>
      <c r="M30" s="1"/>
      <c r="N30" s="1"/>
      <c r="O30" s="1" t="str">
        <f>HLOOKUP(Input!$B$13,Lists!$V$27:$X$31,5)</f>
        <v/>
      </c>
      <c r="P30" s="1"/>
      <c r="Q30" s="86" t="s">
        <v>671</v>
      </c>
      <c r="R30" s="1"/>
      <c r="S30" s="1"/>
      <c r="T30" s="1"/>
      <c r="U30" s="1"/>
      <c r="V30" s="1" t="str">
        <f>IF(Input!$B$12&lt;=Lists!V$32,Lists!$O$32,"")</f>
        <v>Subsea to Infrastructure</v>
      </c>
      <c r="W30" s="1" t="str">
        <f>IF(Input!B12&lt;=Lists!W33,Lists!O38,"")</f>
        <v>Minimal Processing Platform</v>
      </c>
      <c r="X30" s="86" t="s">
        <v>671</v>
      </c>
      <c r="Y30" s="1"/>
      <c r="Z30" s="1"/>
      <c r="AA30" s="86" t="s">
        <v>671</v>
      </c>
      <c r="AB30" s="86" t="s">
        <v>671</v>
      </c>
      <c r="AC30" s="1"/>
    </row>
    <row r="31" spans="1:29">
      <c r="A31" s="64" t="s">
        <v>584</v>
      </c>
      <c r="B31" s="1"/>
      <c r="C31" s="1"/>
      <c r="D31" s="1"/>
      <c r="E31" s="1"/>
      <c r="F31" s="1"/>
      <c r="G31" s="1"/>
      <c r="H31" s="1"/>
      <c r="I31" s="1"/>
      <c r="J31" s="1"/>
      <c r="K31" s="1"/>
      <c r="L31" s="1"/>
      <c r="M31" s="1"/>
      <c r="N31" s="1"/>
      <c r="O31" s="49" t="s">
        <v>699</v>
      </c>
      <c r="P31" s="1"/>
      <c r="Q31" s="49" t="s">
        <v>735</v>
      </c>
      <c r="R31" s="1"/>
      <c r="S31" s="1"/>
      <c r="T31" s="1"/>
      <c r="U31" s="1"/>
      <c r="V31" s="1" t="str">
        <f>IF(Input!B12&lt;=Lists!V33,Lists!O38,"")</f>
        <v>Minimal Processing Platform</v>
      </c>
      <c r="W31" s="86" t="s">
        <v>671</v>
      </c>
      <c r="X31" s="86" t="s">
        <v>671</v>
      </c>
      <c r="Y31" s="1"/>
      <c r="Z31" s="1" t="s">
        <v>711</v>
      </c>
      <c r="AA31" s="1">
        <v>1000</v>
      </c>
      <c r="AB31" s="1"/>
      <c r="AC31" s="1"/>
    </row>
    <row r="32" spans="1:29">
      <c r="A32" s="1" t="s">
        <v>585</v>
      </c>
      <c r="B32" s="1" t="s">
        <v>586</v>
      </c>
      <c r="C32" s="1"/>
      <c r="D32" s="1"/>
      <c r="E32" s="1"/>
      <c r="F32" s="1"/>
      <c r="G32" s="1"/>
      <c r="H32" s="1"/>
      <c r="I32" s="1"/>
      <c r="J32" s="1"/>
      <c r="K32" s="1"/>
      <c r="L32" s="1"/>
      <c r="M32" s="1"/>
      <c r="N32" s="1"/>
      <c r="O32" s="1" t="s">
        <v>853</v>
      </c>
      <c r="P32" s="1"/>
      <c r="Q32" s="1" t="s">
        <v>860</v>
      </c>
      <c r="R32" s="1"/>
      <c r="S32" s="1"/>
      <c r="T32" s="49" t="s">
        <v>704</v>
      </c>
      <c r="U32" s="49"/>
      <c r="V32" s="49">
        <v>500</v>
      </c>
      <c r="W32" s="49">
        <v>500</v>
      </c>
      <c r="X32" s="49">
        <v>1500</v>
      </c>
      <c r="Y32" s="1"/>
      <c r="Z32" s="1"/>
      <c r="AA32" s="1"/>
      <c r="AB32" s="1"/>
      <c r="AC32" s="1"/>
    </row>
    <row r="33" spans="1:29">
      <c r="A33" s="1" t="s">
        <v>587</v>
      </c>
      <c r="B33" s="1" t="s">
        <v>588</v>
      </c>
      <c r="C33" s="1"/>
      <c r="D33" s="1"/>
      <c r="E33" s="1"/>
      <c r="F33" s="1"/>
      <c r="G33" s="1"/>
      <c r="H33" s="1"/>
      <c r="I33" s="1"/>
      <c r="J33" s="1"/>
      <c r="K33" s="1"/>
      <c r="L33" s="1"/>
      <c r="M33" s="1"/>
      <c r="N33" s="1"/>
      <c r="O33" s="1" t="s">
        <v>583</v>
      </c>
      <c r="P33" s="1"/>
      <c r="Q33" s="1" t="s">
        <v>854</v>
      </c>
      <c r="R33" s="1"/>
      <c r="S33" s="1"/>
      <c r="T33" s="49" t="s">
        <v>886</v>
      </c>
      <c r="U33" s="1"/>
      <c r="V33" s="49">
        <v>300</v>
      </c>
      <c r="W33" s="49">
        <v>300</v>
      </c>
      <c r="X33" s="49">
        <v>1000</v>
      </c>
      <c r="Y33" s="1"/>
      <c r="Z33" s="1"/>
      <c r="AA33" s="1"/>
      <c r="AB33" s="1"/>
      <c r="AC33" s="1"/>
    </row>
    <row r="34" spans="1:29">
      <c r="A34" s="1"/>
      <c r="B34" s="1"/>
      <c r="C34" s="1"/>
      <c r="D34" s="1"/>
      <c r="E34" s="1"/>
      <c r="F34" s="1"/>
      <c r="G34" s="1"/>
      <c r="H34" s="1"/>
      <c r="I34" s="1"/>
      <c r="J34" s="1"/>
      <c r="K34" s="1"/>
      <c r="L34" s="1"/>
      <c r="M34" s="1"/>
      <c r="N34" s="1"/>
      <c r="O34" s="1" t="s">
        <v>695</v>
      </c>
      <c r="P34" s="1"/>
      <c r="Q34" s="1" t="s">
        <v>855</v>
      </c>
      <c r="R34" s="1"/>
      <c r="S34" s="1"/>
      <c r="T34" s="1"/>
      <c r="U34" s="1"/>
      <c r="V34" s="1"/>
      <c r="W34" s="1"/>
      <c r="X34" s="1"/>
      <c r="Y34" s="1"/>
      <c r="Z34" s="1"/>
      <c r="AA34" s="1"/>
      <c r="AB34" s="1"/>
      <c r="AC34" s="1"/>
    </row>
    <row r="35" spans="1:29">
      <c r="A35" s="64" t="s">
        <v>589</v>
      </c>
      <c r="B35" s="1"/>
      <c r="C35" s="1"/>
      <c r="D35" s="1"/>
      <c r="E35" s="1"/>
      <c r="F35" s="1"/>
      <c r="G35" s="1"/>
      <c r="H35" s="1"/>
      <c r="I35" s="1"/>
      <c r="J35" s="1"/>
      <c r="K35" s="1"/>
      <c r="L35" s="1"/>
      <c r="M35" s="1"/>
      <c r="N35" s="1"/>
      <c r="O35" s="1" t="s">
        <v>850</v>
      </c>
      <c r="P35" s="1"/>
      <c r="Q35" s="1" t="s">
        <v>696</v>
      </c>
      <c r="R35" s="1"/>
      <c r="S35" s="1"/>
      <c r="T35" s="1"/>
      <c r="U35" s="1"/>
      <c r="V35" s="1"/>
      <c r="W35" s="1"/>
      <c r="X35" s="1"/>
      <c r="Y35" s="1"/>
      <c r="Z35" s="1"/>
      <c r="AA35" s="1"/>
      <c r="AB35" s="1"/>
      <c r="AC35" s="1"/>
    </row>
    <row r="36" spans="1:29">
      <c r="A36" s="1" t="s">
        <v>141</v>
      </c>
      <c r="B36" s="1"/>
      <c r="C36" s="1"/>
      <c r="D36" s="1"/>
      <c r="E36" s="1"/>
      <c r="F36" s="1"/>
      <c r="G36" s="1"/>
      <c r="H36" s="1"/>
      <c r="I36" s="1"/>
      <c r="J36" s="1"/>
      <c r="K36" s="1"/>
      <c r="L36" s="1"/>
      <c r="M36" s="1"/>
      <c r="N36" s="1"/>
      <c r="O36" s="1" t="s">
        <v>851</v>
      </c>
      <c r="P36" s="1"/>
      <c r="Q36" s="1" t="s">
        <v>859</v>
      </c>
      <c r="R36" s="1"/>
      <c r="S36" s="1"/>
      <c r="T36" s="1"/>
      <c r="U36" s="1"/>
      <c r="V36" s="1"/>
      <c r="W36" s="1"/>
      <c r="X36" s="1"/>
      <c r="Y36" s="1"/>
      <c r="Z36" s="1"/>
      <c r="AA36" s="1"/>
      <c r="AB36" s="1"/>
      <c r="AC36" s="1"/>
    </row>
    <row r="37" spans="1:29">
      <c r="A37" s="1" t="s">
        <v>590</v>
      </c>
      <c r="B37" s="1"/>
      <c r="C37" s="1"/>
      <c r="D37" s="1"/>
      <c r="E37" s="1"/>
      <c r="F37" s="1"/>
      <c r="G37" s="1"/>
      <c r="H37" s="1"/>
      <c r="I37" s="1"/>
      <c r="J37" s="1"/>
      <c r="K37" s="1"/>
      <c r="L37" s="1"/>
      <c r="M37" s="1"/>
      <c r="N37" s="1"/>
      <c r="O37" s="1" t="s">
        <v>852</v>
      </c>
      <c r="P37" s="1"/>
      <c r="Q37" s="1"/>
      <c r="R37" s="1"/>
      <c r="S37" s="1"/>
      <c r="T37" s="1"/>
      <c r="U37" s="1"/>
      <c r="V37" s="1"/>
      <c r="W37" s="1"/>
      <c r="X37" s="1"/>
      <c r="Y37" s="1"/>
      <c r="Z37" s="1"/>
      <c r="AA37" s="1"/>
      <c r="AB37" s="1"/>
      <c r="AC37" s="1"/>
    </row>
    <row r="38" spans="1:29">
      <c r="A38" s="1"/>
      <c r="B38" s="1"/>
      <c r="C38" s="1"/>
      <c r="D38" s="1"/>
      <c r="E38" s="1"/>
      <c r="F38" s="1"/>
      <c r="G38" s="1"/>
      <c r="H38" s="1"/>
      <c r="I38" s="1"/>
      <c r="J38" s="1"/>
      <c r="K38" s="1"/>
      <c r="L38" s="1"/>
      <c r="M38" s="1"/>
      <c r="N38" s="1"/>
      <c r="O38" s="1" t="s">
        <v>863</v>
      </c>
      <c r="P38" s="1"/>
      <c r="Q38" s="1"/>
      <c r="R38" s="1"/>
      <c r="S38" s="1"/>
      <c r="T38" s="1"/>
      <c r="U38" s="1"/>
      <c r="V38" s="1"/>
      <c r="W38" s="1"/>
      <c r="X38" s="1"/>
      <c r="Y38" s="1"/>
      <c r="Z38" s="1"/>
      <c r="AA38" s="1"/>
      <c r="AB38" s="1"/>
      <c r="AC38" s="1"/>
    </row>
    <row r="39" spans="1:29">
      <c r="A39" s="64" t="s">
        <v>452</v>
      </c>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row>
    <row r="40" spans="1:29">
      <c r="A40" s="1" t="s">
        <v>116</v>
      </c>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row>
    <row r="41" spans="1:29">
      <c r="A41" s="1" t="s">
        <v>92</v>
      </c>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row>
    <row r="42" spans="1:29">
      <c r="A42" s="1" t="s">
        <v>117</v>
      </c>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row>
    <row r="43" spans="1:29">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row>
    <row r="44" spans="1:29">
      <c r="A44" s="64" t="s">
        <v>91</v>
      </c>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row>
    <row r="45" spans="1:29">
      <c r="A45" s="1" t="s">
        <v>116</v>
      </c>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row>
    <row r="46" spans="1:29">
      <c r="A46" s="1" t="s">
        <v>92</v>
      </c>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row>
    <row r="47" spans="1:29">
      <c r="A47" s="1" t="s">
        <v>117</v>
      </c>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row>
    <row r="48" spans="1:2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row>
    <row r="49" spans="1:29">
      <c r="A49" s="64" t="s">
        <v>591</v>
      </c>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row>
    <row r="50" spans="1:29">
      <c r="A50" s="1" t="s">
        <v>107</v>
      </c>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1:29">
      <c r="A51" s="1" t="s">
        <v>104</v>
      </c>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1:29">
      <c r="A53" s="64" t="s">
        <v>65</v>
      </c>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1:29">
      <c r="A54" s="1" t="s">
        <v>66</v>
      </c>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c r="A55" s="1" t="s">
        <v>592</v>
      </c>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1:29">
      <c r="A56" s="1" t="s">
        <v>593</v>
      </c>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29">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row>
    <row r="58" spans="1:29">
      <c r="A58" s="64" t="s">
        <v>646</v>
      </c>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1:29">
      <c r="A59" s="1" t="s">
        <v>340</v>
      </c>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row>
    <row r="60" spans="1:29">
      <c r="A60" s="1" t="s">
        <v>647</v>
      </c>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c r="A62" s="64" t="s">
        <v>594</v>
      </c>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row>
    <row r="63" spans="1:29">
      <c r="A63" s="1" t="s">
        <v>99</v>
      </c>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row>
    <row r="64" spans="1:29">
      <c r="A64" s="1" t="s">
        <v>595</v>
      </c>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row>
    <row r="65" spans="1:29">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row>
    <row r="66" spans="1:29">
      <c r="A66" s="1"/>
      <c r="B66" s="1" t="s">
        <v>596</v>
      </c>
      <c r="C66" s="1" t="s">
        <v>597</v>
      </c>
      <c r="D66" s="1"/>
      <c r="E66" s="1"/>
      <c r="F66" s="1"/>
      <c r="G66" s="1"/>
      <c r="H66" s="1"/>
      <c r="I66" s="1"/>
      <c r="J66" s="1"/>
      <c r="K66" s="1"/>
      <c r="L66" s="1"/>
      <c r="M66" s="1"/>
      <c r="N66" s="1"/>
      <c r="O66" s="49"/>
      <c r="P66" s="1"/>
      <c r="Q66" s="1"/>
      <c r="R66" s="1"/>
      <c r="S66" s="1"/>
      <c r="T66" s="1"/>
      <c r="U66" s="1"/>
      <c r="V66" s="1"/>
      <c r="W66" s="1"/>
      <c r="X66" s="1"/>
      <c r="Y66" s="1"/>
      <c r="Z66" s="1"/>
      <c r="AA66" s="1"/>
      <c r="AB66" s="1"/>
      <c r="AC66" s="1"/>
    </row>
    <row r="67" spans="1:29">
      <c r="A67" s="1" t="s">
        <v>582</v>
      </c>
      <c r="B67" s="1" t="s">
        <v>598</v>
      </c>
      <c r="C67" s="1" t="s">
        <v>599</v>
      </c>
      <c r="D67" s="1"/>
      <c r="E67" s="1"/>
      <c r="F67" s="1"/>
      <c r="G67" s="1"/>
      <c r="H67" s="1"/>
      <c r="I67" s="1"/>
      <c r="J67" s="1"/>
      <c r="K67" s="1"/>
      <c r="L67" s="1"/>
      <c r="M67" s="1"/>
      <c r="N67" s="1"/>
      <c r="O67" s="1"/>
      <c r="P67" s="1"/>
      <c r="Q67" s="1"/>
      <c r="R67" s="1"/>
      <c r="S67" s="1"/>
      <c r="T67" s="1"/>
      <c r="U67" s="1"/>
      <c r="V67" s="1"/>
      <c r="W67" s="1"/>
      <c r="X67" s="1"/>
      <c r="Y67" s="1"/>
      <c r="Z67" s="1"/>
      <c r="AA67" s="1"/>
      <c r="AB67" s="1"/>
      <c r="AC67" s="1"/>
    </row>
    <row r="68" spans="1:29">
      <c r="A68" s="1" t="s">
        <v>583</v>
      </c>
      <c r="B68" s="1" t="s">
        <v>600</v>
      </c>
      <c r="C68" s="1" t="s">
        <v>107</v>
      </c>
      <c r="D68" s="1"/>
      <c r="E68" s="1"/>
      <c r="F68" s="1"/>
      <c r="G68" s="1"/>
      <c r="H68" s="1"/>
      <c r="I68" s="1"/>
      <c r="J68" s="1"/>
      <c r="K68" s="1"/>
      <c r="L68" s="1"/>
      <c r="M68" s="1"/>
      <c r="N68" s="1"/>
      <c r="O68" s="1"/>
      <c r="P68" s="1"/>
      <c r="Q68" s="1"/>
      <c r="R68" s="1"/>
      <c r="S68" s="1"/>
      <c r="T68" s="1"/>
      <c r="U68" s="1"/>
      <c r="V68" s="1"/>
      <c r="W68" s="1"/>
      <c r="X68" s="1"/>
      <c r="Y68" s="1"/>
      <c r="Z68" s="1"/>
      <c r="AA68" s="1"/>
      <c r="AB68" s="1"/>
      <c r="AC68" s="1"/>
    </row>
    <row r="69" spans="1:29">
      <c r="A69" s="1" t="s">
        <v>601</v>
      </c>
      <c r="B69" s="1" t="s">
        <v>600</v>
      </c>
      <c r="C69" s="1" t="s">
        <v>107</v>
      </c>
      <c r="D69" s="1"/>
      <c r="E69" s="1"/>
      <c r="F69" s="1"/>
      <c r="G69" s="1"/>
      <c r="H69" s="1"/>
      <c r="I69" s="1"/>
      <c r="J69" s="1"/>
      <c r="K69" s="1"/>
      <c r="L69" s="1"/>
      <c r="M69" s="1"/>
      <c r="N69" s="1"/>
      <c r="O69" s="1"/>
      <c r="P69" s="1"/>
      <c r="Q69" s="1"/>
      <c r="R69" s="1"/>
      <c r="S69" s="1"/>
      <c r="T69" s="1"/>
      <c r="U69" s="1"/>
      <c r="V69" s="1"/>
      <c r="W69" s="1"/>
      <c r="X69" s="1"/>
      <c r="Y69" s="1"/>
      <c r="Z69" s="1"/>
      <c r="AA69" s="1"/>
      <c r="AB69" s="1"/>
      <c r="AC69" s="1"/>
    </row>
    <row r="70" spans="1:29">
      <c r="A70" s="1" t="s">
        <v>602</v>
      </c>
      <c r="B70" s="1" t="s">
        <v>598</v>
      </c>
      <c r="C70" s="1" t="s">
        <v>107</v>
      </c>
      <c r="D70" s="1"/>
      <c r="E70" s="1"/>
      <c r="F70" s="1"/>
      <c r="G70" s="1"/>
      <c r="H70" s="1"/>
      <c r="I70" s="1"/>
      <c r="J70" s="1"/>
      <c r="K70" s="1"/>
      <c r="L70" s="1"/>
      <c r="M70" s="1"/>
      <c r="N70" s="1"/>
      <c r="O70" s="1"/>
      <c r="P70" s="1"/>
      <c r="Q70" s="1"/>
      <c r="R70" s="1"/>
      <c r="S70" s="1"/>
      <c r="T70" s="1"/>
      <c r="U70" s="1"/>
      <c r="V70" s="1"/>
      <c r="W70" s="1"/>
      <c r="X70" s="1"/>
      <c r="Y70" s="1"/>
      <c r="Z70" s="1"/>
      <c r="AA70" s="1"/>
      <c r="AB70" s="1"/>
      <c r="AC70" s="1"/>
    </row>
    <row r="71" spans="1:29">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row>
    <row r="72" spans="1:29">
      <c r="A72" s="64" t="s">
        <v>358</v>
      </c>
      <c r="B72" s="1"/>
      <c r="C72" s="1"/>
      <c r="D72" s="1" t="s">
        <v>603</v>
      </c>
      <c r="E72" s="1"/>
      <c r="F72" s="1"/>
      <c r="G72" s="1"/>
      <c r="H72" s="1"/>
      <c r="I72" s="1"/>
      <c r="J72" s="1"/>
      <c r="K72" s="1"/>
      <c r="L72" s="1"/>
      <c r="M72" s="1"/>
      <c r="N72" s="1"/>
      <c r="O72" s="1"/>
      <c r="P72" s="1"/>
      <c r="Q72" s="1"/>
      <c r="R72" s="1"/>
      <c r="S72" s="1"/>
      <c r="T72" s="1"/>
      <c r="U72" s="1"/>
      <c r="V72" s="1"/>
      <c r="W72" s="1"/>
      <c r="X72" s="1"/>
      <c r="Y72" s="1"/>
      <c r="Z72" s="1"/>
      <c r="AA72" s="1"/>
      <c r="AB72" s="1"/>
      <c r="AC72" s="1"/>
    </row>
    <row r="73" spans="1:29">
      <c r="A73" s="66" t="s">
        <v>551</v>
      </c>
      <c r="B73" s="1"/>
      <c r="C73" s="1"/>
      <c r="D73" s="1"/>
      <c r="E73" s="1" t="s">
        <v>604</v>
      </c>
      <c r="F73" s="1"/>
      <c r="G73" s="1"/>
      <c r="H73" s="1"/>
      <c r="I73" s="1"/>
      <c r="J73" s="1"/>
      <c r="K73" s="1"/>
      <c r="L73" s="1"/>
      <c r="M73" s="1"/>
      <c r="N73" s="1"/>
      <c r="O73" s="1"/>
      <c r="P73" s="1"/>
      <c r="Q73" s="1"/>
      <c r="R73" s="1"/>
      <c r="S73" s="1"/>
      <c r="T73" s="1"/>
      <c r="U73" s="1"/>
      <c r="V73" s="1"/>
      <c r="W73" s="1"/>
      <c r="X73" s="1"/>
      <c r="Y73" s="1"/>
      <c r="Z73" s="1"/>
      <c r="AA73" s="1"/>
      <c r="AB73" s="1"/>
      <c r="AC73" s="1"/>
    </row>
    <row r="74" spans="1:29">
      <c r="A74" s="66" t="s">
        <v>552</v>
      </c>
      <c r="B74" s="1"/>
      <c r="C74" s="1"/>
      <c r="D74" s="1"/>
      <c r="E74" s="1" t="s">
        <v>605</v>
      </c>
      <c r="F74" s="1"/>
      <c r="G74" s="1"/>
      <c r="H74" s="1"/>
      <c r="I74" s="1"/>
      <c r="J74" s="1"/>
      <c r="K74" s="1"/>
      <c r="L74" s="1"/>
      <c r="M74" s="1"/>
      <c r="N74" s="1"/>
      <c r="O74" s="1"/>
      <c r="P74" s="1"/>
      <c r="Q74" s="1"/>
      <c r="R74" s="1"/>
      <c r="S74" s="1"/>
      <c r="T74" s="1"/>
      <c r="U74" s="1"/>
      <c r="V74" s="1"/>
      <c r="W74" s="1"/>
      <c r="X74" s="1"/>
      <c r="Y74" s="1"/>
      <c r="Z74" s="1"/>
      <c r="AA74" s="1"/>
      <c r="AB74" s="1"/>
      <c r="AC74" s="1"/>
    </row>
    <row r="75" spans="1:29">
      <c r="A75" s="67" t="s">
        <v>553</v>
      </c>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row>
    <row r="76" spans="1:29">
      <c r="A76" s="67" t="s">
        <v>554</v>
      </c>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row>
    <row r="77" spans="1:29">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row>
    <row r="78" spans="1:29">
      <c r="A78" s="64" t="s">
        <v>606</v>
      </c>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row>
    <row r="79" spans="1:29">
      <c r="A79" s="1" t="s">
        <v>607</v>
      </c>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row>
    <row r="80" spans="1:29">
      <c r="A80" s="1" t="s">
        <v>608</v>
      </c>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row>
    <row r="81" spans="1:29">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row>
    <row r="82" spans="1:29">
      <c r="A82" s="46" t="s">
        <v>609</v>
      </c>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row>
    <row r="83" spans="1:29">
      <c r="A83" s="1" t="s">
        <v>609</v>
      </c>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row>
    <row r="84" spans="1:29">
      <c r="A84" s="1" t="s">
        <v>610</v>
      </c>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row>
    <row r="85" spans="1:29">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row>
    <row r="86" spans="1:29">
      <c r="A86" s="49" t="s">
        <v>611</v>
      </c>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row>
    <row r="87" spans="1:29">
      <c r="A87" s="1" t="s">
        <v>95</v>
      </c>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row>
    <row r="88" spans="1:29">
      <c r="A88" s="1" t="s">
        <v>921</v>
      </c>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row>
    <row r="89" spans="1:29">
      <c r="A89" s="1" t="s">
        <v>922</v>
      </c>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row>
    <row r="90" spans="1:29">
      <c r="A90" s="49" t="s">
        <v>612</v>
      </c>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row>
    <row r="91" spans="1:29">
      <c r="A91" s="15" t="s">
        <v>613</v>
      </c>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row>
    <row r="92" spans="1:29">
      <c r="A92" s="15" t="s">
        <v>614</v>
      </c>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row>
    <row r="93" spans="1:29">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row>
    <row r="94" spans="1:29">
      <c r="A94" s="49" t="s">
        <v>615</v>
      </c>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row>
    <row r="95" spans="1:29" ht="15.5">
      <c r="A95" s="14" t="s">
        <v>616</v>
      </c>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row>
    <row r="96" spans="1:29" ht="15.5">
      <c r="A96" s="14" t="s">
        <v>617</v>
      </c>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row>
    <row r="97" spans="1:29" ht="15.5">
      <c r="A97" s="14" t="s">
        <v>618</v>
      </c>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row>
    <row r="98" spans="1:29" ht="15.5">
      <c r="A98" s="14" t="s">
        <v>619</v>
      </c>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row>
    <row r="99" spans="1:29" ht="15.5">
      <c r="A99" s="14" t="s">
        <v>620</v>
      </c>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row>
    <row r="100" spans="1:29" ht="15.5">
      <c r="A100" s="14" t="s">
        <v>621</v>
      </c>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row>
    <row r="101" spans="1:29" ht="15.5">
      <c r="A101" s="14" t="s">
        <v>622</v>
      </c>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row>
    <row r="102" spans="1:29" ht="15.5">
      <c r="A102" s="14" t="s">
        <v>623</v>
      </c>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row>
    <row r="103" spans="1:29">
      <c r="A103" s="1" t="s">
        <v>624</v>
      </c>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row>
    <row r="104" spans="1:29">
      <c r="A104" s="1" t="s">
        <v>625</v>
      </c>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row>
    <row r="105" spans="1:29">
      <c r="A105" s="1" t="s">
        <v>626</v>
      </c>
    </row>
    <row r="106" spans="1:29">
      <c r="A106" s="1" t="s">
        <v>627</v>
      </c>
    </row>
  </sheetData>
  <pageMargins left="0.7" right="0.7" top="0.75" bottom="0.75" header="0.3" footer="0.3"/>
  <pageSetup paperSize="9" orientation="portrait" horizontalDpi="300" verticalDpi="0" copies="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P103"/>
  <sheetViews>
    <sheetView showGridLines="0" showZeros="0" topLeftCell="B1" zoomScale="80" zoomScaleNormal="80" zoomScaleSheetLayoutView="70" workbookViewId="0">
      <pane xSplit="11" ySplit="3" topLeftCell="M4" activePane="bottomRight" state="frozen"/>
      <selection activeCell="D43" sqref="D43"/>
      <selection pane="topRight" activeCell="D43" sqref="D43"/>
      <selection pane="bottomLeft" activeCell="D43" sqref="D43"/>
      <selection pane="bottomRight" activeCell="F11" sqref="F11"/>
    </sheetView>
  </sheetViews>
  <sheetFormatPr defaultRowHeight="14.5"/>
  <cols>
    <col min="1" max="1" width="4.1796875" hidden="1" customWidth="1"/>
    <col min="2" max="2" width="31.1796875" customWidth="1"/>
    <col min="3" max="3" width="29.453125" customWidth="1"/>
    <col min="4" max="4" width="1.1796875" customWidth="1"/>
    <col min="5" max="5" width="27.54296875" customWidth="1"/>
    <col min="6" max="6" width="11.54296875" customWidth="1"/>
    <col min="7" max="7" width="13.1796875" customWidth="1"/>
    <col min="8" max="8" width="11" customWidth="1"/>
    <col min="9" max="9" width="11.7265625" customWidth="1"/>
    <col min="10" max="10" width="12" customWidth="1"/>
    <col min="11" max="11" width="11.1796875" customWidth="1"/>
    <col min="12" max="12" width="10.54296875" customWidth="1"/>
    <col min="13" max="20" width="10.26953125" customWidth="1"/>
    <col min="21" max="21" width="9.7265625" customWidth="1"/>
    <col min="22" max="25" width="9.54296875" customWidth="1"/>
    <col min="26" max="52" width="9.7265625" customWidth="1"/>
    <col min="53" max="53" width="8.7265625" customWidth="1"/>
  </cols>
  <sheetData>
    <row r="1" spans="1:68" ht="23.5">
      <c r="B1" s="294" t="str">
        <f>Input!B8&amp;" "&amp;C2&amp;" Cash Flow"</f>
        <v>Prospect X  Cash Flow</v>
      </c>
      <c r="C1" s="22"/>
      <c r="D1" s="22"/>
      <c r="E1" s="143" t="s">
        <v>768</v>
      </c>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row>
    <row r="2" spans="1:68" ht="32.25" customHeight="1">
      <c r="B2" s="557" t="s">
        <v>1</v>
      </c>
      <c r="C2" s="558"/>
      <c r="D2" s="22"/>
      <c r="E2" s="143" t="s">
        <v>143</v>
      </c>
      <c r="F2" s="555" t="s">
        <v>79</v>
      </c>
      <c r="G2" s="553" t="s">
        <v>125</v>
      </c>
      <c r="H2" s="553" t="str">
        <f>"Disc @ "&amp;FIXED(Input!B3*100,1)&amp;"%"</f>
        <v>Disc @ 10.0%</v>
      </c>
      <c r="I2" s="555" t="s">
        <v>126</v>
      </c>
      <c r="J2" s="553" t="s">
        <v>127</v>
      </c>
      <c r="K2" s="553" t="str">
        <f>"Disc @ "&amp;FIXED(Input!B3*100,1)&amp;"%"</f>
        <v>Disc @ 10.0%</v>
      </c>
      <c r="L2" s="295"/>
      <c r="M2" s="296" t="s">
        <v>128</v>
      </c>
      <c r="N2" s="297"/>
      <c r="O2" s="298"/>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row>
    <row r="3" spans="1:68" ht="17.25" customHeight="1">
      <c r="A3" s="15"/>
      <c r="B3" s="299" t="s">
        <v>64</v>
      </c>
      <c r="C3" s="300">
        <f>Input!B3</f>
        <v>0.1</v>
      </c>
      <c r="D3" s="301"/>
      <c r="E3" s="22"/>
      <c r="F3" s="556"/>
      <c r="G3" s="554"/>
      <c r="H3" s="554"/>
      <c r="I3" s="556"/>
      <c r="J3" s="554"/>
      <c r="K3" s="554"/>
      <c r="L3" s="302" t="s">
        <v>63</v>
      </c>
      <c r="M3" s="303">
        <f t="array" ref="M3:AZ3">TRANSPOSE('Success Cash Flow'!A10:A49)</f>
        <v>2015</v>
      </c>
      <c r="N3" s="303">
        <v>2016</v>
      </c>
      <c r="O3" s="303">
        <v>2017</v>
      </c>
      <c r="P3" s="303">
        <v>2018</v>
      </c>
      <c r="Q3" s="303">
        <v>2019</v>
      </c>
      <c r="R3" s="303">
        <v>2020</v>
      </c>
      <c r="S3" s="303">
        <v>2021</v>
      </c>
      <c r="T3" s="303">
        <v>2022</v>
      </c>
      <c r="U3" s="303">
        <v>2023</v>
      </c>
      <c r="V3" s="303">
        <v>2024</v>
      </c>
      <c r="W3" s="303">
        <v>2025</v>
      </c>
      <c r="X3" s="303">
        <v>2026</v>
      </c>
      <c r="Y3" s="303">
        <v>2027</v>
      </c>
      <c r="Z3" s="303">
        <v>2028</v>
      </c>
      <c r="AA3" s="303">
        <v>2029</v>
      </c>
      <c r="AB3" s="303">
        <v>2030</v>
      </c>
      <c r="AC3" s="303">
        <v>2031</v>
      </c>
      <c r="AD3" s="303">
        <v>2032</v>
      </c>
      <c r="AE3" s="303">
        <v>2033</v>
      </c>
      <c r="AF3" s="303">
        <v>2034</v>
      </c>
      <c r="AG3" s="303">
        <v>2035</v>
      </c>
      <c r="AH3" s="303">
        <v>2036</v>
      </c>
      <c r="AI3" s="303">
        <v>2037</v>
      </c>
      <c r="AJ3" s="303">
        <v>2038</v>
      </c>
      <c r="AK3" s="303">
        <v>2039</v>
      </c>
      <c r="AL3" s="303">
        <v>2040</v>
      </c>
      <c r="AM3" s="303">
        <v>2041</v>
      </c>
      <c r="AN3" s="303" t="str">
        <v/>
      </c>
      <c r="AO3" s="303" t="str">
        <v/>
      </c>
      <c r="AP3" s="303" t="str">
        <v/>
      </c>
      <c r="AQ3" s="303" t="str">
        <v/>
      </c>
      <c r="AR3" s="303" t="str">
        <v/>
      </c>
      <c r="AS3" s="303" t="str">
        <v/>
      </c>
      <c r="AT3" s="303" t="str">
        <v/>
      </c>
      <c r="AU3" s="303" t="str">
        <v/>
      </c>
      <c r="AV3" s="303" t="str">
        <v/>
      </c>
      <c r="AW3" s="303" t="str">
        <v/>
      </c>
      <c r="AX3" s="303" t="str">
        <v/>
      </c>
      <c r="AY3" s="303" t="str">
        <v/>
      </c>
      <c r="AZ3" s="303" t="str">
        <v/>
      </c>
      <c r="BA3" s="22"/>
      <c r="BB3" s="22"/>
      <c r="BC3" s="22"/>
      <c r="BD3" s="22"/>
      <c r="BE3" s="22"/>
      <c r="BF3" s="22"/>
      <c r="BG3" s="22"/>
      <c r="BH3" s="22"/>
      <c r="BI3" s="22"/>
      <c r="BJ3" s="22"/>
      <c r="BK3" s="22"/>
      <c r="BL3" s="22"/>
      <c r="BM3" s="22"/>
      <c r="BN3" s="22"/>
      <c r="BO3" s="22"/>
      <c r="BP3" s="22"/>
    </row>
    <row r="4" spans="1:68" ht="15.75" customHeight="1">
      <c r="A4" s="15"/>
      <c r="B4" s="299" t="s">
        <v>65</v>
      </c>
      <c r="C4" s="304">
        <f ca="1">Input!H13</f>
        <v>42005</v>
      </c>
      <c r="D4" s="301"/>
      <c r="E4" s="305" t="str">
        <f>IF(Input!B11="Oil","Associated ","")&amp;"Gas Sales (bcf)"</f>
        <v>Associated Gas Sales (bcf)</v>
      </c>
      <c r="F4" s="306">
        <f>prod_year</f>
        <v>42815</v>
      </c>
      <c r="G4" s="307">
        <f>SUM(M4:AZ4)</f>
        <v>916.0152049782829</v>
      </c>
      <c r="H4" s="307"/>
      <c r="I4" s="308">
        <f>I13</f>
        <v>1</v>
      </c>
      <c r="J4" s="307">
        <f>I4*G4</f>
        <v>916.0152049782829</v>
      </c>
      <c r="K4" s="309"/>
      <c r="L4" s="310"/>
      <c r="M4" s="311">
        <f t="array" ref="M4:AZ4">TRANSPOSE(Production!AB31:AB70)</f>
        <v>0</v>
      </c>
      <c r="N4" s="311">
        <v>0</v>
      </c>
      <c r="O4" s="311">
        <v>66.067912223392355</v>
      </c>
      <c r="P4" s="311">
        <v>92.489700000000013</v>
      </c>
      <c r="Q4" s="311">
        <v>92.489700000000013</v>
      </c>
      <c r="R4" s="311">
        <v>92.743096438356162</v>
      </c>
      <c r="S4" s="311">
        <v>88.771101498417821</v>
      </c>
      <c r="T4" s="311">
        <v>75.974757047212719</v>
      </c>
      <c r="U4" s="311">
        <v>64.57854349013077</v>
      </c>
      <c r="V4" s="311">
        <v>55.030229910614871</v>
      </c>
      <c r="W4" s="311">
        <v>46.63722748001895</v>
      </c>
      <c r="X4" s="311">
        <v>39.641643358016111</v>
      </c>
      <c r="Y4" s="311">
        <v>33.695396854313707</v>
      </c>
      <c r="Z4" s="311">
        <v>28.713336281820407</v>
      </c>
      <c r="AA4" s="311">
        <v>24.334086883893573</v>
      </c>
      <c r="AB4" s="311">
        <v>20.683973851309545</v>
      </c>
      <c r="AC4" s="311">
        <v>17.581377773613106</v>
      </c>
      <c r="AD4" s="311">
        <v>14.981868725100059</v>
      </c>
      <c r="AE4" s="311">
        <v>12.696890798806134</v>
      </c>
      <c r="AF4" s="311">
        <v>10.792357178985197</v>
      </c>
      <c r="AG4" s="311">
        <v>9.1735036021374423</v>
      </c>
      <c r="AH4" s="311">
        <v>7.8171476937788942</v>
      </c>
      <c r="AI4" s="311">
        <v>6.6249059077499908</v>
      </c>
      <c r="AJ4" s="311">
        <v>5.63117002158749</v>
      </c>
      <c r="AK4" s="311">
        <v>4.7864945183493584</v>
      </c>
      <c r="AL4" s="311">
        <v>4.0787834406782135</v>
      </c>
      <c r="AM4" s="311">
        <v>0</v>
      </c>
      <c r="AN4" s="311">
        <v>0</v>
      </c>
      <c r="AO4" s="311">
        <v>0</v>
      </c>
      <c r="AP4" s="311">
        <v>0</v>
      </c>
      <c r="AQ4" s="311">
        <v>0</v>
      </c>
      <c r="AR4" s="311">
        <v>0</v>
      </c>
      <c r="AS4" s="311">
        <v>0</v>
      </c>
      <c r="AT4" s="311">
        <v>0</v>
      </c>
      <c r="AU4" s="311">
        <v>0</v>
      </c>
      <c r="AV4" s="311">
        <v>0</v>
      </c>
      <c r="AW4" s="311">
        <v>0</v>
      </c>
      <c r="AX4" s="311">
        <v>0</v>
      </c>
      <c r="AY4" s="311">
        <v>0</v>
      </c>
      <c r="AZ4" s="311">
        <v>0</v>
      </c>
      <c r="BA4" s="22"/>
      <c r="BB4" s="22"/>
      <c r="BC4" s="22"/>
      <c r="BD4" s="22"/>
      <c r="BE4" s="22"/>
      <c r="BF4" s="22"/>
      <c r="BG4" s="22"/>
      <c r="BH4" s="22"/>
      <c r="BI4" s="22"/>
      <c r="BJ4" s="22"/>
      <c r="BK4" s="22"/>
      <c r="BL4" s="22"/>
      <c r="BM4" s="22"/>
      <c r="BN4" s="22"/>
      <c r="BO4" s="22"/>
      <c r="BP4" s="22"/>
    </row>
    <row r="5" spans="1:68" ht="15.5">
      <c r="A5" s="15"/>
      <c r="B5" s="299" t="s">
        <v>72</v>
      </c>
      <c r="C5" s="312" t="str">
        <f>Input!B5</f>
        <v>Scenario 2 : Base +1.5% /y</v>
      </c>
      <c r="D5" s="301"/>
      <c r="E5" s="305" t="str">
        <f>IF(Input!B11="Oil","Oil","Gas Liquids")&amp;" Sales (mbbl)"</f>
        <v>Oil Sales (mbbl)</v>
      </c>
      <c r="F5" s="306">
        <f>F4</f>
        <v>42815</v>
      </c>
      <c r="G5" s="307">
        <f>SUM(M5:AZ5)</f>
        <v>287.21512713707807</v>
      </c>
      <c r="H5" s="307"/>
      <c r="I5" s="308">
        <f>I4</f>
        <v>1</v>
      </c>
      <c r="J5" s="307">
        <f>I5*G5</f>
        <v>287.21512713707807</v>
      </c>
      <c r="K5" s="313"/>
      <c r="L5" s="310"/>
      <c r="M5" s="311">
        <f t="array" ref="M5:AZ5">TRANSPOSE(Production!AC31:AC70)+TRANSPOSE(Production!AD31:AD70)</f>
        <v>0</v>
      </c>
      <c r="N5" s="311">
        <v>0</v>
      </c>
      <c r="O5" s="311">
        <v>20.715489989462377</v>
      </c>
      <c r="P5" s="311">
        <v>29</v>
      </c>
      <c r="Q5" s="311">
        <v>29</v>
      </c>
      <c r="R5" s="311">
        <v>29.079452054794519</v>
      </c>
      <c r="S5" s="311">
        <v>27.834039287121882</v>
      </c>
      <c r="T5" s="311">
        <v>23.82176560599903</v>
      </c>
      <c r="U5" s="311">
        <v>20.248500765099166</v>
      </c>
      <c r="V5" s="311">
        <v>17.25464205644338</v>
      </c>
      <c r="W5" s="311">
        <v>14.623029341867792</v>
      </c>
      <c r="X5" s="311">
        <v>12.429574940587624</v>
      </c>
      <c r="Y5" s="311">
        <v>10.565138699499485</v>
      </c>
      <c r="Z5" s="311">
        <v>9.0030214410122618</v>
      </c>
      <c r="AA5" s="311">
        <v>7.6299146784227165</v>
      </c>
      <c r="AB5" s="311">
        <v>6.4854274766593125</v>
      </c>
      <c r="AC5" s="311">
        <v>5.5126133551604131</v>
      </c>
      <c r="AD5" s="311">
        <v>4.6975413805850996</v>
      </c>
      <c r="AE5" s="311">
        <v>3.9810901447985874</v>
      </c>
      <c r="AF5" s="311">
        <v>3.3839266230787941</v>
      </c>
      <c r="AG5" s="311">
        <v>2.876337629616982</v>
      </c>
      <c r="AH5" s="311">
        <v>2.4510543673467198</v>
      </c>
      <c r="AI5" s="311">
        <v>2.0772288300724266</v>
      </c>
      <c r="AJ5" s="311">
        <v>1.7656445055615619</v>
      </c>
      <c r="AK5" s="311">
        <v>1.500797829727325</v>
      </c>
      <c r="AL5" s="311">
        <v>1.2788961341605409</v>
      </c>
      <c r="AM5" s="311">
        <v>0</v>
      </c>
      <c r="AN5" s="311">
        <v>0</v>
      </c>
      <c r="AO5" s="311">
        <v>0</v>
      </c>
      <c r="AP5" s="311">
        <v>0</v>
      </c>
      <c r="AQ5" s="311">
        <v>0</v>
      </c>
      <c r="AR5" s="311">
        <v>0</v>
      </c>
      <c r="AS5" s="311">
        <v>0</v>
      </c>
      <c r="AT5" s="311">
        <v>0</v>
      </c>
      <c r="AU5" s="311">
        <v>0</v>
      </c>
      <c r="AV5" s="311">
        <v>0</v>
      </c>
      <c r="AW5" s="311">
        <v>0</v>
      </c>
      <c r="AX5" s="311">
        <v>0</v>
      </c>
      <c r="AY5" s="311">
        <v>0</v>
      </c>
      <c r="AZ5" s="311">
        <v>0</v>
      </c>
      <c r="BA5" s="22"/>
      <c r="BB5" s="22"/>
      <c r="BC5" s="22"/>
      <c r="BD5" s="22"/>
      <c r="BE5" s="22"/>
      <c r="BF5" s="22"/>
      <c r="BG5" s="22"/>
      <c r="BH5" s="22"/>
      <c r="BI5" s="22"/>
      <c r="BJ5" s="22"/>
      <c r="BK5" s="22"/>
      <c r="BL5" s="22"/>
      <c r="BM5" s="22"/>
      <c r="BN5" s="22"/>
      <c r="BO5" s="22"/>
      <c r="BP5" s="22"/>
    </row>
    <row r="6" spans="1:68" ht="15.5">
      <c r="A6" s="15"/>
      <c r="B6" s="299" t="s">
        <v>73</v>
      </c>
      <c r="C6" s="312" t="str">
        <f>Input!B6</f>
        <v>Set1 : NS DOE Petrofac DW Update 2015</v>
      </c>
      <c r="D6" s="301"/>
      <c r="E6" s="305" t="str">
        <f>IF(Input!B11="Oil","Associated ","")&amp;"Gas Revenue"</f>
        <v>Associated Gas Revenue</v>
      </c>
      <c r="F6" s="306"/>
      <c r="G6" s="307">
        <f>SUM(M6:AZ6)</f>
        <v>5965.9355881603187</v>
      </c>
      <c r="H6" s="307">
        <f ca="1">SUMPRODUCT(M6:AZ6,'Risked Cash Flow'!$AO$3:$CB$3)</f>
        <v>2685.0284121467967</v>
      </c>
      <c r="I6" s="308">
        <f>I5</f>
        <v>1</v>
      </c>
      <c r="J6" s="307">
        <f>I6*G6</f>
        <v>5965.9355881603187</v>
      </c>
      <c r="K6" s="307">
        <f ca="1">SUMPRODUCT(M6:AZ6,'Risked Cash Flow'!$AO$3:$CB$3)*I6</f>
        <v>2685.0284121467967</v>
      </c>
      <c r="L6" s="309"/>
      <c r="M6" s="314">
        <f t="array" ref="M6:AZ6">TRANSPOSE(Revenue!N11:N50)</f>
        <v>0</v>
      </c>
      <c r="N6" s="314">
        <v>0</v>
      </c>
      <c r="O6" s="314">
        <v>286.56373974729763</v>
      </c>
      <c r="P6" s="314">
        <v>463.76533570517643</v>
      </c>
      <c r="Q6" s="314">
        <v>527.30374985840115</v>
      </c>
      <c r="R6" s="314">
        <v>565.0481204888406</v>
      </c>
      <c r="S6" s="314">
        <v>556.69975403970841</v>
      </c>
      <c r="T6" s="314">
        <v>490.32087867216188</v>
      </c>
      <c r="U6" s="314">
        <v>428.82422614565854</v>
      </c>
      <c r="V6" s="314">
        <v>375.91784503028794</v>
      </c>
      <c r="W6" s="314">
        <v>327.67819472135534</v>
      </c>
      <c r="X6" s="314">
        <v>285.80677753834584</v>
      </c>
      <c r="Y6" s="314">
        <v>249.24981326715647</v>
      </c>
      <c r="Z6" s="314">
        <v>217.88640813216116</v>
      </c>
      <c r="AA6" s="314">
        <v>189.40176036674904</v>
      </c>
      <c r="AB6" s="314">
        <v>165.10759610244205</v>
      </c>
      <c r="AC6" s="314">
        <v>143.91069732205821</v>
      </c>
      <c r="AD6" s="314">
        <v>125.73538873833603</v>
      </c>
      <c r="AE6" s="314">
        <v>109.24103758522877</v>
      </c>
      <c r="AF6" s="314">
        <v>95.180583093773336</v>
      </c>
      <c r="AG6" s="314">
        <v>82.919906121572268</v>
      </c>
      <c r="AH6" s="314">
        <v>72.412313743199348</v>
      </c>
      <c r="AI6" s="314">
        <v>62.883178074228596</v>
      </c>
      <c r="AJ6" s="314">
        <v>54.76401091916869</v>
      </c>
      <c r="AK6" s="314">
        <v>47.687902309300036</v>
      </c>
      <c r="AL6" s="314">
        <v>41.626370437711444</v>
      </c>
      <c r="AM6" s="314">
        <v>0</v>
      </c>
      <c r="AN6" s="314">
        <v>0</v>
      </c>
      <c r="AO6" s="314">
        <v>0</v>
      </c>
      <c r="AP6" s="314">
        <v>0</v>
      </c>
      <c r="AQ6" s="314">
        <v>0</v>
      </c>
      <c r="AR6" s="314">
        <v>0</v>
      </c>
      <c r="AS6" s="314">
        <v>0</v>
      </c>
      <c r="AT6" s="314">
        <v>0</v>
      </c>
      <c r="AU6" s="314">
        <v>0</v>
      </c>
      <c r="AV6" s="314">
        <v>0</v>
      </c>
      <c r="AW6" s="314">
        <v>0</v>
      </c>
      <c r="AX6" s="314">
        <v>0</v>
      </c>
      <c r="AY6" s="314">
        <v>0</v>
      </c>
      <c r="AZ6" s="314">
        <v>0</v>
      </c>
      <c r="BA6" s="22"/>
      <c r="BB6" s="22"/>
      <c r="BC6" s="22"/>
      <c r="BD6" s="22"/>
      <c r="BE6" s="22"/>
      <c r="BF6" s="22"/>
      <c r="BG6" s="22"/>
      <c r="BH6" s="22"/>
      <c r="BI6" s="22"/>
      <c r="BJ6" s="22"/>
      <c r="BK6" s="22"/>
      <c r="BL6" s="22"/>
      <c r="BM6" s="22"/>
      <c r="BN6" s="22"/>
      <c r="BO6" s="22"/>
      <c r="BP6" s="22"/>
    </row>
    <row r="7" spans="1:68" ht="18.5">
      <c r="A7" s="15"/>
      <c r="B7" s="557" t="s">
        <v>74</v>
      </c>
      <c r="C7" s="558"/>
      <c r="D7" s="301"/>
      <c r="E7" s="305" t="str">
        <f>IF(Input!B11="Oil","Oil","Gas Liquids")&amp;" Revenue"</f>
        <v>Oil Revenue</v>
      </c>
      <c r="F7" s="306"/>
      <c r="G7" s="307">
        <f>SUM(M7:AZ7)</f>
        <v>31559.429355631044</v>
      </c>
      <c r="H7" s="307">
        <f ca="1">SUMPRODUCT(M7:AZ7,'Risked Cash Flow'!$AO$3:$CB$3)</f>
        <v>14335.258167428692</v>
      </c>
      <c r="I7" s="308">
        <f>I6</f>
        <v>1</v>
      </c>
      <c r="J7" s="307">
        <f>I7*G7</f>
        <v>31559.429355631044</v>
      </c>
      <c r="K7" s="307">
        <f ca="1">SUMPRODUCT(M7:AZ7,'Risked Cash Flow'!$AO$3:$CB$3)*I7</f>
        <v>14335.258167428692</v>
      </c>
      <c r="L7" s="310"/>
      <c r="M7" s="311">
        <f t="array" ref="M7:AZ7">TRANSPOSE(Revenue!O11:O50)+TRANSPOSE(Revenue!P11:P50)</f>
        <v>0</v>
      </c>
      <c r="N7" s="311">
        <v>0</v>
      </c>
      <c r="O7" s="311">
        <v>1726.0877394160855</v>
      </c>
      <c r="P7" s="311">
        <v>2623.2163235294111</v>
      </c>
      <c r="Q7" s="311">
        <v>2833.1528036764694</v>
      </c>
      <c r="R7" s="311">
        <v>2924.5819332219362</v>
      </c>
      <c r="S7" s="311">
        <v>2881.2026029253693</v>
      </c>
      <c r="T7" s="311">
        <v>2537.5129469215685</v>
      </c>
      <c r="U7" s="311">
        <v>2219.1311811347964</v>
      </c>
      <c r="V7" s="311">
        <v>1945.2392935238142</v>
      </c>
      <c r="W7" s="311">
        <v>1695.5268877351534</v>
      </c>
      <c r="X7" s="311">
        <v>1482.0031659122649</v>
      </c>
      <c r="Y7" s="311">
        <v>1295.1521120116181</v>
      </c>
      <c r="Z7" s="311">
        <v>1134.529065309998</v>
      </c>
      <c r="AA7" s="311">
        <v>988.23360018345932</v>
      </c>
      <c r="AB7" s="311">
        <v>863.22433152920155</v>
      </c>
      <c r="AC7" s="311">
        <v>753.91419491248098</v>
      </c>
      <c r="AD7" s="311">
        <v>660.00937463719481</v>
      </c>
      <c r="AE7" s="311">
        <v>574.55805565718242</v>
      </c>
      <c r="AF7" s="311">
        <v>501.58443923855123</v>
      </c>
      <c r="AG7" s="311">
        <v>437.81880724351527</v>
      </c>
      <c r="AH7" s="311">
        <v>383.0721051612623</v>
      </c>
      <c r="AI7" s="311">
        <v>333.29430296636707</v>
      </c>
      <c r="AJ7" s="311">
        <v>290.80843467560368</v>
      </c>
      <c r="AK7" s="311">
        <v>253.70648496763155</v>
      </c>
      <c r="AL7" s="311">
        <v>221.86916914011121</v>
      </c>
      <c r="AM7" s="311">
        <v>0</v>
      </c>
      <c r="AN7" s="311">
        <v>0</v>
      </c>
      <c r="AO7" s="311">
        <v>0</v>
      </c>
      <c r="AP7" s="311">
        <v>0</v>
      </c>
      <c r="AQ7" s="311">
        <v>0</v>
      </c>
      <c r="AR7" s="311">
        <v>0</v>
      </c>
      <c r="AS7" s="311">
        <v>0</v>
      </c>
      <c r="AT7" s="311">
        <v>0</v>
      </c>
      <c r="AU7" s="311">
        <v>0</v>
      </c>
      <c r="AV7" s="311">
        <v>0</v>
      </c>
      <c r="AW7" s="311">
        <v>0</v>
      </c>
      <c r="AX7" s="311">
        <v>0</v>
      </c>
      <c r="AY7" s="311">
        <v>0</v>
      </c>
      <c r="AZ7" s="311">
        <v>0</v>
      </c>
      <c r="BA7" s="22"/>
      <c r="BB7" s="22"/>
      <c r="BC7" s="22"/>
      <c r="BD7" s="22"/>
      <c r="BE7" s="22"/>
      <c r="BF7" s="22"/>
      <c r="BG7" s="22"/>
      <c r="BH7" s="22"/>
      <c r="BI7" s="22"/>
      <c r="BJ7" s="22"/>
      <c r="BK7" s="22"/>
      <c r="BL7" s="22"/>
      <c r="BM7" s="22"/>
      <c r="BN7" s="22"/>
      <c r="BO7" s="22"/>
      <c r="BP7" s="22"/>
    </row>
    <row r="8" spans="1:68" ht="15.5">
      <c r="A8" s="15"/>
      <c r="B8" s="299" t="s">
        <v>124</v>
      </c>
      <c r="C8" s="304" t="str">
        <f>Input!B9</f>
        <v>Development Start</v>
      </c>
      <c r="D8" s="301"/>
      <c r="E8" s="305" t="s">
        <v>131</v>
      </c>
      <c r="F8" s="306"/>
      <c r="G8" s="307">
        <f>G7+G6</f>
        <v>37525.364943791363</v>
      </c>
      <c r="H8" s="307">
        <f ca="1">H7+H6</f>
        <v>17020.286579575488</v>
      </c>
      <c r="I8" s="308"/>
      <c r="J8" s="307">
        <f>J7+J6</f>
        <v>37525.364943791363</v>
      </c>
      <c r="K8" s="307">
        <f ca="1">K7+K6</f>
        <v>17020.286579575488</v>
      </c>
      <c r="L8" s="315"/>
      <c r="M8" s="316">
        <f t="array" ref="M8:AZ8">TRANSPOSE(Revenue!Q11:Q50)</f>
        <v>0</v>
      </c>
      <c r="N8" s="316">
        <v>0</v>
      </c>
      <c r="O8" s="316">
        <v>2012.6514791633831</v>
      </c>
      <c r="P8" s="316">
        <v>3086.9816592345874</v>
      </c>
      <c r="Q8" s="316">
        <v>3360.4565535348706</v>
      </c>
      <c r="R8" s="316">
        <v>3489.6300537107768</v>
      </c>
      <c r="S8" s="316">
        <v>3437.9023569650776</v>
      </c>
      <c r="T8" s="316">
        <v>3027.8338255937306</v>
      </c>
      <c r="U8" s="316">
        <v>2647.9554072804549</v>
      </c>
      <c r="V8" s="316">
        <v>2321.1571385541019</v>
      </c>
      <c r="W8" s="316">
        <v>2023.2050824565088</v>
      </c>
      <c r="X8" s="316">
        <v>1767.8099434506107</v>
      </c>
      <c r="Y8" s="316">
        <v>1544.4019252787746</v>
      </c>
      <c r="Z8" s="316">
        <v>1352.4154734421593</v>
      </c>
      <c r="AA8" s="316">
        <v>1177.6353605502084</v>
      </c>
      <c r="AB8" s="316">
        <v>1028.3319276316436</v>
      </c>
      <c r="AC8" s="316">
        <v>897.82489223453922</v>
      </c>
      <c r="AD8" s="316">
        <v>785.74476337553085</v>
      </c>
      <c r="AE8" s="316">
        <v>683.79909324241123</v>
      </c>
      <c r="AF8" s="316">
        <v>596.76502233232452</v>
      </c>
      <c r="AG8" s="316">
        <v>520.73871336508751</v>
      </c>
      <c r="AH8" s="316">
        <v>455.48441890446168</v>
      </c>
      <c r="AI8" s="316">
        <v>396.17748104059569</v>
      </c>
      <c r="AJ8" s="316">
        <v>345.57244559477238</v>
      </c>
      <c r="AK8" s="316">
        <v>301.39438727693158</v>
      </c>
      <c r="AL8" s="316">
        <v>263.49553957782268</v>
      </c>
      <c r="AM8" s="316">
        <v>0</v>
      </c>
      <c r="AN8" s="316">
        <v>0</v>
      </c>
      <c r="AO8" s="316">
        <v>0</v>
      </c>
      <c r="AP8" s="316">
        <v>0</v>
      </c>
      <c r="AQ8" s="316">
        <v>0</v>
      </c>
      <c r="AR8" s="316">
        <v>0</v>
      </c>
      <c r="AS8" s="316">
        <v>0</v>
      </c>
      <c r="AT8" s="316">
        <v>0</v>
      </c>
      <c r="AU8" s="316">
        <v>0</v>
      </c>
      <c r="AV8" s="316">
        <v>0</v>
      </c>
      <c r="AW8" s="316">
        <v>0</v>
      </c>
      <c r="AX8" s="316">
        <v>0</v>
      </c>
      <c r="AY8" s="316">
        <v>0</v>
      </c>
      <c r="AZ8" s="316">
        <v>0</v>
      </c>
      <c r="BA8" s="22"/>
      <c r="BB8" s="22"/>
      <c r="BC8" s="22"/>
      <c r="BD8" s="22"/>
      <c r="BE8" s="22"/>
      <c r="BF8" s="22"/>
      <c r="BG8" s="22"/>
      <c r="BH8" s="22"/>
      <c r="BI8" s="22"/>
      <c r="BJ8" s="22"/>
      <c r="BK8" s="22"/>
      <c r="BL8" s="22"/>
      <c r="BM8" s="22"/>
      <c r="BN8" s="22"/>
      <c r="BO8" s="22"/>
      <c r="BP8" s="22"/>
    </row>
    <row r="9" spans="1:68" ht="15.5">
      <c r="A9" s="15"/>
      <c r="B9" s="299" t="s">
        <v>79</v>
      </c>
      <c r="C9" s="304">
        <f>Input!B10</f>
        <v>42005</v>
      </c>
      <c r="D9" s="23">
        <f ca="1">SUMPRODUCT(M9:AZ9,'Risked Cash Flow'!$AO$2:$CB$2)</f>
        <v>0</v>
      </c>
      <c r="E9" s="305" t="s">
        <v>78</v>
      </c>
      <c r="F9" s="306">
        <f>Exploration!H19</f>
        <v>0</v>
      </c>
      <c r="G9" s="307">
        <f t="shared" ref="G9:G19" si="0">SUM(M9:AZ9)</f>
        <v>0</v>
      </c>
      <c r="H9" s="307">
        <f ca="1">SUMPRODUCT(M9:AZ9,'Risked Cash Flow'!$AO$3:$CB$3)</f>
        <v>0</v>
      </c>
      <c r="I9" s="308">
        <f>Exploration!U33</f>
        <v>0</v>
      </c>
      <c r="J9" s="307">
        <f t="shared" ref="J9:J19" si="1">I9*G9</f>
        <v>0</v>
      </c>
      <c r="K9" s="307">
        <f ca="1">SUMPRODUCT(M9:AZ9,'Risked Cash Flow'!$AO$3:$CB$3)*I9</f>
        <v>0</v>
      </c>
      <c r="L9" s="317">
        <f>IF(AND(Overrides!$C$95=Lists!$A$37,F9&lt;$C$9),-Overrides!C97,-Exploration!V19)</f>
        <v>-11.66</v>
      </c>
      <c r="M9" s="314">
        <f t="array" ref="M9:AZ9">-TRANSPOSE(Exploration!P35:P74)</f>
        <v>0</v>
      </c>
      <c r="N9" s="314">
        <v>0</v>
      </c>
      <c r="O9" s="314">
        <v>0</v>
      </c>
      <c r="P9" s="314">
        <v>0</v>
      </c>
      <c r="Q9" s="314">
        <v>0</v>
      </c>
      <c r="R9" s="314">
        <v>0</v>
      </c>
      <c r="S9" s="314">
        <v>0</v>
      </c>
      <c r="T9" s="314">
        <v>0</v>
      </c>
      <c r="U9" s="314">
        <v>0</v>
      </c>
      <c r="V9" s="314">
        <v>0</v>
      </c>
      <c r="W9" s="314">
        <v>0</v>
      </c>
      <c r="X9" s="314">
        <v>0</v>
      </c>
      <c r="Y9" s="314">
        <v>0</v>
      </c>
      <c r="Z9" s="314">
        <v>0</v>
      </c>
      <c r="AA9" s="314">
        <v>0</v>
      </c>
      <c r="AB9" s="314">
        <v>0</v>
      </c>
      <c r="AC9" s="314">
        <v>0</v>
      </c>
      <c r="AD9" s="314">
        <v>0</v>
      </c>
      <c r="AE9" s="314">
        <v>0</v>
      </c>
      <c r="AF9" s="314">
        <v>0</v>
      </c>
      <c r="AG9" s="314">
        <v>0</v>
      </c>
      <c r="AH9" s="314">
        <v>0</v>
      </c>
      <c r="AI9" s="314">
        <v>0</v>
      </c>
      <c r="AJ9" s="314">
        <v>0</v>
      </c>
      <c r="AK9" s="314">
        <v>0</v>
      </c>
      <c r="AL9" s="314">
        <v>0</v>
      </c>
      <c r="AM9" s="314">
        <v>0</v>
      </c>
      <c r="AN9" s="314">
        <v>0</v>
      </c>
      <c r="AO9" s="314">
        <v>0</v>
      </c>
      <c r="AP9" s="314">
        <v>0</v>
      </c>
      <c r="AQ9" s="314">
        <v>0</v>
      </c>
      <c r="AR9" s="314">
        <v>0</v>
      </c>
      <c r="AS9" s="314">
        <v>0</v>
      </c>
      <c r="AT9" s="314">
        <v>0</v>
      </c>
      <c r="AU9" s="314">
        <v>0</v>
      </c>
      <c r="AV9" s="314">
        <v>0</v>
      </c>
      <c r="AW9" s="314">
        <v>0</v>
      </c>
      <c r="AX9" s="314">
        <v>0</v>
      </c>
      <c r="AY9" s="314">
        <v>0</v>
      </c>
      <c r="AZ9" s="314">
        <v>0</v>
      </c>
      <c r="BA9" s="22"/>
      <c r="BB9" s="22"/>
      <c r="BC9" s="22"/>
      <c r="BD9" s="22"/>
      <c r="BE9" s="22"/>
      <c r="BF9" s="22"/>
      <c r="BG9" s="22"/>
      <c r="BH9" s="22"/>
      <c r="BI9" s="22"/>
      <c r="BJ9" s="22"/>
      <c r="BK9" s="22"/>
      <c r="BL9" s="22"/>
      <c r="BM9" s="22"/>
      <c r="BN9" s="22"/>
      <c r="BO9" s="22"/>
      <c r="BP9" s="22"/>
    </row>
    <row r="10" spans="1:68" ht="15.5">
      <c r="A10" s="15"/>
      <c r="B10" s="299" t="s">
        <v>80</v>
      </c>
      <c r="C10" s="312" t="str">
        <f>Input!B14</f>
        <v>FPSO</v>
      </c>
      <c r="D10" s="23">
        <f ca="1">SUMPRODUCT(M10:AZ10,'Risked Cash Flow'!$AO$2:$CB$2)</f>
        <v>0</v>
      </c>
      <c r="E10" s="305" t="s">
        <v>86</v>
      </c>
      <c r="F10" s="306">
        <f>IF(Exploration!H21&lt;Input!B10,0,Exploration!H21)</f>
        <v>0</v>
      </c>
      <c r="G10" s="307">
        <f t="shared" si="0"/>
        <v>0</v>
      </c>
      <c r="H10" s="307">
        <f ca="1">SUMPRODUCT(M10:AZ10,'Risked Cash Flow'!$AO$3:$CB$3)</f>
        <v>0</v>
      </c>
      <c r="I10" s="308">
        <f>Exploration!V33</f>
        <v>0</v>
      </c>
      <c r="J10" s="307">
        <f t="shared" si="1"/>
        <v>0</v>
      </c>
      <c r="K10" s="307">
        <f ca="1">SUMPRODUCT(M10:AZ10,'Risked Cash Flow'!$AO$3:$CB$3)*I10</f>
        <v>0</v>
      </c>
      <c r="L10" s="318">
        <f>IF(AND(Overrides!$C$95=Lists!$A$37,F10&lt;$C$9),-Overrides!C98,-Exploration!V20)</f>
        <v>-49.040145070325899</v>
      </c>
      <c r="M10" s="319">
        <f t="array" ref="M10:AZ10">-TRANSPOSE(Exploration!Q35:Q74)</f>
        <v>0</v>
      </c>
      <c r="N10" s="319">
        <v>0</v>
      </c>
      <c r="O10" s="319">
        <v>0</v>
      </c>
      <c r="P10" s="319">
        <v>0</v>
      </c>
      <c r="Q10" s="319">
        <v>0</v>
      </c>
      <c r="R10" s="319">
        <v>0</v>
      </c>
      <c r="S10" s="319">
        <v>0</v>
      </c>
      <c r="T10" s="319">
        <v>0</v>
      </c>
      <c r="U10" s="319">
        <v>0</v>
      </c>
      <c r="V10" s="319">
        <v>0</v>
      </c>
      <c r="W10" s="319">
        <v>0</v>
      </c>
      <c r="X10" s="319">
        <v>0</v>
      </c>
      <c r="Y10" s="319">
        <v>0</v>
      </c>
      <c r="Z10" s="319">
        <v>0</v>
      </c>
      <c r="AA10" s="319">
        <v>0</v>
      </c>
      <c r="AB10" s="319">
        <v>0</v>
      </c>
      <c r="AC10" s="319">
        <v>0</v>
      </c>
      <c r="AD10" s="319">
        <v>0</v>
      </c>
      <c r="AE10" s="319">
        <v>0</v>
      </c>
      <c r="AF10" s="319">
        <v>0</v>
      </c>
      <c r="AG10" s="319">
        <v>0</v>
      </c>
      <c r="AH10" s="319">
        <v>0</v>
      </c>
      <c r="AI10" s="319">
        <v>0</v>
      </c>
      <c r="AJ10" s="319">
        <v>0</v>
      </c>
      <c r="AK10" s="319">
        <v>0</v>
      </c>
      <c r="AL10" s="319">
        <v>0</v>
      </c>
      <c r="AM10" s="319">
        <v>0</v>
      </c>
      <c r="AN10" s="319">
        <v>0</v>
      </c>
      <c r="AO10" s="319">
        <v>0</v>
      </c>
      <c r="AP10" s="319">
        <v>0</v>
      </c>
      <c r="AQ10" s="319">
        <v>0</v>
      </c>
      <c r="AR10" s="319">
        <v>0</v>
      </c>
      <c r="AS10" s="319">
        <v>0</v>
      </c>
      <c r="AT10" s="319">
        <v>0</v>
      </c>
      <c r="AU10" s="319">
        <v>0</v>
      </c>
      <c r="AV10" s="319">
        <v>0</v>
      </c>
      <c r="AW10" s="319">
        <v>0</v>
      </c>
      <c r="AX10" s="319">
        <v>0</v>
      </c>
      <c r="AY10" s="319">
        <v>0</v>
      </c>
      <c r="AZ10" s="319">
        <v>0</v>
      </c>
      <c r="BA10" s="22"/>
      <c r="BB10" s="22"/>
      <c r="BC10" s="22"/>
      <c r="BD10" s="22"/>
      <c r="BE10" s="22"/>
      <c r="BF10" s="22"/>
      <c r="BG10" s="22"/>
      <c r="BH10" s="22"/>
      <c r="BI10" s="22"/>
      <c r="BJ10" s="22"/>
      <c r="BK10" s="22"/>
      <c r="BL10" s="22"/>
      <c r="BM10" s="22"/>
      <c r="BN10" s="22"/>
      <c r="BO10" s="22"/>
      <c r="BP10" s="22"/>
    </row>
    <row r="11" spans="1:68" ht="15.5">
      <c r="A11" s="15"/>
      <c r="B11" s="299" t="s">
        <v>82</v>
      </c>
      <c r="C11" s="312" t="str">
        <f>IF(OR(Input!B14=Lists!O38,Input!B14=Subsea),"",Input!B15)</f>
        <v>To Infrastructure</v>
      </c>
      <c r="D11" s="23">
        <f ca="1">SUMPRODUCT(M11:AZ11,'Risked Cash Flow'!$AO$2:$CB$2)</f>
        <v>0</v>
      </c>
      <c r="E11" s="305" t="s">
        <v>87</v>
      </c>
      <c r="F11" s="306">
        <f>IF(Exploration!H23&lt;Input!B10,0,Exploration!H23)</f>
        <v>0</v>
      </c>
      <c r="G11" s="307">
        <f t="shared" si="0"/>
        <v>0</v>
      </c>
      <c r="H11" s="307">
        <f ca="1">SUMPRODUCT(M11:AZ11,'Risked Cash Flow'!$AO$3:$CB$3)</f>
        <v>0</v>
      </c>
      <c r="I11" s="308">
        <f>Exploration!W33</f>
        <v>0</v>
      </c>
      <c r="J11" s="307">
        <f t="shared" si="1"/>
        <v>0</v>
      </c>
      <c r="K11" s="307">
        <f ca="1">SUMPRODUCT(M11:AZ11,'Risked Cash Flow'!$AO$3:$CB$3)*I11</f>
        <v>0</v>
      </c>
      <c r="L11" s="318">
        <f>IF(AND(Overrides!$C$95=Lists!$A$37,F11&lt;$C$9),-Overrides!C99,-Exploration!V21)</f>
        <v>-145.53043521097769</v>
      </c>
      <c r="M11" s="319">
        <f t="array" ref="M11:AZ11">-TRANSPOSE(Exploration!R35:R74)</f>
        <v>0</v>
      </c>
      <c r="N11" s="319">
        <v>0</v>
      </c>
      <c r="O11" s="319">
        <v>0</v>
      </c>
      <c r="P11" s="319">
        <v>0</v>
      </c>
      <c r="Q11" s="319">
        <v>0</v>
      </c>
      <c r="R11" s="319">
        <v>0</v>
      </c>
      <c r="S11" s="319">
        <v>0</v>
      </c>
      <c r="T11" s="319">
        <v>0</v>
      </c>
      <c r="U11" s="319">
        <v>0</v>
      </c>
      <c r="V11" s="319">
        <v>0</v>
      </c>
      <c r="W11" s="319">
        <v>0</v>
      </c>
      <c r="X11" s="319">
        <v>0</v>
      </c>
      <c r="Y11" s="319">
        <v>0</v>
      </c>
      <c r="Z11" s="319">
        <v>0</v>
      </c>
      <c r="AA11" s="319">
        <v>0</v>
      </c>
      <c r="AB11" s="319">
        <v>0</v>
      </c>
      <c r="AC11" s="319">
        <v>0</v>
      </c>
      <c r="AD11" s="319">
        <v>0</v>
      </c>
      <c r="AE11" s="319">
        <v>0</v>
      </c>
      <c r="AF11" s="319">
        <v>0</v>
      </c>
      <c r="AG11" s="319">
        <v>0</v>
      </c>
      <c r="AH11" s="319">
        <v>0</v>
      </c>
      <c r="AI11" s="319">
        <v>0</v>
      </c>
      <c r="AJ11" s="319">
        <v>0</v>
      </c>
      <c r="AK11" s="319">
        <v>0</v>
      </c>
      <c r="AL11" s="319">
        <v>0</v>
      </c>
      <c r="AM11" s="319">
        <v>0</v>
      </c>
      <c r="AN11" s="319">
        <v>0</v>
      </c>
      <c r="AO11" s="319">
        <v>0</v>
      </c>
      <c r="AP11" s="319">
        <v>0</v>
      </c>
      <c r="AQ11" s="319">
        <v>0</v>
      </c>
      <c r="AR11" s="319">
        <v>0</v>
      </c>
      <c r="AS11" s="319">
        <v>0</v>
      </c>
      <c r="AT11" s="319">
        <v>0</v>
      </c>
      <c r="AU11" s="319">
        <v>0</v>
      </c>
      <c r="AV11" s="319">
        <v>0</v>
      </c>
      <c r="AW11" s="319">
        <v>0</v>
      </c>
      <c r="AX11" s="319">
        <v>0</v>
      </c>
      <c r="AY11" s="319">
        <v>0</v>
      </c>
      <c r="AZ11" s="319">
        <v>0</v>
      </c>
      <c r="BA11" s="22"/>
      <c r="BB11" s="22"/>
      <c r="BC11" s="22"/>
      <c r="BD11" s="22"/>
      <c r="BE11" s="22"/>
      <c r="BF11" s="22"/>
      <c r="BG11" s="22"/>
      <c r="BH11" s="22"/>
      <c r="BI11" s="22"/>
      <c r="BJ11" s="22"/>
      <c r="BK11" s="22"/>
      <c r="BL11" s="22"/>
      <c r="BM11" s="22"/>
      <c r="BN11" s="22"/>
      <c r="BO11" s="22"/>
      <c r="BP11" s="22"/>
    </row>
    <row r="12" spans="1:68" ht="15.5">
      <c r="A12" s="15"/>
      <c r="B12" s="299" t="s">
        <v>84</v>
      </c>
      <c r="C12" s="312">
        <f>IF(OR(C10=Subsea,C11=Lists!Q36),"",Input!B16)</f>
        <v>250</v>
      </c>
      <c r="D12" s="23">
        <f ca="1">SUMPRODUCT(M12:AZ12,'Risked Cash Flow'!$AO$2:$CB$2)</f>
        <v>0</v>
      </c>
      <c r="E12" s="305" t="s">
        <v>88</v>
      </c>
      <c r="F12" s="306">
        <f>IF(Development!B5&lt;Input!B10,0,Development!B5)</f>
        <v>0</v>
      </c>
      <c r="G12" s="307">
        <f t="shared" si="0"/>
        <v>0</v>
      </c>
      <c r="H12" s="307">
        <f ca="1">SUMPRODUCT(M12:AZ12,'Risked Cash Flow'!$AO$3:$CB$3)</f>
        <v>0</v>
      </c>
      <c r="I12" s="308">
        <f>Development!BO88</f>
        <v>0</v>
      </c>
      <c r="J12" s="307">
        <f t="shared" si="1"/>
        <v>0</v>
      </c>
      <c r="K12" s="307">
        <f ca="1">SUMPRODUCT(M12:AZ12,'Risked Cash Flow'!$AO$3:$CB$3)*I12</f>
        <v>0</v>
      </c>
      <c r="L12" s="318">
        <f>IF(AND(Overrides!$C$95=Lists!$A$37,F12&lt;$C$9),-Overrides!C100,-Exploration!V22)</f>
        <v>-11.522200000000002</v>
      </c>
      <c r="M12" s="319">
        <f t="array" ref="M12:AZ12">-TRANSPOSE(Development!AV91:AV130)</f>
        <v>0</v>
      </c>
      <c r="N12" s="319">
        <v>0</v>
      </c>
      <c r="O12" s="319">
        <v>0</v>
      </c>
      <c r="P12" s="319">
        <v>0</v>
      </c>
      <c r="Q12" s="319">
        <v>0</v>
      </c>
      <c r="R12" s="319">
        <v>0</v>
      </c>
      <c r="S12" s="319">
        <v>0</v>
      </c>
      <c r="T12" s="319">
        <v>0</v>
      </c>
      <c r="U12" s="319">
        <v>0</v>
      </c>
      <c r="V12" s="319">
        <v>0</v>
      </c>
      <c r="W12" s="319">
        <v>0</v>
      </c>
      <c r="X12" s="319">
        <v>0</v>
      </c>
      <c r="Y12" s="319">
        <v>0</v>
      </c>
      <c r="Z12" s="319">
        <v>0</v>
      </c>
      <c r="AA12" s="319">
        <v>0</v>
      </c>
      <c r="AB12" s="319">
        <v>0</v>
      </c>
      <c r="AC12" s="319">
        <v>0</v>
      </c>
      <c r="AD12" s="319">
        <v>0</v>
      </c>
      <c r="AE12" s="319">
        <v>0</v>
      </c>
      <c r="AF12" s="319">
        <v>0</v>
      </c>
      <c r="AG12" s="319">
        <v>0</v>
      </c>
      <c r="AH12" s="319">
        <v>0</v>
      </c>
      <c r="AI12" s="319">
        <v>0</v>
      </c>
      <c r="AJ12" s="319">
        <v>0</v>
      </c>
      <c r="AK12" s="319">
        <v>0</v>
      </c>
      <c r="AL12" s="319">
        <v>0</v>
      </c>
      <c r="AM12" s="319">
        <v>0</v>
      </c>
      <c r="AN12" s="319">
        <v>0</v>
      </c>
      <c r="AO12" s="319">
        <v>0</v>
      </c>
      <c r="AP12" s="319">
        <v>0</v>
      </c>
      <c r="AQ12" s="319">
        <v>0</v>
      </c>
      <c r="AR12" s="319">
        <v>0</v>
      </c>
      <c r="AS12" s="319">
        <v>0</v>
      </c>
      <c r="AT12" s="319">
        <v>0</v>
      </c>
      <c r="AU12" s="319">
        <v>0</v>
      </c>
      <c r="AV12" s="319">
        <v>0</v>
      </c>
      <c r="AW12" s="319">
        <v>0</v>
      </c>
      <c r="AX12" s="319">
        <v>0</v>
      </c>
      <c r="AY12" s="319">
        <v>0</v>
      </c>
      <c r="AZ12" s="319">
        <v>0</v>
      </c>
      <c r="BA12" s="22"/>
      <c r="BB12" s="22"/>
      <c r="BC12" s="22"/>
      <c r="BD12" s="22"/>
      <c r="BE12" s="22"/>
      <c r="BF12" s="22"/>
      <c r="BG12" s="22"/>
      <c r="BH12" s="22"/>
      <c r="BI12" s="22"/>
      <c r="BJ12" s="22"/>
      <c r="BK12" s="22"/>
      <c r="BL12" s="22"/>
      <c r="BM12" s="22"/>
      <c r="BN12" s="22"/>
      <c r="BO12" s="22"/>
      <c r="BP12" s="22"/>
    </row>
    <row r="13" spans="1:68" ht="15.5">
      <c r="A13" s="15"/>
      <c r="B13" s="320" t="s">
        <v>858</v>
      </c>
      <c r="C13" s="321">
        <f>IF(OR('Cost Assumptions'!O6="Shallow Water",C11=Lists!Q36),"",Input!B17)</f>
        <v>0.3</v>
      </c>
      <c r="D13" s="23">
        <f ca="1">SUMPRODUCT(M13:AZ13,'Risked Cash Flow'!$AO$2:$CB$2)</f>
        <v>-3446.4140354616316</v>
      </c>
      <c r="E13" s="305" t="s">
        <v>132</v>
      </c>
      <c r="F13" s="306">
        <f>MIN(Development!E74:E77)</f>
        <v>42005</v>
      </c>
      <c r="G13" s="307">
        <f t="shared" si="0"/>
        <v>-3960.3245165715298</v>
      </c>
      <c r="H13" s="307">
        <f ca="1">SUMPRODUCT(M13:AZ13,'Risked Cash Flow'!$AO$3:$CB$3)</f>
        <v>-3446.4140354616316</v>
      </c>
      <c r="I13" s="308">
        <f>Development!BP88</f>
        <v>1</v>
      </c>
      <c r="J13" s="307">
        <f t="shared" si="1"/>
        <v>-3960.3245165715298</v>
      </c>
      <c r="K13" s="307">
        <f ca="1">SUMPRODUCT(M13:AZ13,'Risked Cash Flow'!$AO$3:$CB$3)*I13</f>
        <v>-3446.4140354616316</v>
      </c>
      <c r="L13" s="318"/>
      <c r="M13" s="319">
        <f t="array" ref="M13:AZ13">-TRANSPOSE(Development!BZ91:BZ130)</f>
        <v>-633.95620452669152</v>
      </c>
      <c r="N13" s="319">
        <v>-2802.4641764631424</v>
      </c>
      <c r="O13" s="319">
        <v>-523.90413558169553</v>
      </c>
      <c r="P13" s="319">
        <v>0</v>
      </c>
      <c r="Q13" s="319">
        <v>0</v>
      </c>
      <c r="R13" s="319">
        <v>0</v>
      </c>
      <c r="S13" s="319">
        <v>0</v>
      </c>
      <c r="T13" s="319">
        <v>0</v>
      </c>
      <c r="U13" s="319">
        <v>0</v>
      </c>
      <c r="V13" s="319">
        <v>0</v>
      </c>
      <c r="W13" s="319">
        <v>0</v>
      </c>
      <c r="X13" s="319">
        <v>0</v>
      </c>
      <c r="Y13" s="319">
        <v>0</v>
      </c>
      <c r="Z13" s="319">
        <v>0</v>
      </c>
      <c r="AA13" s="319">
        <v>0</v>
      </c>
      <c r="AB13" s="319">
        <v>0</v>
      </c>
      <c r="AC13" s="319">
        <v>0</v>
      </c>
      <c r="AD13" s="319">
        <v>0</v>
      </c>
      <c r="AE13" s="319">
        <v>0</v>
      </c>
      <c r="AF13" s="319">
        <v>0</v>
      </c>
      <c r="AG13" s="319">
        <v>0</v>
      </c>
      <c r="AH13" s="319">
        <v>0</v>
      </c>
      <c r="AI13" s="319">
        <v>0</v>
      </c>
      <c r="AJ13" s="319">
        <v>0</v>
      </c>
      <c r="AK13" s="319">
        <v>0</v>
      </c>
      <c r="AL13" s="319">
        <v>0</v>
      </c>
      <c r="AM13" s="319">
        <v>0</v>
      </c>
      <c r="AN13" s="319">
        <v>0</v>
      </c>
      <c r="AO13" s="319">
        <v>0</v>
      </c>
      <c r="AP13" s="319">
        <v>0</v>
      </c>
      <c r="AQ13" s="319">
        <v>0</v>
      </c>
      <c r="AR13" s="319">
        <v>0</v>
      </c>
      <c r="AS13" s="319">
        <v>0</v>
      </c>
      <c r="AT13" s="319">
        <v>0</v>
      </c>
      <c r="AU13" s="319">
        <v>0</v>
      </c>
      <c r="AV13" s="319">
        <v>0</v>
      </c>
      <c r="AW13" s="319">
        <v>0</v>
      </c>
      <c r="AX13" s="319">
        <v>0</v>
      </c>
      <c r="AY13" s="319">
        <v>0</v>
      </c>
      <c r="AZ13" s="319">
        <v>0</v>
      </c>
      <c r="BA13" s="22"/>
      <c r="BB13" s="22"/>
      <c r="BC13" s="22"/>
      <c r="BD13" s="22"/>
      <c r="BE13" s="22"/>
      <c r="BF13" s="22"/>
      <c r="BG13" s="22"/>
      <c r="BH13" s="22"/>
      <c r="BI13" s="22"/>
      <c r="BJ13" s="22"/>
      <c r="BK13" s="22"/>
      <c r="BL13" s="22"/>
      <c r="BM13" s="22"/>
      <c r="BN13" s="22"/>
      <c r="BO13" s="22"/>
      <c r="BP13" s="22"/>
    </row>
    <row r="14" spans="1:68" ht="16.5" customHeight="1">
      <c r="A14" s="15"/>
      <c r="B14" s="557" t="s">
        <v>85</v>
      </c>
      <c r="C14" s="558"/>
      <c r="D14" s="23">
        <f ca="1">SUMPRODUCT(M14:AZ14,'Risked Cash Flow'!$AO$2:$CB$2)</f>
        <v>-1067.391648281643</v>
      </c>
      <c r="E14" s="305" t="s">
        <v>133</v>
      </c>
      <c r="F14" s="306">
        <f>MIN(Development!E41:E46)</f>
        <v>42580.384615384617</v>
      </c>
      <c r="G14" s="307">
        <f t="shared" si="0"/>
        <v>-1312.5250088078778</v>
      </c>
      <c r="H14" s="307">
        <f ca="1">SUMPRODUCT(M14:AZ14,'Risked Cash Flow'!$AO$3:$CB$3)</f>
        <v>-1067.391648281643</v>
      </c>
      <c r="I14" s="308">
        <f t="shared" ref="I14:I19" si="2">I13</f>
        <v>1</v>
      </c>
      <c r="J14" s="307">
        <f t="shared" si="1"/>
        <v>-1312.5250088078778</v>
      </c>
      <c r="K14" s="307">
        <f ca="1">SUMPRODUCT(M14:AZ14,'Risked Cash Flow'!$AO$3:$CB$3)*I14</f>
        <v>-1067.391648281643</v>
      </c>
      <c r="L14" s="310"/>
      <c r="M14" s="319">
        <f t="array" ref="M14:AZ14">-TRANSPOSE(Development!AW91:AW130)</f>
        <v>0</v>
      </c>
      <c r="N14" s="319">
        <v>-420.57655460781302</v>
      </c>
      <c r="O14" s="319">
        <v>-891.9484542000647</v>
      </c>
      <c r="P14" s="319">
        <v>0</v>
      </c>
      <c r="Q14" s="319">
        <v>0</v>
      </c>
      <c r="R14" s="319">
        <v>0</v>
      </c>
      <c r="S14" s="319">
        <v>0</v>
      </c>
      <c r="T14" s="319">
        <v>0</v>
      </c>
      <c r="U14" s="319">
        <v>0</v>
      </c>
      <c r="V14" s="319">
        <v>0</v>
      </c>
      <c r="W14" s="319">
        <v>0</v>
      </c>
      <c r="X14" s="319">
        <v>0</v>
      </c>
      <c r="Y14" s="319">
        <v>0</v>
      </c>
      <c r="Z14" s="319">
        <v>0</v>
      </c>
      <c r="AA14" s="319">
        <v>0</v>
      </c>
      <c r="AB14" s="319">
        <v>0</v>
      </c>
      <c r="AC14" s="319">
        <v>0</v>
      </c>
      <c r="AD14" s="319">
        <v>0</v>
      </c>
      <c r="AE14" s="319">
        <v>0</v>
      </c>
      <c r="AF14" s="319">
        <v>0</v>
      </c>
      <c r="AG14" s="319">
        <v>0</v>
      </c>
      <c r="AH14" s="319">
        <v>0</v>
      </c>
      <c r="AI14" s="319">
        <v>0</v>
      </c>
      <c r="AJ14" s="319">
        <v>0</v>
      </c>
      <c r="AK14" s="319">
        <v>0</v>
      </c>
      <c r="AL14" s="319">
        <v>0</v>
      </c>
      <c r="AM14" s="319">
        <v>0</v>
      </c>
      <c r="AN14" s="319">
        <v>0</v>
      </c>
      <c r="AO14" s="319">
        <v>0</v>
      </c>
      <c r="AP14" s="319">
        <v>0</v>
      </c>
      <c r="AQ14" s="319">
        <v>0</v>
      </c>
      <c r="AR14" s="319">
        <v>0</v>
      </c>
      <c r="AS14" s="319">
        <v>0</v>
      </c>
      <c r="AT14" s="319">
        <v>0</v>
      </c>
      <c r="AU14" s="319">
        <v>0</v>
      </c>
      <c r="AV14" s="319">
        <v>0</v>
      </c>
      <c r="AW14" s="319">
        <v>0</v>
      </c>
      <c r="AX14" s="319">
        <v>0</v>
      </c>
      <c r="AY14" s="319">
        <v>0</v>
      </c>
      <c r="AZ14" s="319">
        <v>0</v>
      </c>
      <c r="BA14" s="22"/>
      <c r="BB14" s="22"/>
      <c r="BC14" s="22"/>
      <c r="BD14" s="22"/>
      <c r="BE14" s="22"/>
      <c r="BF14" s="22"/>
      <c r="BG14" s="22"/>
      <c r="BH14" s="22"/>
      <c r="BI14" s="22"/>
      <c r="BJ14" s="22"/>
      <c r="BK14" s="22"/>
      <c r="BL14" s="22"/>
      <c r="BM14" s="22"/>
      <c r="BN14" s="22"/>
      <c r="BO14" s="22"/>
      <c r="BP14" s="22"/>
    </row>
    <row r="15" spans="1:68" ht="15.75" customHeight="1">
      <c r="A15" s="15"/>
      <c r="B15" s="299" t="s">
        <v>78</v>
      </c>
      <c r="C15" s="322">
        <f>Input!B19</f>
        <v>1</v>
      </c>
      <c r="D15" s="22"/>
      <c r="E15" s="305" t="s">
        <v>134</v>
      </c>
      <c r="F15" s="306">
        <f>F5</f>
        <v>42815</v>
      </c>
      <c r="G15" s="307">
        <f t="shared" si="0"/>
        <v>-6794.40364887738</v>
      </c>
      <c r="H15" s="307">
        <f ca="1">SUMPRODUCT(M15:AZ15,'Risked Cash Flow'!$AO$3:$CB$3)</f>
        <v>-2368.0959087523634</v>
      </c>
      <c r="I15" s="308">
        <f t="shared" si="2"/>
        <v>1</v>
      </c>
      <c r="J15" s="307">
        <f t="shared" si="1"/>
        <v>-6794.40364887738</v>
      </c>
      <c r="K15" s="307">
        <f ca="1">SUMPRODUCT(M15:AZ15,'Risked Cash Flow'!$AO$3:$CB$3)*I15</f>
        <v>-2368.0959087523634</v>
      </c>
      <c r="L15" s="310"/>
      <c r="M15" s="319">
        <f t="array" ref="M15:AZ15">-TRANSPOSE(Operations!M19:M58)</f>
        <v>0</v>
      </c>
      <c r="N15" s="319">
        <v>0</v>
      </c>
      <c r="O15" s="319">
        <v>-274.04317319241773</v>
      </c>
      <c r="P15" s="319">
        <v>-346.03421619318482</v>
      </c>
      <c r="Q15" s="319">
        <v>-354.68507159801442</v>
      </c>
      <c r="R15" s="319">
        <v>-363.79041406237747</v>
      </c>
      <c r="S15" s="319">
        <v>-363.82209040646165</v>
      </c>
      <c r="T15" s="319">
        <v>-341.8115434672556</v>
      </c>
      <c r="U15" s="319">
        <v>-321.96168807165367</v>
      </c>
      <c r="V15" s="319">
        <v>-305.39712227991697</v>
      </c>
      <c r="W15" s="319">
        <v>-291.29478776809464</v>
      </c>
      <c r="X15" s="319">
        <v>-279.80651766944408</v>
      </c>
      <c r="Y15" s="319">
        <v>-270.44776069165704</v>
      </c>
      <c r="Z15" s="319">
        <v>-263.03297538277047</v>
      </c>
      <c r="AA15" s="319">
        <v>-257.0894249213473</v>
      </c>
      <c r="AB15" s="319">
        <v>-252.70588458205219</v>
      </c>
      <c r="AC15" s="319">
        <v>-249.60464313942458</v>
      </c>
      <c r="AD15" s="319">
        <v>-247.68023535334459</v>
      </c>
      <c r="AE15" s="319">
        <v>-246.661823364263</v>
      </c>
      <c r="AF15" s="319">
        <v>-246.60200276173768</v>
      </c>
      <c r="AG15" s="319">
        <v>-247.34233129067826</v>
      </c>
      <c r="AH15" s="319">
        <v>-248.82360774808626</v>
      </c>
      <c r="AI15" s="319">
        <v>-250.89142461711268</v>
      </c>
      <c r="AJ15" s="319">
        <v>-253.57769235323914</v>
      </c>
      <c r="AK15" s="319">
        <v>-256.79281658472883</v>
      </c>
      <c r="AL15" s="319">
        <v>-260.50440137811717</v>
      </c>
      <c r="AM15" s="319">
        <v>0</v>
      </c>
      <c r="AN15" s="319">
        <v>0</v>
      </c>
      <c r="AO15" s="319">
        <v>0</v>
      </c>
      <c r="AP15" s="319">
        <v>0</v>
      </c>
      <c r="AQ15" s="319">
        <v>0</v>
      </c>
      <c r="AR15" s="319">
        <v>0</v>
      </c>
      <c r="AS15" s="319">
        <v>0</v>
      </c>
      <c r="AT15" s="319">
        <v>0</v>
      </c>
      <c r="AU15" s="319">
        <v>0</v>
      </c>
      <c r="AV15" s="319">
        <v>0</v>
      </c>
      <c r="AW15" s="319">
        <v>0</v>
      </c>
      <c r="AX15" s="319">
        <v>0</v>
      </c>
      <c r="AY15" s="319">
        <v>0</v>
      </c>
      <c r="AZ15" s="319">
        <v>0</v>
      </c>
      <c r="BA15" s="22"/>
      <c r="BB15" s="22"/>
      <c r="BC15" s="22"/>
      <c r="BD15" s="22"/>
      <c r="BE15" s="22"/>
      <c r="BF15" s="22"/>
      <c r="BG15" s="22"/>
      <c r="BH15" s="22"/>
      <c r="BI15" s="22"/>
      <c r="BJ15" s="22"/>
      <c r="BK15" s="22"/>
      <c r="BL15" s="22"/>
      <c r="BM15" s="22"/>
      <c r="BN15" s="22"/>
      <c r="BO15" s="22"/>
      <c r="BP15" s="22"/>
    </row>
    <row r="16" spans="1:68" ht="15.75" customHeight="1">
      <c r="A16" s="15"/>
      <c r="B16" s="299" t="s">
        <v>86</v>
      </c>
      <c r="C16" s="322">
        <f>Input!B20</f>
        <v>0.35</v>
      </c>
      <c r="D16" s="22"/>
      <c r="E16" s="305" t="s">
        <v>38</v>
      </c>
      <c r="F16" s="306"/>
      <c r="G16" s="307">
        <f t="shared" si="0"/>
        <v>-7638.9132264515811</v>
      </c>
      <c r="H16" s="307">
        <f ca="1">SUMPRODUCT(M16:AZ16,'Risked Cash Flow'!$AO$3:$CB$3)</f>
        <v>-3086.4938970455132</v>
      </c>
      <c r="I16" s="308">
        <f t="shared" si="2"/>
        <v>1</v>
      </c>
      <c r="J16" s="307">
        <f t="shared" si="1"/>
        <v>-7638.9132264515811</v>
      </c>
      <c r="K16" s="307">
        <f ca="1">SUMPRODUCT(M16:AZ16,'Risked Cash Flow'!$AO$3:$CB$3)*I16</f>
        <v>-3086.4938970455132</v>
      </c>
      <c r="L16" s="310"/>
      <c r="M16" s="319">
        <f t="array" ref="M16:AZ16">-TRANSPOSE('Success Cash Flow'!L10:L49)</f>
        <v>0</v>
      </c>
      <c r="N16" s="319">
        <v>0</v>
      </c>
      <c r="O16" s="319">
        <v>-40.253029583267661</v>
      </c>
      <c r="P16" s="319">
        <v>-61.739633184691748</v>
      </c>
      <c r="Q16" s="319">
        <v>-105.01426729796469</v>
      </c>
      <c r="R16" s="319">
        <v>-620.3931787451113</v>
      </c>
      <c r="S16" s="319">
        <v>-1063.1943201312893</v>
      </c>
      <c r="T16" s="319">
        <v>-928.14439472291224</v>
      </c>
      <c r="U16" s="319">
        <v>-802.82914264057251</v>
      </c>
      <c r="V16" s="319">
        <v>-694.82710641616757</v>
      </c>
      <c r="W16" s="319">
        <v>-595.97328556906155</v>
      </c>
      <c r="X16" s="319">
        <v>-511.00797090497775</v>
      </c>
      <c r="Y16" s="319">
        <v>-436.41828598128313</v>
      </c>
      <c r="Z16" s="319">
        <v>-372.0777201823891</v>
      </c>
      <c r="AA16" s="319">
        <v>-313.19294759785419</v>
      </c>
      <c r="AB16" s="319">
        <v>-262.62440910698518</v>
      </c>
      <c r="AC16" s="319">
        <v>-218.14092467341024</v>
      </c>
      <c r="AD16" s="319">
        <v>-179.65377657039809</v>
      </c>
      <c r="AE16" s="319">
        <v>-144.36488063960266</v>
      </c>
      <c r="AF16" s="319">
        <v>-113.92598675304457</v>
      </c>
      <c r="AG16" s="319">
        <v>-87.031752130869492</v>
      </c>
      <c r="AH16" s="319">
        <v>-63.622457633548358</v>
      </c>
      <c r="AI16" s="319">
        <v>-42.068919886620094</v>
      </c>
      <c r="AJ16" s="319">
        <v>-23.322944402173245</v>
      </c>
      <c r="AK16" s="319">
        <v>-15.069719363846581</v>
      </c>
      <c r="AL16" s="319">
        <v>-13.174776978891137</v>
      </c>
      <c r="AM16" s="319">
        <v>69.152604645350209</v>
      </c>
      <c r="AN16" s="319">
        <v>0</v>
      </c>
      <c r="AO16" s="319">
        <v>0</v>
      </c>
      <c r="AP16" s="319">
        <v>0</v>
      </c>
      <c r="AQ16" s="319">
        <v>0</v>
      </c>
      <c r="AR16" s="319">
        <v>0</v>
      </c>
      <c r="AS16" s="319">
        <v>0</v>
      </c>
      <c r="AT16" s="319">
        <v>0</v>
      </c>
      <c r="AU16" s="319">
        <v>0</v>
      </c>
      <c r="AV16" s="319">
        <v>0</v>
      </c>
      <c r="AW16" s="319">
        <v>0</v>
      </c>
      <c r="AX16" s="319">
        <v>0</v>
      </c>
      <c r="AY16" s="319">
        <v>0</v>
      </c>
      <c r="AZ16" s="319">
        <v>0</v>
      </c>
      <c r="BA16" s="22"/>
      <c r="BB16" s="22"/>
      <c r="BC16" s="22"/>
      <c r="BD16" s="22"/>
      <c r="BE16" s="22"/>
      <c r="BF16" s="22"/>
      <c r="BG16" s="22"/>
      <c r="BH16" s="22"/>
      <c r="BI16" s="22"/>
      <c r="BJ16" s="22"/>
      <c r="BK16" s="22"/>
      <c r="BL16" s="22"/>
      <c r="BM16" s="22"/>
      <c r="BN16" s="22"/>
      <c r="BO16" s="22"/>
      <c r="BP16" s="22"/>
    </row>
    <row r="17" spans="1:68" ht="15.75" customHeight="1">
      <c r="A17" s="15"/>
      <c r="B17" s="299" t="s">
        <v>87</v>
      </c>
      <c r="C17" s="322">
        <f>Input!B21</f>
        <v>0.75</v>
      </c>
      <c r="D17" s="22"/>
      <c r="E17" s="305" t="s">
        <v>135</v>
      </c>
      <c r="F17" s="306"/>
      <c r="G17" s="307">
        <f t="shared" si="0"/>
        <v>-2768.5757889742094</v>
      </c>
      <c r="H17" s="307">
        <f ca="1">SUMPRODUCT(M17:AZ17,'Risked Cash Flow'!$AO$3:$CB$3)</f>
        <v>-1311.1260477701517</v>
      </c>
      <c r="I17" s="308">
        <f t="shared" si="2"/>
        <v>1</v>
      </c>
      <c r="J17" s="307">
        <f t="shared" si="1"/>
        <v>-2768.5757889742094</v>
      </c>
      <c r="K17" s="307">
        <f ca="1">SUMPRODUCT(M17:AZ17,'Risked Cash Flow'!$AO$3:$CB$3)*I17</f>
        <v>-1311.1260477701517</v>
      </c>
      <c r="L17" s="310"/>
      <c r="M17" s="319">
        <f t="array" ref="M17:AZ17">-TRANSPOSE('Success Cash Flow'!M10:M49)</f>
        <v>6.9854608901269284</v>
      </c>
      <c r="N17" s="319">
        <v>25.077497244263874</v>
      </c>
      <c r="O17" s="319">
        <v>-131.93213601801324</v>
      </c>
      <c r="P17" s="319">
        <v>-247.40117278625877</v>
      </c>
      <c r="Q17" s="319">
        <v>-330.27996883465198</v>
      </c>
      <c r="R17" s="319">
        <v>-301.9695550737265</v>
      </c>
      <c r="S17" s="319">
        <v>-248.60064974718745</v>
      </c>
      <c r="T17" s="319">
        <v>-227.1293508490219</v>
      </c>
      <c r="U17" s="319">
        <v>-203.61529948699376</v>
      </c>
      <c r="V17" s="319">
        <v>-181.63610141575748</v>
      </c>
      <c r="W17" s="319">
        <v>-159.71362562594416</v>
      </c>
      <c r="X17" s="319">
        <v>-139.9660550069203</v>
      </c>
      <c r="Y17" s="319">
        <v>-121.86263011809699</v>
      </c>
      <c r="Z17" s="319">
        <v>-105.74669362597373</v>
      </c>
      <c r="AA17" s="319">
        <v>-90.469608366048291</v>
      </c>
      <c r="AB17" s="319">
        <v>-77.09188752642514</v>
      </c>
      <c r="AC17" s="319">
        <v>-65.100656348533761</v>
      </c>
      <c r="AD17" s="319">
        <v>-54.582164971630363</v>
      </c>
      <c r="AE17" s="319">
        <v>-44.785245818659412</v>
      </c>
      <c r="AF17" s="319">
        <v>-36.264203896364585</v>
      </c>
      <c r="AG17" s="319">
        <v>-28.67507146826685</v>
      </c>
      <c r="AH17" s="319">
        <v>-22.033599756820188</v>
      </c>
      <c r="AI17" s="319">
        <v>-15.878779870408698</v>
      </c>
      <c r="AJ17" s="319">
        <v>-10.512926373424888</v>
      </c>
      <c r="AK17" s="319">
        <v>-4.3708598404034795</v>
      </c>
      <c r="AL17" s="319">
        <v>1.893879347805115</v>
      </c>
      <c r="AM17" s="319">
        <v>47.085616369126328</v>
      </c>
      <c r="AN17" s="319">
        <v>0</v>
      </c>
      <c r="AO17" s="319">
        <v>0</v>
      </c>
      <c r="AP17" s="319">
        <v>0</v>
      </c>
      <c r="AQ17" s="319">
        <v>0</v>
      </c>
      <c r="AR17" s="319">
        <v>0</v>
      </c>
      <c r="AS17" s="319">
        <v>0</v>
      </c>
      <c r="AT17" s="319">
        <v>0</v>
      </c>
      <c r="AU17" s="319">
        <v>0</v>
      </c>
      <c r="AV17" s="319">
        <v>0</v>
      </c>
      <c r="AW17" s="319">
        <v>0</v>
      </c>
      <c r="AX17" s="319">
        <v>0</v>
      </c>
      <c r="AY17" s="319">
        <v>0</v>
      </c>
      <c r="AZ17" s="319">
        <v>0</v>
      </c>
      <c r="BA17" s="22"/>
      <c r="BB17" s="22"/>
      <c r="BC17" s="22"/>
      <c r="BD17" s="22"/>
      <c r="BE17" s="22"/>
      <c r="BF17" s="22"/>
      <c r="BG17" s="22"/>
      <c r="BH17" s="22"/>
      <c r="BI17" s="22"/>
      <c r="BJ17" s="22"/>
      <c r="BK17" s="22"/>
      <c r="BL17" s="22"/>
      <c r="BM17" s="22"/>
      <c r="BN17" s="22"/>
      <c r="BO17" s="22"/>
      <c r="BP17" s="22"/>
    </row>
    <row r="18" spans="1:68" ht="15.75" customHeight="1">
      <c r="A18" s="15"/>
      <c r="B18" s="299" t="s">
        <v>88</v>
      </c>
      <c r="C18" s="322">
        <f>Input!B22</f>
        <v>1</v>
      </c>
      <c r="D18" s="22"/>
      <c r="E18" s="305" t="s">
        <v>136</v>
      </c>
      <c r="F18" s="306"/>
      <c r="G18" s="307">
        <f t="shared" si="0"/>
        <v>-3292.2163276677743</v>
      </c>
      <c r="H18" s="307">
        <f ca="1">SUMPRODUCT(M18:AZ18,'Risked Cash Flow'!$AO$3:$CB$3)</f>
        <v>-1633.0983599115268</v>
      </c>
      <c r="I18" s="308">
        <f t="shared" si="2"/>
        <v>1</v>
      </c>
      <c r="J18" s="307">
        <f t="shared" si="1"/>
        <v>-3292.2163276677743</v>
      </c>
      <c r="K18" s="307">
        <f ca="1">SUMPRODUCT(M18:AZ18,'Risked Cash Flow'!$AO$3:$CB$3)*I18</f>
        <v>-1633.0983599115268</v>
      </c>
      <c r="L18" s="310"/>
      <c r="M18" s="319">
        <f t="array" ref="M18:AZ18">-TRANSPOSE('Success Cash Flow'!N10:N49)</f>
        <v>9.6573996806004789</v>
      </c>
      <c r="N18" s="319">
        <v>32.130543344213088</v>
      </c>
      <c r="O18" s="319">
        <v>-164.91517002251655</v>
      </c>
      <c r="P18" s="319">
        <v>-364.53741232261257</v>
      </c>
      <c r="Q18" s="319">
        <v>-445.26885272034707</v>
      </c>
      <c r="R18" s="319">
        <v>-380.69775903721597</v>
      </c>
      <c r="S18" s="319">
        <v>-311.79495586515947</v>
      </c>
      <c r="T18" s="319">
        <v>-268.88701991869476</v>
      </c>
      <c r="U18" s="319">
        <v>-241.171354979916</v>
      </c>
      <c r="V18" s="319">
        <v>-205.27749998632061</v>
      </c>
      <c r="W18" s="319">
        <v>-181.84840259714016</v>
      </c>
      <c r="X18" s="319">
        <v>-152.88928651479799</v>
      </c>
      <c r="Y18" s="319">
        <v>-134.7215704108003</v>
      </c>
      <c r="Z18" s="319">
        <v>-112.48515309201258</v>
      </c>
      <c r="AA18" s="319">
        <v>-97.615875743058922</v>
      </c>
      <c r="AB18" s="319">
        <v>-79.986789457911286</v>
      </c>
      <c r="AC18" s="319">
        <v>-68.637159179094908</v>
      </c>
      <c r="AD18" s="319">
        <v>-55.165989100718633</v>
      </c>
      <c r="AE18" s="319">
        <v>-45.944730557338715</v>
      </c>
      <c r="AF18" s="319">
        <v>-35.274483642442895</v>
      </c>
      <c r="AG18" s="319">
        <v>-28.209703505199339</v>
      </c>
      <c r="AH18" s="319">
        <v>-20.012731679760392</v>
      </c>
      <c r="AI18" s="319">
        <v>-14.241925072512648</v>
      </c>
      <c r="AJ18" s="319">
        <v>-7.6954729502903536</v>
      </c>
      <c r="AK18" s="319">
        <v>-1.5989257218653543</v>
      </c>
      <c r="AL18" s="319">
        <v>5.9386089298189875</v>
      </c>
      <c r="AM18" s="319">
        <v>66.98305105123876</v>
      </c>
      <c r="AN18" s="319">
        <v>11.952293404080963</v>
      </c>
      <c r="AO18" s="319">
        <v>0</v>
      </c>
      <c r="AP18" s="319">
        <v>0</v>
      </c>
      <c r="AQ18" s="319">
        <v>0</v>
      </c>
      <c r="AR18" s="319">
        <v>0</v>
      </c>
      <c r="AS18" s="319">
        <v>0</v>
      </c>
      <c r="AT18" s="319">
        <v>0</v>
      </c>
      <c r="AU18" s="319">
        <v>0</v>
      </c>
      <c r="AV18" s="319">
        <v>0</v>
      </c>
      <c r="AW18" s="319">
        <v>0</v>
      </c>
      <c r="AX18" s="319">
        <v>0</v>
      </c>
      <c r="AY18" s="319">
        <v>0</v>
      </c>
      <c r="AZ18" s="319">
        <v>0</v>
      </c>
      <c r="BA18" s="22"/>
      <c r="BB18" s="22"/>
      <c r="BC18" s="22"/>
      <c r="BD18" s="22"/>
      <c r="BE18" s="22"/>
      <c r="BF18" s="22"/>
      <c r="BG18" s="22"/>
      <c r="BH18" s="22"/>
      <c r="BI18" s="22"/>
      <c r="BJ18" s="22"/>
      <c r="BK18" s="22"/>
      <c r="BL18" s="22"/>
      <c r="BM18" s="22"/>
      <c r="BN18" s="22"/>
      <c r="BO18" s="22"/>
      <c r="BP18" s="22"/>
    </row>
    <row r="19" spans="1:68" ht="18.5">
      <c r="B19" s="557" t="s">
        <v>89</v>
      </c>
      <c r="C19" s="558"/>
      <c r="D19" s="22"/>
      <c r="E19" s="305" t="s">
        <v>19</v>
      </c>
      <c r="F19" s="306">
        <f>DATE(Abandonment!B4,3,1)</f>
        <v>51561</v>
      </c>
      <c r="G19" s="307">
        <f t="shared" si="0"/>
        <v>-358.54722678320917</v>
      </c>
      <c r="H19" s="307">
        <f ca="1">SUMPRODUCT(M19:AZ19,'Risked Cash Flow'!$AO$3:$CB$3)</f>
        <v>-28.684032841213252</v>
      </c>
      <c r="I19" s="308">
        <f t="shared" si="2"/>
        <v>1</v>
      </c>
      <c r="J19" s="307">
        <f t="shared" si="1"/>
        <v>-358.54722678320917</v>
      </c>
      <c r="K19" s="307">
        <f ca="1">SUMPRODUCT(M19:AZ19,'Risked Cash Flow'!$AO$3:$CB$3)*I19</f>
        <v>-28.684032841213252</v>
      </c>
      <c r="L19" s="313"/>
      <c r="M19" s="319">
        <f t="array" ref="M19:AZ19">-TRANSPOSE(Abandonment!G16:G55)</f>
        <v>0</v>
      </c>
      <c r="N19" s="319">
        <v>0</v>
      </c>
      <c r="O19" s="319">
        <v>0</v>
      </c>
      <c r="P19" s="319">
        <v>0</v>
      </c>
      <c r="Q19" s="319">
        <v>0</v>
      </c>
      <c r="R19" s="319">
        <v>0</v>
      </c>
      <c r="S19" s="319">
        <v>0</v>
      </c>
      <c r="T19" s="319">
        <v>0</v>
      </c>
      <c r="U19" s="319">
        <v>0</v>
      </c>
      <c r="V19" s="319">
        <v>0</v>
      </c>
      <c r="W19" s="319">
        <v>0</v>
      </c>
      <c r="X19" s="319">
        <v>0</v>
      </c>
      <c r="Y19" s="319">
        <v>0</v>
      </c>
      <c r="Z19" s="319">
        <v>0</v>
      </c>
      <c r="AA19" s="319">
        <v>0</v>
      </c>
      <c r="AB19" s="319">
        <v>0</v>
      </c>
      <c r="AC19" s="319">
        <v>0</v>
      </c>
      <c r="AD19" s="319">
        <v>0</v>
      </c>
      <c r="AE19" s="319">
        <v>0</v>
      </c>
      <c r="AF19" s="319">
        <v>0</v>
      </c>
      <c r="AG19" s="319">
        <v>0</v>
      </c>
      <c r="AH19" s="319">
        <v>0</v>
      </c>
      <c r="AI19" s="319">
        <v>0</v>
      </c>
      <c r="AJ19" s="319">
        <v>0</v>
      </c>
      <c r="AK19" s="319">
        <v>0</v>
      </c>
      <c r="AL19" s="319">
        <v>0</v>
      </c>
      <c r="AM19" s="319">
        <v>-358.54722678320917</v>
      </c>
      <c r="AN19" s="319">
        <v>0</v>
      </c>
      <c r="AO19" s="319">
        <v>0</v>
      </c>
      <c r="AP19" s="319">
        <v>0</v>
      </c>
      <c r="AQ19" s="319">
        <v>0</v>
      </c>
      <c r="AR19" s="319">
        <v>0</v>
      </c>
      <c r="AS19" s="319">
        <v>0</v>
      </c>
      <c r="AT19" s="319">
        <v>0</v>
      </c>
      <c r="AU19" s="319">
        <v>0</v>
      </c>
      <c r="AV19" s="319">
        <v>0</v>
      </c>
      <c r="AW19" s="319">
        <v>0</v>
      </c>
      <c r="AX19" s="319">
        <v>0</v>
      </c>
      <c r="AY19" s="319">
        <v>0</v>
      </c>
      <c r="AZ19" s="319">
        <v>0</v>
      </c>
      <c r="BA19" s="22"/>
      <c r="BB19" s="22"/>
      <c r="BC19" s="22"/>
      <c r="BD19" s="22"/>
      <c r="BE19" s="22"/>
      <c r="BF19" s="22"/>
      <c r="BG19" s="22"/>
      <c r="BH19" s="22"/>
      <c r="BI19" s="22"/>
      <c r="BJ19" s="22"/>
      <c r="BK19" s="22"/>
      <c r="BL19" s="22"/>
      <c r="BM19" s="22"/>
      <c r="BN19" s="22"/>
      <c r="BO19" s="22"/>
      <c r="BP19" s="22"/>
    </row>
    <row r="20" spans="1:68" ht="15.75" customHeight="1">
      <c r="B20" s="299" t="str">
        <f>Thresholds!A23</f>
        <v>Product Type</v>
      </c>
      <c r="C20" s="312" t="str">
        <f>Input!B11</f>
        <v>Oil</v>
      </c>
      <c r="D20" s="22"/>
      <c r="E20" s="305" t="s">
        <v>101</v>
      </c>
      <c r="F20" s="323"/>
      <c r="G20" s="307">
        <f>SUM(G9:G19)</f>
        <v>-26125.505744133559</v>
      </c>
      <c r="H20" s="307">
        <f ca="1">SUM(H9:H19)</f>
        <v>-12941.303930064041</v>
      </c>
      <c r="I20" s="302"/>
      <c r="J20" s="307">
        <f t="shared" ref="J20:AZ20" si="3">SUM(J9:J19)</f>
        <v>-26125.505744133559</v>
      </c>
      <c r="K20" s="307">
        <f ca="1">SUM(K9:K19)</f>
        <v>-12941.303930064041</v>
      </c>
      <c r="L20" s="315">
        <f t="shared" si="3"/>
        <v>-217.75278028130359</v>
      </c>
      <c r="M20" s="316">
        <f t="shared" si="3"/>
        <v>-617.31334395596411</v>
      </c>
      <c r="N20" s="316">
        <f t="shared" si="3"/>
        <v>-3165.8326904824785</v>
      </c>
      <c r="O20" s="316">
        <f t="shared" si="3"/>
        <v>-2026.9960985979756</v>
      </c>
      <c r="P20" s="316">
        <f t="shared" si="3"/>
        <v>-1019.7124344867478</v>
      </c>
      <c r="Q20" s="316">
        <f t="shared" si="3"/>
        <v>-1235.248160450978</v>
      </c>
      <c r="R20" s="316">
        <f t="shared" si="3"/>
        <v>-1666.8509069184313</v>
      </c>
      <c r="S20" s="316">
        <f t="shared" si="3"/>
        <v>-1987.4120161500978</v>
      </c>
      <c r="T20" s="316">
        <f t="shared" si="3"/>
        <v>-1765.9723089578845</v>
      </c>
      <c r="U20" s="316">
        <f t="shared" si="3"/>
        <v>-1569.5774851791359</v>
      </c>
      <c r="V20" s="316">
        <f t="shared" si="3"/>
        <v>-1387.1378300981626</v>
      </c>
      <c r="W20" s="316">
        <f t="shared" si="3"/>
        <v>-1228.8301015602406</v>
      </c>
      <c r="X20" s="316">
        <f t="shared" si="3"/>
        <v>-1083.6698300961402</v>
      </c>
      <c r="Y20" s="316">
        <f t="shared" si="3"/>
        <v>-963.45024720183744</v>
      </c>
      <c r="Z20" s="316">
        <f t="shared" si="3"/>
        <v>-853.34254228314603</v>
      </c>
      <c r="AA20" s="316">
        <f t="shared" si="3"/>
        <v>-758.3678566283088</v>
      </c>
      <c r="AB20" s="316">
        <f t="shared" si="3"/>
        <v>-672.4089706733738</v>
      </c>
      <c r="AC20" s="316">
        <f t="shared" si="3"/>
        <v>-601.48338334046343</v>
      </c>
      <c r="AD20" s="316">
        <f t="shared" si="3"/>
        <v>-537.0821659960917</v>
      </c>
      <c r="AE20" s="316">
        <f t="shared" si="3"/>
        <v>-481.75668037986384</v>
      </c>
      <c r="AF20" s="316">
        <f t="shared" si="3"/>
        <v>-432.06667705358967</v>
      </c>
      <c r="AG20" s="316">
        <f t="shared" si="3"/>
        <v>-391.25885839501399</v>
      </c>
      <c r="AH20" s="316">
        <f t="shared" si="3"/>
        <v>-354.49239681821524</v>
      </c>
      <c r="AI20" s="316">
        <f t="shared" si="3"/>
        <v>-323.08104944665411</v>
      </c>
      <c r="AJ20" s="316">
        <f t="shared" si="3"/>
        <v>-295.10903607912763</v>
      </c>
      <c r="AK20" s="316">
        <f t="shared" si="3"/>
        <v>-277.83232151084417</v>
      </c>
      <c r="AL20" s="316">
        <f t="shared" si="3"/>
        <v>-265.84669007938419</v>
      </c>
      <c r="AM20" s="316">
        <f t="shared" si="3"/>
        <v>-175.32595471749386</v>
      </c>
      <c r="AN20" s="316">
        <f t="shared" si="3"/>
        <v>11.952293404080963</v>
      </c>
      <c r="AO20" s="316">
        <f t="shared" si="3"/>
        <v>0</v>
      </c>
      <c r="AP20" s="316">
        <f t="shared" si="3"/>
        <v>0</v>
      </c>
      <c r="AQ20" s="316">
        <f t="shared" si="3"/>
        <v>0</v>
      </c>
      <c r="AR20" s="316">
        <f t="shared" si="3"/>
        <v>0</v>
      </c>
      <c r="AS20" s="316">
        <f t="shared" si="3"/>
        <v>0</v>
      </c>
      <c r="AT20" s="316">
        <f t="shared" si="3"/>
        <v>0</v>
      </c>
      <c r="AU20" s="316">
        <f t="shared" si="3"/>
        <v>0</v>
      </c>
      <c r="AV20" s="316">
        <f t="shared" si="3"/>
        <v>0</v>
      </c>
      <c r="AW20" s="316">
        <f t="shared" si="3"/>
        <v>0</v>
      </c>
      <c r="AX20" s="316">
        <f t="shared" si="3"/>
        <v>0</v>
      </c>
      <c r="AY20" s="316">
        <f t="shared" si="3"/>
        <v>0</v>
      </c>
      <c r="AZ20" s="316">
        <f t="shared" si="3"/>
        <v>0</v>
      </c>
      <c r="BA20" s="22"/>
      <c r="BB20" s="22"/>
      <c r="BC20" s="22"/>
      <c r="BD20" s="22"/>
      <c r="BE20" s="22"/>
      <c r="BF20" s="22"/>
      <c r="BG20" s="22"/>
      <c r="BH20" s="22"/>
      <c r="BI20" s="22"/>
      <c r="BJ20" s="22"/>
      <c r="BK20" s="22"/>
      <c r="BL20" s="22"/>
      <c r="BM20" s="22"/>
      <c r="BN20" s="22"/>
      <c r="BO20" s="22"/>
      <c r="BP20" s="22"/>
    </row>
    <row r="21" spans="1:68" ht="15.75" customHeight="1">
      <c r="B21" s="299" t="str">
        <f>Input!A12</f>
        <v>Mean Reserves (mmbbl)</v>
      </c>
      <c r="C21" s="312">
        <f>Input!B12</f>
        <v>290</v>
      </c>
      <c r="D21" s="22"/>
      <c r="E21" s="305" t="s">
        <v>137</v>
      </c>
      <c r="F21" s="323"/>
      <c r="G21" s="307">
        <f>G8+G20</f>
        <v>11399.859199657803</v>
      </c>
      <c r="H21" s="307">
        <f ca="1">H8+H20</f>
        <v>4078.9826495114467</v>
      </c>
      <c r="I21" s="302"/>
      <c r="J21" s="307">
        <f t="shared" ref="J21:AZ21" si="4">J8+J20</f>
        <v>11399.859199657803</v>
      </c>
      <c r="K21" s="307">
        <f ca="1">K8+K20</f>
        <v>4078.9826495114467</v>
      </c>
      <c r="L21" s="315">
        <f t="shared" si="4"/>
        <v>-217.75278028130359</v>
      </c>
      <c r="M21" s="316">
        <f t="shared" si="4"/>
        <v>-617.31334395596411</v>
      </c>
      <c r="N21" s="316">
        <f t="shared" si="4"/>
        <v>-3165.8326904824785</v>
      </c>
      <c r="O21" s="316">
        <f t="shared" si="4"/>
        <v>-14.34461943459246</v>
      </c>
      <c r="P21" s="316">
        <f t="shared" si="4"/>
        <v>2067.2692247478394</v>
      </c>
      <c r="Q21" s="316">
        <f t="shared" si="4"/>
        <v>2125.2083930838926</v>
      </c>
      <c r="R21" s="316">
        <f t="shared" si="4"/>
        <v>1822.7791467923455</v>
      </c>
      <c r="S21" s="316">
        <f t="shared" si="4"/>
        <v>1450.4903408149798</v>
      </c>
      <c r="T21" s="316">
        <f t="shared" si="4"/>
        <v>1261.8615166358461</v>
      </c>
      <c r="U21" s="316">
        <f t="shared" si="4"/>
        <v>1078.377922101319</v>
      </c>
      <c r="V21" s="316">
        <f t="shared" si="4"/>
        <v>934.01930845593938</v>
      </c>
      <c r="W21" s="316">
        <f t="shared" si="4"/>
        <v>794.3749808962682</v>
      </c>
      <c r="X21" s="316">
        <f t="shared" si="4"/>
        <v>684.14011335447049</v>
      </c>
      <c r="Y21" s="316">
        <f t="shared" si="4"/>
        <v>580.95167807693713</v>
      </c>
      <c r="Z21" s="316">
        <f t="shared" si="4"/>
        <v>499.07293115901325</v>
      </c>
      <c r="AA21" s="316">
        <f t="shared" si="4"/>
        <v>419.26750392189956</v>
      </c>
      <c r="AB21" s="316">
        <f t="shared" si="4"/>
        <v>355.92295695826976</v>
      </c>
      <c r="AC21" s="316">
        <f t="shared" si="4"/>
        <v>296.34150889407579</v>
      </c>
      <c r="AD21" s="316">
        <f t="shared" si="4"/>
        <v>248.66259737943915</v>
      </c>
      <c r="AE21" s="316">
        <f t="shared" si="4"/>
        <v>202.04241286254739</v>
      </c>
      <c r="AF21" s="316">
        <f t="shared" si="4"/>
        <v>164.69834527873485</v>
      </c>
      <c r="AG21" s="316">
        <f t="shared" si="4"/>
        <v>129.47985497007352</v>
      </c>
      <c r="AH21" s="316">
        <f t="shared" si="4"/>
        <v>100.99202208624644</v>
      </c>
      <c r="AI21" s="316">
        <f t="shared" si="4"/>
        <v>73.096431593941588</v>
      </c>
      <c r="AJ21" s="316">
        <f t="shared" si="4"/>
        <v>50.463409515644742</v>
      </c>
      <c r="AK21" s="316">
        <f t="shared" si="4"/>
        <v>23.562065766087414</v>
      </c>
      <c r="AL21" s="316">
        <f t="shared" si="4"/>
        <v>-2.3511505015615057</v>
      </c>
      <c r="AM21" s="316">
        <f t="shared" si="4"/>
        <v>-175.32595471749386</v>
      </c>
      <c r="AN21" s="316">
        <f t="shared" si="4"/>
        <v>11.952293404080963</v>
      </c>
      <c r="AO21" s="316">
        <f t="shared" si="4"/>
        <v>0</v>
      </c>
      <c r="AP21" s="316">
        <f t="shared" si="4"/>
        <v>0</v>
      </c>
      <c r="AQ21" s="316">
        <f t="shared" si="4"/>
        <v>0</v>
      </c>
      <c r="AR21" s="316">
        <f t="shared" si="4"/>
        <v>0</v>
      </c>
      <c r="AS21" s="316">
        <f t="shared" si="4"/>
        <v>0</v>
      </c>
      <c r="AT21" s="316">
        <f t="shared" si="4"/>
        <v>0</v>
      </c>
      <c r="AU21" s="316">
        <f t="shared" si="4"/>
        <v>0</v>
      </c>
      <c r="AV21" s="316">
        <f t="shared" si="4"/>
        <v>0</v>
      </c>
      <c r="AW21" s="316">
        <f t="shared" si="4"/>
        <v>0</v>
      </c>
      <c r="AX21" s="316">
        <f t="shared" si="4"/>
        <v>0</v>
      </c>
      <c r="AY21" s="316">
        <f t="shared" si="4"/>
        <v>0</v>
      </c>
      <c r="AZ21" s="316">
        <f t="shared" si="4"/>
        <v>0</v>
      </c>
      <c r="BA21" s="22"/>
      <c r="BB21" s="22"/>
      <c r="BC21" s="22"/>
      <c r="BD21" s="22"/>
      <c r="BE21" s="22"/>
      <c r="BF21" s="22"/>
      <c r="BG21" s="22"/>
      <c r="BH21" s="22"/>
      <c r="BI21" s="22"/>
      <c r="BJ21" s="22"/>
      <c r="BK21" s="22"/>
      <c r="BL21" s="22"/>
      <c r="BM21" s="22"/>
      <c r="BN21" s="22"/>
      <c r="BO21" s="22"/>
      <c r="BP21" s="22"/>
    </row>
    <row r="22" spans="1:68" ht="15.5">
      <c r="B22" s="299" t="s">
        <v>90</v>
      </c>
      <c r="C22" s="312">
        <f>Input!B24</f>
        <v>4500</v>
      </c>
      <c r="D22" s="22"/>
      <c r="E22" s="484" t="s">
        <v>1054</v>
      </c>
      <c r="F22" s="485"/>
      <c r="G22" s="485"/>
      <c r="H22" s="485"/>
      <c r="I22" s="485"/>
      <c r="J22" s="485"/>
      <c r="K22" s="486"/>
      <c r="L22" s="487">
        <f>L21+K22</f>
        <v>-217.75278028130359</v>
      </c>
      <c r="M22" s="488">
        <f t="shared" ref="M22:AZ22" si="5">M21+L22</f>
        <v>-835.06612423726767</v>
      </c>
      <c r="N22" s="488">
        <f t="shared" si="5"/>
        <v>-4000.898814719746</v>
      </c>
      <c r="O22" s="488">
        <f t="shared" si="5"/>
        <v>-4015.2434341543385</v>
      </c>
      <c r="P22" s="488">
        <f t="shared" si="5"/>
        <v>-1947.9742094064991</v>
      </c>
      <c r="Q22" s="488">
        <f t="shared" si="5"/>
        <v>177.2341836773935</v>
      </c>
      <c r="R22" s="488">
        <f t="shared" si="5"/>
        <v>2000.013330469739</v>
      </c>
      <c r="S22" s="488">
        <f t="shared" si="5"/>
        <v>3450.5036712847186</v>
      </c>
      <c r="T22" s="488">
        <f t="shared" si="5"/>
        <v>4712.3651879205645</v>
      </c>
      <c r="U22" s="488">
        <f t="shared" si="5"/>
        <v>5790.7431100218837</v>
      </c>
      <c r="V22" s="488">
        <f t="shared" si="5"/>
        <v>6724.7624184778233</v>
      </c>
      <c r="W22" s="488">
        <f t="shared" si="5"/>
        <v>7519.1373993740917</v>
      </c>
      <c r="X22" s="488">
        <f t="shared" si="5"/>
        <v>8203.2775127285622</v>
      </c>
      <c r="Y22" s="488">
        <f t="shared" si="5"/>
        <v>8784.2291908054995</v>
      </c>
      <c r="Z22" s="488">
        <f t="shared" si="5"/>
        <v>9283.3021219645125</v>
      </c>
      <c r="AA22" s="488">
        <f t="shared" si="5"/>
        <v>9702.5696258864118</v>
      </c>
      <c r="AB22" s="488">
        <f t="shared" si="5"/>
        <v>10058.492582844681</v>
      </c>
      <c r="AC22" s="488">
        <f t="shared" si="5"/>
        <v>10354.834091738758</v>
      </c>
      <c r="AD22" s="488">
        <f t="shared" si="5"/>
        <v>10603.496689118198</v>
      </c>
      <c r="AE22" s="488">
        <f t="shared" si="5"/>
        <v>10805.539101980745</v>
      </c>
      <c r="AF22" s="488">
        <f t="shared" si="5"/>
        <v>10970.23744725948</v>
      </c>
      <c r="AG22" s="488">
        <f t="shared" si="5"/>
        <v>11099.717302229554</v>
      </c>
      <c r="AH22" s="488">
        <f t="shared" si="5"/>
        <v>11200.7093243158</v>
      </c>
      <c r="AI22" s="488">
        <f t="shared" si="5"/>
        <v>11273.805755909741</v>
      </c>
      <c r="AJ22" s="488">
        <f t="shared" si="5"/>
        <v>11324.269165425387</v>
      </c>
      <c r="AK22" s="488">
        <f t="shared" si="5"/>
        <v>11347.831231191474</v>
      </c>
      <c r="AL22" s="488">
        <f t="shared" si="5"/>
        <v>11345.480080689913</v>
      </c>
      <c r="AM22" s="488">
        <f t="shared" si="5"/>
        <v>11170.15412597242</v>
      </c>
      <c r="AN22" s="488">
        <f t="shared" si="5"/>
        <v>11182.106419376501</v>
      </c>
      <c r="AO22" s="488">
        <f t="shared" si="5"/>
        <v>11182.106419376501</v>
      </c>
      <c r="AP22" s="488">
        <f t="shared" si="5"/>
        <v>11182.106419376501</v>
      </c>
      <c r="AQ22" s="488">
        <f t="shared" si="5"/>
        <v>11182.106419376501</v>
      </c>
      <c r="AR22" s="488">
        <f t="shared" si="5"/>
        <v>11182.106419376501</v>
      </c>
      <c r="AS22" s="488">
        <f t="shared" si="5"/>
        <v>11182.106419376501</v>
      </c>
      <c r="AT22" s="488">
        <f t="shared" si="5"/>
        <v>11182.106419376501</v>
      </c>
      <c r="AU22" s="488">
        <f t="shared" si="5"/>
        <v>11182.106419376501</v>
      </c>
      <c r="AV22" s="488">
        <f t="shared" si="5"/>
        <v>11182.106419376501</v>
      </c>
      <c r="AW22" s="488">
        <f t="shared" si="5"/>
        <v>11182.106419376501</v>
      </c>
      <c r="AX22" s="488">
        <f t="shared" si="5"/>
        <v>11182.106419376501</v>
      </c>
      <c r="AY22" s="488">
        <f t="shared" si="5"/>
        <v>11182.106419376501</v>
      </c>
      <c r="AZ22" s="489">
        <f t="shared" si="5"/>
        <v>11182.106419376501</v>
      </c>
      <c r="BA22" s="22"/>
      <c r="BB22" s="22"/>
      <c r="BC22" s="22"/>
      <c r="BD22" s="22"/>
      <c r="BE22" s="22"/>
      <c r="BF22" s="22"/>
      <c r="BG22" s="22"/>
      <c r="BH22" s="22"/>
      <c r="BI22" s="22"/>
      <c r="BJ22" s="22"/>
      <c r="BK22" s="22"/>
      <c r="BL22" s="22"/>
      <c r="BM22" s="22"/>
      <c r="BN22" s="22"/>
      <c r="BO22" s="22"/>
      <c r="BP22" s="22"/>
    </row>
    <row r="23" spans="1:68" ht="15.5">
      <c r="B23" s="299" t="s">
        <v>91</v>
      </c>
      <c r="C23" s="312" t="str">
        <f>Input!B25</f>
        <v>High</v>
      </c>
      <c r="D23" s="22"/>
      <c r="E23" s="324"/>
      <c r="F23" s="324"/>
      <c r="G23" s="324"/>
      <c r="H23" s="324"/>
      <c r="I23" s="324"/>
      <c r="J23" s="324"/>
      <c r="K23" s="324"/>
      <c r="L23" s="324"/>
      <c r="M23" s="324"/>
      <c r="N23" s="324"/>
      <c r="O23" s="324"/>
      <c r="P23" s="324"/>
      <c r="Q23" s="324"/>
      <c r="R23" s="324"/>
      <c r="S23" s="324"/>
      <c r="T23" s="324"/>
      <c r="U23" s="324"/>
      <c r="V23" s="324"/>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4"/>
      <c r="AX23" s="324"/>
      <c r="AY23" s="324"/>
      <c r="AZ23" s="324"/>
      <c r="BA23" s="22"/>
      <c r="BB23" s="22"/>
      <c r="BC23" s="22"/>
      <c r="BD23" s="22"/>
      <c r="BE23" s="22"/>
      <c r="BF23" s="22"/>
      <c r="BG23" s="22"/>
      <c r="BH23" s="22"/>
      <c r="BI23" s="22"/>
      <c r="BJ23" s="22"/>
      <c r="BK23" s="22"/>
      <c r="BL23" s="22"/>
      <c r="BM23" s="22"/>
      <c r="BN23" s="22"/>
      <c r="BO23" s="22"/>
      <c r="BP23" s="22"/>
    </row>
    <row r="24" spans="1:68" ht="15.5">
      <c r="B24" s="299" t="s">
        <v>93</v>
      </c>
      <c r="C24" s="312" t="str">
        <f>Input!B26</f>
        <v>High</v>
      </c>
      <c r="D24" s="22"/>
      <c r="E24" s="324"/>
      <c r="F24" s="324"/>
      <c r="G24" s="324"/>
      <c r="H24" s="324"/>
      <c r="I24" s="324"/>
      <c r="J24" s="324"/>
      <c r="K24" s="324"/>
      <c r="L24" s="324"/>
      <c r="M24" s="324"/>
      <c r="N24" s="324"/>
      <c r="O24" s="324"/>
      <c r="P24" s="324"/>
      <c r="Q24" s="324"/>
      <c r="R24" s="324"/>
      <c r="S24" s="324"/>
      <c r="T24" s="325">
        <f>S24-R24</f>
        <v>0</v>
      </c>
      <c r="U24" s="324"/>
      <c r="V24" s="324"/>
      <c r="W24" s="324"/>
      <c r="X24" s="324"/>
      <c r="Y24" s="324"/>
      <c r="Z24" s="324"/>
      <c r="AA24" s="324"/>
      <c r="AB24" s="324"/>
      <c r="AC24" s="324"/>
      <c r="AD24" s="324"/>
      <c r="AE24" s="324"/>
      <c r="AF24" s="324"/>
      <c r="AG24" s="324"/>
      <c r="AH24" s="324"/>
      <c r="AI24" s="324"/>
      <c r="AJ24" s="324"/>
      <c r="AK24" s="324"/>
      <c r="AL24" s="324"/>
      <c r="AM24" s="324"/>
      <c r="AN24" s="324"/>
      <c r="AO24" s="324"/>
      <c r="AP24" s="324"/>
      <c r="AQ24" s="324"/>
      <c r="AR24" s="324"/>
      <c r="AS24" s="324"/>
      <c r="AT24" s="324"/>
      <c r="AU24" s="324"/>
      <c r="AV24" s="324"/>
      <c r="AW24" s="324"/>
      <c r="AX24" s="324"/>
      <c r="AY24" s="324"/>
      <c r="AZ24" s="324"/>
      <c r="BA24" s="22"/>
      <c r="BB24" s="22"/>
      <c r="BC24" s="22"/>
      <c r="BD24" s="22"/>
      <c r="BE24" s="22"/>
      <c r="BF24" s="22"/>
      <c r="BG24" s="22"/>
      <c r="BH24" s="22"/>
      <c r="BI24" s="22"/>
      <c r="BJ24" s="22"/>
      <c r="BK24" s="22"/>
      <c r="BL24" s="22"/>
      <c r="BM24" s="22"/>
      <c r="BN24" s="22"/>
      <c r="BO24" s="22"/>
      <c r="BP24" s="22"/>
    </row>
    <row r="25" spans="1:68" ht="15.5">
      <c r="B25" s="299" t="s">
        <v>94</v>
      </c>
      <c r="C25" s="312" t="str">
        <f>Input!B27</f>
        <v>Normally Pressured</v>
      </c>
      <c r="D25" s="22"/>
      <c r="E25" s="324"/>
      <c r="F25" s="324"/>
      <c r="G25" s="324"/>
      <c r="H25" s="324"/>
      <c r="I25" s="324"/>
      <c r="J25" s="324"/>
      <c r="K25" s="324"/>
      <c r="L25" s="324"/>
      <c r="M25" s="324"/>
      <c r="N25" s="324"/>
      <c r="O25" s="324"/>
      <c r="P25" s="324"/>
      <c r="Q25" s="324"/>
      <c r="R25" s="324"/>
      <c r="S25" s="324"/>
      <c r="T25" s="325">
        <f t="shared" ref="T25:T41" si="6">S25-R25</f>
        <v>0</v>
      </c>
      <c r="U25" s="324"/>
      <c r="V25" s="324"/>
      <c r="W25" s="324"/>
      <c r="X25" s="324"/>
      <c r="Y25" s="324"/>
      <c r="Z25" s="324"/>
      <c r="AA25" s="324"/>
      <c r="AB25" s="324"/>
      <c r="AC25" s="324"/>
      <c r="AD25" s="324"/>
      <c r="AE25" s="324"/>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22"/>
      <c r="BB25" s="22"/>
      <c r="BC25" s="22"/>
      <c r="BD25" s="22"/>
      <c r="BE25" s="22"/>
      <c r="BF25" s="22"/>
      <c r="BG25" s="22"/>
      <c r="BH25" s="22"/>
      <c r="BI25" s="22"/>
      <c r="BJ25" s="22"/>
      <c r="BK25" s="22"/>
      <c r="BL25" s="22"/>
      <c r="BM25" s="22"/>
      <c r="BN25" s="22"/>
      <c r="BO25" s="22"/>
      <c r="BP25" s="22"/>
    </row>
    <row r="26" spans="1:68" ht="15.5">
      <c r="B26" s="299" t="s">
        <v>96</v>
      </c>
      <c r="C26" s="312">
        <f>Input!B28</f>
        <v>1040</v>
      </c>
      <c r="D26" s="22"/>
      <c r="E26" s="324"/>
      <c r="F26" s="324"/>
      <c r="G26" s="324"/>
      <c r="H26" s="324"/>
      <c r="I26" s="324"/>
      <c r="J26" s="324"/>
      <c r="K26" s="324"/>
      <c r="L26" s="324"/>
      <c r="M26" s="324"/>
      <c r="N26" s="324"/>
      <c r="O26" s="324"/>
      <c r="P26" s="324"/>
      <c r="Q26" s="324"/>
      <c r="R26" s="324"/>
      <c r="S26" s="324"/>
      <c r="T26" s="325">
        <f t="shared" si="6"/>
        <v>0</v>
      </c>
      <c r="U26" s="324"/>
      <c r="V26" s="324"/>
      <c r="W26" s="324"/>
      <c r="X26" s="324"/>
      <c r="Y26" s="324"/>
      <c r="Z26" s="324"/>
      <c r="AA26" s="324"/>
      <c r="AB26" s="324"/>
      <c r="AC26" s="324"/>
      <c r="AD26" s="324"/>
      <c r="AE26" s="324"/>
      <c r="AF26" s="324"/>
      <c r="AG26" s="324"/>
      <c r="AH26" s="324"/>
      <c r="AI26" s="324"/>
      <c r="AJ26" s="324"/>
      <c r="AK26" s="324"/>
      <c r="AL26" s="324"/>
      <c r="AM26" s="324"/>
      <c r="AN26" s="324"/>
      <c r="AO26" s="324"/>
      <c r="AP26" s="324"/>
      <c r="AQ26" s="324"/>
      <c r="AR26" s="324"/>
      <c r="AS26" s="324"/>
      <c r="AT26" s="324"/>
      <c r="AU26" s="324"/>
      <c r="AV26" s="324"/>
      <c r="AW26" s="324"/>
      <c r="AX26" s="324"/>
      <c r="AY26" s="324"/>
      <c r="AZ26" s="324"/>
      <c r="BA26" s="22"/>
      <c r="BB26" s="22"/>
      <c r="BC26" s="22"/>
      <c r="BD26" s="22"/>
      <c r="BE26" s="22"/>
      <c r="BF26" s="22"/>
      <c r="BG26" s="22"/>
      <c r="BH26" s="22"/>
      <c r="BI26" s="22"/>
      <c r="BJ26" s="22"/>
      <c r="BK26" s="22"/>
      <c r="BL26" s="22"/>
      <c r="BM26" s="22"/>
      <c r="BN26" s="22"/>
      <c r="BO26" s="22"/>
      <c r="BP26" s="22"/>
    </row>
    <row r="27" spans="1:68" ht="15.5">
      <c r="B27" s="299" t="s">
        <v>97</v>
      </c>
      <c r="C27" s="312">
        <f>Input!B29</f>
        <v>3333.3</v>
      </c>
      <c r="D27" s="22"/>
      <c r="E27" s="324"/>
      <c r="F27" s="324"/>
      <c r="G27" s="324"/>
      <c r="H27" s="324"/>
      <c r="I27" s="324"/>
      <c r="J27" s="324"/>
      <c r="K27" s="324"/>
      <c r="L27" s="324"/>
      <c r="M27" s="324"/>
      <c r="N27" s="324"/>
      <c r="O27" s="324"/>
      <c r="P27" s="324"/>
      <c r="Q27" s="324"/>
      <c r="R27" s="324"/>
      <c r="S27" s="324"/>
      <c r="T27" s="325">
        <f t="shared" si="6"/>
        <v>0</v>
      </c>
      <c r="U27" s="324"/>
      <c r="V27" s="324"/>
      <c r="W27" s="324"/>
      <c r="X27" s="324"/>
      <c r="Y27" s="324"/>
      <c r="Z27" s="324"/>
      <c r="AA27" s="324"/>
      <c r="AB27" s="324"/>
      <c r="AC27" s="324"/>
      <c r="AD27" s="324"/>
      <c r="AE27" s="324"/>
      <c r="AF27" s="324"/>
      <c r="AG27" s="324"/>
      <c r="AH27" s="324"/>
      <c r="AI27" s="324"/>
      <c r="AJ27" s="324"/>
      <c r="AK27" s="324"/>
      <c r="AL27" s="324"/>
      <c r="AM27" s="324"/>
      <c r="AN27" s="324"/>
      <c r="AO27" s="324"/>
      <c r="AP27" s="324"/>
      <c r="AQ27" s="324"/>
      <c r="AR27" s="324"/>
      <c r="AS27" s="324"/>
      <c r="AT27" s="324"/>
      <c r="AU27" s="324"/>
      <c r="AV27" s="324"/>
      <c r="AW27" s="324"/>
      <c r="AX27" s="324"/>
      <c r="AY27" s="324"/>
      <c r="AZ27" s="324"/>
      <c r="BA27" s="22"/>
      <c r="BB27" s="22"/>
      <c r="BC27" s="22"/>
      <c r="BD27" s="22"/>
      <c r="BE27" s="22"/>
      <c r="BF27" s="22"/>
      <c r="BG27" s="22"/>
      <c r="BH27" s="22"/>
      <c r="BI27" s="22"/>
      <c r="BJ27" s="22"/>
      <c r="BK27" s="22"/>
      <c r="BL27" s="22"/>
      <c r="BM27" s="22"/>
      <c r="BN27" s="22"/>
      <c r="BO27" s="22"/>
      <c r="BP27" s="22"/>
    </row>
    <row r="28" spans="1:68" ht="15.5">
      <c r="B28" s="299" t="s">
        <v>98</v>
      </c>
      <c r="C28" s="312" t="str">
        <f>Input!B30</f>
        <v>Sweet</v>
      </c>
      <c r="D28" s="22"/>
      <c r="E28" s="324"/>
      <c r="F28" s="324"/>
      <c r="G28" s="324"/>
      <c r="H28" s="324"/>
      <c r="I28" s="324"/>
      <c r="J28" s="324"/>
      <c r="K28" s="324"/>
      <c r="L28" s="324"/>
      <c r="M28" s="324"/>
      <c r="N28" s="324"/>
      <c r="O28" s="324"/>
      <c r="P28" s="324"/>
      <c r="Q28" s="324"/>
      <c r="R28" s="324"/>
      <c r="S28" s="324"/>
      <c r="T28" s="325">
        <f t="shared" si="6"/>
        <v>0</v>
      </c>
      <c r="U28" s="324"/>
      <c r="V28" s="324"/>
      <c r="W28" s="324"/>
      <c r="X28" s="324"/>
      <c r="Y28" s="324"/>
      <c r="Z28" s="324"/>
      <c r="AA28" s="324"/>
      <c r="AB28" s="324"/>
      <c r="AC28" s="324"/>
      <c r="AD28" s="324"/>
      <c r="AE28" s="324"/>
      <c r="AF28" s="324"/>
      <c r="AG28" s="324"/>
      <c r="AH28" s="324"/>
      <c r="AI28" s="324"/>
      <c r="AJ28" s="324"/>
      <c r="AK28" s="324"/>
      <c r="AL28" s="324"/>
      <c r="AM28" s="324"/>
      <c r="AN28" s="324"/>
      <c r="AO28" s="324"/>
      <c r="AP28" s="324"/>
      <c r="AQ28" s="324"/>
      <c r="AR28" s="324"/>
      <c r="AS28" s="324"/>
      <c r="AT28" s="324"/>
      <c r="AU28" s="324"/>
      <c r="AV28" s="324"/>
      <c r="AW28" s="324"/>
      <c r="AX28" s="324"/>
      <c r="AY28" s="324"/>
      <c r="AZ28" s="324"/>
      <c r="BA28" s="22"/>
      <c r="BB28" s="22"/>
      <c r="BC28" s="22"/>
      <c r="BD28" s="22"/>
      <c r="BE28" s="22"/>
      <c r="BF28" s="22"/>
      <c r="BG28" s="22"/>
      <c r="BH28" s="22"/>
      <c r="BI28" s="22"/>
      <c r="BJ28" s="22"/>
      <c r="BK28" s="22"/>
      <c r="BL28" s="22"/>
      <c r="BM28" s="22"/>
      <c r="BN28" s="22"/>
      <c r="BO28" s="22"/>
      <c r="BP28" s="22"/>
    </row>
    <row r="29" spans="1:68" ht="15.5">
      <c r="B29" s="299" t="s">
        <v>100</v>
      </c>
      <c r="C29" s="312">
        <f>Input!B13</f>
        <v>3000</v>
      </c>
      <c r="D29" s="22"/>
      <c r="E29" s="22"/>
      <c r="F29" s="22"/>
      <c r="G29" s="22"/>
      <c r="H29" s="22"/>
      <c r="I29" s="22"/>
      <c r="J29" s="22"/>
      <c r="K29" s="22"/>
      <c r="L29" s="22"/>
      <c r="M29" s="22"/>
      <c r="N29" s="324"/>
      <c r="O29" s="324"/>
      <c r="P29" s="324"/>
      <c r="Q29" s="324"/>
      <c r="R29" s="324"/>
      <c r="S29" s="22"/>
      <c r="T29" s="325">
        <f t="shared" si="6"/>
        <v>0</v>
      </c>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row>
    <row r="30" spans="1:68" ht="18.5">
      <c r="B30" s="557" t="s">
        <v>102</v>
      </c>
      <c r="C30" s="558"/>
      <c r="D30" s="22"/>
      <c r="E30" s="22"/>
      <c r="F30" s="22"/>
      <c r="G30" s="22"/>
      <c r="H30" s="22"/>
      <c r="I30" s="22"/>
      <c r="J30" s="22"/>
      <c r="K30" s="22"/>
      <c r="L30" s="22"/>
      <c r="M30" s="22"/>
      <c r="N30" s="324"/>
      <c r="O30" s="324"/>
      <c r="P30" s="324"/>
      <c r="Q30" s="324"/>
      <c r="R30" s="324"/>
      <c r="S30" s="22"/>
      <c r="T30" s="325">
        <f t="shared" si="6"/>
        <v>0</v>
      </c>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row>
    <row r="31" spans="1:68" ht="15.5">
      <c r="B31" s="299" t="s">
        <v>103</v>
      </c>
      <c r="C31" s="312" t="str">
        <f>Input!B33</f>
        <v>No</v>
      </c>
      <c r="D31" s="22"/>
      <c r="E31" s="22"/>
      <c r="F31" s="22"/>
      <c r="G31" s="22"/>
      <c r="H31" s="22"/>
      <c r="I31" s="22"/>
      <c r="J31" s="22"/>
      <c r="K31" s="22"/>
      <c r="L31" s="22"/>
      <c r="M31" s="22"/>
      <c r="N31" s="22"/>
      <c r="O31" s="22"/>
      <c r="P31" s="22"/>
      <c r="Q31" s="22"/>
      <c r="R31" s="22"/>
      <c r="S31" s="22"/>
      <c r="T31" s="325">
        <f t="shared" si="6"/>
        <v>0</v>
      </c>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row>
    <row r="32" spans="1:68" ht="15.5">
      <c r="B32" s="299" t="s">
        <v>106</v>
      </c>
      <c r="C32" s="312" t="str">
        <f>Input!B34</f>
        <v>No</v>
      </c>
      <c r="D32" s="22"/>
      <c r="E32" s="22"/>
      <c r="F32" s="22"/>
      <c r="G32" s="22"/>
      <c r="H32" s="22"/>
      <c r="I32" s="22"/>
      <c r="J32" s="22"/>
      <c r="K32" s="22"/>
      <c r="L32" s="22"/>
      <c r="M32" s="22"/>
      <c r="N32" s="22"/>
      <c r="O32" s="22"/>
      <c r="P32" s="22"/>
      <c r="Q32" s="22"/>
      <c r="R32" s="22"/>
      <c r="S32" s="22"/>
      <c r="T32" s="325">
        <f t="shared" si="6"/>
        <v>0</v>
      </c>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row>
    <row r="33" spans="2:68" ht="15.5">
      <c r="B33" s="299" t="s">
        <v>109</v>
      </c>
      <c r="C33" s="312" t="str">
        <f>Input!B35</f>
        <v>Yes</v>
      </c>
      <c r="D33" s="22"/>
      <c r="E33" s="22"/>
      <c r="F33" s="22"/>
      <c r="G33" s="22"/>
      <c r="H33" s="22"/>
      <c r="I33" s="22"/>
      <c r="J33" s="22"/>
      <c r="K33" s="22"/>
      <c r="L33" s="22"/>
      <c r="M33" s="22"/>
      <c r="N33" s="22"/>
      <c r="O33" s="22"/>
      <c r="P33" s="22"/>
      <c r="Q33" s="22"/>
      <c r="R33" s="22"/>
      <c r="S33" s="22"/>
      <c r="T33" s="325">
        <f t="shared" si="6"/>
        <v>0</v>
      </c>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row>
    <row r="34" spans="2:68" ht="15.5">
      <c r="B34" s="22"/>
      <c r="C34" s="22"/>
      <c r="D34" s="22"/>
      <c r="E34" s="22"/>
      <c r="F34" s="22"/>
      <c r="G34" s="22"/>
      <c r="H34" s="22"/>
      <c r="I34" s="22"/>
      <c r="J34" s="22"/>
      <c r="K34" s="22"/>
      <c r="L34" s="22"/>
      <c r="M34" s="22"/>
      <c r="N34" s="22"/>
      <c r="O34" s="22"/>
      <c r="P34" s="22"/>
      <c r="Q34" s="22"/>
      <c r="R34" s="22"/>
      <c r="S34" s="22"/>
      <c r="T34" s="325">
        <f t="shared" si="6"/>
        <v>0</v>
      </c>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row>
    <row r="35" spans="2:68" ht="15.5">
      <c r="B35" s="22"/>
      <c r="C35" s="22"/>
      <c r="D35" s="22"/>
      <c r="E35" s="22"/>
      <c r="F35" s="22"/>
      <c r="G35" s="22"/>
      <c r="H35" s="22"/>
      <c r="I35" s="22"/>
      <c r="J35" s="22"/>
      <c r="K35" s="22"/>
      <c r="L35" s="22"/>
      <c r="M35" s="22"/>
      <c r="N35" s="22"/>
      <c r="O35" s="22"/>
      <c r="P35" s="22"/>
      <c r="Q35" s="22"/>
      <c r="R35" s="22"/>
      <c r="S35" s="22"/>
      <c r="T35" s="325">
        <f t="shared" si="6"/>
        <v>0</v>
      </c>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row>
    <row r="36" spans="2:68" ht="15.5">
      <c r="B36" s="22"/>
      <c r="C36" s="22"/>
      <c r="D36" s="22"/>
      <c r="E36" s="22"/>
      <c r="F36" s="22"/>
      <c r="G36" s="22"/>
      <c r="H36" s="22"/>
      <c r="I36" s="22"/>
      <c r="J36" s="22"/>
      <c r="K36" s="22"/>
      <c r="L36" s="22"/>
      <c r="M36" s="22"/>
      <c r="N36" s="22"/>
      <c r="O36" s="22"/>
      <c r="P36" s="22"/>
      <c r="Q36" s="22"/>
      <c r="R36" s="22"/>
      <c r="S36" s="22"/>
      <c r="T36" s="325">
        <f t="shared" si="6"/>
        <v>0</v>
      </c>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row>
    <row r="37" spans="2:68" ht="15.5">
      <c r="B37" s="22"/>
      <c r="C37" s="22"/>
      <c r="D37" s="22"/>
      <c r="E37" s="22"/>
      <c r="F37" s="22"/>
      <c r="G37" s="22"/>
      <c r="H37" s="22"/>
      <c r="I37" s="22"/>
      <c r="J37" s="22"/>
      <c r="K37" s="22"/>
      <c r="L37" s="22"/>
      <c r="M37" s="22"/>
      <c r="N37" s="22"/>
      <c r="O37" s="22"/>
      <c r="P37" s="22"/>
      <c r="Q37" s="22"/>
      <c r="R37" s="22"/>
      <c r="S37" s="22"/>
      <c r="T37" s="325">
        <f t="shared" si="6"/>
        <v>0</v>
      </c>
      <c r="U37" s="22"/>
      <c r="V37" s="22"/>
      <c r="W37" s="22"/>
      <c r="X37" s="22"/>
      <c r="Y37" s="22"/>
      <c r="Z37" s="22"/>
      <c r="AA37" s="22"/>
      <c r="AB37" s="22"/>
      <c r="AC37" s="22"/>
      <c r="AD37" s="22"/>
      <c r="AE37" s="22"/>
      <c r="AF37" s="22"/>
      <c r="AG37" s="22"/>
      <c r="AH37" s="22"/>
      <c r="AI37" s="22"/>
      <c r="AJ37" s="22"/>
      <c r="AK37" s="22"/>
      <c r="AL37" s="22"/>
      <c r="AM37" s="22"/>
      <c r="AN37" s="124"/>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row>
    <row r="38" spans="2:68" ht="15.5">
      <c r="B38" s="22"/>
      <c r="C38" s="22"/>
      <c r="D38" s="22"/>
      <c r="E38" s="22"/>
      <c r="F38" s="22"/>
      <c r="G38" s="22"/>
      <c r="H38" s="22"/>
      <c r="I38" s="22"/>
      <c r="J38" s="22"/>
      <c r="K38" s="22"/>
      <c r="L38" s="22"/>
      <c r="M38" s="22"/>
      <c r="N38" s="22"/>
      <c r="O38" s="22"/>
      <c r="P38" s="22"/>
      <c r="Q38" s="22"/>
      <c r="R38" s="22"/>
      <c r="S38" s="22"/>
      <c r="T38" s="325">
        <f t="shared" si="6"/>
        <v>0</v>
      </c>
      <c r="U38" s="22"/>
      <c r="V38" s="22"/>
      <c r="W38" s="22"/>
      <c r="X38" s="22"/>
      <c r="Y38" s="22"/>
      <c r="Z38" s="22"/>
      <c r="AA38" s="22"/>
      <c r="AB38" s="22"/>
      <c r="AC38" s="22"/>
      <c r="AD38" s="22"/>
      <c r="AE38" s="22"/>
      <c r="AF38" s="22"/>
      <c r="AG38" s="22"/>
      <c r="AH38" s="22"/>
      <c r="AI38" s="22"/>
      <c r="AJ38" s="22"/>
      <c r="AK38" s="22"/>
      <c r="AL38" s="22"/>
      <c r="AM38" s="22"/>
      <c r="AN38" s="124"/>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row>
    <row r="39" spans="2:68" ht="15.5">
      <c r="B39" s="22"/>
      <c r="C39" s="22"/>
      <c r="D39" s="22"/>
      <c r="E39" s="22"/>
      <c r="F39" s="22"/>
      <c r="G39" s="22"/>
      <c r="H39" s="22"/>
      <c r="I39" s="22"/>
      <c r="J39" s="22"/>
      <c r="K39" s="22"/>
      <c r="L39" s="22"/>
      <c r="M39" s="22"/>
      <c r="N39" s="22"/>
      <c r="O39" s="22"/>
      <c r="P39" s="22"/>
      <c r="Q39" s="22"/>
      <c r="R39" s="22"/>
      <c r="S39" s="22"/>
      <c r="T39" s="325">
        <f t="shared" si="6"/>
        <v>0</v>
      </c>
      <c r="U39" s="22"/>
      <c r="V39" s="22"/>
      <c r="W39" s="22"/>
      <c r="X39" s="22"/>
      <c r="Y39" s="22"/>
      <c r="Z39" s="22"/>
      <c r="AA39" s="22"/>
      <c r="AB39" s="22"/>
      <c r="AC39" s="22"/>
      <c r="AD39" s="22"/>
      <c r="AE39" s="22"/>
      <c r="AF39" s="22"/>
      <c r="AG39" s="22"/>
      <c r="AH39" s="22"/>
      <c r="AI39" s="22"/>
      <c r="AJ39" s="22"/>
      <c r="AK39" s="22"/>
      <c r="AL39" s="22"/>
      <c r="AM39" s="22"/>
      <c r="AN39" s="124"/>
      <c r="AO39" s="22"/>
      <c r="AP39" s="22"/>
      <c r="AQ39" s="22"/>
      <c r="AR39" s="22"/>
      <c r="AS39" s="22"/>
      <c r="AT39" s="22"/>
      <c r="AU39" s="22"/>
      <c r="AV39" s="22"/>
      <c r="AW39" s="22"/>
      <c r="AX39" s="22"/>
      <c r="AY39" s="22"/>
      <c r="AZ39" s="22"/>
      <c r="BA39" s="22"/>
      <c r="BB39" s="22"/>
      <c r="BC39" s="22"/>
      <c r="BD39" s="22"/>
      <c r="BE39" s="22"/>
      <c r="BF39" s="22"/>
      <c r="BG39" s="22"/>
      <c r="BH39" s="22"/>
      <c r="BI39" s="22"/>
      <c r="BJ39" s="22"/>
      <c r="BK39" s="22"/>
      <c r="BL39" s="22"/>
      <c r="BM39" s="22"/>
      <c r="BN39" s="22"/>
      <c r="BO39" s="22"/>
      <c r="BP39" s="22"/>
    </row>
    <row r="40" spans="2:68" ht="15.5">
      <c r="B40" s="22"/>
      <c r="C40" s="22"/>
      <c r="D40" s="22"/>
      <c r="E40" s="78"/>
      <c r="F40" s="22"/>
      <c r="G40" s="22"/>
      <c r="H40" s="22"/>
      <c r="I40" s="22"/>
      <c r="J40" s="22"/>
      <c r="K40" s="22"/>
      <c r="L40" s="22"/>
      <c r="M40" s="22"/>
      <c r="N40" s="22"/>
      <c r="O40" s="22"/>
      <c r="P40" s="22"/>
      <c r="Q40" s="22"/>
      <c r="R40" s="22"/>
      <c r="S40" s="22"/>
      <c r="T40" s="325">
        <f t="shared" si="6"/>
        <v>0</v>
      </c>
      <c r="U40" s="22"/>
      <c r="V40" s="22"/>
      <c r="W40" s="22"/>
      <c r="X40" s="22"/>
      <c r="Y40" s="22"/>
      <c r="Z40" s="22"/>
      <c r="AA40" s="22"/>
      <c r="AB40" s="22"/>
      <c r="AC40" s="22"/>
      <c r="AD40" s="22"/>
      <c r="AE40" s="22"/>
      <c r="AF40" s="22"/>
      <c r="AG40" s="22"/>
      <c r="AH40" s="22"/>
      <c r="AI40" s="22"/>
      <c r="AJ40" s="22"/>
      <c r="AK40" s="22"/>
      <c r="AL40" s="22"/>
      <c r="AM40" s="22"/>
      <c r="AN40" s="124"/>
      <c r="AO40" s="22"/>
      <c r="AP40" s="22"/>
      <c r="AQ40" s="22"/>
      <c r="AR40" s="22"/>
      <c r="AS40" s="22"/>
      <c r="AT40" s="22"/>
      <c r="AU40" s="22"/>
      <c r="AV40" s="22"/>
      <c r="AW40" s="22"/>
      <c r="AX40" s="22"/>
      <c r="AY40" s="22"/>
      <c r="AZ40" s="22"/>
      <c r="BA40" s="22"/>
      <c r="BB40" s="22"/>
      <c r="BC40" s="22"/>
      <c r="BD40" s="22"/>
      <c r="BE40" s="22"/>
      <c r="BF40" s="22"/>
      <c r="BG40" s="22"/>
      <c r="BH40" s="22"/>
      <c r="BI40" s="22"/>
      <c r="BJ40" s="22"/>
      <c r="BK40" s="22"/>
      <c r="BL40" s="22"/>
      <c r="BM40" s="22"/>
      <c r="BN40" s="22"/>
      <c r="BO40" s="22"/>
      <c r="BP40" s="22"/>
    </row>
    <row r="41" spans="2:68" ht="15.5">
      <c r="B41" s="22"/>
      <c r="C41" s="22"/>
      <c r="D41" s="22"/>
      <c r="E41" s="22"/>
      <c r="F41" s="78"/>
      <c r="G41" s="78"/>
      <c r="H41" s="22"/>
      <c r="I41" s="22"/>
      <c r="J41" s="22"/>
      <c r="K41" s="22"/>
      <c r="L41" s="22"/>
      <c r="M41" s="22"/>
      <c r="N41" s="22"/>
      <c r="O41" s="22"/>
      <c r="P41" s="22"/>
      <c r="Q41" s="22"/>
      <c r="R41" s="22"/>
      <c r="S41" s="22"/>
      <c r="T41" s="325">
        <f t="shared" si="6"/>
        <v>0</v>
      </c>
      <c r="U41" s="22"/>
      <c r="V41" s="22"/>
      <c r="W41" s="22"/>
      <c r="X41" s="22"/>
      <c r="Y41" s="22"/>
      <c r="Z41" s="22"/>
      <c r="AA41" s="22"/>
      <c r="AB41" s="22"/>
      <c r="AC41" s="22"/>
      <c r="AD41" s="22"/>
      <c r="AE41" s="22"/>
      <c r="AF41" s="22"/>
      <c r="AG41" s="22"/>
      <c r="AH41" s="22"/>
      <c r="AI41" s="22"/>
      <c r="AJ41" s="22"/>
      <c r="AK41" s="22"/>
      <c r="AL41" s="22"/>
      <c r="AM41" s="22"/>
      <c r="AN41" s="124"/>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row>
    <row r="42" spans="2:68">
      <c r="B42" s="22"/>
      <c r="C42" s="22"/>
      <c r="D42" s="22"/>
      <c r="E42" s="22"/>
      <c r="F42" s="78"/>
      <c r="G42" s="78"/>
      <c r="H42" s="22"/>
      <c r="I42" s="22"/>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c r="BA42" s="22"/>
      <c r="BB42" s="22"/>
      <c r="BC42" s="22"/>
      <c r="BD42" s="22"/>
      <c r="BE42" s="22"/>
      <c r="BF42" s="22"/>
      <c r="BG42" s="22"/>
      <c r="BH42" s="22"/>
      <c r="BI42" s="22"/>
      <c r="BJ42" s="22"/>
      <c r="BK42" s="22"/>
      <c r="BL42" s="22"/>
      <c r="BM42" s="22"/>
      <c r="BN42" s="22"/>
      <c r="BO42" s="22"/>
      <c r="BP42" s="22"/>
    </row>
    <row r="43" spans="2:68">
      <c r="B43" s="22"/>
      <c r="C43" s="22"/>
      <c r="D43" s="22"/>
      <c r="E43" s="22"/>
      <c r="F43" s="78"/>
      <c r="G43" s="78"/>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c r="BL43" s="22"/>
      <c r="BM43" s="22"/>
      <c r="BN43" s="22"/>
      <c r="BO43" s="22"/>
      <c r="BP43" s="22"/>
    </row>
    <row r="44" spans="2:68">
      <c r="B44" s="22"/>
      <c r="C44" s="22"/>
      <c r="D44" s="22"/>
      <c r="E44" s="22"/>
      <c r="F44" s="78"/>
      <c r="G44" s="78"/>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row>
    <row r="45" spans="2:68">
      <c r="B45" s="22"/>
      <c r="C45" s="22"/>
      <c r="D45" s="22"/>
      <c r="E45" s="22"/>
      <c r="F45" s="78"/>
      <c r="G45" s="78"/>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c r="BL45" s="22"/>
      <c r="BM45" s="22"/>
      <c r="BN45" s="22"/>
      <c r="BO45" s="22"/>
      <c r="BP45" s="22"/>
    </row>
    <row r="46" spans="2:68">
      <c r="B46" s="22"/>
      <c r="C46" s="22"/>
      <c r="D46" s="22"/>
      <c r="E46" s="22"/>
      <c r="F46" s="78"/>
      <c r="G46" s="78"/>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c r="BL46" s="22"/>
      <c r="BM46" s="22"/>
      <c r="BN46" s="22"/>
      <c r="BO46" s="22"/>
      <c r="BP46" s="22"/>
    </row>
    <row r="47" spans="2:68">
      <c r="B47" s="22"/>
      <c r="C47" s="22"/>
      <c r="D47" s="22"/>
      <c r="E47" s="22"/>
      <c r="F47" s="78"/>
      <c r="G47" s="78"/>
      <c r="H47" s="22"/>
      <c r="I47" s="326"/>
      <c r="J47" s="326"/>
      <c r="K47" s="326"/>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c r="BL47" s="22"/>
      <c r="BM47" s="22"/>
      <c r="BN47" s="22"/>
      <c r="BO47" s="22"/>
      <c r="BP47" s="22"/>
    </row>
    <row r="48" spans="2:68">
      <c r="B48" s="22"/>
      <c r="C48" s="22"/>
      <c r="D48" s="22"/>
      <c r="E48" s="22"/>
      <c r="F48" s="78"/>
      <c r="G48" s="78"/>
      <c r="H48" s="22"/>
      <c r="I48" s="326"/>
      <c r="J48" s="326"/>
      <c r="K48" s="326"/>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c r="BL48" s="22"/>
      <c r="BM48" s="22"/>
      <c r="BN48" s="22"/>
      <c r="BO48" s="22"/>
      <c r="BP48" s="22"/>
    </row>
    <row r="49" spans="2:68">
      <c r="B49" s="22"/>
      <c r="C49" s="22"/>
      <c r="D49" s="22"/>
      <c r="E49" s="22"/>
      <c r="F49" s="78"/>
      <c r="G49" s="78"/>
      <c r="H49" s="22"/>
      <c r="I49" s="326"/>
      <c r="J49" s="326"/>
      <c r="K49" s="326"/>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c r="AS49" s="22"/>
      <c r="AT49" s="22"/>
      <c r="AU49" s="22"/>
      <c r="AV49" s="22"/>
      <c r="AW49" s="22"/>
      <c r="AX49" s="22"/>
      <c r="AY49" s="22"/>
      <c r="AZ49" s="22"/>
      <c r="BA49" s="22"/>
      <c r="BB49" s="22"/>
      <c r="BC49" s="22"/>
      <c r="BD49" s="22"/>
      <c r="BE49" s="22"/>
      <c r="BF49" s="22"/>
      <c r="BG49" s="22"/>
      <c r="BH49" s="22"/>
      <c r="BI49" s="22"/>
      <c r="BJ49" s="22"/>
      <c r="BK49" s="22"/>
      <c r="BL49" s="22"/>
      <c r="BM49" s="22"/>
      <c r="BN49" s="22"/>
      <c r="BO49" s="22"/>
      <c r="BP49" s="22"/>
    </row>
    <row r="50" spans="2:68">
      <c r="B50" s="22"/>
      <c r="C50" s="22"/>
      <c r="D50" s="77"/>
      <c r="E50" s="22"/>
      <c r="F50" s="78"/>
      <c r="G50" s="78"/>
      <c r="H50" s="22"/>
      <c r="I50" s="326"/>
      <c r="J50" s="326"/>
      <c r="K50" s="326"/>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c r="AS50" s="22"/>
      <c r="AT50" s="22"/>
      <c r="AU50" s="22"/>
      <c r="AV50" s="22"/>
      <c r="AW50" s="22"/>
      <c r="AX50" s="22"/>
      <c r="AY50" s="22"/>
      <c r="AZ50" s="22"/>
      <c r="BA50" s="22"/>
      <c r="BB50" s="22"/>
      <c r="BC50" s="22"/>
      <c r="BD50" s="22"/>
      <c r="BE50" s="22"/>
      <c r="BF50" s="22"/>
      <c r="BG50" s="22"/>
      <c r="BH50" s="22"/>
      <c r="BI50" s="22"/>
      <c r="BJ50" s="22"/>
      <c r="BK50" s="22"/>
      <c r="BL50" s="22"/>
      <c r="BM50" s="22"/>
      <c r="BN50" s="22"/>
      <c r="BO50" s="22"/>
      <c r="BP50" s="22"/>
    </row>
    <row r="51" spans="2:68">
      <c r="B51" s="22"/>
      <c r="C51" s="22"/>
      <c r="D51" s="77"/>
      <c r="E51" s="22"/>
      <c r="F51" s="78"/>
      <c r="G51" s="78"/>
      <c r="H51" s="22"/>
      <c r="I51" s="326"/>
      <c r="J51" s="326"/>
      <c r="K51" s="326"/>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row>
    <row r="52" spans="2:68">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c r="AW52" s="22"/>
      <c r="AX52" s="22"/>
      <c r="AY52" s="22"/>
      <c r="AZ52" s="22"/>
      <c r="BA52" s="22"/>
      <c r="BB52" s="22"/>
      <c r="BC52" s="22"/>
      <c r="BD52" s="22"/>
      <c r="BE52" s="22"/>
      <c r="BF52" s="22"/>
      <c r="BG52" s="22"/>
      <c r="BH52" s="22"/>
      <c r="BI52" s="22"/>
      <c r="BJ52" s="22"/>
      <c r="BK52" s="22"/>
      <c r="BL52" s="22"/>
      <c r="BM52" s="22"/>
      <c r="BN52" s="22"/>
      <c r="BO52" s="22"/>
      <c r="BP52" s="22"/>
    </row>
    <row r="53" spans="2:68">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c r="BL53" s="22"/>
      <c r="BM53" s="22"/>
      <c r="BN53" s="22"/>
      <c r="BO53" s="22"/>
      <c r="BP53" s="22"/>
    </row>
    <row r="54" spans="2:68">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row>
    <row r="55" spans="2:68">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row>
    <row r="56" spans="2:68">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c r="BL56" s="22"/>
      <c r="BM56" s="22"/>
      <c r="BN56" s="22"/>
      <c r="BO56" s="22"/>
      <c r="BP56" s="22"/>
    </row>
    <row r="57" spans="2:68">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row>
    <row r="58" spans="2:68">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c r="BA58" s="22"/>
      <c r="BB58" s="22"/>
      <c r="BC58" s="22"/>
      <c r="BD58" s="22"/>
      <c r="BE58" s="22"/>
      <c r="BF58" s="22"/>
      <c r="BG58" s="22"/>
      <c r="BH58" s="22"/>
      <c r="BI58" s="22"/>
      <c r="BJ58" s="22"/>
      <c r="BK58" s="22"/>
      <c r="BL58" s="22"/>
      <c r="BM58" s="22"/>
      <c r="BN58" s="22"/>
      <c r="BO58" s="22"/>
      <c r="BP58" s="22"/>
    </row>
    <row r="59" spans="2:68">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c r="BA59" s="22"/>
      <c r="BB59" s="22"/>
      <c r="BC59" s="22"/>
      <c r="BD59" s="22"/>
      <c r="BE59" s="22"/>
      <c r="BF59" s="22"/>
      <c r="BG59" s="22"/>
      <c r="BH59" s="22"/>
      <c r="BI59" s="22"/>
      <c r="BJ59" s="22"/>
      <c r="BK59" s="22"/>
      <c r="BL59" s="22"/>
      <c r="BM59" s="22"/>
      <c r="BN59" s="22"/>
      <c r="BO59" s="22"/>
      <c r="BP59" s="22"/>
    </row>
    <row r="60" spans="2:68">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c r="AW60" s="22"/>
      <c r="AX60" s="22"/>
      <c r="AY60" s="22"/>
      <c r="AZ60" s="22"/>
      <c r="BA60" s="22"/>
      <c r="BB60" s="22"/>
      <c r="BC60" s="22"/>
      <c r="BD60" s="22"/>
      <c r="BE60" s="22"/>
      <c r="BF60" s="22"/>
      <c r="BG60" s="22"/>
      <c r="BH60" s="22"/>
      <c r="BI60" s="22"/>
      <c r="BJ60" s="22"/>
      <c r="BK60" s="22"/>
      <c r="BL60" s="22"/>
      <c r="BM60" s="22"/>
      <c r="BN60" s="22"/>
      <c r="BO60" s="22"/>
      <c r="BP60" s="22"/>
    </row>
    <row r="61" spans="2:68">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c r="BA61" s="22"/>
      <c r="BB61" s="22"/>
      <c r="BC61" s="22"/>
      <c r="BD61" s="22"/>
      <c r="BE61" s="22"/>
      <c r="BF61" s="22"/>
      <c r="BG61" s="22"/>
      <c r="BH61" s="22"/>
      <c r="BI61" s="22"/>
      <c r="BJ61" s="22"/>
      <c r="BK61" s="22"/>
      <c r="BL61" s="22"/>
      <c r="BM61" s="22"/>
      <c r="BN61" s="22"/>
      <c r="BO61" s="22"/>
      <c r="BP61" s="22"/>
    </row>
    <row r="62" spans="2:68">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c r="AS62" s="22"/>
      <c r="AT62" s="22"/>
      <c r="AU62" s="22"/>
      <c r="AV62" s="22"/>
      <c r="AW62" s="22"/>
      <c r="AX62" s="22"/>
      <c r="AY62" s="22"/>
      <c r="AZ62" s="22"/>
      <c r="BA62" s="22"/>
      <c r="BB62" s="22"/>
      <c r="BC62" s="22"/>
      <c r="BD62" s="22"/>
      <c r="BE62" s="22"/>
      <c r="BF62" s="22"/>
      <c r="BG62" s="22"/>
      <c r="BH62" s="22"/>
      <c r="BI62" s="22"/>
      <c r="BJ62" s="22"/>
      <c r="BK62" s="22"/>
      <c r="BL62" s="22"/>
      <c r="BM62" s="22"/>
      <c r="BN62" s="22"/>
      <c r="BO62" s="22"/>
      <c r="BP62" s="22"/>
    </row>
    <row r="63" spans="2:68">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c r="BA63" s="22"/>
      <c r="BB63" s="22"/>
      <c r="BC63" s="22"/>
      <c r="BD63" s="22"/>
      <c r="BE63" s="22"/>
      <c r="BF63" s="22"/>
      <c r="BG63" s="22"/>
      <c r="BH63" s="22"/>
      <c r="BI63" s="22"/>
      <c r="BJ63" s="22"/>
      <c r="BK63" s="22"/>
      <c r="BL63" s="22"/>
      <c r="BM63" s="22"/>
      <c r="BN63" s="22"/>
      <c r="BO63" s="22"/>
      <c r="BP63" s="22"/>
    </row>
    <row r="64" spans="2:68">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c r="BA64" s="22"/>
      <c r="BB64" s="22"/>
      <c r="BC64" s="22"/>
      <c r="BD64" s="22"/>
      <c r="BE64" s="22"/>
      <c r="BF64" s="22"/>
      <c r="BG64" s="22"/>
      <c r="BH64" s="22"/>
      <c r="BI64" s="22"/>
      <c r="BJ64" s="22"/>
      <c r="BK64" s="22"/>
      <c r="BL64" s="22"/>
      <c r="BM64" s="22"/>
      <c r="BN64" s="22"/>
      <c r="BO64" s="22"/>
      <c r="BP64" s="22"/>
    </row>
    <row r="65" spans="2:68">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c r="BA65" s="22"/>
      <c r="BB65" s="22"/>
      <c r="BC65" s="22"/>
      <c r="BD65" s="22"/>
      <c r="BE65" s="22"/>
      <c r="BF65" s="22"/>
      <c r="BG65" s="22"/>
      <c r="BH65" s="22"/>
      <c r="BI65" s="22"/>
      <c r="BJ65" s="22"/>
      <c r="BK65" s="22"/>
      <c r="BL65" s="22"/>
      <c r="BM65" s="22"/>
      <c r="BN65" s="22"/>
      <c r="BO65" s="22"/>
      <c r="BP65" s="22"/>
    </row>
    <row r="66" spans="2:68">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c r="BA66" s="22"/>
      <c r="BB66" s="22"/>
      <c r="BC66" s="22"/>
      <c r="BD66" s="22"/>
      <c r="BE66" s="22"/>
      <c r="BF66" s="22"/>
      <c r="BG66" s="22"/>
      <c r="BH66" s="22"/>
      <c r="BI66" s="22"/>
      <c r="BJ66" s="22"/>
      <c r="BK66" s="22"/>
      <c r="BL66" s="22"/>
      <c r="BM66" s="22"/>
      <c r="BN66" s="22"/>
      <c r="BO66" s="22"/>
      <c r="BP66" s="22"/>
    </row>
    <row r="67" spans="2:68">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c r="BA67" s="22"/>
      <c r="BB67" s="22"/>
      <c r="BC67" s="22"/>
      <c r="BD67" s="22"/>
      <c r="BE67" s="22"/>
      <c r="BF67" s="22"/>
      <c r="BG67" s="22"/>
      <c r="BH67" s="22"/>
      <c r="BI67" s="22"/>
      <c r="BJ67" s="22"/>
      <c r="BK67" s="22"/>
      <c r="BL67" s="22"/>
      <c r="BM67" s="22"/>
      <c r="BN67" s="22"/>
      <c r="BO67" s="22"/>
      <c r="BP67" s="22"/>
    </row>
    <row r="68" spans="2:68">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c r="BA68" s="22"/>
      <c r="BB68" s="22"/>
      <c r="BC68" s="22"/>
      <c r="BD68" s="22"/>
      <c r="BE68" s="22"/>
      <c r="BF68" s="22"/>
      <c r="BG68" s="22"/>
      <c r="BH68" s="22"/>
      <c r="BI68" s="22"/>
      <c r="BJ68" s="22"/>
      <c r="BK68" s="22"/>
      <c r="BL68" s="22"/>
      <c r="BM68" s="22"/>
      <c r="BN68" s="22"/>
      <c r="BO68" s="22"/>
      <c r="BP68" s="22"/>
    </row>
    <row r="69" spans="2:68">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c r="AW69" s="22"/>
      <c r="AX69" s="22"/>
      <c r="AY69" s="22"/>
      <c r="AZ69" s="22"/>
      <c r="BA69" s="22"/>
      <c r="BB69" s="22"/>
      <c r="BC69" s="22"/>
      <c r="BD69" s="22"/>
      <c r="BE69" s="22"/>
      <c r="BF69" s="22"/>
      <c r="BG69" s="22"/>
      <c r="BH69" s="22"/>
      <c r="BI69" s="22"/>
      <c r="BJ69" s="22"/>
      <c r="BK69" s="22"/>
      <c r="BL69" s="22"/>
      <c r="BM69" s="22"/>
      <c r="BN69" s="22"/>
      <c r="BO69" s="22"/>
      <c r="BP69" s="22"/>
    </row>
    <row r="70" spans="2:68">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c r="AW70" s="22"/>
      <c r="AX70" s="22"/>
      <c r="AY70" s="22"/>
      <c r="AZ70" s="22"/>
      <c r="BA70" s="22"/>
      <c r="BB70" s="22"/>
      <c r="BC70" s="22"/>
      <c r="BD70" s="22"/>
      <c r="BE70" s="22"/>
      <c r="BF70" s="22"/>
      <c r="BG70" s="22"/>
      <c r="BH70" s="22"/>
      <c r="BI70" s="22"/>
      <c r="BJ70" s="22"/>
      <c r="BK70" s="22"/>
      <c r="BL70" s="22"/>
      <c r="BM70" s="22"/>
      <c r="BN70" s="22"/>
      <c r="BO70" s="22"/>
      <c r="BP70" s="22"/>
    </row>
    <row r="71" spans="2:68">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2"/>
      <c r="AZ71" s="22"/>
      <c r="BA71" s="22"/>
      <c r="BB71" s="22"/>
      <c r="BC71" s="22"/>
      <c r="BD71" s="22"/>
      <c r="BE71" s="22"/>
      <c r="BF71" s="22"/>
      <c r="BG71" s="22"/>
      <c r="BH71" s="22"/>
      <c r="BI71" s="22"/>
      <c r="BJ71" s="22"/>
      <c r="BK71" s="22"/>
      <c r="BL71" s="22"/>
      <c r="BM71" s="22"/>
      <c r="BN71" s="22"/>
      <c r="BO71" s="22"/>
      <c r="BP71" s="22"/>
    </row>
    <row r="72" spans="2:68">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c r="AW72" s="22"/>
      <c r="AX72" s="22"/>
      <c r="AY72" s="22"/>
      <c r="AZ72" s="22"/>
      <c r="BA72" s="22"/>
      <c r="BB72" s="22"/>
      <c r="BC72" s="22"/>
      <c r="BD72" s="22"/>
      <c r="BE72" s="22"/>
      <c r="BF72" s="22"/>
      <c r="BG72" s="22"/>
      <c r="BH72" s="22"/>
      <c r="BI72" s="22"/>
      <c r="BJ72" s="22"/>
      <c r="BK72" s="22"/>
      <c r="BL72" s="22"/>
      <c r="BM72" s="22"/>
      <c r="BN72" s="22"/>
      <c r="BO72" s="22"/>
      <c r="BP72" s="22"/>
    </row>
    <row r="73" spans="2:68">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c r="AS73" s="22"/>
      <c r="AT73" s="22"/>
      <c r="AU73" s="22"/>
      <c r="AV73" s="22"/>
      <c r="AW73" s="22"/>
      <c r="AX73" s="22"/>
      <c r="AY73" s="22"/>
      <c r="AZ73" s="22"/>
      <c r="BA73" s="22"/>
      <c r="BB73" s="22"/>
      <c r="BC73" s="22"/>
      <c r="BD73" s="22"/>
      <c r="BE73" s="22"/>
      <c r="BF73" s="22"/>
      <c r="BG73" s="22"/>
      <c r="BH73" s="22"/>
      <c r="BI73" s="22"/>
      <c r="BJ73" s="22"/>
      <c r="BK73" s="22"/>
      <c r="BL73" s="22"/>
      <c r="BM73" s="22"/>
      <c r="BN73" s="22"/>
      <c r="BO73" s="22"/>
      <c r="BP73" s="22"/>
    </row>
    <row r="74" spans="2:68">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c r="AW74" s="22"/>
      <c r="AX74" s="22"/>
      <c r="AY74" s="22"/>
      <c r="AZ74" s="22"/>
      <c r="BA74" s="22"/>
      <c r="BB74" s="22"/>
      <c r="BC74" s="22"/>
      <c r="BD74" s="22"/>
      <c r="BE74" s="22"/>
      <c r="BF74" s="22"/>
      <c r="BG74" s="22"/>
      <c r="BH74" s="22"/>
      <c r="BI74" s="22"/>
      <c r="BJ74" s="22"/>
      <c r="BK74" s="22"/>
      <c r="BL74" s="22"/>
      <c r="BM74" s="22"/>
      <c r="BN74" s="22"/>
      <c r="BO74" s="22"/>
      <c r="BP74" s="22"/>
    </row>
    <row r="75" spans="2:68">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c r="AS75" s="22"/>
      <c r="AT75" s="22"/>
      <c r="AU75" s="22"/>
      <c r="AV75" s="22"/>
      <c r="AW75" s="22"/>
      <c r="AX75" s="22"/>
      <c r="AY75" s="22"/>
      <c r="AZ75" s="22"/>
      <c r="BA75" s="22"/>
      <c r="BB75" s="22"/>
      <c r="BC75" s="22"/>
      <c r="BD75" s="22"/>
      <c r="BE75" s="22"/>
      <c r="BF75" s="22"/>
      <c r="BG75" s="22"/>
      <c r="BH75" s="22"/>
      <c r="BI75" s="22"/>
      <c r="BJ75" s="22"/>
      <c r="BK75" s="22"/>
      <c r="BL75" s="22"/>
      <c r="BM75" s="22"/>
      <c r="BN75" s="22"/>
      <c r="BO75" s="22"/>
      <c r="BP75" s="22"/>
    </row>
    <row r="76" spans="2:68">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c r="AS76" s="22"/>
      <c r="AT76" s="22"/>
      <c r="AU76" s="22"/>
      <c r="AV76" s="22"/>
      <c r="AW76" s="22"/>
      <c r="AX76" s="22"/>
      <c r="AY76" s="22"/>
      <c r="AZ76" s="22"/>
      <c r="BA76" s="22"/>
      <c r="BB76" s="22"/>
      <c r="BC76" s="22"/>
      <c r="BD76" s="22"/>
      <c r="BE76" s="22"/>
      <c r="BF76" s="22"/>
      <c r="BG76" s="22"/>
      <c r="BH76" s="22"/>
      <c r="BI76" s="22"/>
      <c r="BJ76" s="22"/>
      <c r="BK76" s="22"/>
      <c r="BL76" s="22"/>
      <c r="BM76" s="22"/>
      <c r="BN76" s="22"/>
      <c r="BO76" s="22"/>
      <c r="BP76" s="22"/>
    </row>
    <row r="77" spans="2:68">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c r="AS77" s="22"/>
      <c r="AT77" s="22"/>
      <c r="AU77" s="22"/>
      <c r="AV77" s="22"/>
      <c r="AW77" s="22"/>
      <c r="AX77" s="22"/>
      <c r="AY77" s="22"/>
      <c r="AZ77" s="22"/>
      <c r="BA77" s="22"/>
      <c r="BB77" s="22"/>
      <c r="BC77" s="22"/>
      <c r="BD77" s="22"/>
      <c r="BE77" s="22"/>
      <c r="BF77" s="22"/>
      <c r="BG77" s="22"/>
      <c r="BH77" s="22"/>
      <c r="BI77" s="22"/>
      <c r="BJ77" s="22"/>
      <c r="BK77" s="22"/>
      <c r="BL77" s="22"/>
      <c r="BM77" s="22"/>
      <c r="BN77" s="22"/>
      <c r="BO77" s="22"/>
      <c r="BP77" s="22"/>
    </row>
    <row r="78" spans="2:68">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c r="AS78" s="22"/>
      <c r="AT78" s="22"/>
      <c r="AU78" s="22"/>
      <c r="AV78" s="22"/>
      <c r="AW78" s="22"/>
      <c r="AX78" s="22"/>
      <c r="AY78" s="22"/>
      <c r="AZ78" s="22"/>
      <c r="BA78" s="22"/>
      <c r="BB78" s="22"/>
      <c r="BC78" s="22"/>
      <c r="BD78" s="22"/>
      <c r="BE78" s="22"/>
      <c r="BF78" s="22"/>
      <c r="BG78" s="22"/>
      <c r="BH78" s="22"/>
      <c r="BI78" s="22"/>
      <c r="BJ78" s="22"/>
      <c r="BK78" s="22"/>
      <c r="BL78" s="22"/>
      <c r="BM78" s="22"/>
      <c r="BN78" s="22"/>
      <c r="BO78" s="22"/>
      <c r="BP78" s="22"/>
    </row>
    <row r="79" spans="2:68">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c r="AS79" s="22"/>
      <c r="AT79" s="22"/>
      <c r="AU79" s="22"/>
      <c r="AV79" s="22"/>
      <c r="AW79" s="22"/>
      <c r="AX79" s="22"/>
      <c r="AY79" s="22"/>
      <c r="AZ79" s="22"/>
      <c r="BA79" s="22"/>
      <c r="BB79" s="22"/>
      <c r="BC79" s="22"/>
      <c r="BD79" s="22"/>
      <c r="BE79" s="22"/>
      <c r="BF79" s="22"/>
      <c r="BG79" s="22"/>
      <c r="BH79" s="22"/>
      <c r="BI79" s="22"/>
      <c r="BJ79" s="22"/>
      <c r="BK79" s="22"/>
      <c r="BL79" s="22"/>
      <c r="BM79" s="22"/>
      <c r="BN79" s="22"/>
      <c r="BO79" s="22"/>
      <c r="BP79" s="22"/>
    </row>
    <row r="80" spans="2:68">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2"/>
      <c r="AS80" s="22"/>
      <c r="AT80" s="22"/>
      <c r="AU80" s="22"/>
      <c r="AV80" s="22"/>
      <c r="AW80" s="22"/>
      <c r="AX80" s="22"/>
      <c r="AY80" s="22"/>
      <c r="AZ80" s="22"/>
      <c r="BA80" s="22"/>
      <c r="BB80" s="22"/>
      <c r="BC80" s="22"/>
      <c r="BD80" s="22"/>
      <c r="BE80" s="22"/>
      <c r="BF80" s="22"/>
      <c r="BG80" s="22"/>
      <c r="BH80" s="22"/>
      <c r="BI80" s="22"/>
      <c r="BJ80" s="22"/>
      <c r="BK80" s="22"/>
      <c r="BL80" s="22"/>
      <c r="BM80" s="22"/>
      <c r="BN80" s="22"/>
      <c r="BO80" s="22"/>
      <c r="BP80" s="22"/>
    </row>
    <row r="81" spans="1:68">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c r="BM81" s="22"/>
      <c r="BN81" s="22"/>
      <c r="BO81" s="22"/>
      <c r="BP81" s="22"/>
    </row>
    <row r="82" spans="1:68">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c r="AS82" s="22"/>
      <c r="AT82" s="22"/>
      <c r="AU82" s="22"/>
      <c r="AV82" s="22"/>
      <c r="AW82" s="22"/>
      <c r="AX82" s="22"/>
      <c r="AY82" s="22"/>
      <c r="AZ82" s="22"/>
      <c r="BA82" s="22"/>
      <c r="BB82" s="22"/>
      <c r="BC82" s="22"/>
      <c r="BD82" s="22"/>
      <c r="BE82" s="22"/>
      <c r="BF82" s="22"/>
      <c r="BG82" s="22"/>
      <c r="BH82" s="22"/>
      <c r="BI82" s="22"/>
      <c r="BJ82" s="22"/>
      <c r="BK82" s="22"/>
      <c r="BL82" s="22"/>
      <c r="BM82" s="22"/>
      <c r="BN82" s="22"/>
      <c r="BO82" s="22"/>
      <c r="BP82" s="22"/>
    </row>
    <row r="83" spans="1:68">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c r="AW83" s="22"/>
      <c r="AX83" s="22"/>
      <c r="AY83" s="22"/>
      <c r="AZ83" s="22"/>
      <c r="BA83" s="22"/>
      <c r="BB83" s="22"/>
      <c r="BC83" s="22"/>
      <c r="BD83" s="22"/>
      <c r="BE83" s="22"/>
      <c r="BF83" s="22"/>
      <c r="BG83" s="22"/>
      <c r="BH83" s="22"/>
      <c r="BI83" s="22"/>
      <c r="BJ83" s="22"/>
      <c r="BK83" s="22"/>
      <c r="BL83" s="22"/>
      <c r="BM83" s="22"/>
      <c r="BN83" s="22"/>
      <c r="BO83" s="22"/>
      <c r="BP83" s="22"/>
    </row>
    <row r="84" spans="1:68">
      <c r="A84" s="15"/>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c r="BA84" s="22"/>
      <c r="BB84" s="22"/>
      <c r="BC84" s="22"/>
      <c r="BD84" s="22"/>
      <c r="BE84" s="124"/>
      <c r="BF84" s="124"/>
      <c r="BG84" s="124"/>
      <c r="BH84" s="124"/>
      <c r="BI84" s="124"/>
      <c r="BJ84" s="124"/>
      <c r="BK84" s="124"/>
      <c r="BL84" s="124"/>
      <c r="BM84" s="124"/>
      <c r="BN84" s="124"/>
      <c r="BO84" s="124"/>
      <c r="BP84" s="124"/>
    </row>
    <row r="85" spans="1:68">
      <c r="A85" s="15"/>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c r="AS85" s="22"/>
      <c r="AT85" s="22"/>
      <c r="AU85" s="22"/>
      <c r="AV85" s="22"/>
      <c r="AW85" s="22"/>
      <c r="AX85" s="22"/>
      <c r="AY85" s="22"/>
      <c r="AZ85" s="22"/>
      <c r="BA85" s="22"/>
      <c r="BB85" s="22"/>
      <c r="BC85" s="22"/>
      <c r="BD85" s="22"/>
      <c r="BE85" s="124"/>
      <c r="BF85" s="124"/>
      <c r="BG85" s="124"/>
      <c r="BH85" s="124"/>
      <c r="BI85" s="124"/>
      <c r="BJ85" s="124"/>
      <c r="BK85" s="124"/>
      <c r="BL85" s="124"/>
      <c r="BM85" s="124"/>
      <c r="BN85" s="124"/>
      <c r="BO85" s="124"/>
      <c r="BP85" s="124"/>
    </row>
    <row r="86" spans="1:68">
      <c r="A86" s="15"/>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78"/>
      <c r="AL86" s="78"/>
      <c r="AM86" s="78"/>
      <c r="AN86" s="78"/>
      <c r="AO86" s="78"/>
      <c r="AP86" s="78"/>
      <c r="AQ86" s="78"/>
      <c r="AR86" s="78"/>
      <c r="AS86" s="78"/>
      <c r="AT86" s="78"/>
      <c r="AU86" s="78"/>
      <c r="AV86" s="78"/>
      <c r="AW86" s="78"/>
      <c r="AX86" s="78"/>
      <c r="AY86" s="78"/>
      <c r="AZ86" s="78"/>
      <c r="BA86" s="22"/>
      <c r="BB86" s="22"/>
      <c r="BC86" s="22"/>
      <c r="BD86" s="22"/>
      <c r="BE86" s="124"/>
      <c r="BF86" s="124"/>
      <c r="BG86" s="124"/>
      <c r="BH86" s="124"/>
      <c r="BI86" s="124"/>
      <c r="BJ86" s="124"/>
      <c r="BK86" s="124"/>
      <c r="BL86" s="124"/>
      <c r="BM86" s="124"/>
      <c r="BN86" s="124"/>
      <c r="BO86" s="124"/>
      <c r="BP86" s="124"/>
    </row>
    <row r="87" spans="1:68">
      <c r="A87" s="15"/>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c r="BA87" s="22"/>
      <c r="BB87" s="22"/>
      <c r="BC87" s="22"/>
      <c r="BD87" s="22"/>
      <c r="BE87" s="124"/>
      <c r="BF87" s="124"/>
      <c r="BG87" s="124"/>
      <c r="BH87" s="124"/>
      <c r="BI87" s="124"/>
      <c r="BJ87" s="124"/>
      <c r="BK87" s="124"/>
      <c r="BL87" s="124"/>
      <c r="BM87" s="124"/>
      <c r="BN87" s="124"/>
      <c r="BO87" s="124"/>
      <c r="BP87" s="124"/>
    </row>
    <row r="88" spans="1:68">
      <c r="A88" s="15"/>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c r="AS88" s="22"/>
      <c r="AT88" s="22"/>
      <c r="AU88" s="22"/>
      <c r="AV88" s="22"/>
      <c r="AW88" s="22"/>
      <c r="AX88" s="22"/>
      <c r="AY88" s="22"/>
      <c r="AZ88" s="22"/>
      <c r="BA88" s="22"/>
      <c r="BB88" s="22"/>
      <c r="BC88" s="22"/>
      <c r="BD88" s="22"/>
      <c r="BE88" s="124"/>
      <c r="BF88" s="124"/>
      <c r="BG88" s="124"/>
      <c r="BH88" s="124"/>
      <c r="BI88" s="124"/>
      <c r="BJ88" s="124"/>
      <c r="BK88" s="124"/>
      <c r="BL88" s="124"/>
      <c r="BM88" s="124"/>
      <c r="BN88" s="124"/>
      <c r="BO88" s="124"/>
      <c r="BP88" s="124"/>
    </row>
    <row r="89" spans="1:68">
      <c r="A89" s="15"/>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c r="AS89" s="22"/>
      <c r="AT89" s="22"/>
      <c r="AU89" s="22"/>
      <c r="AV89" s="22"/>
      <c r="AW89" s="22"/>
      <c r="AX89" s="22"/>
      <c r="AY89" s="22"/>
      <c r="AZ89" s="22"/>
      <c r="BA89" s="22"/>
      <c r="BB89" s="22"/>
      <c r="BC89" s="22"/>
      <c r="BD89" s="22"/>
      <c r="BE89" s="124"/>
      <c r="BF89" s="124"/>
      <c r="BG89" s="124"/>
      <c r="BH89" s="124"/>
      <c r="BI89" s="124"/>
      <c r="BJ89" s="124"/>
      <c r="BK89" s="124"/>
      <c r="BL89" s="124"/>
      <c r="BM89" s="124"/>
      <c r="BN89" s="124"/>
      <c r="BO89" s="124"/>
      <c r="BP89" s="124"/>
    </row>
    <row r="90" spans="1:68">
      <c r="A90" s="15"/>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c r="AW90" s="22"/>
      <c r="AX90" s="22"/>
      <c r="AY90" s="22"/>
      <c r="AZ90" s="22"/>
      <c r="BA90" s="22"/>
      <c r="BB90" s="22"/>
      <c r="BC90" s="22"/>
      <c r="BD90" s="22"/>
      <c r="BE90" s="124"/>
      <c r="BF90" s="124"/>
      <c r="BG90" s="124"/>
      <c r="BH90" s="124"/>
      <c r="BI90" s="124"/>
      <c r="BJ90" s="124"/>
      <c r="BK90" s="124"/>
      <c r="BL90" s="124"/>
      <c r="BM90" s="124"/>
      <c r="BN90" s="124"/>
      <c r="BO90" s="124"/>
      <c r="BP90" s="124"/>
    </row>
    <row r="91" spans="1:68">
      <c r="A91" s="15"/>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c r="AW91" s="22"/>
      <c r="AX91" s="22"/>
      <c r="AY91" s="22"/>
      <c r="AZ91" s="22"/>
      <c r="BA91" s="22"/>
      <c r="BB91" s="22"/>
      <c r="BC91" s="22"/>
      <c r="BD91" s="22"/>
      <c r="BE91" s="124"/>
      <c r="BF91" s="124"/>
      <c r="BG91" s="124"/>
      <c r="BH91" s="124"/>
      <c r="BI91" s="124"/>
      <c r="BJ91" s="124"/>
      <c r="BK91" s="124"/>
      <c r="BL91" s="124"/>
      <c r="BM91" s="124"/>
      <c r="BN91" s="124"/>
      <c r="BO91" s="124"/>
      <c r="BP91" s="124"/>
    </row>
    <row r="92" spans="1:68">
      <c r="A92" s="15"/>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c r="AW92" s="22"/>
      <c r="AX92" s="22"/>
      <c r="AY92" s="22"/>
      <c r="AZ92" s="22"/>
      <c r="BA92" s="22"/>
      <c r="BB92" s="22"/>
      <c r="BC92" s="22"/>
      <c r="BD92" s="22"/>
      <c r="BE92" s="124"/>
      <c r="BF92" s="124"/>
      <c r="BG92" s="124"/>
      <c r="BH92" s="124"/>
      <c r="BI92" s="124"/>
      <c r="BJ92" s="124"/>
      <c r="BK92" s="124"/>
      <c r="BL92" s="124"/>
      <c r="BM92" s="124"/>
      <c r="BN92" s="124"/>
      <c r="BO92" s="124"/>
      <c r="BP92" s="124"/>
    </row>
    <row r="93" spans="1:68">
      <c r="A93" s="15"/>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c r="AW93" s="22"/>
      <c r="AX93" s="22"/>
      <c r="AY93" s="22"/>
      <c r="AZ93" s="22"/>
      <c r="BA93" s="22"/>
      <c r="BB93" s="22"/>
      <c r="BC93" s="22"/>
      <c r="BD93" s="22"/>
      <c r="BE93" s="124"/>
      <c r="BF93" s="124"/>
      <c r="BG93" s="124"/>
      <c r="BH93" s="124"/>
      <c r="BI93" s="124"/>
      <c r="BJ93" s="124"/>
      <c r="BK93" s="124"/>
      <c r="BL93" s="124"/>
      <c r="BM93" s="124"/>
      <c r="BN93" s="124"/>
      <c r="BO93" s="124"/>
      <c r="BP93" s="124"/>
    </row>
    <row r="94" spans="1:68">
      <c r="A94" s="15"/>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c r="BA94" s="22"/>
      <c r="BB94" s="22"/>
      <c r="BC94" s="22"/>
      <c r="BD94" s="22"/>
      <c r="BE94" s="124"/>
      <c r="BF94" s="124"/>
      <c r="BG94" s="124"/>
      <c r="BH94" s="124"/>
      <c r="BI94" s="124"/>
      <c r="BJ94" s="124"/>
      <c r="BK94" s="124"/>
      <c r="BL94" s="124"/>
      <c r="BM94" s="124"/>
      <c r="BN94" s="124"/>
      <c r="BO94" s="124"/>
      <c r="BP94" s="124"/>
    </row>
    <row r="95" spans="1:68">
      <c r="A95" s="15"/>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327"/>
      <c r="AL95" s="327"/>
      <c r="AM95" s="327"/>
      <c r="AN95" s="327"/>
      <c r="AO95" s="327"/>
      <c r="AP95" s="22"/>
      <c r="AQ95" s="22"/>
      <c r="AR95" s="22"/>
      <c r="AS95" s="22"/>
      <c r="AT95" s="22"/>
      <c r="AU95" s="22"/>
      <c r="AV95" s="22"/>
      <c r="AW95" s="22"/>
      <c r="AX95" s="22"/>
      <c r="AY95" s="22"/>
      <c r="AZ95" s="22"/>
      <c r="BA95" s="22"/>
      <c r="BB95" s="22"/>
      <c r="BC95" s="22"/>
      <c r="BD95" s="22"/>
      <c r="BE95" s="124"/>
      <c r="BF95" s="124"/>
      <c r="BG95" s="124"/>
      <c r="BH95" s="124"/>
      <c r="BI95" s="124"/>
      <c r="BJ95" s="124"/>
      <c r="BK95" s="124"/>
      <c r="BL95" s="124"/>
      <c r="BM95" s="124"/>
      <c r="BN95" s="124"/>
      <c r="BO95" s="124"/>
      <c r="BP95" s="124"/>
    </row>
    <row r="96" spans="1:68">
      <c r="A96" s="15"/>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327"/>
      <c r="AL96" s="327"/>
      <c r="AM96" s="327"/>
      <c r="AN96" s="327"/>
      <c r="AO96" s="327"/>
      <c r="AP96" s="22"/>
      <c r="AQ96" s="22"/>
      <c r="AR96" s="22"/>
      <c r="AS96" s="22"/>
      <c r="AT96" s="22"/>
      <c r="AU96" s="22"/>
      <c r="AV96" s="22"/>
      <c r="AW96" s="22"/>
      <c r="AX96" s="22"/>
      <c r="AY96" s="22"/>
      <c r="AZ96" s="22"/>
      <c r="BA96" s="22"/>
      <c r="BB96" s="22"/>
      <c r="BC96" s="22"/>
      <c r="BD96" s="22"/>
      <c r="BE96" s="124"/>
      <c r="BF96" s="124"/>
      <c r="BG96" s="124"/>
      <c r="BH96" s="124"/>
      <c r="BI96" s="124"/>
      <c r="BJ96" s="124"/>
      <c r="BK96" s="124"/>
      <c r="BL96" s="124"/>
      <c r="BM96" s="124"/>
      <c r="BN96" s="124"/>
      <c r="BO96" s="124"/>
      <c r="BP96" s="124"/>
    </row>
    <row r="97" spans="1:68">
      <c r="A97" s="15"/>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124"/>
      <c r="BF97" s="124"/>
      <c r="BG97" s="124"/>
      <c r="BH97" s="124"/>
      <c r="BI97" s="124"/>
      <c r="BJ97" s="124"/>
      <c r="BK97" s="124"/>
      <c r="BL97" s="124"/>
      <c r="BM97" s="124"/>
      <c r="BN97" s="124"/>
      <c r="BO97" s="124"/>
      <c r="BP97" s="124"/>
    </row>
    <row r="98" spans="1:68">
      <c r="A98" s="15"/>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c r="AW98" s="22"/>
      <c r="AX98" s="22"/>
      <c r="AY98" s="22"/>
      <c r="AZ98" s="22"/>
      <c r="BA98" s="22"/>
      <c r="BB98" s="22"/>
      <c r="BC98" s="22"/>
      <c r="BD98" s="22"/>
      <c r="BE98" s="124"/>
      <c r="BF98" s="124"/>
      <c r="BG98" s="124"/>
      <c r="BH98" s="124"/>
      <c r="BI98" s="124"/>
      <c r="BJ98" s="124"/>
      <c r="BK98" s="124"/>
      <c r="BL98" s="124"/>
      <c r="BM98" s="124"/>
      <c r="BN98" s="124"/>
      <c r="BO98" s="124"/>
      <c r="BP98" s="124"/>
    </row>
    <row r="99" spans="1:68">
      <c r="B99" s="22"/>
      <c r="C99" s="22"/>
      <c r="D99" s="22"/>
      <c r="E99" s="22"/>
      <c r="F99" s="328" t="s">
        <v>14</v>
      </c>
      <c r="G99" s="328">
        <f>M3</f>
        <v>2015</v>
      </c>
      <c r="H99" s="328">
        <f t="shared" ref="H99:W99" si="7">N3</f>
        <v>2016</v>
      </c>
      <c r="I99" s="328">
        <f t="shared" si="7"/>
        <v>2017</v>
      </c>
      <c r="J99" s="328">
        <f t="shared" si="7"/>
        <v>2018</v>
      </c>
      <c r="K99" s="328">
        <f t="shared" si="7"/>
        <v>2019</v>
      </c>
      <c r="L99" s="328">
        <f t="shared" si="7"/>
        <v>2020</v>
      </c>
      <c r="M99" s="328">
        <f t="shared" si="7"/>
        <v>2021</v>
      </c>
      <c r="N99" s="328">
        <f t="shared" si="7"/>
        <v>2022</v>
      </c>
      <c r="O99" s="328">
        <f t="shared" si="7"/>
        <v>2023</v>
      </c>
      <c r="P99" s="328">
        <f t="shared" si="7"/>
        <v>2024</v>
      </c>
      <c r="Q99" s="328">
        <f t="shared" si="7"/>
        <v>2025</v>
      </c>
      <c r="R99" s="328">
        <f t="shared" si="7"/>
        <v>2026</v>
      </c>
      <c r="S99" s="328">
        <f t="shared" si="7"/>
        <v>2027</v>
      </c>
      <c r="T99" s="328">
        <f t="shared" si="7"/>
        <v>2028</v>
      </c>
      <c r="U99" s="328">
        <f t="shared" si="7"/>
        <v>2029</v>
      </c>
      <c r="V99" s="328">
        <f t="shared" si="7"/>
        <v>2030</v>
      </c>
      <c r="W99" s="328">
        <f t="shared" si="7"/>
        <v>2031</v>
      </c>
      <c r="X99" s="328">
        <f t="shared" ref="X99:AF99" si="8">AD3</f>
        <v>2032</v>
      </c>
      <c r="Y99" s="328">
        <f t="shared" si="8"/>
        <v>2033</v>
      </c>
      <c r="Z99" s="328">
        <f t="shared" si="8"/>
        <v>2034</v>
      </c>
      <c r="AA99" s="328">
        <f t="shared" si="8"/>
        <v>2035</v>
      </c>
      <c r="AB99" s="328">
        <f t="shared" si="8"/>
        <v>2036</v>
      </c>
      <c r="AC99" s="328">
        <f t="shared" si="8"/>
        <v>2037</v>
      </c>
      <c r="AD99" s="328">
        <f t="shared" si="8"/>
        <v>2038</v>
      </c>
      <c r="AE99" s="328">
        <f t="shared" si="8"/>
        <v>2039</v>
      </c>
      <c r="AF99" s="328">
        <f t="shared" si="8"/>
        <v>2040</v>
      </c>
      <c r="AG99" s="124"/>
      <c r="AH99" s="124"/>
      <c r="AI99" s="124"/>
      <c r="AJ99" s="124"/>
      <c r="AK99" s="124"/>
      <c r="AL99" s="124"/>
      <c r="AM99" s="124"/>
      <c r="AN99" s="124"/>
      <c r="AO99" s="124"/>
      <c r="AP99" s="124"/>
      <c r="AQ99" s="124"/>
      <c r="AR99" s="124"/>
      <c r="AS99" s="124"/>
      <c r="AT99" s="124"/>
      <c r="AU99" s="124"/>
      <c r="AV99" s="124"/>
      <c r="AW99" s="124"/>
      <c r="AX99" s="124"/>
      <c r="AY99" s="124"/>
      <c r="AZ99" s="124"/>
      <c r="BA99" s="124"/>
      <c r="BB99" s="124"/>
      <c r="BC99" s="124"/>
      <c r="BD99" s="124"/>
      <c r="BE99" s="124"/>
      <c r="BF99" s="124"/>
      <c r="BG99" s="124"/>
      <c r="BH99" s="124"/>
      <c r="BI99" s="124"/>
      <c r="BJ99" s="124"/>
      <c r="BK99" s="124"/>
      <c r="BL99" s="124"/>
      <c r="BM99" s="124"/>
      <c r="BN99" s="124"/>
      <c r="BO99" s="124"/>
      <c r="BP99" s="124"/>
    </row>
    <row r="100" spans="1:68">
      <c r="B100" s="22"/>
      <c r="C100" s="22"/>
      <c r="D100" s="22"/>
      <c r="E100" s="22"/>
      <c r="F100" s="328" t="s">
        <v>137</v>
      </c>
      <c r="G100" s="329">
        <f>M21</f>
        <v>-617.31334395596411</v>
      </c>
      <c r="H100" s="329">
        <f t="shared" ref="H100:AF100" si="9">N21</f>
        <v>-3165.8326904824785</v>
      </c>
      <c r="I100" s="329">
        <f t="shared" si="9"/>
        <v>-14.34461943459246</v>
      </c>
      <c r="J100" s="329">
        <f t="shared" si="9"/>
        <v>2067.2692247478394</v>
      </c>
      <c r="K100" s="329">
        <f t="shared" si="9"/>
        <v>2125.2083930838926</v>
      </c>
      <c r="L100" s="329">
        <f t="shared" si="9"/>
        <v>1822.7791467923455</v>
      </c>
      <c r="M100" s="329">
        <f t="shared" si="9"/>
        <v>1450.4903408149798</v>
      </c>
      <c r="N100" s="329">
        <f t="shared" si="9"/>
        <v>1261.8615166358461</v>
      </c>
      <c r="O100" s="329">
        <f t="shared" si="9"/>
        <v>1078.377922101319</v>
      </c>
      <c r="P100" s="329">
        <f t="shared" si="9"/>
        <v>934.01930845593938</v>
      </c>
      <c r="Q100" s="329">
        <f t="shared" si="9"/>
        <v>794.3749808962682</v>
      </c>
      <c r="R100" s="329">
        <f t="shared" si="9"/>
        <v>684.14011335447049</v>
      </c>
      <c r="S100" s="329">
        <f t="shared" si="9"/>
        <v>580.95167807693713</v>
      </c>
      <c r="T100" s="329">
        <f t="shared" si="9"/>
        <v>499.07293115901325</v>
      </c>
      <c r="U100" s="329">
        <f t="shared" si="9"/>
        <v>419.26750392189956</v>
      </c>
      <c r="V100" s="329">
        <f t="shared" si="9"/>
        <v>355.92295695826976</v>
      </c>
      <c r="W100" s="329">
        <f t="shared" si="9"/>
        <v>296.34150889407579</v>
      </c>
      <c r="X100" s="329">
        <f t="shared" si="9"/>
        <v>248.66259737943915</v>
      </c>
      <c r="Y100" s="329">
        <f t="shared" si="9"/>
        <v>202.04241286254739</v>
      </c>
      <c r="Z100" s="329">
        <f t="shared" si="9"/>
        <v>164.69834527873485</v>
      </c>
      <c r="AA100" s="329">
        <f t="shared" si="9"/>
        <v>129.47985497007352</v>
      </c>
      <c r="AB100" s="329">
        <f t="shared" si="9"/>
        <v>100.99202208624644</v>
      </c>
      <c r="AC100" s="329">
        <f t="shared" si="9"/>
        <v>73.096431593941588</v>
      </c>
      <c r="AD100" s="329">
        <f t="shared" si="9"/>
        <v>50.463409515644742</v>
      </c>
      <c r="AE100" s="329">
        <f t="shared" si="9"/>
        <v>23.562065766087414</v>
      </c>
      <c r="AF100" s="329">
        <f t="shared" si="9"/>
        <v>-2.3511505015615057</v>
      </c>
      <c r="AG100" s="124"/>
      <c r="AH100" s="124"/>
      <c r="AI100" s="124"/>
      <c r="AJ100" s="124"/>
      <c r="AK100" s="124"/>
      <c r="AL100" s="124"/>
      <c r="AM100" s="124"/>
      <c r="AN100" s="124"/>
      <c r="AO100" s="124"/>
      <c r="AP100" s="124"/>
      <c r="AQ100" s="124"/>
      <c r="AR100" s="124"/>
      <c r="AS100" s="124"/>
      <c r="AT100" s="124"/>
      <c r="AU100" s="124"/>
      <c r="AV100" s="124"/>
      <c r="AW100" s="124"/>
      <c r="AX100" s="124"/>
      <c r="AY100" s="124"/>
      <c r="AZ100" s="124"/>
      <c r="BA100" s="124"/>
      <c r="BB100" s="124"/>
      <c r="BC100" s="124"/>
      <c r="BD100" s="124"/>
      <c r="BE100" s="124"/>
      <c r="BF100" s="124"/>
      <c r="BG100" s="124"/>
      <c r="BH100" s="124"/>
      <c r="BI100" s="124"/>
      <c r="BJ100" s="124"/>
      <c r="BK100" s="124"/>
      <c r="BL100" s="124"/>
      <c r="BM100" s="124"/>
      <c r="BN100" s="124"/>
      <c r="BO100" s="124"/>
      <c r="BP100" s="124"/>
    </row>
    <row r="101" spans="1:68">
      <c r="B101" s="22"/>
      <c r="C101" s="22"/>
      <c r="D101" s="22"/>
      <c r="E101" s="22"/>
      <c r="F101" s="328" t="str">
        <f>E16</f>
        <v>Royalty</v>
      </c>
      <c r="G101" s="329">
        <f>-M16</f>
        <v>0</v>
      </c>
      <c r="H101" s="329">
        <f t="shared" ref="H101:AF101" si="10">-N16</f>
        <v>0</v>
      </c>
      <c r="I101" s="329">
        <f t="shared" si="10"/>
        <v>40.253029583267661</v>
      </c>
      <c r="J101" s="329">
        <f t="shared" si="10"/>
        <v>61.739633184691748</v>
      </c>
      <c r="K101" s="329">
        <f t="shared" si="10"/>
        <v>105.01426729796469</v>
      </c>
      <c r="L101" s="329">
        <f t="shared" si="10"/>
        <v>620.3931787451113</v>
      </c>
      <c r="M101" s="329">
        <f t="shared" si="10"/>
        <v>1063.1943201312893</v>
      </c>
      <c r="N101" s="329">
        <f t="shared" si="10"/>
        <v>928.14439472291224</v>
      </c>
      <c r="O101" s="329">
        <f t="shared" si="10"/>
        <v>802.82914264057251</v>
      </c>
      <c r="P101" s="329">
        <f t="shared" si="10"/>
        <v>694.82710641616757</v>
      </c>
      <c r="Q101" s="329">
        <f t="shared" si="10"/>
        <v>595.97328556906155</v>
      </c>
      <c r="R101" s="329">
        <f t="shared" si="10"/>
        <v>511.00797090497775</v>
      </c>
      <c r="S101" s="329">
        <f t="shared" si="10"/>
        <v>436.41828598128313</v>
      </c>
      <c r="T101" s="329">
        <f t="shared" si="10"/>
        <v>372.0777201823891</v>
      </c>
      <c r="U101" s="329">
        <f t="shared" si="10"/>
        <v>313.19294759785419</v>
      </c>
      <c r="V101" s="329">
        <f t="shared" si="10"/>
        <v>262.62440910698518</v>
      </c>
      <c r="W101" s="329">
        <f t="shared" si="10"/>
        <v>218.14092467341024</v>
      </c>
      <c r="X101" s="329">
        <f t="shared" si="10"/>
        <v>179.65377657039809</v>
      </c>
      <c r="Y101" s="329">
        <f t="shared" si="10"/>
        <v>144.36488063960266</v>
      </c>
      <c r="Z101" s="329">
        <f t="shared" si="10"/>
        <v>113.92598675304457</v>
      </c>
      <c r="AA101" s="329">
        <f t="shared" si="10"/>
        <v>87.031752130869492</v>
      </c>
      <c r="AB101" s="329">
        <f t="shared" si="10"/>
        <v>63.622457633548358</v>
      </c>
      <c r="AC101" s="329">
        <f t="shared" si="10"/>
        <v>42.068919886620094</v>
      </c>
      <c r="AD101" s="329">
        <f t="shared" si="10"/>
        <v>23.322944402173245</v>
      </c>
      <c r="AE101" s="329">
        <f t="shared" si="10"/>
        <v>15.069719363846581</v>
      </c>
      <c r="AF101" s="329">
        <f t="shared" si="10"/>
        <v>13.174776978891137</v>
      </c>
      <c r="AG101" s="124"/>
      <c r="AH101" s="124"/>
      <c r="AI101" s="124"/>
      <c r="AJ101" s="124"/>
      <c r="AK101" s="124"/>
      <c r="AL101" s="124"/>
      <c r="AM101" s="124"/>
      <c r="AN101" s="124"/>
      <c r="AO101" s="124"/>
      <c r="AP101" s="124"/>
      <c r="AQ101" s="124"/>
      <c r="AR101" s="124"/>
      <c r="AS101" s="124"/>
      <c r="AT101" s="124"/>
      <c r="AU101" s="124"/>
      <c r="AV101" s="124"/>
      <c r="AW101" s="124"/>
      <c r="AX101" s="124"/>
      <c r="AY101" s="124"/>
      <c r="AZ101" s="124"/>
      <c r="BA101" s="124"/>
      <c r="BB101" s="124"/>
      <c r="BC101" s="124"/>
      <c r="BD101" s="124"/>
      <c r="BE101" s="124"/>
      <c r="BF101" s="124"/>
      <c r="BG101" s="124"/>
      <c r="BH101" s="124"/>
      <c r="BI101" s="124"/>
      <c r="BJ101" s="124"/>
      <c r="BK101" s="124"/>
      <c r="BL101" s="124"/>
      <c r="BM101" s="124"/>
      <c r="BN101" s="124"/>
      <c r="BO101" s="124"/>
      <c r="BP101" s="124"/>
    </row>
    <row r="102" spans="1:68">
      <c r="B102" s="22"/>
      <c r="C102" s="22"/>
      <c r="D102" s="22"/>
      <c r="E102" s="22"/>
      <c r="F102" s="328" t="str">
        <f>E17</f>
        <v>Provincial Income Tax</v>
      </c>
      <c r="G102" s="329">
        <f>-M17</f>
        <v>-6.9854608901269284</v>
      </c>
      <c r="H102" s="329">
        <f t="shared" ref="H102:AF102" si="11">-N17</f>
        <v>-25.077497244263874</v>
      </c>
      <c r="I102" s="329">
        <f t="shared" si="11"/>
        <v>131.93213601801324</v>
      </c>
      <c r="J102" s="329">
        <f t="shared" si="11"/>
        <v>247.40117278625877</v>
      </c>
      <c r="K102" s="329">
        <f t="shared" si="11"/>
        <v>330.27996883465198</v>
      </c>
      <c r="L102" s="329">
        <f t="shared" si="11"/>
        <v>301.9695550737265</v>
      </c>
      <c r="M102" s="329">
        <f t="shared" si="11"/>
        <v>248.60064974718745</v>
      </c>
      <c r="N102" s="329">
        <f t="shared" si="11"/>
        <v>227.1293508490219</v>
      </c>
      <c r="O102" s="329">
        <f t="shared" si="11"/>
        <v>203.61529948699376</v>
      </c>
      <c r="P102" s="329">
        <f t="shared" si="11"/>
        <v>181.63610141575748</v>
      </c>
      <c r="Q102" s="329">
        <f t="shared" si="11"/>
        <v>159.71362562594416</v>
      </c>
      <c r="R102" s="329">
        <f t="shared" si="11"/>
        <v>139.9660550069203</v>
      </c>
      <c r="S102" s="329">
        <f t="shared" si="11"/>
        <v>121.86263011809699</v>
      </c>
      <c r="T102" s="329">
        <f t="shared" si="11"/>
        <v>105.74669362597373</v>
      </c>
      <c r="U102" s="329">
        <f t="shared" si="11"/>
        <v>90.469608366048291</v>
      </c>
      <c r="V102" s="329">
        <f t="shared" si="11"/>
        <v>77.09188752642514</v>
      </c>
      <c r="W102" s="329">
        <f t="shared" si="11"/>
        <v>65.100656348533761</v>
      </c>
      <c r="X102" s="329">
        <f t="shared" si="11"/>
        <v>54.582164971630363</v>
      </c>
      <c r="Y102" s="329">
        <f t="shared" si="11"/>
        <v>44.785245818659412</v>
      </c>
      <c r="Z102" s="329">
        <f t="shared" si="11"/>
        <v>36.264203896364585</v>
      </c>
      <c r="AA102" s="329">
        <f t="shared" si="11"/>
        <v>28.67507146826685</v>
      </c>
      <c r="AB102" s="329">
        <f t="shared" si="11"/>
        <v>22.033599756820188</v>
      </c>
      <c r="AC102" s="329">
        <f t="shared" si="11"/>
        <v>15.878779870408698</v>
      </c>
      <c r="AD102" s="329">
        <f t="shared" si="11"/>
        <v>10.512926373424888</v>
      </c>
      <c r="AE102" s="329">
        <f t="shared" si="11"/>
        <v>4.3708598404034795</v>
      </c>
      <c r="AF102" s="329">
        <f t="shared" si="11"/>
        <v>-1.893879347805115</v>
      </c>
      <c r="AG102" s="124"/>
      <c r="AH102" s="124"/>
      <c r="AI102" s="124"/>
      <c r="AJ102" s="124"/>
      <c r="AK102" s="124"/>
      <c r="AL102" s="124"/>
      <c r="AM102" s="124"/>
      <c r="AN102" s="124"/>
      <c r="AO102" s="124"/>
      <c r="AP102" s="124"/>
      <c r="AQ102" s="124"/>
      <c r="AR102" s="124"/>
      <c r="AS102" s="124"/>
      <c r="AT102" s="124"/>
      <c r="AU102" s="124"/>
      <c r="AV102" s="124"/>
      <c r="AW102" s="124"/>
      <c r="AX102" s="124"/>
      <c r="AY102" s="124"/>
      <c r="AZ102" s="124"/>
      <c r="BA102" s="124"/>
      <c r="BB102" s="124"/>
      <c r="BC102" s="124"/>
      <c r="BD102" s="124"/>
      <c r="BE102" s="124"/>
      <c r="BF102" s="124"/>
      <c r="BG102" s="124"/>
      <c r="BH102" s="124"/>
      <c r="BI102" s="124"/>
      <c r="BJ102" s="124"/>
      <c r="BK102" s="124"/>
      <c r="BL102" s="124"/>
      <c r="BM102" s="124"/>
      <c r="BN102" s="124"/>
      <c r="BO102" s="124"/>
      <c r="BP102" s="124"/>
    </row>
    <row r="103" spans="1:68">
      <c r="B103" s="22"/>
      <c r="C103" s="22"/>
      <c r="D103" s="22"/>
      <c r="E103" s="22"/>
      <c r="F103" s="328" t="str">
        <f>E18</f>
        <v>Federal Income Tax</v>
      </c>
      <c r="G103" s="329">
        <f>-M18</f>
        <v>-9.6573996806004789</v>
      </c>
      <c r="H103" s="329">
        <f t="shared" ref="H103:AF103" si="12">-N18</f>
        <v>-32.130543344213088</v>
      </c>
      <c r="I103" s="329">
        <f t="shared" si="12"/>
        <v>164.91517002251655</v>
      </c>
      <c r="J103" s="329">
        <f t="shared" si="12"/>
        <v>364.53741232261257</v>
      </c>
      <c r="K103" s="329">
        <f t="shared" si="12"/>
        <v>445.26885272034707</v>
      </c>
      <c r="L103" s="329">
        <f t="shared" si="12"/>
        <v>380.69775903721597</v>
      </c>
      <c r="M103" s="329">
        <f t="shared" si="12"/>
        <v>311.79495586515947</v>
      </c>
      <c r="N103" s="329">
        <f t="shared" si="12"/>
        <v>268.88701991869476</v>
      </c>
      <c r="O103" s="329">
        <f t="shared" si="12"/>
        <v>241.171354979916</v>
      </c>
      <c r="P103" s="329">
        <f t="shared" si="12"/>
        <v>205.27749998632061</v>
      </c>
      <c r="Q103" s="329">
        <f t="shared" si="12"/>
        <v>181.84840259714016</v>
      </c>
      <c r="R103" s="329">
        <f t="shared" si="12"/>
        <v>152.88928651479799</v>
      </c>
      <c r="S103" s="329">
        <f t="shared" si="12"/>
        <v>134.7215704108003</v>
      </c>
      <c r="T103" s="329">
        <f t="shared" si="12"/>
        <v>112.48515309201258</v>
      </c>
      <c r="U103" s="329">
        <f t="shared" si="12"/>
        <v>97.615875743058922</v>
      </c>
      <c r="V103" s="329">
        <f t="shared" si="12"/>
        <v>79.986789457911286</v>
      </c>
      <c r="W103" s="329">
        <f t="shared" si="12"/>
        <v>68.637159179094908</v>
      </c>
      <c r="X103" s="329">
        <f t="shared" si="12"/>
        <v>55.165989100718633</v>
      </c>
      <c r="Y103" s="329">
        <f t="shared" si="12"/>
        <v>45.944730557338715</v>
      </c>
      <c r="Z103" s="329">
        <f t="shared" si="12"/>
        <v>35.274483642442895</v>
      </c>
      <c r="AA103" s="329">
        <f t="shared" si="12"/>
        <v>28.209703505199339</v>
      </c>
      <c r="AB103" s="329">
        <f t="shared" si="12"/>
        <v>20.012731679760392</v>
      </c>
      <c r="AC103" s="329">
        <f t="shared" si="12"/>
        <v>14.241925072512648</v>
      </c>
      <c r="AD103" s="329">
        <f t="shared" si="12"/>
        <v>7.6954729502903536</v>
      </c>
      <c r="AE103" s="329">
        <f t="shared" si="12"/>
        <v>1.5989257218653543</v>
      </c>
      <c r="AF103" s="329">
        <f t="shared" si="12"/>
        <v>-5.9386089298189875</v>
      </c>
      <c r="AG103" s="124"/>
      <c r="AH103" s="124"/>
      <c r="AI103" s="124"/>
      <c r="AJ103" s="124"/>
      <c r="AK103" s="124"/>
      <c r="AL103" s="124"/>
      <c r="AM103" s="124"/>
      <c r="AN103" s="124"/>
      <c r="AO103" s="124"/>
      <c r="AP103" s="124"/>
      <c r="AQ103" s="124"/>
      <c r="AR103" s="124"/>
      <c r="AS103" s="124"/>
      <c r="AT103" s="124"/>
      <c r="AU103" s="124"/>
      <c r="AV103" s="124"/>
      <c r="AW103" s="124"/>
      <c r="AX103" s="124"/>
      <c r="AY103" s="124"/>
      <c r="AZ103" s="124"/>
      <c r="BA103" s="124"/>
      <c r="BB103" s="124"/>
      <c r="BC103" s="124"/>
      <c r="BD103" s="124"/>
      <c r="BE103" s="124"/>
      <c r="BF103" s="124"/>
      <c r="BG103" s="124"/>
      <c r="BH103" s="124"/>
      <c r="BI103" s="124"/>
      <c r="BJ103" s="124"/>
      <c r="BK103" s="124"/>
      <c r="BL103" s="124"/>
      <c r="BM103" s="124"/>
      <c r="BN103" s="124"/>
      <c r="BO103" s="124"/>
      <c r="BP103" s="124"/>
    </row>
  </sheetData>
  <sheetProtection algorithmName="SHA-512" hashValue="Bx1FhrkVcrZofZ0pHZ0PCdKKcLwIPzjTVtsjxGkJDGkTRTAvhJwxd6PSnZEjSYc2cJaYrumxa9oYGL6iRG7r2g==" saltValue="3X26tp3CSG34rIX/vYEQVw==" spinCount="100000" sheet="1" objects="1" scenarios="1"/>
  <mergeCells count="11">
    <mergeCell ref="B14:C14"/>
    <mergeCell ref="B7:C7"/>
    <mergeCell ref="B2:C2"/>
    <mergeCell ref="B19:C19"/>
    <mergeCell ref="B30:C30"/>
    <mergeCell ref="K2:K3"/>
    <mergeCell ref="F2:F3"/>
    <mergeCell ref="G2:G3"/>
    <mergeCell ref="H2:H3"/>
    <mergeCell ref="I2:I3"/>
    <mergeCell ref="J2:J3"/>
  </mergeCells>
  <conditionalFormatting sqref="G4:H5 J4:AZ5 R24:R25">
    <cfRule type="cellIs" dxfId="10" priority="11" stopIfTrue="1" operator="greaterThan">
      <formula>0</formula>
    </cfRule>
  </conditionalFormatting>
  <conditionalFormatting sqref="G6:H21 J6:AZ21 R26:R41">
    <cfRule type="cellIs" dxfId="9" priority="9" stopIfTrue="1" operator="greaterThan">
      <formula>0</formula>
    </cfRule>
    <cfRule type="cellIs" dxfId="8" priority="10" stopIfTrue="1" operator="lessThan">
      <formula>0</formula>
    </cfRule>
  </conditionalFormatting>
  <conditionalFormatting sqref="L22:AZ22">
    <cfRule type="cellIs" dxfId="7" priority="1" stopIfTrue="1" operator="greaterThan">
      <formula>0</formula>
    </cfRule>
    <cfRule type="cellIs" dxfId="6" priority="2" stopIfTrue="1" operator="lessThan">
      <formula>0</formula>
    </cfRule>
  </conditionalFormatting>
  <dataValidations count="1">
    <dataValidation type="whole" allowBlank="1" showInputMessage="1" showErrorMessage="1" sqref="N54:AD98 C71:M98">
      <formula1>0</formula1>
      <formula2>#REF!</formula2>
    </dataValidation>
  </dataValidations>
  <hyperlinks>
    <hyperlink ref="E1" location="Guide" display="Guide"/>
    <hyperlink ref="E2" location="Input" display="Input"/>
  </hyperlinks>
  <pageMargins left="0.7" right="0.7" top="0.75" bottom="0.75" header="0.3" footer="0.3"/>
  <pageSetup paperSize="9" scale="86" fitToWidth="0" orientation="landscape" r:id="rId1"/>
  <headerFooter>
    <oddFooter>&amp;LNova Scotia Exploration Economics Model&amp;Rwww.indeva.com</oddFooter>
  </headerFooter>
  <colBreaks count="2" manualBreakCount="2">
    <brk id="10" max="34" man="1"/>
    <brk id="25" max="3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83</vt:i4>
      </vt:variant>
    </vt:vector>
  </HeadingPairs>
  <TitlesOfParts>
    <vt:vector size="118" baseType="lpstr">
      <vt:lpstr>Introduction</vt:lpstr>
      <vt:lpstr>Offshore Map</vt:lpstr>
      <vt:lpstr>Guide</vt:lpstr>
      <vt:lpstr>Devel Options</vt:lpstr>
      <vt:lpstr>Drill History</vt:lpstr>
      <vt:lpstr>FAQ</vt:lpstr>
      <vt:lpstr>Input</vt:lpstr>
      <vt:lpstr>Lists</vt:lpstr>
      <vt:lpstr>CashFlow</vt:lpstr>
      <vt:lpstr>Thresholds</vt:lpstr>
      <vt:lpstr>Sensitivities</vt:lpstr>
      <vt:lpstr>Sensitivity Ranges</vt:lpstr>
      <vt:lpstr>Government Take</vt:lpstr>
      <vt:lpstr>Price Charts</vt:lpstr>
      <vt:lpstr>Overrides</vt:lpstr>
      <vt:lpstr>Economic Assumptions</vt:lpstr>
      <vt:lpstr>Cost Assumptions</vt:lpstr>
      <vt:lpstr>Sched &amp; Prod Assumptions</vt:lpstr>
      <vt:lpstr>Exploration</vt:lpstr>
      <vt:lpstr>Development</vt:lpstr>
      <vt:lpstr>Production</vt:lpstr>
      <vt:lpstr>Revenue</vt:lpstr>
      <vt:lpstr>Operations</vt:lpstr>
      <vt:lpstr>Abandonment</vt:lpstr>
      <vt:lpstr>Royalty</vt:lpstr>
      <vt:lpstr>Federal Tax</vt:lpstr>
      <vt:lpstr>Provincial Tax</vt:lpstr>
      <vt:lpstr>Success Cash Flow</vt:lpstr>
      <vt:lpstr>Risked Cash Flow</vt:lpstr>
      <vt:lpstr>Selected Economics</vt:lpstr>
      <vt:lpstr>User1</vt:lpstr>
      <vt:lpstr>User2</vt:lpstr>
      <vt:lpstr>User3</vt:lpstr>
      <vt:lpstr>User4</vt:lpstr>
      <vt:lpstr>User5</vt:lpstr>
      <vt:lpstr>Abandonment</vt:lpstr>
      <vt:lpstr>Aerial_Extent</vt:lpstr>
      <vt:lpstr>capcostset</vt:lpstr>
      <vt:lpstr>Cashflow</vt:lpstr>
      <vt:lpstr>Costs</vt:lpstr>
      <vt:lpstr>costset1</vt:lpstr>
      <vt:lpstr>Devellist</vt:lpstr>
      <vt:lpstr>Development</vt:lpstr>
      <vt:lpstr>Developments</vt:lpstr>
      <vt:lpstr>Direct_Pipeline_Tie_in</vt:lpstr>
      <vt:lpstr>Discountto</vt:lpstr>
      <vt:lpstr>drill_centres</vt:lpstr>
      <vt:lpstr>Economics</vt:lpstr>
      <vt:lpstr>Exploration</vt:lpstr>
      <vt:lpstr>Explore</vt:lpstr>
      <vt:lpstr>FacilityType</vt:lpstr>
      <vt:lpstr>Federal_Tax</vt:lpstr>
      <vt:lpstr>Fixed_Platform</vt:lpstr>
      <vt:lpstr>FPSU</vt:lpstr>
      <vt:lpstr>Government_Take</vt:lpstr>
      <vt:lpstr>Guide</vt:lpstr>
      <vt:lpstr>Infralist</vt:lpstr>
      <vt:lpstr>Input</vt:lpstr>
      <vt:lpstr>Jack_up</vt:lpstr>
      <vt:lpstr>LossRec</vt:lpstr>
      <vt:lpstr>Manual_override</vt:lpstr>
      <vt:lpstr>monthtable</vt:lpstr>
      <vt:lpstr>noteco</vt:lpstr>
      <vt:lpstr>Operations</vt:lpstr>
      <vt:lpstr>Override</vt:lpstr>
      <vt:lpstr>pressure</vt:lpstr>
      <vt:lpstr>Price_Charts</vt:lpstr>
      <vt:lpstr>Abandonment!Print_Area</vt:lpstr>
      <vt:lpstr>CashFlow!Print_Area</vt:lpstr>
      <vt:lpstr>'Cost Assumptions'!Print_Area</vt:lpstr>
      <vt:lpstr>'Devel Options'!Print_Area</vt:lpstr>
      <vt:lpstr>'Drill History'!Print_Area</vt:lpstr>
      <vt:lpstr>'Economic Assumptions'!Print_Area</vt:lpstr>
      <vt:lpstr>'Federal Tax'!Print_Area</vt:lpstr>
      <vt:lpstr>'Government Take'!Print_Area</vt:lpstr>
      <vt:lpstr>Guide!Print_Area</vt:lpstr>
      <vt:lpstr>Input!Print_Area</vt:lpstr>
      <vt:lpstr>Introduction!Print_Area</vt:lpstr>
      <vt:lpstr>'Offshore Map'!Print_Area</vt:lpstr>
      <vt:lpstr>Operations!Print_Area</vt:lpstr>
      <vt:lpstr>Overrides!Print_Area</vt:lpstr>
      <vt:lpstr>'Price Charts'!Print_Area</vt:lpstr>
      <vt:lpstr>Production!Print_Area</vt:lpstr>
      <vt:lpstr>'Risked Cash Flow'!Print_Area</vt:lpstr>
      <vt:lpstr>Royalty!Print_Area</vt:lpstr>
      <vt:lpstr>'Sched &amp; Prod Assumptions'!Print_Area</vt:lpstr>
      <vt:lpstr>'Selected Economics'!Print_Area</vt:lpstr>
      <vt:lpstr>Sensitivities!Print_Area</vt:lpstr>
      <vt:lpstr>'Success Cash Flow'!Print_Area</vt:lpstr>
      <vt:lpstr>Thresholds!Print_Area</vt:lpstr>
      <vt:lpstr>prod_year</vt:lpstr>
      <vt:lpstr>Product</vt:lpstr>
      <vt:lpstr>Production</vt:lpstr>
      <vt:lpstr>Provincial_Tax</vt:lpstr>
      <vt:lpstr>PurchaseLease</vt:lpstr>
      <vt:lpstr>Rented_FPSU</vt:lpstr>
      <vt:lpstr>Rescomp</vt:lpstr>
      <vt:lpstr>Revenue</vt:lpstr>
      <vt:lpstr>Risked_Cash</vt:lpstr>
      <vt:lpstr>Royalty</vt:lpstr>
      <vt:lpstr>Satellite</vt:lpstr>
      <vt:lpstr>scenarios</vt:lpstr>
      <vt:lpstr>Schedule</vt:lpstr>
      <vt:lpstr>Selected_Economics</vt:lpstr>
      <vt:lpstr>selected_scenario</vt:lpstr>
      <vt:lpstr>Sensitivities</vt:lpstr>
      <vt:lpstr>Shore</vt:lpstr>
      <vt:lpstr>Shuttle_Tanker</vt:lpstr>
      <vt:lpstr>Sour</vt:lpstr>
      <vt:lpstr>Stagelist</vt:lpstr>
      <vt:lpstr>Subsea</vt:lpstr>
      <vt:lpstr>Success_Cash</vt:lpstr>
      <vt:lpstr>Sweet</vt:lpstr>
      <vt:lpstr>SweetSour</vt:lpstr>
      <vt:lpstr>Tethered___Semi</vt:lpstr>
      <vt:lpstr>Thresholds</vt:lpstr>
      <vt:lpstr>User_Area</vt:lpstr>
      <vt:lpstr>YesNo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Mike</dc:creator>
  <cp:lastModifiedBy>Kenty, Brenda L</cp:lastModifiedBy>
  <cp:lastPrinted>2012-05-24T22:37:09Z</cp:lastPrinted>
  <dcterms:created xsi:type="dcterms:W3CDTF">2008-02-07T10:28:11Z</dcterms:created>
  <dcterms:modified xsi:type="dcterms:W3CDTF">2015-10-28T17:36:34Z</dcterms:modified>
</cp:coreProperties>
</file>